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comments2.xml" ContentType="application/vnd.openxmlformats-officedocument.spreadsheetml.comments+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codeName="ThisWorkbook"/>
  <mc:AlternateContent xmlns:mc="http://schemas.openxmlformats.org/markup-compatibility/2006">
    <mc:Choice Requires="x15">
      <x15ac:absPath xmlns:x15ac="http://schemas.microsoft.com/office/spreadsheetml/2010/11/ac" url="\\fileruser2\Users\SARRAZIND\Bureau\ATOUT 16\"/>
    </mc:Choice>
  </mc:AlternateContent>
  <bookViews>
    <workbookView xWindow="0" yWindow="0" windowWidth="28800" windowHeight="10620" tabRatio="824" firstSheet="2" activeTab="2"/>
  </bookViews>
  <sheets>
    <sheet name="LISTES" sheetId="2" state="hidden" r:id="rId1"/>
    <sheet name="LANCEMENT" sheetId="25" r:id="rId2"/>
    <sheet name="MODE EMPLOI" sheetId="21" r:id="rId3"/>
    <sheet name="DONNEES" sheetId="8" r:id="rId4"/>
    <sheet name="TRI" sheetId="26" state="hidden" r:id="rId5"/>
    <sheet name="CPP TITULAIRE-ST" sheetId="17" r:id="rId6"/>
    <sheet name="REVISION" sheetId="9" r:id="rId7"/>
  </sheets>
  <externalReferences>
    <externalReference r:id="rId8"/>
  </externalReferences>
  <definedNames>
    <definedName name="_16">LISTES!$M$68:$M$84</definedName>
    <definedName name="_17">LISTES!$M$42:$M$67</definedName>
    <definedName name="_19">LISTES!$M$85:$M$98</definedName>
    <definedName name="_23">LISTES!$M$98:$M$107</definedName>
    <definedName name="_79">LISTES!$M$25:$M$41</definedName>
    <definedName name="_86">LISTES!$M$2:$M$24</definedName>
    <definedName name="_87">LISTES!$M$108:$M$128</definedName>
    <definedName name="_xlnm._FilterDatabase" localSheetId="5" hidden="1">'CPP TITULAIRE-ST'!$H$10:$K$17</definedName>
    <definedName name="_xlnm._FilterDatabase" localSheetId="4" hidden="1">TRI!$D$1:$D$85</definedName>
    <definedName name="Bâtiments_Régionaux">LISTES!$W$18:$W$23</definedName>
    <definedName name="CFA">LISTES!$T$18:$T$22</definedName>
    <definedName name="COTRAITANT_1_Tranche_FERME">TRI!$E$44:$E$49</definedName>
    <definedName name="COTRAITANT_1_Tranche_OPTIONNELLE_1">TRI!$E$50:$E$55</definedName>
    <definedName name="COTRAITANT_1_Tranche_OPTIONNELLE_2">TRI!$E$56:$E$61</definedName>
    <definedName name="COTRAITANT_1_Tranche_OPTIONNELLE_3">TRI!$E$62:$E$67</definedName>
    <definedName name="COTRAITANT_1_Tranche_OPTIONNELLE_4">TRI!$E$68:$E$73</definedName>
    <definedName name="COTRAITANT_1_Tranche_OPTIONNELLE_5">TRI!$E$74:$E$79</definedName>
    <definedName name="COTRAITANT_1_Tranche_OPTIONNELLE_6">TRI!$E$80:$E$85</definedName>
    <definedName name="FORUMULEREV">LISTES!$P$14:$P$16</definedName>
    <definedName name="LYCEES">LISTES!$M1:$M84</definedName>
    <definedName name="LYCEES1" localSheetId="2">[1]LISTES!$M$1:$M$84</definedName>
    <definedName name="LYCEES1">LISTES!$M$1:$M$84</definedName>
    <definedName name="RESTITUTION">DONNEES!$O$222:$O$236</definedName>
    <definedName name="Titulaire_Tranche_FERME">TRI!$E$2:$E$7</definedName>
    <definedName name="Titulaire_Tranche_OPTIIONNELLE_4">TRI!$E$26:$E$31</definedName>
    <definedName name="Titulaire_Tranche_OPTIONNELLE_1">TRI!$E$8:$E$13</definedName>
    <definedName name="Titulaire_Tranche_OPTIONNELLE_2">TRI!$E$14:$E$19</definedName>
    <definedName name="Titulaire_Tranche_OPTIONNELLE_3">TRI!$E$20:$E$25</definedName>
    <definedName name="Titulaire_Tranche_OPTIONNELLE_5">TRI!$E$32:$E$37</definedName>
    <definedName name="Titulaire_Tranche_OPTIONNELLE_6">TRI!$E$38:$E$43</definedName>
    <definedName name="_xlnm.Print_Area" localSheetId="5">'CPP TITULAIRE-ST'!$A$1:$O$546</definedName>
    <definedName name="_xlnm.Print_Area" localSheetId="3">DONNEES!$A$1:$J$58</definedName>
    <definedName name="_xlnm.Print_Area" localSheetId="2">'MODE EMPLOI'!$A$1:$P$64</definedName>
    <definedName name="_xlnm.Print_Area" localSheetId="6">REVISION!$A$1:$K$109</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64" i="9" l="1"/>
  <c r="O65" i="9"/>
  <c r="O66" i="9"/>
  <c r="O67" i="9"/>
  <c r="O68" i="9"/>
  <c r="O69" i="9"/>
  <c r="O70" i="9"/>
  <c r="O71" i="9"/>
  <c r="O72" i="9"/>
  <c r="O73" i="9"/>
  <c r="O74" i="9"/>
  <c r="O75" i="9"/>
  <c r="O76" i="9"/>
  <c r="O77" i="9"/>
  <c r="O78" i="9"/>
  <c r="O79" i="9"/>
  <c r="O80" i="9"/>
  <c r="O81" i="9"/>
  <c r="O82" i="9"/>
  <c r="O83" i="9"/>
  <c r="O84" i="9"/>
  <c r="O85" i="9"/>
  <c r="O86" i="9"/>
  <c r="O87" i="9"/>
  <c r="O88" i="9"/>
  <c r="O89" i="9"/>
  <c r="O90" i="9"/>
  <c r="O91" i="9"/>
  <c r="O92" i="9"/>
  <c r="O93" i="9"/>
  <c r="O94" i="9"/>
  <c r="O95" i="9"/>
  <c r="O96" i="9"/>
  <c r="O97" i="9"/>
  <c r="O98" i="9"/>
  <c r="O99" i="9"/>
  <c r="O100" i="9"/>
  <c r="O101" i="9"/>
  <c r="O102" i="9"/>
  <c r="O63" i="9"/>
  <c r="O9" i="9"/>
  <c r="O10" i="9"/>
  <c r="O11" i="9"/>
  <c r="O12" i="9"/>
  <c r="O13" i="9"/>
  <c r="O14" i="9"/>
  <c r="O15" i="9"/>
  <c r="O16" i="9"/>
  <c r="O17" i="9"/>
  <c r="O18" i="9"/>
  <c r="O19" i="9"/>
  <c r="O20" i="9"/>
  <c r="O21" i="9"/>
  <c r="O22" i="9"/>
  <c r="O23" i="9"/>
  <c r="O24" i="9"/>
  <c r="O25" i="9"/>
  <c r="O26" i="9"/>
  <c r="O27" i="9"/>
  <c r="O28" i="9"/>
  <c r="O29" i="9"/>
  <c r="O30" i="9"/>
  <c r="O31" i="9"/>
  <c r="O32" i="9"/>
  <c r="O33" i="9"/>
  <c r="O34" i="9"/>
  <c r="O35" i="9"/>
  <c r="O36" i="9"/>
  <c r="O37" i="9"/>
  <c r="O38" i="9"/>
  <c r="O39" i="9"/>
  <c r="O40" i="9"/>
  <c r="O41" i="9"/>
  <c r="O42" i="9"/>
  <c r="O43" i="9"/>
  <c r="O44" i="9"/>
  <c r="O45" i="9"/>
  <c r="O46" i="9"/>
  <c r="G186" i="17" l="1"/>
  <c r="F186" i="17"/>
  <c r="E186" i="17"/>
  <c r="D186" i="17"/>
  <c r="G164" i="17"/>
  <c r="F164" i="17"/>
  <c r="E164" i="17"/>
  <c r="D164" i="17"/>
  <c r="Q38" i="8" l="1"/>
  <c r="P38" i="8"/>
  <c r="O38" i="8"/>
  <c r="N38" i="8"/>
  <c r="F5" i="9" l="1"/>
  <c r="F61" i="9" s="1"/>
  <c r="E5" i="9"/>
  <c r="E61" i="9" s="1"/>
  <c r="C2" i="9"/>
  <c r="E6" i="17"/>
  <c r="W1" i="8" l="1"/>
  <c r="I12" i="9" l="1"/>
  <c r="J12" i="9"/>
  <c r="M30" i="17" l="1"/>
  <c r="M31" i="17"/>
  <c r="M32" i="17"/>
  <c r="M33" i="17"/>
  <c r="M34" i="17"/>
  <c r="M35" i="17"/>
  <c r="M36" i="17"/>
  <c r="M37" i="17"/>
  <c r="M38" i="17"/>
  <c r="M39" i="17"/>
  <c r="M40" i="17"/>
  <c r="M41" i="17"/>
  <c r="M42" i="17"/>
  <c r="M43" i="17"/>
  <c r="M44" i="17"/>
  <c r="M45" i="17"/>
  <c r="M46" i="17"/>
  <c r="M47" i="17"/>
  <c r="M48" i="17"/>
  <c r="M49" i="17"/>
  <c r="M50" i="17"/>
  <c r="M51" i="17"/>
  <c r="M52" i="17"/>
  <c r="M53" i="17"/>
  <c r="M54" i="17"/>
  <c r="M55" i="17"/>
  <c r="M56" i="17"/>
  <c r="M57" i="17"/>
  <c r="M58" i="17"/>
  <c r="M59" i="17"/>
  <c r="M60" i="17"/>
  <c r="M61" i="17"/>
  <c r="M62" i="17"/>
  <c r="M63" i="17"/>
  <c r="M64" i="17"/>
  <c r="M65" i="17"/>
  <c r="M66" i="17"/>
  <c r="M67" i="17"/>
  <c r="M68" i="17"/>
  <c r="M69" i="17"/>
  <c r="M70" i="17"/>
  <c r="M71" i="17"/>
  <c r="M72" i="17"/>
  <c r="M73" i="17"/>
  <c r="M74" i="17"/>
  <c r="M75" i="17"/>
  <c r="M76" i="17"/>
  <c r="M77" i="17"/>
  <c r="M78" i="17"/>
  <c r="M79" i="17"/>
  <c r="M80" i="17"/>
  <c r="M81" i="17"/>
  <c r="M82" i="17"/>
  <c r="M83" i="17"/>
  <c r="M84" i="17"/>
  <c r="M85" i="17"/>
  <c r="M86" i="17"/>
  <c r="M87" i="17"/>
  <c r="M88" i="17"/>
  <c r="M89" i="17"/>
  <c r="M90" i="17"/>
  <c r="M91" i="17"/>
  <c r="M92" i="17"/>
  <c r="M93" i="17"/>
  <c r="M94" i="17"/>
  <c r="M95" i="17"/>
  <c r="M96" i="17"/>
  <c r="M97" i="17"/>
  <c r="M98" i="17"/>
  <c r="M99" i="17"/>
  <c r="M100" i="17"/>
  <c r="M101" i="17"/>
  <c r="M102" i="17"/>
  <c r="M103" i="17"/>
  <c r="M104" i="17"/>
  <c r="M105" i="17"/>
  <c r="M106" i="17"/>
  <c r="M107" i="17"/>
  <c r="M108" i="17"/>
  <c r="M109" i="17"/>
  <c r="M110" i="17"/>
  <c r="M111" i="17"/>
  <c r="M112" i="17"/>
  <c r="M113" i="17"/>
  <c r="M114" i="17"/>
  <c r="M115" i="17"/>
  <c r="M116" i="17"/>
  <c r="M117" i="17"/>
  <c r="M118" i="17"/>
  <c r="M119" i="17"/>
  <c r="M120" i="17"/>
  <c r="M121" i="17"/>
  <c r="M122" i="17"/>
  <c r="M123" i="17"/>
  <c r="M124" i="17"/>
  <c r="M125" i="17"/>
  <c r="M126" i="17"/>
  <c r="M127" i="17"/>
  <c r="M128" i="17"/>
  <c r="M129" i="17"/>
  <c r="M130" i="17"/>
  <c r="M131" i="17"/>
  <c r="M132" i="17"/>
  <c r="M133" i="17"/>
  <c r="M134" i="17"/>
  <c r="M135" i="17"/>
  <c r="M136" i="17"/>
  <c r="M137" i="17"/>
  <c r="M138" i="17"/>
  <c r="M139" i="17"/>
  <c r="M140" i="17"/>
  <c r="M29" i="17"/>
  <c r="L30" i="17"/>
  <c r="L31" i="17"/>
  <c r="L32" i="17"/>
  <c r="L33" i="17"/>
  <c r="L34" i="17"/>
  <c r="L35" i="17"/>
  <c r="L36" i="17"/>
  <c r="L37" i="17"/>
  <c r="L38" i="17"/>
  <c r="L39" i="17"/>
  <c r="L40" i="17"/>
  <c r="L41" i="17"/>
  <c r="L42" i="17"/>
  <c r="L43" i="17"/>
  <c r="L44" i="17"/>
  <c r="L45" i="17"/>
  <c r="L46" i="17"/>
  <c r="L47" i="17"/>
  <c r="L48" i="17"/>
  <c r="L49" i="17"/>
  <c r="L50" i="17"/>
  <c r="L51" i="17"/>
  <c r="L52" i="17"/>
  <c r="L53" i="17"/>
  <c r="L54" i="17"/>
  <c r="L55" i="17"/>
  <c r="L56" i="17"/>
  <c r="L57" i="17"/>
  <c r="L58" i="17"/>
  <c r="L59" i="17"/>
  <c r="L60" i="17"/>
  <c r="L61" i="17"/>
  <c r="L62" i="17"/>
  <c r="L63" i="17"/>
  <c r="L64" i="17"/>
  <c r="L65" i="17"/>
  <c r="L66" i="17"/>
  <c r="L67" i="17"/>
  <c r="L68" i="17"/>
  <c r="L69" i="17"/>
  <c r="L70" i="17"/>
  <c r="L71" i="17"/>
  <c r="L72" i="17"/>
  <c r="L73" i="17"/>
  <c r="L74" i="17"/>
  <c r="L75" i="17"/>
  <c r="L76" i="17"/>
  <c r="L77" i="17"/>
  <c r="L78" i="17"/>
  <c r="L79" i="17"/>
  <c r="L80" i="17"/>
  <c r="L81" i="17"/>
  <c r="L82" i="17"/>
  <c r="L83" i="17"/>
  <c r="L84" i="17"/>
  <c r="L85" i="17"/>
  <c r="L86" i="17"/>
  <c r="L87" i="17"/>
  <c r="L88" i="17"/>
  <c r="L89" i="17"/>
  <c r="L90" i="17"/>
  <c r="L91" i="17"/>
  <c r="L92" i="17"/>
  <c r="L93" i="17"/>
  <c r="L94" i="17"/>
  <c r="L95" i="17"/>
  <c r="L96" i="17"/>
  <c r="L97" i="17"/>
  <c r="L98" i="17"/>
  <c r="L99" i="17"/>
  <c r="L100" i="17"/>
  <c r="L101" i="17"/>
  <c r="L102" i="17"/>
  <c r="L103" i="17"/>
  <c r="L104" i="17"/>
  <c r="L105" i="17"/>
  <c r="L106" i="17"/>
  <c r="L107" i="17"/>
  <c r="L108" i="17"/>
  <c r="L109" i="17"/>
  <c r="L110" i="17"/>
  <c r="L111" i="17"/>
  <c r="L112" i="17"/>
  <c r="L113" i="17"/>
  <c r="L114" i="17"/>
  <c r="L115" i="17"/>
  <c r="L116" i="17"/>
  <c r="L117" i="17"/>
  <c r="L118" i="17"/>
  <c r="L119" i="17"/>
  <c r="L120" i="17"/>
  <c r="L121" i="17"/>
  <c r="L122" i="17"/>
  <c r="L123" i="17"/>
  <c r="L124" i="17"/>
  <c r="L125" i="17"/>
  <c r="L126" i="17"/>
  <c r="L127" i="17"/>
  <c r="L128" i="17"/>
  <c r="L129" i="17"/>
  <c r="L130" i="17"/>
  <c r="L131" i="17"/>
  <c r="L132" i="17"/>
  <c r="L133" i="17"/>
  <c r="L134" i="17"/>
  <c r="L135" i="17"/>
  <c r="L136" i="17"/>
  <c r="L137" i="17"/>
  <c r="L138" i="17"/>
  <c r="L139" i="17"/>
  <c r="L140" i="17"/>
  <c r="L29" i="17"/>
  <c r="E85" i="26" l="1"/>
  <c r="E84" i="26"/>
  <c r="E83" i="26"/>
  <c r="E82" i="26"/>
  <c r="E81" i="26"/>
  <c r="E80" i="26"/>
  <c r="E79" i="26"/>
  <c r="E78" i="26"/>
  <c r="E77" i="26"/>
  <c r="E76" i="26"/>
  <c r="E75" i="26"/>
  <c r="E74" i="26"/>
  <c r="E73" i="26"/>
  <c r="E72" i="26"/>
  <c r="E71" i="26"/>
  <c r="E70" i="26"/>
  <c r="E69" i="26"/>
  <c r="E68" i="26"/>
  <c r="E67" i="26"/>
  <c r="E66" i="26"/>
  <c r="E65" i="26"/>
  <c r="E64" i="26"/>
  <c r="E63" i="26"/>
  <c r="E62" i="26"/>
  <c r="E61" i="26"/>
  <c r="E60" i="26"/>
  <c r="E59" i="26"/>
  <c r="E58" i="26"/>
  <c r="E57" i="26"/>
  <c r="G56" i="26"/>
  <c r="F56" i="26"/>
  <c r="E56" i="26"/>
  <c r="E55" i="26"/>
  <c r="E54" i="26"/>
  <c r="E53" i="26"/>
  <c r="E52" i="26"/>
  <c r="E51" i="26"/>
  <c r="E50" i="26"/>
  <c r="E49" i="26"/>
  <c r="E48" i="26"/>
  <c r="E47" i="26"/>
  <c r="E46" i="26"/>
  <c r="E45" i="26"/>
  <c r="E44" i="26"/>
  <c r="E43" i="26"/>
  <c r="E42" i="26"/>
  <c r="E41" i="26"/>
  <c r="E40" i="26"/>
  <c r="E39" i="26"/>
  <c r="E38" i="26"/>
  <c r="E37" i="26"/>
  <c r="E36" i="26"/>
  <c r="E35" i="26"/>
  <c r="E34" i="26"/>
  <c r="E33" i="26"/>
  <c r="E32" i="26"/>
  <c r="E31" i="26"/>
  <c r="E30" i="26"/>
  <c r="E29" i="26"/>
  <c r="E28" i="26"/>
  <c r="E27" i="26"/>
  <c r="E26" i="26"/>
  <c r="E25" i="26"/>
  <c r="E24" i="26"/>
  <c r="E23" i="26"/>
  <c r="E22" i="26"/>
  <c r="E21" i="26"/>
  <c r="E20" i="26"/>
  <c r="E19" i="26"/>
  <c r="E18" i="26"/>
  <c r="E17" i="26"/>
  <c r="E16" i="26"/>
  <c r="E15" i="26"/>
  <c r="E14" i="26"/>
  <c r="E13" i="26"/>
  <c r="E12" i="26"/>
  <c r="E11" i="26"/>
  <c r="E10" i="26"/>
  <c r="E9" i="26"/>
  <c r="E8" i="26"/>
  <c r="E7" i="26"/>
  <c r="E6" i="26"/>
  <c r="E5" i="26"/>
  <c r="E4" i="26"/>
  <c r="E3" i="26"/>
  <c r="E2" i="26"/>
  <c r="C1" i="26"/>
  <c r="B1" i="26"/>
  <c r="A1" i="26"/>
  <c r="C238" i="8"/>
  <c r="C224" i="8"/>
  <c r="C231" i="8"/>
  <c r="E421" i="17" l="1"/>
  <c r="H421" i="17" s="1"/>
  <c r="E417" i="17"/>
  <c r="H417" i="17" s="1"/>
  <c r="E418" i="17"/>
  <c r="H418" i="17" s="1"/>
  <c r="E419" i="17"/>
  <c r="H419" i="17" s="1"/>
  <c r="E420" i="17"/>
  <c r="H420" i="17" s="1"/>
  <c r="E416" i="17"/>
  <c r="H416" i="17" s="1"/>
  <c r="E411" i="17"/>
  <c r="H411" i="17" s="1"/>
  <c r="E412" i="17"/>
  <c r="H412" i="17" s="1"/>
  <c r="E413" i="17"/>
  <c r="H413" i="17" s="1"/>
  <c r="E414" i="17"/>
  <c r="H414" i="17" s="1"/>
  <c r="E415" i="17"/>
  <c r="H415" i="17" s="1"/>
  <c r="E410" i="17"/>
  <c r="H410" i="17" s="1"/>
  <c r="E405" i="17"/>
  <c r="H405" i="17" s="1"/>
  <c r="E406" i="17"/>
  <c r="H406" i="17" s="1"/>
  <c r="E407" i="17"/>
  <c r="H407" i="17" s="1"/>
  <c r="E408" i="17"/>
  <c r="H408" i="17" s="1"/>
  <c r="E409" i="17"/>
  <c r="H409" i="17" s="1"/>
  <c r="E404" i="17"/>
  <c r="H404" i="17" s="1"/>
  <c r="E399" i="17"/>
  <c r="H399" i="17" s="1"/>
  <c r="E400" i="17"/>
  <c r="H400" i="17" s="1"/>
  <c r="E401" i="17"/>
  <c r="H401" i="17" s="1"/>
  <c r="E402" i="17"/>
  <c r="H402" i="17" s="1"/>
  <c r="E403" i="17"/>
  <c r="H403" i="17" s="1"/>
  <c r="E398" i="17"/>
  <c r="H398" i="17" s="1"/>
  <c r="E393" i="17"/>
  <c r="H393" i="17" s="1"/>
  <c r="E394" i="17"/>
  <c r="H394" i="17" s="1"/>
  <c r="E395" i="17"/>
  <c r="H395" i="17" s="1"/>
  <c r="E396" i="17"/>
  <c r="H396" i="17" s="1"/>
  <c r="E397" i="17"/>
  <c r="H397" i="17" s="1"/>
  <c r="E392" i="17"/>
  <c r="H392" i="17" s="1"/>
  <c r="E391" i="17"/>
  <c r="H391" i="17" s="1"/>
  <c r="E387" i="17"/>
  <c r="H387" i="17" s="1"/>
  <c r="E388" i="17"/>
  <c r="H388" i="17" s="1"/>
  <c r="E389" i="17"/>
  <c r="H389" i="17" s="1"/>
  <c r="E390" i="17"/>
  <c r="H390" i="17" s="1"/>
  <c r="E386" i="17"/>
  <c r="H386" i="17" s="1"/>
  <c r="E385" i="17"/>
  <c r="H385" i="17" s="1"/>
  <c r="E381" i="17"/>
  <c r="H381" i="17" s="1"/>
  <c r="E382" i="17"/>
  <c r="H382" i="17" s="1"/>
  <c r="E383" i="17"/>
  <c r="H383" i="17" s="1"/>
  <c r="E384" i="17"/>
  <c r="H384" i="17" s="1"/>
  <c r="E380" i="17"/>
  <c r="H380" i="17" s="1"/>
  <c r="E375" i="17"/>
  <c r="H375" i="17" s="1"/>
  <c r="E376" i="17"/>
  <c r="H376" i="17" s="1"/>
  <c r="E377" i="17"/>
  <c r="H377" i="17" s="1"/>
  <c r="E378" i="17"/>
  <c r="H378" i="17" s="1"/>
  <c r="E379" i="17"/>
  <c r="H379" i="17" s="1"/>
  <c r="E374" i="17"/>
  <c r="H374" i="17" s="1"/>
  <c r="E369" i="17"/>
  <c r="H369" i="17" s="1"/>
  <c r="E370" i="17"/>
  <c r="H370" i="17" s="1"/>
  <c r="E371" i="17"/>
  <c r="H371" i="17" s="1"/>
  <c r="E372" i="17"/>
  <c r="H372" i="17" s="1"/>
  <c r="E373" i="17"/>
  <c r="H373" i="17" s="1"/>
  <c r="E368" i="17"/>
  <c r="H368" i="17" s="1"/>
  <c r="H363" i="17"/>
  <c r="E364" i="17"/>
  <c r="H364" i="17" s="1"/>
  <c r="E365" i="17"/>
  <c r="H365" i="17" s="1"/>
  <c r="E366" i="17"/>
  <c r="H366" i="17" s="1"/>
  <c r="E367" i="17"/>
  <c r="H367" i="17" s="1"/>
  <c r="E362" i="17"/>
  <c r="H362" i="17" s="1"/>
  <c r="E357" i="17"/>
  <c r="H357" i="17" s="1"/>
  <c r="E358" i="17"/>
  <c r="H358" i="17" s="1"/>
  <c r="E359" i="17"/>
  <c r="H359" i="17" s="1"/>
  <c r="E360" i="17"/>
  <c r="H360" i="17" s="1"/>
  <c r="E361" i="17"/>
  <c r="H361" i="17" s="1"/>
  <c r="E356" i="17"/>
  <c r="H356" i="17" s="1"/>
  <c r="E351" i="17"/>
  <c r="H351" i="17" s="1"/>
  <c r="E352" i="17"/>
  <c r="H352" i="17" s="1"/>
  <c r="E353" i="17"/>
  <c r="H353" i="17" s="1"/>
  <c r="E354" i="17"/>
  <c r="H354" i="17" s="1"/>
  <c r="E355" i="17"/>
  <c r="H355" i="17" s="1"/>
  <c r="E350" i="17"/>
  <c r="H350" i="17" s="1"/>
  <c r="E345" i="17"/>
  <c r="H345" i="17" s="1"/>
  <c r="E346" i="17"/>
  <c r="H346" i="17" s="1"/>
  <c r="E347" i="17"/>
  <c r="H347" i="17" s="1"/>
  <c r="E348" i="17"/>
  <c r="H348" i="17" s="1"/>
  <c r="E349" i="17"/>
  <c r="H349" i="17" s="1"/>
  <c r="E344" i="17"/>
  <c r="H344" i="17" s="1"/>
  <c r="E339" i="17"/>
  <c r="H339" i="17" s="1"/>
  <c r="E340" i="17"/>
  <c r="H340" i="17" s="1"/>
  <c r="E341" i="17"/>
  <c r="H341" i="17" s="1"/>
  <c r="E342" i="17"/>
  <c r="H342" i="17" s="1"/>
  <c r="E343" i="17"/>
  <c r="H343" i="17" s="1"/>
  <c r="E338" i="17"/>
  <c r="H338" i="17" s="1"/>
  <c r="H148" i="17" l="1"/>
  <c r="H328" i="17" l="1"/>
  <c r="H329" i="17"/>
  <c r="H330" i="17"/>
  <c r="C335" i="17" l="1"/>
  <c r="F180" i="17" l="1"/>
  <c r="G180" i="17"/>
  <c r="E173" i="17"/>
  <c r="E174" i="17"/>
  <c r="E175" i="17"/>
  <c r="E176" i="17"/>
  <c r="E177" i="17"/>
  <c r="E178" i="17"/>
  <c r="E179" i="17"/>
  <c r="D179" i="17"/>
  <c r="D178" i="17"/>
  <c r="D177" i="17"/>
  <c r="D176" i="17"/>
  <c r="D175" i="17"/>
  <c r="D174" i="17"/>
  <c r="D173" i="17"/>
  <c r="E172" i="17"/>
  <c r="D172" i="17"/>
  <c r="F282" i="17" l="1"/>
  <c r="G282" i="17"/>
  <c r="BM2" i="17"/>
  <c r="BN2" i="17"/>
  <c r="G181" i="17"/>
  <c r="G183" i="17" s="1"/>
  <c r="F181" i="17"/>
  <c r="F183" i="17" s="1"/>
  <c r="D180" i="17"/>
  <c r="D181" i="17" s="1"/>
  <c r="D183" i="17" s="1"/>
  <c r="E180" i="17"/>
  <c r="E181" i="17" s="1"/>
  <c r="E183" i="17" s="1"/>
  <c r="X1" i="8"/>
  <c r="Q1" i="17" s="1"/>
  <c r="E337" i="17" l="1"/>
  <c r="E336" i="17"/>
  <c r="H336" i="17" l="1"/>
  <c r="H337" i="17"/>
  <c r="H169" i="17"/>
  <c r="H147" i="17"/>
  <c r="H332" i="17" l="1"/>
  <c r="H331" i="17"/>
  <c r="E12" i="17" l="1"/>
  <c r="A111" i="9"/>
  <c r="A54" i="9"/>
  <c r="B11" i="8"/>
  <c r="I14" i="8"/>
  <c r="L26" i="9" l="1"/>
  <c r="L82" i="9"/>
  <c r="L95" i="9"/>
  <c r="L46" i="9"/>
  <c r="L42" i="9"/>
  <c r="L40" i="9"/>
  <c r="L38" i="9"/>
  <c r="L36" i="9"/>
  <c r="L34" i="9"/>
  <c r="L32" i="9"/>
  <c r="L30" i="9"/>
  <c r="L28" i="9"/>
  <c r="L24" i="9"/>
  <c r="L22" i="9"/>
  <c r="L20" i="9"/>
  <c r="L18" i="9"/>
  <c r="L16" i="9"/>
  <c r="L14" i="9"/>
  <c r="L12" i="9"/>
  <c r="L10" i="9"/>
  <c r="L8" i="9"/>
  <c r="L98" i="9"/>
  <c r="L94" i="9"/>
  <c r="L90" i="9"/>
  <c r="L78" i="9"/>
  <c r="L74" i="9"/>
  <c r="L70" i="9"/>
  <c r="L66" i="9"/>
  <c r="L87" i="9"/>
  <c r="L79" i="9"/>
  <c r="L102" i="9"/>
  <c r="L86" i="9"/>
  <c r="L44" i="9"/>
  <c r="L63" i="9"/>
  <c r="L71" i="9"/>
  <c r="L45" i="9"/>
  <c r="L43" i="9"/>
  <c r="L37" i="9"/>
  <c r="L35" i="9"/>
  <c r="L29" i="9"/>
  <c r="L27" i="9"/>
  <c r="L21" i="9"/>
  <c r="L19" i="9"/>
  <c r="L13" i="9"/>
  <c r="L11" i="9"/>
  <c r="L99" i="9"/>
  <c r="L91" i="9"/>
  <c r="L83" i="9"/>
  <c r="L75" i="9"/>
  <c r="L67" i="9"/>
  <c r="L101" i="9"/>
  <c r="L97" i="9"/>
  <c r="L93" i="9"/>
  <c r="L89" i="9"/>
  <c r="L85" i="9"/>
  <c r="L81" i="9"/>
  <c r="L77" i="9"/>
  <c r="L73" i="9"/>
  <c r="L69" i="9"/>
  <c r="L65" i="9"/>
  <c r="L100" i="9"/>
  <c r="L96" i="9"/>
  <c r="L92" i="9"/>
  <c r="L88" i="9"/>
  <c r="L84" i="9"/>
  <c r="L80" i="9"/>
  <c r="L76" i="9"/>
  <c r="L72" i="9"/>
  <c r="L68" i="9"/>
  <c r="L64" i="9"/>
  <c r="L41" i="9"/>
  <c r="L39" i="9"/>
  <c r="L33" i="9"/>
  <c r="L31" i="9"/>
  <c r="L25" i="9"/>
  <c r="L23" i="9"/>
  <c r="L17" i="9"/>
  <c r="L15" i="9"/>
  <c r="L9" i="9"/>
  <c r="H204" i="17" l="1"/>
  <c r="H205" i="17"/>
  <c r="H208" i="17"/>
  <c r="H209" i="17"/>
  <c r="H210" i="17"/>
  <c r="H211" i="17"/>
  <c r="H212" i="17"/>
  <c r="H213" i="17"/>
  <c r="H214" i="17"/>
  <c r="H215" i="17"/>
  <c r="H216" i="17"/>
  <c r="H217" i="17"/>
  <c r="H218" i="17"/>
  <c r="H219" i="17"/>
  <c r="H220" i="17"/>
  <c r="H221" i="17"/>
  <c r="H223" i="17"/>
  <c r="H222" i="17"/>
  <c r="H193" i="17"/>
  <c r="H194" i="17"/>
  <c r="H195" i="17"/>
  <c r="H196" i="17"/>
  <c r="H197" i="17"/>
  <c r="H198" i="17"/>
  <c r="H199" i="17"/>
  <c r="H200" i="17"/>
  <c r="H201" i="17"/>
  <c r="H202" i="17"/>
  <c r="H203" i="17"/>
  <c r="H182" i="17" l="1"/>
  <c r="H160" i="17"/>
  <c r="O18" i="8"/>
  <c r="N18" i="8"/>
  <c r="R18" i="8" s="1"/>
  <c r="I64" i="9" l="1"/>
  <c r="J64" i="9"/>
  <c r="I65" i="9"/>
  <c r="J65" i="9"/>
  <c r="I66" i="9"/>
  <c r="J66" i="9"/>
  <c r="I67" i="9"/>
  <c r="J67" i="9"/>
  <c r="I68" i="9"/>
  <c r="J68" i="9"/>
  <c r="I69" i="9"/>
  <c r="J69" i="9"/>
  <c r="I70" i="9"/>
  <c r="J70" i="9"/>
  <c r="I71" i="9"/>
  <c r="J71" i="9"/>
  <c r="I72" i="9"/>
  <c r="J72" i="9"/>
  <c r="I73" i="9"/>
  <c r="J73" i="9"/>
  <c r="I74" i="9"/>
  <c r="J74" i="9"/>
  <c r="I75" i="9"/>
  <c r="J75" i="9"/>
  <c r="I76" i="9"/>
  <c r="J76" i="9"/>
  <c r="I77" i="9"/>
  <c r="J77" i="9"/>
  <c r="I78" i="9"/>
  <c r="J78" i="9"/>
  <c r="I79" i="9"/>
  <c r="J79" i="9"/>
  <c r="I80" i="9"/>
  <c r="J80" i="9"/>
  <c r="I81" i="9"/>
  <c r="J81" i="9"/>
  <c r="I82" i="9"/>
  <c r="J82" i="9"/>
  <c r="I83" i="9"/>
  <c r="J83" i="9"/>
  <c r="I84" i="9"/>
  <c r="J84" i="9"/>
  <c r="I85" i="9"/>
  <c r="J85" i="9"/>
  <c r="I86" i="9"/>
  <c r="J86" i="9"/>
  <c r="I87" i="9"/>
  <c r="J87" i="9"/>
  <c r="I88" i="9"/>
  <c r="J88" i="9"/>
  <c r="I89" i="9"/>
  <c r="J89" i="9"/>
  <c r="I90" i="9"/>
  <c r="J90" i="9"/>
  <c r="I91" i="9"/>
  <c r="J91" i="9"/>
  <c r="I92" i="9"/>
  <c r="J92" i="9"/>
  <c r="I93" i="9"/>
  <c r="J93" i="9"/>
  <c r="I94" i="9"/>
  <c r="J94" i="9"/>
  <c r="I95" i="9"/>
  <c r="J95" i="9"/>
  <c r="I96" i="9"/>
  <c r="J96" i="9"/>
  <c r="I97" i="9"/>
  <c r="J97" i="9"/>
  <c r="I98" i="9"/>
  <c r="J98" i="9"/>
  <c r="I99" i="9"/>
  <c r="J99" i="9"/>
  <c r="I100" i="9"/>
  <c r="J100" i="9"/>
  <c r="I101" i="9"/>
  <c r="J101" i="9"/>
  <c r="I102" i="9"/>
  <c r="J102" i="9"/>
  <c r="J9" i="9"/>
  <c r="J10" i="9"/>
  <c r="J11" i="9"/>
  <c r="J13" i="9"/>
  <c r="J14" i="9"/>
  <c r="J15" i="9"/>
  <c r="J16" i="9"/>
  <c r="J17" i="9"/>
  <c r="J18" i="9"/>
  <c r="J19" i="9"/>
  <c r="J20" i="9"/>
  <c r="J21" i="9"/>
  <c r="J22" i="9"/>
  <c r="J23" i="9"/>
  <c r="J24" i="9"/>
  <c r="J25" i="9"/>
  <c r="J26" i="9"/>
  <c r="J27" i="9"/>
  <c r="J28" i="9"/>
  <c r="J29" i="9"/>
  <c r="J30" i="9"/>
  <c r="J31" i="9"/>
  <c r="J32" i="9"/>
  <c r="J33" i="9"/>
  <c r="J34" i="9"/>
  <c r="J35" i="9"/>
  <c r="J36" i="9"/>
  <c r="J37" i="9"/>
  <c r="J38" i="9"/>
  <c r="J39" i="9"/>
  <c r="J40" i="9"/>
  <c r="J41" i="9"/>
  <c r="J42" i="9"/>
  <c r="J43" i="9"/>
  <c r="J44" i="9"/>
  <c r="J45" i="9"/>
  <c r="J46" i="9"/>
  <c r="I9" i="9"/>
  <c r="I10" i="9"/>
  <c r="I11" i="9"/>
  <c r="I13" i="9"/>
  <c r="I14" i="9"/>
  <c r="I15" i="9"/>
  <c r="I16" i="9"/>
  <c r="I17" i="9"/>
  <c r="I18" i="9"/>
  <c r="I19" i="9"/>
  <c r="I20" i="9"/>
  <c r="I21" i="9"/>
  <c r="I22" i="9"/>
  <c r="I23" i="9"/>
  <c r="I24" i="9"/>
  <c r="I25" i="9"/>
  <c r="I26" i="9"/>
  <c r="I27" i="9"/>
  <c r="I28" i="9"/>
  <c r="I29" i="9"/>
  <c r="I30" i="9"/>
  <c r="I31" i="9"/>
  <c r="I32" i="9"/>
  <c r="I33" i="9"/>
  <c r="I34" i="9"/>
  <c r="I35" i="9"/>
  <c r="I36" i="9"/>
  <c r="I37" i="9"/>
  <c r="I38" i="9"/>
  <c r="I39" i="9"/>
  <c r="I40" i="9"/>
  <c r="I41" i="9"/>
  <c r="I42" i="9"/>
  <c r="I43" i="9"/>
  <c r="I44" i="9"/>
  <c r="I45" i="9"/>
  <c r="I46" i="9"/>
  <c r="L105" i="9"/>
  <c r="L104" i="9"/>
  <c r="L103" i="9"/>
  <c r="L49" i="9"/>
  <c r="L48" i="9"/>
  <c r="L47" i="9"/>
  <c r="H14" i="8"/>
  <c r="H13" i="8"/>
  <c r="D150" i="17"/>
  <c r="E150" i="17"/>
  <c r="E151" i="17" l="1"/>
  <c r="E152" i="17"/>
  <c r="E153" i="17"/>
  <c r="E154" i="17"/>
  <c r="E155" i="17"/>
  <c r="E156" i="17"/>
  <c r="E157" i="17"/>
  <c r="D156" i="17"/>
  <c r="D155" i="17"/>
  <c r="D154" i="17"/>
  <c r="D153" i="17"/>
  <c r="D152" i="17"/>
  <c r="D151" i="17"/>
  <c r="D157" i="17"/>
  <c r="H228" i="17"/>
  <c r="H227" i="17"/>
  <c r="BM1" i="17" l="1"/>
  <c r="BN1" i="17"/>
  <c r="L7" i="9" l="1"/>
  <c r="G4" i="17" l="1"/>
  <c r="H4" i="17"/>
  <c r="E13" i="17"/>
  <c r="E14" i="17"/>
  <c r="E15" i="17"/>
  <c r="E16" i="17"/>
  <c r="E17" i="17"/>
  <c r="E18" i="17"/>
  <c r="E19" i="17"/>
  <c r="E20" i="17"/>
  <c r="D13" i="17"/>
  <c r="D14" i="17"/>
  <c r="D15" i="17"/>
  <c r="D16" i="17"/>
  <c r="D17" i="17"/>
  <c r="D18" i="17"/>
  <c r="D19" i="17"/>
  <c r="D20" i="17"/>
  <c r="D12" i="17"/>
  <c r="H171" i="17"/>
  <c r="H170" i="17"/>
  <c r="I171" i="17" l="1"/>
  <c r="H179" i="17"/>
  <c r="R11" i="8"/>
  <c r="Q11" i="8"/>
  <c r="R10" i="8"/>
  <c r="Q10" i="8"/>
  <c r="R9" i="8"/>
  <c r="Q9" i="8"/>
  <c r="R8" i="8"/>
  <c r="Q8" i="8"/>
  <c r="R7" i="8"/>
  <c r="Q7" i="8"/>
  <c r="R6" i="8"/>
  <c r="Q6" i="8"/>
  <c r="R5" i="8"/>
  <c r="Q5" i="8"/>
  <c r="O11" i="8"/>
  <c r="N11" i="8"/>
  <c r="O10" i="8"/>
  <c r="N10" i="8"/>
  <c r="O9" i="8"/>
  <c r="N9" i="8"/>
  <c r="O8" i="8"/>
  <c r="N8" i="8"/>
  <c r="O7" i="8"/>
  <c r="N7" i="8"/>
  <c r="A322" i="8"/>
  <c r="A315" i="8"/>
  <c r="A308" i="8"/>
  <c r="A301" i="8"/>
  <c r="B281" i="8"/>
  <c r="A59" i="26" s="1"/>
  <c r="B282" i="8"/>
  <c r="A60" i="26" s="1"/>
  <c r="B283" i="8"/>
  <c r="A61" i="26" s="1"/>
  <c r="B284" i="8"/>
  <c r="A62" i="26" s="1"/>
  <c r="B285" i="8"/>
  <c r="A63" i="26" s="1"/>
  <c r="B286" i="8"/>
  <c r="A64" i="26" s="1"/>
  <c r="B287" i="8"/>
  <c r="A65" i="26" s="1"/>
  <c r="B288" i="8"/>
  <c r="A66" i="26" s="1"/>
  <c r="B289" i="8"/>
  <c r="A67" i="26" s="1"/>
  <c r="B290" i="8"/>
  <c r="A68" i="26" s="1"/>
  <c r="B291" i="8"/>
  <c r="A69" i="26" s="1"/>
  <c r="B292" i="8"/>
  <c r="A70" i="26" s="1"/>
  <c r="B293" i="8"/>
  <c r="A71" i="26" s="1"/>
  <c r="B294" i="8"/>
  <c r="A72" i="26" s="1"/>
  <c r="B295" i="8"/>
  <c r="A73" i="26" s="1"/>
  <c r="B296" i="8"/>
  <c r="A74" i="26" s="1"/>
  <c r="B297" i="8"/>
  <c r="A75" i="26" s="1"/>
  <c r="B298" i="8"/>
  <c r="A76" i="26" s="1"/>
  <c r="B299" i="8"/>
  <c r="A77" i="26" s="1"/>
  <c r="B300" i="8"/>
  <c r="A78" i="26" s="1"/>
  <c r="B301" i="8"/>
  <c r="A79" i="26" s="1"/>
  <c r="B302" i="8"/>
  <c r="A80" i="26" s="1"/>
  <c r="B303" i="8"/>
  <c r="A81" i="26" s="1"/>
  <c r="B304" i="8"/>
  <c r="A82" i="26" s="1"/>
  <c r="B305" i="8"/>
  <c r="A83" i="26" s="1"/>
  <c r="B306" i="8"/>
  <c r="A84" i="26" s="1"/>
  <c r="B307" i="8"/>
  <c r="A85" i="26" s="1"/>
  <c r="B308" i="8"/>
  <c r="G308" i="8" s="1"/>
  <c r="B309" i="8"/>
  <c r="G309" i="8" s="1"/>
  <c r="B310" i="8"/>
  <c r="G310" i="8" s="1"/>
  <c r="B311" i="8"/>
  <c r="G311" i="8" s="1"/>
  <c r="B312" i="8"/>
  <c r="G312" i="8" s="1"/>
  <c r="B313" i="8"/>
  <c r="G313" i="8" s="1"/>
  <c r="B314" i="8"/>
  <c r="G314" i="8" s="1"/>
  <c r="B315" i="8"/>
  <c r="G315" i="8" s="1"/>
  <c r="B316" i="8"/>
  <c r="G316" i="8" s="1"/>
  <c r="B317" i="8"/>
  <c r="G317" i="8" s="1"/>
  <c r="B318" i="8"/>
  <c r="G318" i="8" s="1"/>
  <c r="B319" i="8"/>
  <c r="G319" i="8" s="1"/>
  <c r="B320" i="8"/>
  <c r="G320" i="8" s="1"/>
  <c r="B321" i="8"/>
  <c r="G321" i="8" s="1"/>
  <c r="B322" i="8"/>
  <c r="G322" i="8" s="1"/>
  <c r="B323" i="8"/>
  <c r="G323" i="8" s="1"/>
  <c r="B324" i="8"/>
  <c r="G324" i="8" s="1"/>
  <c r="B325" i="8"/>
  <c r="G325" i="8" s="1"/>
  <c r="B326" i="8"/>
  <c r="G326" i="8" s="1"/>
  <c r="B327" i="8"/>
  <c r="G327" i="8" s="1"/>
  <c r="B328" i="8"/>
  <c r="G328" i="8" s="1"/>
  <c r="B329" i="8"/>
  <c r="G329" i="8" s="1"/>
  <c r="B330" i="8"/>
  <c r="G330" i="8" s="1"/>
  <c r="B331" i="8"/>
  <c r="G331" i="8" s="1"/>
  <c r="B332" i="8"/>
  <c r="G332" i="8" s="1"/>
  <c r="B333" i="8"/>
  <c r="G333" i="8" s="1"/>
  <c r="B334" i="8"/>
  <c r="G334" i="8" s="1"/>
  <c r="B335" i="8"/>
  <c r="G335" i="8" s="1"/>
  <c r="B280" i="8"/>
  <c r="A58" i="26" s="1"/>
  <c r="A294" i="8"/>
  <c r="A287" i="8"/>
  <c r="C99" i="17" l="1"/>
  <c r="C127" i="17"/>
  <c r="C106" i="17"/>
  <c r="C113" i="17"/>
  <c r="C92" i="17"/>
  <c r="C120" i="17"/>
  <c r="E10" i="17"/>
  <c r="D10" i="17"/>
  <c r="G324" i="17" l="1"/>
  <c r="G320" i="17"/>
  <c r="G316" i="17"/>
  <c r="G312" i="17"/>
  <c r="G308" i="17"/>
  <c r="G304" i="17"/>
  <c r="G300" i="17"/>
  <c r="G296" i="17"/>
  <c r="G292" i="17"/>
  <c r="G288" i="17"/>
  <c r="G284" i="17"/>
  <c r="G277" i="17"/>
  <c r="G273" i="17"/>
  <c r="G269" i="17"/>
  <c r="G265" i="17"/>
  <c r="G261" i="17"/>
  <c r="G257" i="17"/>
  <c r="G253" i="17"/>
  <c r="G249" i="17"/>
  <c r="G245" i="17"/>
  <c r="G241" i="17"/>
  <c r="G323" i="17"/>
  <c r="G319" i="17"/>
  <c r="G315" i="17"/>
  <c r="G311" i="17"/>
  <c r="G307" i="17"/>
  <c r="G303" i="17"/>
  <c r="G299" i="17"/>
  <c r="G295" i="17"/>
  <c r="G291" i="17"/>
  <c r="G287" i="17"/>
  <c r="G283" i="17"/>
  <c r="G276" i="17"/>
  <c r="G272" i="17"/>
  <c r="G268" i="17"/>
  <c r="G264" i="17"/>
  <c r="G260" i="17"/>
  <c r="G256" i="17"/>
  <c r="G252" i="17"/>
  <c r="G248" i="17"/>
  <c r="G244" i="17"/>
  <c r="G240" i="17"/>
  <c r="G322" i="17"/>
  <c r="G318" i="17"/>
  <c r="G314" i="17"/>
  <c r="G310" i="17"/>
  <c r="G306" i="17"/>
  <c r="G302" i="17"/>
  <c r="G298" i="17"/>
  <c r="G294" i="17"/>
  <c r="G290" i="17"/>
  <c r="G286" i="17"/>
  <c r="G279" i="17"/>
  <c r="G275" i="17"/>
  <c r="G271" i="17"/>
  <c r="G267" i="17"/>
  <c r="G263" i="17"/>
  <c r="G259" i="17"/>
  <c r="G255" i="17"/>
  <c r="G251" i="17"/>
  <c r="G247" i="17"/>
  <c r="G243" i="17"/>
  <c r="G239" i="17"/>
  <c r="G321" i="17"/>
  <c r="G317" i="17"/>
  <c r="G313" i="17"/>
  <c r="G309" i="17"/>
  <c r="G305" i="17"/>
  <c r="G301" i="17"/>
  <c r="G297" i="17"/>
  <c r="G293" i="17"/>
  <c r="G289" i="17"/>
  <c r="G285" i="17"/>
  <c r="G278" i="17"/>
  <c r="G274" i="17"/>
  <c r="G270" i="17"/>
  <c r="G266" i="17"/>
  <c r="G262" i="17"/>
  <c r="G258" i="17"/>
  <c r="G254" i="17"/>
  <c r="G250" i="17"/>
  <c r="G246" i="17"/>
  <c r="G242" i="17"/>
  <c r="G238" i="17"/>
  <c r="G237" i="17"/>
  <c r="F237" i="17"/>
  <c r="AP27" i="17"/>
  <c r="AO27" i="17"/>
  <c r="P31" i="17"/>
  <c r="D188" i="17"/>
  <c r="D187" i="17"/>
  <c r="D184" i="17"/>
  <c r="F188" i="17"/>
  <c r="F184" i="17"/>
  <c r="F187" i="17"/>
  <c r="F185" i="17"/>
  <c r="D185" i="17"/>
  <c r="E187" i="17"/>
  <c r="G188" i="17"/>
  <c r="G187" i="17"/>
  <c r="G184" i="17"/>
  <c r="E188" i="17"/>
  <c r="G327" i="17" s="1"/>
  <c r="E184" i="17"/>
  <c r="G185" i="17"/>
  <c r="E185" i="17"/>
  <c r="F162" i="17"/>
  <c r="D162" i="17"/>
  <c r="G162" i="17"/>
  <c r="E162" i="17"/>
  <c r="P33" i="17"/>
  <c r="P37" i="17"/>
  <c r="P41" i="17"/>
  <c r="P45" i="17"/>
  <c r="P49" i="17"/>
  <c r="P53" i="17"/>
  <c r="P57" i="17"/>
  <c r="P61" i="17"/>
  <c r="P65" i="17"/>
  <c r="P69" i="17"/>
  <c r="P73" i="17"/>
  <c r="P77" i="17"/>
  <c r="P81" i="17"/>
  <c r="P85" i="17"/>
  <c r="P89" i="17"/>
  <c r="P93" i="17"/>
  <c r="P97" i="17"/>
  <c r="P101" i="17"/>
  <c r="P105" i="17"/>
  <c r="P109" i="17"/>
  <c r="P113" i="17"/>
  <c r="P117" i="17"/>
  <c r="P121" i="17"/>
  <c r="P125" i="17"/>
  <c r="P129" i="17"/>
  <c r="P133" i="17"/>
  <c r="P137" i="17"/>
  <c r="P29" i="17"/>
  <c r="P138" i="17"/>
  <c r="P36" i="17"/>
  <c r="P40" i="17"/>
  <c r="P48" i="17"/>
  <c r="P52" i="17"/>
  <c r="P60" i="17"/>
  <c r="P68" i="17"/>
  <c r="P72" i="17"/>
  <c r="P30" i="17"/>
  <c r="P34" i="17"/>
  <c r="P38" i="17"/>
  <c r="P42" i="17"/>
  <c r="P46" i="17"/>
  <c r="P50" i="17"/>
  <c r="P54" i="17"/>
  <c r="P58" i="17"/>
  <c r="P62" i="17"/>
  <c r="P66" i="17"/>
  <c r="P70" i="17"/>
  <c r="P74" i="17"/>
  <c r="P78" i="17"/>
  <c r="P82" i="17"/>
  <c r="P86" i="17"/>
  <c r="P90" i="17"/>
  <c r="P94" i="17"/>
  <c r="P98" i="17"/>
  <c r="P102" i="17"/>
  <c r="P106" i="17"/>
  <c r="P110" i="17"/>
  <c r="P114" i="17"/>
  <c r="P118" i="17"/>
  <c r="P122" i="17"/>
  <c r="P126" i="17"/>
  <c r="P130" i="17"/>
  <c r="P134" i="17"/>
  <c r="P35" i="17"/>
  <c r="P39" i="17"/>
  <c r="P43" i="17"/>
  <c r="P47" i="17"/>
  <c r="P51" i="17"/>
  <c r="P55" i="17"/>
  <c r="P59" i="17"/>
  <c r="P63" i="17"/>
  <c r="P67" i="17"/>
  <c r="P71" i="17"/>
  <c r="P75" i="17"/>
  <c r="P79" i="17"/>
  <c r="P83" i="17"/>
  <c r="P87" i="17"/>
  <c r="P91" i="17"/>
  <c r="P95" i="17"/>
  <c r="P99" i="17"/>
  <c r="P103" i="17"/>
  <c r="P107" i="17"/>
  <c r="P111" i="17"/>
  <c r="P115" i="17"/>
  <c r="P119" i="17"/>
  <c r="P123" i="17"/>
  <c r="P127" i="17"/>
  <c r="P131" i="17"/>
  <c r="P135" i="17"/>
  <c r="P139" i="17"/>
  <c r="P32" i="17"/>
  <c r="P44" i="17"/>
  <c r="P56" i="17"/>
  <c r="P64" i="17"/>
  <c r="P76" i="17"/>
  <c r="P92" i="17"/>
  <c r="P108" i="17"/>
  <c r="P124" i="17"/>
  <c r="P140" i="17"/>
  <c r="P128" i="17"/>
  <c r="P84" i="17"/>
  <c r="P116" i="17"/>
  <c r="P88" i="17"/>
  <c r="P104" i="17"/>
  <c r="P136" i="17"/>
  <c r="P80" i="17"/>
  <c r="P96" i="17"/>
  <c r="P112" i="17"/>
  <c r="P100" i="17"/>
  <c r="P132" i="17"/>
  <c r="P120" i="17"/>
  <c r="F165" i="17"/>
  <c r="D166" i="17"/>
  <c r="F326" i="17" s="1"/>
  <c r="L27" i="17"/>
  <c r="F166" i="17"/>
  <c r="D165" i="17"/>
  <c r="M27" i="17"/>
  <c r="G166" i="17"/>
  <c r="E165" i="17"/>
  <c r="G165" i="17"/>
  <c r="E166" i="17"/>
  <c r="G326" i="17" s="1"/>
  <c r="D145" i="17"/>
  <c r="E145" i="17"/>
  <c r="I27" i="17"/>
  <c r="J27" i="17"/>
  <c r="F27" i="17"/>
  <c r="G27" i="17"/>
  <c r="E231" i="17" l="1"/>
  <c r="B334" i="17"/>
  <c r="E327" i="17"/>
  <c r="H327" i="17" s="1"/>
  <c r="F327" i="17"/>
  <c r="G235" i="17"/>
  <c r="F235" i="17"/>
  <c r="S194" i="17"/>
  <c r="H206" i="17"/>
  <c r="E237" i="17"/>
  <c r="E326" i="17"/>
  <c r="E282" i="17"/>
  <c r="H207" i="17"/>
  <c r="E229" i="17" s="1"/>
  <c r="H192" i="17"/>
  <c r="H184" i="17"/>
  <c r="H162" i="17"/>
  <c r="H164" i="17"/>
  <c r="F145" i="17"/>
  <c r="F233" i="17" s="1"/>
  <c r="G145" i="17"/>
  <c r="G233" i="17" s="1"/>
  <c r="H237" i="17" l="1"/>
  <c r="H282" i="17"/>
  <c r="E224" i="17"/>
  <c r="H224" i="17" s="1"/>
  <c r="H326" i="17"/>
  <c r="B333" i="17"/>
  <c r="H229" i="17"/>
  <c r="Q22" i="8"/>
  <c r="Q21" i="8"/>
  <c r="Q20" i="8"/>
  <c r="Q19" i="8"/>
  <c r="P22" i="8"/>
  <c r="P21" i="8"/>
  <c r="S21" i="8" s="1"/>
  <c r="P20" i="8"/>
  <c r="S20" i="8" s="1"/>
  <c r="P19" i="8"/>
  <c r="S19" i="8" s="1"/>
  <c r="P18" i="8"/>
  <c r="E330" i="8"/>
  <c r="F135" i="17" s="1"/>
  <c r="F330" i="8"/>
  <c r="G135" i="17" s="1"/>
  <c r="E331" i="8"/>
  <c r="F136" i="17" s="1"/>
  <c r="F331" i="8"/>
  <c r="G136" i="17" s="1"/>
  <c r="E332" i="8"/>
  <c r="F137" i="17" s="1"/>
  <c r="F332" i="8"/>
  <c r="G137" i="17" s="1"/>
  <c r="E333" i="8"/>
  <c r="F138" i="17" s="1"/>
  <c r="F333" i="8"/>
  <c r="G138" i="17" s="1"/>
  <c r="E334" i="8"/>
  <c r="F139" i="17" s="1"/>
  <c r="F334" i="8"/>
  <c r="G139" i="17" s="1"/>
  <c r="E335" i="8"/>
  <c r="F140" i="17" s="1"/>
  <c r="F335" i="8"/>
  <c r="G140" i="17" s="1"/>
  <c r="F329" i="8"/>
  <c r="G134" i="17" s="1"/>
  <c r="E329" i="8"/>
  <c r="F134" i="17" s="1"/>
  <c r="A330" i="8"/>
  <c r="A331" i="8"/>
  <c r="A332" i="8"/>
  <c r="A333" i="8"/>
  <c r="A334" i="8"/>
  <c r="A335" i="8"/>
  <c r="A329" i="8"/>
  <c r="F273" i="8"/>
  <c r="G78" i="17" s="1"/>
  <c r="F274" i="8"/>
  <c r="G79" i="17" s="1"/>
  <c r="F275" i="8"/>
  <c r="G80" i="17" s="1"/>
  <c r="F276" i="8"/>
  <c r="G81" i="17" s="1"/>
  <c r="F277" i="8"/>
  <c r="G82" i="17" s="1"/>
  <c r="F278" i="8"/>
  <c r="G83" i="17" s="1"/>
  <c r="F279" i="8"/>
  <c r="G84" i="17" s="1"/>
  <c r="E274" i="8"/>
  <c r="F79" i="17" s="1"/>
  <c r="E275" i="8"/>
  <c r="F80" i="17" s="1"/>
  <c r="E276" i="8"/>
  <c r="F81" i="17" s="1"/>
  <c r="E277" i="8"/>
  <c r="F82" i="17" s="1"/>
  <c r="E278" i="8"/>
  <c r="F83" i="17" s="1"/>
  <c r="E279" i="8"/>
  <c r="F84" i="17" s="1"/>
  <c r="E273" i="8"/>
  <c r="F78" i="17" s="1"/>
  <c r="B273" i="8"/>
  <c r="A51" i="26" s="1"/>
  <c r="B274" i="8"/>
  <c r="A52" i="26" s="1"/>
  <c r="B275" i="8"/>
  <c r="A53" i="26" s="1"/>
  <c r="B276" i="8"/>
  <c r="A54" i="26" s="1"/>
  <c r="B277" i="8"/>
  <c r="A55" i="26" s="1"/>
  <c r="B278" i="8"/>
  <c r="A56" i="26" s="1"/>
  <c r="B279" i="8"/>
  <c r="A57" i="26" s="1"/>
  <c r="H214" i="8"/>
  <c r="G214" i="8"/>
  <c r="H202" i="8"/>
  <c r="G202" i="8"/>
  <c r="G201" i="8"/>
  <c r="H201" i="8"/>
  <c r="G213" i="8"/>
  <c r="H213" i="8"/>
  <c r="A274" i="8"/>
  <c r="A275" i="8"/>
  <c r="A276" i="8"/>
  <c r="A277" i="8"/>
  <c r="A278" i="8"/>
  <c r="A279" i="8"/>
  <c r="A273" i="8"/>
  <c r="D280" i="8"/>
  <c r="D245" i="8"/>
  <c r="E50" i="17" s="1"/>
  <c r="D238" i="8"/>
  <c r="E43" i="17" s="1"/>
  <c r="D231" i="8"/>
  <c r="E36" i="17" s="1"/>
  <c r="D224" i="8"/>
  <c r="E29" i="17" s="1"/>
  <c r="D336" i="17" s="1"/>
  <c r="D29" i="17"/>
  <c r="S22" i="8" l="1"/>
  <c r="D36" i="17"/>
  <c r="C83" i="17"/>
  <c r="C79" i="17"/>
  <c r="C139" i="17"/>
  <c r="C135" i="17"/>
  <c r="C82" i="17"/>
  <c r="C138" i="17"/>
  <c r="C78" i="17"/>
  <c r="C81" i="17"/>
  <c r="C134" i="17"/>
  <c r="C137" i="17"/>
  <c r="C84" i="17"/>
  <c r="C80" i="17"/>
  <c r="C140" i="17"/>
  <c r="C136" i="17"/>
  <c r="H134" i="17"/>
  <c r="H140" i="17"/>
  <c r="H138" i="17"/>
  <c r="H136" i="17"/>
  <c r="H139" i="17"/>
  <c r="H137" i="17"/>
  <c r="H135" i="17"/>
  <c r="D287" i="8"/>
  <c r="E85" i="17"/>
  <c r="D337" i="17" s="1"/>
  <c r="H83" i="17"/>
  <c r="H79" i="17"/>
  <c r="H82" i="17"/>
  <c r="H84" i="17"/>
  <c r="H80" i="17"/>
  <c r="H81" i="17"/>
  <c r="C245" i="8"/>
  <c r="D43" i="17"/>
  <c r="H78" i="17"/>
  <c r="D252" i="8"/>
  <c r="E57" i="17" s="1"/>
  <c r="I157" i="17" l="1"/>
  <c r="D294" i="8"/>
  <c r="E92" i="17"/>
  <c r="C252" i="8"/>
  <c r="D50" i="17"/>
  <c r="D259" i="8"/>
  <c r="E64" i="17" s="1"/>
  <c r="B232" i="8"/>
  <c r="A10" i="26" s="1"/>
  <c r="B233" i="8"/>
  <c r="A11" i="26" s="1"/>
  <c r="B234" i="8"/>
  <c r="A12" i="26" s="1"/>
  <c r="B235" i="8"/>
  <c r="A13" i="26" s="1"/>
  <c r="B236" i="8"/>
  <c r="A14" i="26" s="1"/>
  <c r="B237" i="8"/>
  <c r="A15" i="26" s="1"/>
  <c r="B239" i="8"/>
  <c r="A17" i="26" s="1"/>
  <c r="B240" i="8"/>
  <c r="A18" i="26" s="1"/>
  <c r="B241" i="8"/>
  <c r="A19" i="26" s="1"/>
  <c r="B242" i="8"/>
  <c r="A20" i="26" s="1"/>
  <c r="B243" i="8"/>
  <c r="A21" i="26" s="1"/>
  <c r="B244" i="8"/>
  <c r="A22" i="26" s="1"/>
  <c r="B246" i="8"/>
  <c r="A24" i="26" s="1"/>
  <c r="B247" i="8"/>
  <c r="A25" i="26" s="1"/>
  <c r="B248" i="8"/>
  <c r="A26" i="26" s="1"/>
  <c r="B249" i="8"/>
  <c r="A27" i="26" s="1"/>
  <c r="B250" i="8"/>
  <c r="A28" i="26" s="1"/>
  <c r="B251" i="8"/>
  <c r="A29" i="26" s="1"/>
  <c r="B253" i="8"/>
  <c r="A31" i="26" s="1"/>
  <c r="B254" i="8"/>
  <c r="A32" i="26" s="1"/>
  <c r="B255" i="8"/>
  <c r="A33" i="26" s="1"/>
  <c r="B256" i="8"/>
  <c r="A34" i="26" s="1"/>
  <c r="B257" i="8"/>
  <c r="A35" i="26" s="1"/>
  <c r="B258" i="8"/>
  <c r="A36" i="26" s="1"/>
  <c r="B260" i="8"/>
  <c r="A38" i="26" s="1"/>
  <c r="B261" i="8"/>
  <c r="A39" i="26" s="1"/>
  <c r="B262" i="8"/>
  <c r="A40" i="26" s="1"/>
  <c r="B263" i="8"/>
  <c r="A41" i="26" s="1"/>
  <c r="B264" i="8"/>
  <c r="A42" i="26" s="1"/>
  <c r="B265" i="8"/>
  <c r="A43" i="26" s="1"/>
  <c r="B267" i="8"/>
  <c r="A45" i="26" s="1"/>
  <c r="B268" i="8"/>
  <c r="A46" i="26" s="1"/>
  <c r="B269" i="8"/>
  <c r="A47" i="26" s="1"/>
  <c r="B270" i="8"/>
  <c r="A48" i="26" s="1"/>
  <c r="B271" i="8"/>
  <c r="A49" i="26" s="1"/>
  <c r="B272" i="8"/>
  <c r="A50" i="26" s="1"/>
  <c r="B225" i="8"/>
  <c r="A3" i="26" s="1"/>
  <c r="B226" i="8"/>
  <c r="A4" i="26" s="1"/>
  <c r="B227" i="8"/>
  <c r="A5" i="26" s="1"/>
  <c r="B228" i="8"/>
  <c r="A6" i="26" s="1"/>
  <c r="B229" i="8"/>
  <c r="A7" i="26" s="1"/>
  <c r="B230" i="8"/>
  <c r="A8" i="26" s="1"/>
  <c r="A324" i="8"/>
  <c r="C324" i="8"/>
  <c r="C81" i="26" s="1"/>
  <c r="D324" i="8"/>
  <c r="E129" i="17" s="1"/>
  <c r="E324" i="8"/>
  <c r="F81" i="26" s="1"/>
  <c r="F324" i="8"/>
  <c r="G81" i="26" s="1"/>
  <c r="A325" i="8"/>
  <c r="C325" i="8"/>
  <c r="C82" i="26" s="1"/>
  <c r="D325" i="8"/>
  <c r="E130" i="17" s="1"/>
  <c r="E325" i="8"/>
  <c r="F82" i="26" s="1"/>
  <c r="F325" i="8"/>
  <c r="G82" i="26" s="1"/>
  <c r="A326" i="8"/>
  <c r="C326" i="8"/>
  <c r="C83" i="26" s="1"/>
  <c r="D326" i="8"/>
  <c r="E131" i="17" s="1"/>
  <c r="E326" i="8"/>
  <c r="F83" i="26" s="1"/>
  <c r="F326" i="8"/>
  <c r="G83" i="26" s="1"/>
  <c r="A327" i="8"/>
  <c r="C327" i="8"/>
  <c r="C84" i="26" s="1"/>
  <c r="D327" i="8"/>
  <c r="E132" i="17" s="1"/>
  <c r="E327" i="8"/>
  <c r="F84" i="26" s="1"/>
  <c r="F327" i="8"/>
  <c r="G84" i="26" s="1"/>
  <c r="A328" i="8"/>
  <c r="C328" i="8"/>
  <c r="C85" i="26" s="1"/>
  <c r="D328" i="8"/>
  <c r="E133" i="17" s="1"/>
  <c r="E328" i="8"/>
  <c r="F85" i="26" s="1"/>
  <c r="F328" i="8"/>
  <c r="G85" i="26" s="1"/>
  <c r="F323" i="8"/>
  <c r="G80" i="26" s="1"/>
  <c r="E323" i="8"/>
  <c r="F80" i="26" s="1"/>
  <c r="D323" i="8"/>
  <c r="E128" i="17" s="1"/>
  <c r="C323" i="8"/>
  <c r="C80" i="26" s="1"/>
  <c r="A323" i="8"/>
  <c r="A268" i="8"/>
  <c r="B39" i="26" s="1"/>
  <c r="D39" i="26" s="1"/>
  <c r="C268" i="8"/>
  <c r="C39" i="26" s="1"/>
  <c r="D268" i="8"/>
  <c r="E73" i="17" s="1"/>
  <c r="E268" i="8"/>
  <c r="F39" i="26" s="1"/>
  <c r="F268" i="8"/>
  <c r="G39" i="26" s="1"/>
  <c r="A269" i="8"/>
  <c r="B40" i="26" s="1"/>
  <c r="D40" i="26" s="1"/>
  <c r="C269" i="8"/>
  <c r="C40" i="26" s="1"/>
  <c r="D269" i="8"/>
  <c r="E269" i="8"/>
  <c r="F40" i="26" s="1"/>
  <c r="F269" i="8"/>
  <c r="G40" i="26" s="1"/>
  <c r="A270" i="8"/>
  <c r="B41" i="26" s="1"/>
  <c r="D41" i="26" s="1"/>
  <c r="C270" i="8"/>
  <c r="C41" i="26" s="1"/>
  <c r="D270" i="8"/>
  <c r="E75" i="17" s="1"/>
  <c r="E270" i="8"/>
  <c r="F41" i="26" s="1"/>
  <c r="F270" i="8"/>
  <c r="G41" i="26" s="1"/>
  <c r="A271" i="8"/>
  <c r="B42" i="26" s="1"/>
  <c r="D42" i="26" s="1"/>
  <c r="C271" i="8"/>
  <c r="C42" i="26" s="1"/>
  <c r="D271" i="8"/>
  <c r="E271" i="8"/>
  <c r="F42" i="26" s="1"/>
  <c r="F271" i="8"/>
  <c r="G42" i="26" s="1"/>
  <c r="A272" i="8"/>
  <c r="B43" i="26" s="1"/>
  <c r="D43" i="26" s="1"/>
  <c r="C272" i="8"/>
  <c r="C43" i="26" s="1"/>
  <c r="D272" i="8"/>
  <c r="E77" i="17" s="1"/>
  <c r="E272" i="8"/>
  <c r="F43" i="26" s="1"/>
  <c r="F272" i="8"/>
  <c r="G43" i="26" s="1"/>
  <c r="F267" i="8"/>
  <c r="G38" i="26" s="1"/>
  <c r="E267" i="8"/>
  <c r="F38" i="26" s="1"/>
  <c r="D267" i="8"/>
  <c r="E72" i="17" s="1"/>
  <c r="C267" i="8"/>
  <c r="C38" i="26" s="1"/>
  <c r="A267" i="8"/>
  <c r="B38" i="26" s="1"/>
  <c r="D38" i="26" s="1"/>
  <c r="A317" i="8"/>
  <c r="C317" i="8"/>
  <c r="C75" i="26" s="1"/>
  <c r="D317" i="8"/>
  <c r="E122" i="17" s="1"/>
  <c r="E317" i="8"/>
  <c r="F75" i="26" s="1"/>
  <c r="F317" i="8"/>
  <c r="G75" i="26" s="1"/>
  <c r="A318" i="8"/>
  <c r="C318" i="8"/>
  <c r="C76" i="26" s="1"/>
  <c r="D318" i="8"/>
  <c r="E123" i="17" s="1"/>
  <c r="E318" i="8"/>
  <c r="F76" i="26" s="1"/>
  <c r="F318" i="8"/>
  <c r="G76" i="26" s="1"/>
  <c r="A319" i="8"/>
  <c r="C319" i="8"/>
  <c r="C77" i="26" s="1"/>
  <c r="D319" i="8"/>
  <c r="E124" i="17" s="1"/>
  <c r="E319" i="8"/>
  <c r="F77" i="26" s="1"/>
  <c r="F319" i="8"/>
  <c r="G77" i="26" s="1"/>
  <c r="A320" i="8"/>
  <c r="C320" i="8"/>
  <c r="C78" i="26" s="1"/>
  <c r="D320" i="8"/>
  <c r="E125" i="17" s="1"/>
  <c r="E320" i="8"/>
  <c r="F78" i="26" s="1"/>
  <c r="F320" i="8"/>
  <c r="G78" i="26" s="1"/>
  <c r="A321" i="8"/>
  <c r="C321" i="8"/>
  <c r="C79" i="26" s="1"/>
  <c r="D321" i="8"/>
  <c r="E126" i="17" s="1"/>
  <c r="E321" i="8"/>
  <c r="F79" i="26" s="1"/>
  <c r="F321" i="8"/>
  <c r="G79" i="26" s="1"/>
  <c r="F316" i="8"/>
  <c r="G74" i="26" s="1"/>
  <c r="E316" i="8"/>
  <c r="F74" i="26" s="1"/>
  <c r="D316" i="8"/>
  <c r="E121" i="17" s="1"/>
  <c r="C316" i="8"/>
  <c r="C74" i="26" s="1"/>
  <c r="A316" i="8"/>
  <c r="A261" i="8"/>
  <c r="B33" i="26" s="1"/>
  <c r="D33" i="26" s="1"/>
  <c r="C261" i="8"/>
  <c r="C33" i="26" s="1"/>
  <c r="D261" i="8"/>
  <c r="E261" i="8"/>
  <c r="F33" i="26" s="1"/>
  <c r="F261" i="8"/>
  <c r="G33" i="26" s="1"/>
  <c r="A262" i="8"/>
  <c r="B34" i="26" s="1"/>
  <c r="D34" i="26" s="1"/>
  <c r="C262" i="8"/>
  <c r="C34" i="26" s="1"/>
  <c r="D262" i="8"/>
  <c r="E67" i="17" s="1"/>
  <c r="E262" i="8"/>
  <c r="F34" i="26" s="1"/>
  <c r="F262" i="8"/>
  <c r="G34" i="26" s="1"/>
  <c r="A263" i="8"/>
  <c r="B35" i="26" s="1"/>
  <c r="D35" i="26" s="1"/>
  <c r="C263" i="8"/>
  <c r="C35" i="26" s="1"/>
  <c r="D263" i="8"/>
  <c r="E68" i="17" s="1"/>
  <c r="E263" i="8"/>
  <c r="F35" i="26" s="1"/>
  <c r="F263" i="8"/>
  <c r="G35" i="26" s="1"/>
  <c r="A264" i="8"/>
  <c r="B36" i="26" s="1"/>
  <c r="D36" i="26" s="1"/>
  <c r="C264" i="8"/>
  <c r="C36" i="26" s="1"/>
  <c r="D264" i="8"/>
  <c r="E69" i="17" s="1"/>
  <c r="E264" i="8"/>
  <c r="F36" i="26" s="1"/>
  <c r="F264" i="8"/>
  <c r="G36" i="26" s="1"/>
  <c r="A265" i="8"/>
  <c r="B37" i="26" s="1"/>
  <c r="D37" i="26" s="1"/>
  <c r="C265" i="8"/>
  <c r="C37" i="26" s="1"/>
  <c r="D265" i="8"/>
  <c r="E70" i="17" s="1"/>
  <c r="E265" i="8"/>
  <c r="F37" i="26" s="1"/>
  <c r="F265" i="8"/>
  <c r="G37" i="26" s="1"/>
  <c r="F260" i="8"/>
  <c r="G32" i="26" s="1"/>
  <c r="E260" i="8"/>
  <c r="F32" i="26" s="1"/>
  <c r="D260" i="8"/>
  <c r="E65" i="17" s="1"/>
  <c r="C260" i="8"/>
  <c r="C32" i="26" s="1"/>
  <c r="A260" i="8"/>
  <c r="B32" i="26" s="1"/>
  <c r="D32" i="26" s="1"/>
  <c r="A310" i="8"/>
  <c r="C310" i="8"/>
  <c r="C69" i="26" s="1"/>
  <c r="D310" i="8"/>
  <c r="E115" i="17" s="1"/>
  <c r="E310" i="8"/>
  <c r="F69" i="26" s="1"/>
  <c r="F310" i="8"/>
  <c r="G69" i="26" s="1"/>
  <c r="A311" i="8"/>
  <c r="C311" i="8"/>
  <c r="C70" i="26" s="1"/>
  <c r="D311" i="8"/>
  <c r="E116" i="17" s="1"/>
  <c r="E311" i="8"/>
  <c r="F70" i="26" s="1"/>
  <c r="F311" i="8"/>
  <c r="G70" i="26" s="1"/>
  <c r="A312" i="8"/>
  <c r="C312" i="8"/>
  <c r="C71" i="26" s="1"/>
  <c r="D312" i="8"/>
  <c r="E117" i="17" s="1"/>
  <c r="E312" i="8"/>
  <c r="F71" i="26" s="1"/>
  <c r="F312" i="8"/>
  <c r="G71" i="26" s="1"/>
  <c r="A313" i="8"/>
  <c r="C313" i="8"/>
  <c r="C72" i="26" s="1"/>
  <c r="D313" i="8"/>
  <c r="E118" i="17" s="1"/>
  <c r="E313" i="8"/>
  <c r="F72" i="26" s="1"/>
  <c r="F313" i="8"/>
  <c r="G72" i="26" s="1"/>
  <c r="A314" i="8"/>
  <c r="C314" i="8"/>
  <c r="C73" i="26" s="1"/>
  <c r="D314" i="8"/>
  <c r="E119" i="17" s="1"/>
  <c r="E314" i="8"/>
  <c r="F73" i="26" s="1"/>
  <c r="F314" i="8"/>
  <c r="G73" i="26" s="1"/>
  <c r="F309" i="8"/>
  <c r="G68" i="26" s="1"/>
  <c r="E309" i="8"/>
  <c r="F68" i="26" s="1"/>
  <c r="D309" i="8"/>
  <c r="E114" i="17" s="1"/>
  <c r="C309" i="8"/>
  <c r="C68" i="26" s="1"/>
  <c r="A309" i="8"/>
  <c r="A254" i="8"/>
  <c r="B27" i="26" s="1"/>
  <c r="D27" i="26" s="1"/>
  <c r="C254" i="8"/>
  <c r="C27" i="26" s="1"/>
  <c r="D254" i="8"/>
  <c r="E59" i="17" s="1"/>
  <c r="E254" i="8"/>
  <c r="F27" i="26" s="1"/>
  <c r="F254" i="8"/>
  <c r="G27" i="26" s="1"/>
  <c r="A255" i="8"/>
  <c r="B28" i="26" s="1"/>
  <c r="D28" i="26" s="1"/>
  <c r="C255" i="8"/>
  <c r="C28" i="26" s="1"/>
  <c r="D255" i="8"/>
  <c r="E60" i="17" s="1"/>
  <c r="E255" i="8"/>
  <c r="F28" i="26" s="1"/>
  <c r="F255" i="8"/>
  <c r="G28" i="26" s="1"/>
  <c r="A256" i="8"/>
  <c r="B29" i="26" s="1"/>
  <c r="D29" i="26" s="1"/>
  <c r="C256" i="8"/>
  <c r="C29" i="26" s="1"/>
  <c r="D256" i="8"/>
  <c r="E61" i="17" s="1"/>
  <c r="E256" i="8"/>
  <c r="F29" i="26" s="1"/>
  <c r="F256" i="8"/>
  <c r="G29" i="26" s="1"/>
  <c r="A257" i="8"/>
  <c r="B30" i="26" s="1"/>
  <c r="D30" i="26" s="1"/>
  <c r="C257" i="8"/>
  <c r="C30" i="26" s="1"/>
  <c r="D257" i="8"/>
  <c r="E62" i="17" s="1"/>
  <c r="E257" i="8"/>
  <c r="F30" i="26" s="1"/>
  <c r="F257" i="8"/>
  <c r="G30" i="26" s="1"/>
  <c r="A258" i="8"/>
  <c r="B31" i="26" s="1"/>
  <c r="D31" i="26" s="1"/>
  <c r="C258" i="8"/>
  <c r="C31" i="26" s="1"/>
  <c r="D258" i="8"/>
  <c r="E258" i="8"/>
  <c r="F31" i="26" s="1"/>
  <c r="F258" i="8"/>
  <c r="G31" i="26" s="1"/>
  <c r="F253" i="8"/>
  <c r="G26" i="26" s="1"/>
  <c r="E253" i="8"/>
  <c r="F26" i="26" s="1"/>
  <c r="D253" i="8"/>
  <c r="E58" i="17" s="1"/>
  <c r="C253" i="8"/>
  <c r="C26" i="26" s="1"/>
  <c r="A253" i="8"/>
  <c r="B26" i="26" s="1"/>
  <c r="D26" i="26" s="1"/>
  <c r="A303" i="8"/>
  <c r="C303" i="8"/>
  <c r="C63" i="26" s="1"/>
  <c r="D303" i="8"/>
  <c r="E108" i="17" s="1"/>
  <c r="E303" i="8"/>
  <c r="F63" i="26" s="1"/>
  <c r="F303" i="8"/>
  <c r="G63" i="26" s="1"/>
  <c r="A304" i="8"/>
  <c r="C304" i="8"/>
  <c r="C64" i="26" s="1"/>
  <c r="D304" i="8"/>
  <c r="E109" i="17" s="1"/>
  <c r="E304" i="8"/>
  <c r="F64" i="26" s="1"/>
  <c r="F304" i="8"/>
  <c r="G64" i="26" s="1"/>
  <c r="A305" i="8"/>
  <c r="C305" i="8"/>
  <c r="C65" i="26" s="1"/>
  <c r="D305" i="8"/>
  <c r="E110" i="17" s="1"/>
  <c r="E305" i="8"/>
  <c r="F65" i="26" s="1"/>
  <c r="F305" i="8"/>
  <c r="G65" i="26" s="1"/>
  <c r="A306" i="8"/>
  <c r="C306" i="8"/>
  <c r="C66" i="26" s="1"/>
  <c r="D306" i="8"/>
  <c r="E111" i="17" s="1"/>
  <c r="E306" i="8"/>
  <c r="F66" i="26" s="1"/>
  <c r="F306" i="8"/>
  <c r="G66" i="26" s="1"/>
  <c r="A307" i="8"/>
  <c r="C307" i="8"/>
  <c r="C67" i="26" s="1"/>
  <c r="D307" i="8"/>
  <c r="E112" i="17" s="1"/>
  <c r="E307" i="8"/>
  <c r="F67" i="26" s="1"/>
  <c r="F307" i="8"/>
  <c r="G67" i="26" s="1"/>
  <c r="F302" i="8"/>
  <c r="G62" i="26" s="1"/>
  <c r="E302" i="8"/>
  <c r="F62" i="26" s="1"/>
  <c r="D302" i="8"/>
  <c r="E107" i="17" s="1"/>
  <c r="C302" i="8"/>
  <c r="C62" i="26" s="1"/>
  <c r="A302" i="8"/>
  <c r="A247" i="8"/>
  <c r="B21" i="26" s="1"/>
  <c r="D21" i="26" s="1"/>
  <c r="C247" i="8"/>
  <c r="C21" i="26" s="1"/>
  <c r="D247" i="8"/>
  <c r="E247" i="8"/>
  <c r="F21" i="26" s="1"/>
  <c r="F247" i="8"/>
  <c r="G21" i="26" s="1"/>
  <c r="A248" i="8"/>
  <c r="B22" i="26" s="1"/>
  <c r="D22" i="26" s="1"/>
  <c r="C248" i="8"/>
  <c r="C22" i="26" s="1"/>
  <c r="D248" i="8"/>
  <c r="E248" i="8"/>
  <c r="F22" i="26" s="1"/>
  <c r="F248" i="8"/>
  <c r="G22" i="26" s="1"/>
  <c r="A249" i="8"/>
  <c r="B23" i="26" s="1"/>
  <c r="D23" i="26" s="1"/>
  <c r="C249" i="8"/>
  <c r="C23" i="26" s="1"/>
  <c r="D249" i="8"/>
  <c r="E249" i="8"/>
  <c r="F23" i="26" s="1"/>
  <c r="F249" i="8"/>
  <c r="G23" i="26" s="1"/>
  <c r="A250" i="8"/>
  <c r="B24" i="26" s="1"/>
  <c r="D24" i="26" s="1"/>
  <c r="C250" i="8"/>
  <c r="C24" i="26" s="1"/>
  <c r="D250" i="8"/>
  <c r="E250" i="8"/>
  <c r="F24" i="26" s="1"/>
  <c r="F250" i="8"/>
  <c r="G24" i="26" s="1"/>
  <c r="A251" i="8"/>
  <c r="B25" i="26" s="1"/>
  <c r="D25" i="26" s="1"/>
  <c r="C251" i="8"/>
  <c r="C25" i="26" s="1"/>
  <c r="D251" i="8"/>
  <c r="E251" i="8"/>
  <c r="F25" i="26" s="1"/>
  <c r="F251" i="8"/>
  <c r="G25" i="26" s="1"/>
  <c r="F246" i="8"/>
  <c r="G20" i="26" s="1"/>
  <c r="E246" i="8"/>
  <c r="F20" i="26" s="1"/>
  <c r="D246" i="8"/>
  <c r="E51" i="17" s="1"/>
  <c r="C246" i="8"/>
  <c r="C20" i="26" s="1"/>
  <c r="A246" i="8"/>
  <c r="B20" i="26" s="1"/>
  <c r="D20" i="26" s="1"/>
  <c r="A296" i="8"/>
  <c r="C296" i="8"/>
  <c r="C57" i="26" s="1"/>
  <c r="D296" i="8"/>
  <c r="E101" i="17" s="1"/>
  <c r="E296" i="8"/>
  <c r="F57" i="26" s="1"/>
  <c r="F296" i="8"/>
  <c r="G57" i="26" s="1"/>
  <c r="A297" i="8"/>
  <c r="C297" i="8"/>
  <c r="C58" i="26" s="1"/>
  <c r="D297" i="8"/>
  <c r="E102" i="17" s="1"/>
  <c r="E297" i="8"/>
  <c r="F58" i="26" s="1"/>
  <c r="F297" i="8"/>
  <c r="G58" i="26" s="1"/>
  <c r="A298" i="8"/>
  <c r="C298" i="8"/>
  <c r="C59" i="26" s="1"/>
  <c r="D298" i="8"/>
  <c r="E103" i="17" s="1"/>
  <c r="E298" i="8"/>
  <c r="F59" i="26" s="1"/>
  <c r="F298" i="8"/>
  <c r="G59" i="26" s="1"/>
  <c r="A299" i="8"/>
  <c r="C299" i="8"/>
  <c r="C60" i="26" s="1"/>
  <c r="D299" i="8"/>
  <c r="E104" i="17" s="1"/>
  <c r="E299" i="8"/>
  <c r="F60" i="26" s="1"/>
  <c r="F299" i="8"/>
  <c r="G60" i="26" s="1"/>
  <c r="A300" i="8"/>
  <c r="C300" i="8"/>
  <c r="C61" i="26" s="1"/>
  <c r="D300" i="8"/>
  <c r="E105" i="17" s="1"/>
  <c r="E300" i="8"/>
  <c r="F61" i="26" s="1"/>
  <c r="F300" i="8"/>
  <c r="G61" i="26" s="1"/>
  <c r="F295" i="8"/>
  <c r="G100" i="17" s="1"/>
  <c r="E295" i="8"/>
  <c r="F100" i="17" s="1"/>
  <c r="D295" i="8"/>
  <c r="E100" i="17" s="1"/>
  <c r="C295" i="8"/>
  <c r="C56" i="26" s="1"/>
  <c r="A295" i="8"/>
  <c r="A240" i="8"/>
  <c r="B15" i="26" s="1"/>
  <c r="D15" i="26" s="1"/>
  <c r="C240" i="8"/>
  <c r="C15" i="26" s="1"/>
  <c r="D240" i="8"/>
  <c r="E240" i="8"/>
  <c r="F15" i="26" s="1"/>
  <c r="F240" i="8"/>
  <c r="G15" i="26" s="1"/>
  <c r="A241" i="8"/>
  <c r="B16" i="26" s="1"/>
  <c r="D16" i="26" s="1"/>
  <c r="C241" i="8"/>
  <c r="C16" i="26" s="1"/>
  <c r="D241" i="8"/>
  <c r="E241" i="8"/>
  <c r="F16" i="26" s="1"/>
  <c r="F241" i="8"/>
  <c r="G16" i="26" s="1"/>
  <c r="A242" i="8"/>
  <c r="B17" i="26" s="1"/>
  <c r="D17" i="26" s="1"/>
  <c r="C242" i="8"/>
  <c r="C17" i="26" s="1"/>
  <c r="D242" i="8"/>
  <c r="E242" i="8"/>
  <c r="F17" i="26" s="1"/>
  <c r="F242" i="8"/>
  <c r="G17" i="26" s="1"/>
  <c r="A243" i="8"/>
  <c r="B18" i="26" s="1"/>
  <c r="D18" i="26" s="1"/>
  <c r="C243" i="8"/>
  <c r="C18" i="26" s="1"/>
  <c r="D243" i="8"/>
  <c r="E243" i="8"/>
  <c r="F18" i="26" s="1"/>
  <c r="F243" i="8"/>
  <c r="G18" i="26" s="1"/>
  <c r="A244" i="8"/>
  <c r="B19" i="26" s="1"/>
  <c r="D19" i="26" s="1"/>
  <c r="C244" i="8"/>
  <c r="C19" i="26" s="1"/>
  <c r="D244" i="8"/>
  <c r="E244" i="8"/>
  <c r="F19" i="26" s="1"/>
  <c r="F244" i="8"/>
  <c r="G19" i="26" s="1"/>
  <c r="F239" i="8"/>
  <c r="G14" i="26" s="1"/>
  <c r="E239" i="8"/>
  <c r="F14" i="26" s="1"/>
  <c r="D239" i="8"/>
  <c r="C239" i="8"/>
  <c r="C14" i="26" s="1"/>
  <c r="A239" i="8"/>
  <c r="B14" i="26" s="1"/>
  <c r="D14" i="26" s="1"/>
  <c r="A289" i="8"/>
  <c r="C289" i="8"/>
  <c r="C51" i="26" s="1"/>
  <c r="D289" i="8"/>
  <c r="E94" i="17" s="1"/>
  <c r="E289" i="8"/>
  <c r="F51" i="26" s="1"/>
  <c r="F289" i="8"/>
  <c r="G51" i="26" s="1"/>
  <c r="A290" i="8"/>
  <c r="C290" i="8"/>
  <c r="C52" i="26" s="1"/>
  <c r="D290" i="8"/>
  <c r="E95" i="17" s="1"/>
  <c r="E290" i="8"/>
  <c r="F52" i="26" s="1"/>
  <c r="F290" i="8"/>
  <c r="G52" i="26" s="1"/>
  <c r="A291" i="8"/>
  <c r="C291" i="8"/>
  <c r="C53" i="26" s="1"/>
  <c r="D291" i="8"/>
  <c r="E96" i="17" s="1"/>
  <c r="E291" i="8"/>
  <c r="F53" i="26" s="1"/>
  <c r="F291" i="8"/>
  <c r="G53" i="26" s="1"/>
  <c r="A292" i="8"/>
  <c r="C292" i="8"/>
  <c r="C54" i="26" s="1"/>
  <c r="D292" i="8"/>
  <c r="E97" i="17" s="1"/>
  <c r="E292" i="8"/>
  <c r="F54" i="26" s="1"/>
  <c r="F292" i="8"/>
  <c r="G54" i="26" s="1"/>
  <c r="A293" i="8"/>
  <c r="C293" i="8"/>
  <c r="C55" i="26" s="1"/>
  <c r="D293" i="8"/>
  <c r="E98" i="17" s="1"/>
  <c r="E293" i="8"/>
  <c r="F55" i="26" s="1"/>
  <c r="F293" i="8"/>
  <c r="G55" i="26" s="1"/>
  <c r="F288" i="8"/>
  <c r="G50" i="26" s="1"/>
  <c r="E288" i="8"/>
  <c r="F50" i="26" s="1"/>
  <c r="D288" i="8"/>
  <c r="E93" i="17" s="1"/>
  <c r="C288" i="8"/>
  <c r="C50" i="26" s="1"/>
  <c r="A288" i="8"/>
  <c r="A233" i="8"/>
  <c r="B10" i="26" s="1"/>
  <c r="D10" i="26" s="1"/>
  <c r="C233" i="8"/>
  <c r="C9" i="26" s="1"/>
  <c r="D233" i="8"/>
  <c r="E38" i="17" s="1"/>
  <c r="E233" i="8"/>
  <c r="F9" i="26" s="1"/>
  <c r="F233" i="8"/>
  <c r="G9" i="26" s="1"/>
  <c r="A234" i="8"/>
  <c r="B11" i="26" s="1"/>
  <c r="D11" i="26" s="1"/>
  <c r="C234" i="8"/>
  <c r="C10" i="26" s="1"/>
  <c r="D234" i="8"/>
  <c r="E234" i="8"/>
  <c r="F10" i="26" s="1"/>
  <c r="F234" i="8"/>
  <c r="G10" i="26" s="1"/>
  <c r="A235" i="8"/>
  <c r="B12" i="26" s="1"/>
  <c r="D12" i="26" s="1"/>
  <c r="C235" i="8"/>
  <c r="C11" i="26" s="1"/>
  <c r="D235" i="8"/>
  <c r="E235" i="8"/>
  <c r="F11" i="26" s="1"/>
  <c r="F235" i="8"/>
  <c r="G11" i="26" s="1"/>
  <c r="A236" i="8"/>
  <c r="B13" i="26" s="1"/>
  <c r="D13" i="26" s="1"/>
  <c r="C236" i="8"/>
  <c r="C12" i="26" s="1"/>
  <c r="D236" i="8"/>
  <c r="E236" i="8"/>
  <c r="F12" i="26" s="1"/>
  <c r="F236" i="8"/>
  <c r="G12" i="26" s="1"/>
  <c r="A237" i="8"/>
  <c r="C237" i="8"/>
  <c r="C13" i="26" s="1"/>
  <c r="D237" i="8"/>
  <c r="E237" i="8"/>
  <c r="F13" i="26" s="1"/>
  <c r="F237" i="8"/>
  <c r="G13" i="26" s="1"/>
  <c r="F232" i="8"/>
  <c r="G8" i="26" s="1"/>
  <c r="E232" i="8"/>
  <c r="F8" i="26" s="1"/>
  <c r="D232" i="8"/>
  <c r="E37" i="17" s="1"/>
  <c r="C232" i="8"/>
  <c r="C8" i="26" s="1"/>
  <c r="A232" i="8"/>
  <c r="B9" i="26" s="1"/>
  <c r="D9" i="26" s="1"/>
  <c r="A282" i="8"/>
  <c r="C282" i="8"/>
  <c r="C45" i="26" s="1"/>
  <c r="D282" i="8"/>
  <c r="E87" i="17" s="1"/>
  <c r="E282" i="8"/>
  <c r="F45" i="26" s="1"/>
  <c r="F282" i="8"/>
  <c r="G45" i="26" s="1"/>
  <c r="A283" i="8"/>
  <c r="C283" i="8"/>
  <c r="C46" i="26" s="1"/>
  <c r="D283" i="8"/>
  <c r="E88" i="17" s="1"/>
  <c r="E283" i="8"/>
  <c r="F46" i="26" s="1"/>
  <c r="F283" i="8"/>
  <c r="G46" i="26" s="1"/>
  <c r="A284" i="8"/>
  <c r="C284" i="8"/>
  <c r="C47" i="26" s="1"/>
  <c r="D284" i="8"/>
  <c r="E89" i="17" s="1"/>
  <c r="E284" i="8"/>
  <c r="F47" i="26" s="1"/>
  <c r="F284" i="8"/>
  <c r="G47" i="26" s="1"/>
  <c r="A285" i="8"/>
  <c r="C285" i="8"/>
  <c r="C48" i="26" s="1"/>
  <c r="D285" i="8"/>
  <c r="E90" i="17" s="1"/>
  <c r="E285" i="8"/>
  <c r="F48" i="26" s="1"/>
  <c r="F285" i="8"/>
  <c r="G48" i="26" s="1"/>
  <c r="A286" i="8"/>
  <c r="C286" i="8"/>
  <c r="C49" i="26" s="1"/>
  <c r="D286" i="8"/>
  <c r="E91" i="17" s="1"/>
  <c r="E286" i="8"/>
  <c r="F49" i="26" s="1"/>
  <c r="F286" i="8"/>
  <c r="G49" i="26" s="1"/>
  <c r="A281" i="8"/>
  <c r="F281" i="8"/>
  <c r="G44" i="26" s="1"/>
  <c r="E281" i="8"/>
  <c r="F44" i="26" s="1"/>
  <c r="D281" i="8"/>
  <c r="E86" i="17" s="1"/>
  <c r="C281" i="8"/>
  <c r="C44" i="26" s="1"/>
  <c r="A226" i="8"/>
  <c r="B3" i="26" s="1"/>
  <c r="D3" i="26" s="1"/>
  <c r="A227" i="8"/>
  <c r="B4" i="26" s="1"/>
  <c r="D4" i="26" s="1"/>
  <c r="A228" i="8"/>
  <c r="B5" i="26" s="1"/>
  <c r="D5" i="26" s="1"/>
  <c r="A229" i="8"/>
  <c r="B6" i="26" s="1"/>
  <c r="D6" i="26" s="1"/>
  <c r="A230" i="8"/>
  <c r="B7" i="26" s="1"/>
  <c r="D7" i="26" s="1"/>
  <c r="A225" i="8"/>
  <c r="B2" i="26" s="1"/>
  <c r="D2" i="26" s="1"/>
  <c r="C226" i="8"/>
  <c r="C3" i="26" s="1"/>
  <c r="D226" i="8"/>
  <c r="E226" i="8"/>
  <c r="F3" i="26" s="1"/>
  <c r="F226" i="8"/>
  <c r="G3" i="26" s="1"/>
  <c r="C227" i="8"/>
  <c r="C4" i="26" s="1"/>
  <c r="D227" i="8"/>
  <c r="E227" i="8"/>
  <c r="F4" i="26" s="1"/>
  <c r="F227" i="8"/>
  <c r="G4" i="26" s="1"/>
  <c r="C228" i="8"/>
  <c r="C5" i="26" s="1"/>
  <c r="D228" i="8"/>
  <c r="E228" i="8"/>
  <c r="F5" i="26" s="1"/>
  <c r="F228" i="8"/>
  <c r="G5" i="26" s="1"/>
  <c r="C229" i="8"/>
  <c r="C6" i="26" s="1"/>
  <c r="D229" i="8"/>
  <c r="E34" i="17" s="1"/>
  <c r="E229" i="8"/>
  <c r="F6" i="26" s="1"/>
  <c r="F229" i="8"/>
  <c r="G6" i="26" s="1"/>
  <c r="C230" i="8"/>
  <c r="C7" i="26" s="1"/>
  <c r="D230" i="8"/>
  <c r="E230" i="8"/>
  <c r="F7" i="26" s="1"/>
  <c r="F230" i="8"/>
  <c r="G7" i="26" s="1"/>
  <c r="F225" i="8"/>
  <c r="G2" i="26" s="1"/>
  <c r="E225" i="8"/>
  <c r="F2" i="26" s="1"/>
  <c r="F223" i="8"/>
  <c r="G1" i="26" s="1"/>
  <c r="E223" i="8"/>
  <c r="F1" i="26" s="1"/>
  <c r="D225" i="8"/>
  <c r="E30" i="17" s="1"/>
  <c r="C225" i="8"/>
  <c r="C2" i="26" s="1"/>
  <c r="D384" i="17" l="1"/>
  <c r="C287" i="17"/>
  <c r="D390" i="17"/>
  <c r="C293" i="17"/>
  <c r="D396" i="17"/>
  <c r="C299" i="17"/>
  <c r="D402" i="17"/>
  <c r="C305" i="17"/>
  <c r="D408" i="17"/>
  <c r="C311" i="17"/>
  <c r="D414" i="17"/>
  <c r="C317" i="17"/>
  <c r="D420" i="17"/>
  <c r="C323" i="17"/>
  <c r="D380" i="17"/>
  <c r="C283" i="17"/>
  <c r="D383" i="17"/>
  <c r="C286" i="17"/>
  <c r="D389" i="17"/>
  <c r="C292" i="17"/>
  <c r="D395" i="17"/>
  <c r="C298" i="17"/>
  <c r="D401" i="17"/>
  <c r="C304" i="17"/>
  <c r="D407" i="17"/>
  <c r="C310" i="17"/>
  <c r="D413" i="17"/>
  <c r="C316" i="17"/>
  <c r="D419" i="17"/>
  <c r="C322" i="17"/>
  <c r="D382" i="17"/>
  <c r="C285" i="17"/>
  <c r="D386" i="17"/>
  <c r="C289" i="17"/>
  <c r="D388" i="17"/>
  <c r="C291" i="17"/>
  <c r="D392" i="17"/>
  <c r="C295" i="17"/>
  <c r="D394" i="17"/>
  <c r="C297" i="17"/>
  <c r="D398" i="17"/>
  <c r="C301" i="17"/>
  <c r="D400" i="17"/>
  <c r="C303" i="17"/>
  <c r="D404" i="17"/>
  <c r="C307" i="17"/>
  <c r="D406" i="17"/>
  <c r="C309" i="17"/>
  <c r="D410" i="17"/>
  <c r="C313" i="17"/>
  <c r="D412" i="17"/>
  <c r="C315" i="17"/>
  <c r="D416" i="17"/>
  <c r="C319" i="17"/>
  <c r="D418" i="17"/>
  <c r="C321" i="17"/>
  <c r="D385" i="17"/>
  <c r="C288" i="17"/>
  <c r="D381" i="17"/>
  <c r="C284" i="17"/>
  <c r="D391" i="17"/>
  <c r="C294" i="17"/>
  <c r="D387" i="17"/>
  <c r="C290" i="17"/>
  <c r="D397" i="17"/>
  <c r="C300" i="17"/>
  <c r="D393" i="17"/>
  <c r="C296" i="17"/>
  <c r="D403" i="17"/>
  <c r="C306" i="17"/>
  <c r="D399" i="17"/>
  <c r="C302" i="17"/>
  <c r="D409" i="17"/>
  <c r="C312" i="17"/>
  <c r="D405" i="17"/>
  <c r="C308" i="17"/>
  <c r="D415" i="17"/>
  <c r="C318" i="17"/>
  <c r="D411" i="17"/>
  <c r="C314" i="17"/>
  <c r="D421" i="17"/>
  <c r="C324" i="17"/>
  <c r="D417" i="17"/>
  <c r="C320" i="17"/>
  <c r="C279" i="17"/>
  <c r="C275" i="17"/>
  <c r="C277" i="17"/>
  <c r="C242" i="17"/>
  <c r="C274" i="17"/>
  <c r="D338" i="17"/>
  <c r="C238" i="17"/>
  <c r="D366" i="17"/>
  <c r="C266" i="17"/>
  <c r="D372" i="17"/>
  <c r="C272" i="17"/>
  <c r="D365" i="17"/>
  <c r="C265" i="17"/>
  <c r="D371" i="17"/>
  <c r="C271" i="17"/>
  <c r="D342" i="17"/>
  <c r="D344" i="17"/>
  <c r="C244" i="17"/>
  <c r="D356" i="17"/>
  <c r="C256" i="17"/>
  <c r="D362" i="17"/>
  <c r="C262" i="17"/>
  <c r="D364" i="17"/>
  <c r="C264" i="17"/>
  <c r="D368" i="17"/>
  <c r="C268" i="17"/>
  <c r="D370" i="17"/>
  <c r="C270" i="17"/>
  <c r="D345" i="17"/>
  <c r="C245" i="17"/>
  <c r="D363" i="17"/>
  <c r="C263" i="17"/>
  <c r="D373" i="17"/>
  <c r="C273" i="17"/>
  <c r="F35" i="17"/>
  <c r="F34" i="17"/>
  <c r="F33" i="17"/>
  <c r="F32" i="17"/>
  <c r="F31" i="17"/>
  <c r="G86" i="17"/>
  <c r="F90" i="17"/>
  <c r="G89" i="17"/>
  <c r="G42" i="17"/>
  <c r="F39" i="17"/>
  <c r="G38" i="17"/>
  <c r="F93" i="17"/>
  <c r="F97" i="17"/>
  <c r="G96" i="17"/>
  <c r="G49" i="17"/>
  <c r="F46" i="17"/>
  <c r="G45" i="17"/>
  <c r="F104" i="17"/>
  <c r="G103" i="17"/>
  <c r="G56" i="17"/>
  <c r="F53" i="17"/>
  <c r="G52" i="17"/>
  <c r="F107" i="17"/>
  <c r="F111" i="17"/>
  <c r="G110" i="17"/>
  <c r="G63" i="17"/>
  <c r="F60" i="17"/>
  <c r="G59" i="17"/>
  <c r="F114" i="17"/>
  <c r="F118" i="17"/>
  <c r="G117" i="17"/>
  <c r="G70" i="17"/>
  <c r="F67" i="17"/>
  <c r="G66" i="17"/>
  <c r="F121" i="17"/>
  <c r="F125" i="17"/>
  <c r="G124" i="17"/>
  <c r="G77" i="17"/>
  <c r="F74" i="17"/>
  <c r="G73" i="17"/>
  <c r="F128" i="17"/>
  <c r="F132" i="17"/>
  <c r="G131" i="17"/>
  <c r="F30" i="17"/>
  <c r="F89" i="17"/>
  <c r="G88" i="17"/>
  <c r="F42" i="17"/>
  <c r="G41" i="17"/>
  <c r="F38" i="17"/>
  <c r="G93" i="17"/>
  <c r="F96" i="17"/>
  <c r="G95" i="17"/>
  <c r="F49" i="17"/>
  <c r="G48" i="17"/>
  <c r="F45" i="17"/>
  <c r="F103" i="17"/>
  <c r="G102" i="17"/>
  <c r="F56" i="17"/>
  <c r="G55" i="17"/>
  <c r="F52" i="17"/>
  <c r="G107" i="17"/>
  <c r="F110" i="17"/>
  <c r="G109" i="17"/>
  <c r="F63" i="17"/>
  <c r="G62" i="17"/>
  <c r="F59" i="17"/>
  <c r="G114" i="17"/>
  <c r="F117" i="17"/>
  <c r="G116" i="17"/>
  <c r="F70" i="17"/>
  <c r="G69" i="17"/>
  <c r="F66" i="17"/>
  <c r="G121" i="17"/>
  <c r="F124" i="17"/>
  <c r="G123" i="17"/>
  <c r="F77" i="17"/>
  <c r="G76" i="17"/>
  <c r="F73" i="17"/>
  <c r="G128" i="17"/>
  <c r="F131" i="17"/>
  <c r="G130" i="17"/>
  <c r="G30" i="17"/>
  <c r="G91" i="17"/>
  <c r="F88" i="17"/>
  <c r="G87" i="17"/>
  <c r="F37" i="17"/>
  <c r="F41" i="17"/>
  <c r="G40" i="17"/>
  <c r="G98" i="17"/>
  <c r="F95" i="17"/>
  <c r="G94" i="17"/>
  <c r="F44" i="17"/>
  <c r="F48" i="17"/>
  <c r="G47" i="17"/>
  <c r="G105" i="17"/>
  <c r="F102" i="17"/>
  <c r="G101" i="17"/>
  <c r="F51" i="17"/>
  <c r="F55" i="17"/>
  <c r="H55" i="17" s="1"/>
  <c r="J360" i="17" s="1"/>
  <c r="G54" i="17"/>
  <c r="G112" i="17"/>
  <c r="F109" i="17"/>
  <c r="G108" i="17"/>
  <c r="F58" i="17"/>
  <c r="F62" i="17"/>
  <c r="H62" i="17" s="1"/>
  <c r="J366" i="17" s="1"/>
  <c r="G61" i="17"/>
  <c r="G119" i="17"/>
  <c r="F116" i="17"/>
  <c r="G115" i="17"/>
  <c r="F65" i="17"/>
  <c r="F69" i="17"/>
  <c r="H69" i="17" s="1"/>
  <c r="G68" i="17"/>
  <c r="G126" i="17"/>
  <c r="F123" i="17"/>
  <c r="G122" i="17"/>
  <c r="F72" i="17"/>
  <c r="F76" i="17"/>
  <c r="H76" i="17" s="1"/>
  <c r="J378" i="17" s="1"/>
  <c r="G75" i="17"/>
  <c r="G133" i="17"/>
  <c r="F130" i="17"/>
  <c r="G129" i="17"/>
  <c r="G35" i="17"/>
  <c r="G34" i="17"/>
  <c r="G33" i="17"/>
  <c r="G32" i="17"/>
  <c r="G31" i="17"/>
  <c r="F86" i="17"/>
  <c r="F91" i="17"/>
  <c r="G90" i="17"/>
  <c r="F87" i="17"/>
  <c r="G37" i="17"/>
  <c r="F40" i="17"/>
  <c r="H40" i="17" s="1"/>
  <c r="J347" i="17" s="1"/>
  <c r="G39" i="17"/>
  <c r="F98" i="17"/>
  <c r="G97" i="17"/>
  <c r="F94" i="17"/>
  <c r="O225" i="8"/>
  <c r="G44" i="17"/>
  <c r="F47" i="17"/>
  <c r="G46" i="17"/>
  <c r="F105" i="17"/>
  <c r="G104" i="17"/>
  <c r="F101" i="17"/>
  <c r="G51" i="17"/>
  <c r="F54" i="17"/>
  <c r="G53" i="17"/>
  <c r="F112" i="17"/>
  <c r="G111" i="17"/>
  <c r="F108" i="17"/>
  <c r="O227" i="8"/>
  <c r="G58" i="17"/>
  <c r="F61" i="17"/>
  <c r="G60" i="17"/>
  <c r="F119" i="17"/>
  <c r="G118" i="17"/>
  <c r="F115" i="17"/>
  <c r="G65" i="17"/>
  <c r="F68" i="17"/>
  <c r="G67" i="17"/>
  <c r="F126" i="17"/>
  <c r="G125" i="17"/>
  <c r="F122" i="17"/>
  <c r="O229" i="8"/>
  <c r="G72" i="17"/>
  <c r="F75" i="17"/>
  <c r="G74" i="17"/>
  <c r="F133" i="17"/>
  <c r="H133" i="17" s="1"/>
  <c r="J421" i="17" s="1"/>
  <c r="G132" i="17"/>
  <c r="F129" i="17"/>
  <c r="H129" i="17" s="1"/>
  <c r="J417" i="17" s="1"/>
  <c r="D34" i="17"/>
  <c r="C33" i="17"/>
  <c r="B341" i="17" s="1"/>
  <c r="C91" i="17"/>
  <c r="B391" i="17" s="1"/>
  <c r="D90" i="17"/>
  <c r="C87" i="17"/>
  <c r="B387" i="17" s="1"/>
  <c r="C40" i="17"/>
  <c r="B347" i="17" s="1"/>
  <c r="D93" i="17"/>
  <c r="C98" i="17"/>
  <c r="B397" i="17" s="1"/>
  <c r="D97" i="17"/>
  <c r="C94" i="17"/>
  <c r="B393" i="17" s="1"/>
  <c r="C47" i="17"/>
  <c r="B353" i="17" s="1"/>
  <c r="D100" i="17"/>
  <c r="C105" i="17"/>
  <c r="B403" i="17" s="1"/>
  <c r="D104" i="17"/>
  <c r="C101" i="17"/>
  <c r="B399" i="17" s="1"/>
  <c r="C54" i="17"/>
  <c r="B359" i="17" s="1"/>
  <c r="D107" i="17"/>
  <c r="C112" i="17"/>
  <c r="B409" i="17" s="1"/>
  <c r="D111" i="17"/>
  <c r="C108" i="17"/>
  <c r="B405" i="17" s="1"/>
  <c r="C61" i="17"/>
  <c r="B365" i="17" s="1"/>
  <c r="D60" i="17"/>
  <c r="D114" i="17"/>
  <c r="C119" i="17"/>
  <c r="B415" i="17" s="1"/>
  <c r="D118" i="17"/>
  <c r="C115" i="17"/>
  <c r="B411" i="17" s="1"/>
  <c r="C68" i="17"/>
  <c r="B371" i="17" s="1"/>
  <c r="D67" i="17"/>
  <c r="D121" i="17"/>
  <c r="C126" i="17"/>
  <c r="B421" i="17" s="1"/>
  <c r="D125" i="17"/>
  <c r="C122" i="17"/>
  <c r="B417" i="17" s="1"/>
  <c r="C75" i="17"/>
  <c r="B383" i="17" s="1"/>
  <c r="D128" i="17"/>
  <c r="F319" i="17" s="1"/>
  <c r="E319" i="17" s="1"/>
  <c r="H319" i="17" s="1"/>
  <c r="C133" i="17"/>
  <c r="D132" i="17"/>
  <c r="F323" i="17" s="1"/>
  <c r="C129" i="17"/>
  <c r="B266" i="8"/>
  <c r="A44" i="26" s="1"/>
  <c r="B252" i="8"/>
  <c r="A30" i="26" s="1"/>
  <c r="B238" i="8"/>
  <c r="A16" i="26" s="1"/>
  <c r="C30" i="17"/>
  <c r="B338" i="17" s="1"/>
  <c r="C32" i="17"/>
  <c r="B340" i="17" s="1"/>
  <c r="C90" i="17"/>
  <c r="B390" i="17" s="1"/>
  <c r="D89" i="17"/>
  <c r="C37" i="17"/>
  <c r="B344" i="17" s="1"/>
  <c r="C39" i="17"/>
  <c r="B346" i="17" s="1"/>
  <c r="D38" i="17"/>
  <c r="C97" i="17"/>
  <c r="B396" i="17" s="1"/>
  <c r="D96" i="17"/>
  <c r="C44" i="17"/>
  <c r="B350" i="17" s="1"/>
  <c r="C46" i="17"/>
  <c r="B352" i="17" s="1"/>
  <c r="C104" i="17"/>
  <c r="B402" i="17" s="1"/>
  <c r="D103" i="17"/>
  <c r="C51" i="17"/>
  <c r="B356" i="17" s="1"/>
  <c r="C53" i="17"/>
  <c r="B358" i="17" s="1"/>
  <c r="C111" i="17"/>
  <c r="B408" i="17" s="1"/>
  <c r="D110" i="17"/>
  <c r="C58" i="17"/>
  <c r="B362" i="17" s="1"/>
  <c r="D63" i="17"/>
  <c r="C60" i="17"/>
  <c r="B364" i="17" s="1"/>
  <c r="D59" i="17"/>
  <c r="C118" i="17"/>
  <c r="B414" i="17" s="1"/>
  <c r="D117" i="17"/>
  <c r="C65" i="17"/>
  <c r="B368" i="17" s="1"/>
  <c r="D70" i="17"/>
  <c r="C67" i="17"/>
  <c r="B370" i="17" s="1"/>
  <c r="C125" i="17"/>
  <c r="B420" i="17" s="1"/>
  <c r="D124" i="17"/>
  <c r="C72" i="17"/>
  <c r="B374" i="17" s="1"/>
  <c r="D77" i="17"/>
  <c r="C74" i="17"/>
  <c r="B376" i="17" s="1"/>
  <c r="C132" i="17"/>
  <c r="B132" i="17" s="1"/>
  <c r="D131" i="17"/>
  <c r="F322" i="17" s="1"/>
  <c r="C35" i="17"/>
  <c r="B343" i="17" s="1"/>
  <c r="C31" i="17"/>
  <c r="B339" i="17" s="1"/>
  <c r="C89" i="17"/>
  <c r="B389" i="17" s="1"/>
  <c r="D88" i="17"/>
  <c r="D37" i="17"/>
  <c r="C42" i="17"/>
  <c r="B349" i="17" s="1"/>
  <c r="C38" i="17"/>
  <c r="B345" i="17" s="1"/>
  <c r="C96" i="17"/>
  <c r="B395" i="17" s="1"/>
  <c r="D95" i="17"/>
  <c r="C49" i="17"/>
  <c r="B355" i="17" s="1"/>
  <c r="C45" i="17"/>
  <c r="B351" i="17" s="1"/>
  <c r="C103" i="17"/>
  <c r="B401" i="17" s="1"/>
  <c r="D102" i="17"/>
  <c r="D51" i="17"/>
  <c r="C56" i="17"/>
  <c r="B361" i="17" s="1"/>
  <c r="C52" i="17"/>
  <c r="B357" i="17" s="1"/>
  <c r="C110" i="17"/>
  <c r="B407" i="17" s="1"/>
  <c r="D109" i="17"/>
  <c r="D58" i="17"/>
  <c r="C63" i="17"/>
  <c r="B367" i="17" s="1"/>
  <c r="D62" i="17"/>
  <c r="C59" i="17"/>
  <c r="B363" i="17" s="1"/>
  <c r="C117" i="17"/>
  <c r="B413" i="17" s="1"/>
  <c r="D116" i="17"/>
  <c r="D65" i="17"/>
  <c r="C70" i="17"/>
  <c r="B373" i="17" s="1"/>
  <c r="D69" i="17"/>
  <c r="C66" i="17"/>
  <c r="B369" i="17" s="1"/>
  <c r="C124" i="17"/>
  <c r="B419" i="17" s="1"/>
  <c r="D123" i="17"/>
  <c r="D72" i="17"/>
  <c r="C77" i="17"/>
  <c r="B379" i="17" s="1"/>
  <c r="C73" i="17"/>
  <c r="B381" i="17" s="1"/>
  <c r="C131" i="17"/>
  <c r="D130" i="17"/>
  <c r="F321" i="17" s="1"/>
  <c r="E321" i="17" s="1"/>
  <c r="H321" i="17" s="1"/>
  <c r="B224" i="8"/>
  <c r="A2" i="26" s="1"/>
  <c r="B259" i="8"/>
  <c r="A37" i="26" s="1"/>
  <c r="B245" i="8"/>
  <c r="A23" i="26" s="1"/>
  <c r="B231" i="8"/>
  <c r="A9" i="26" s="1"/>
  <c r="D30" i="17"/>
  <c r="C34" i="17"/>
  <c r="B342" i="17" s="1"/>
  <c r="D86" i="17"/>
  <c r="D91" i="17"/>
  <c r="C88" i="17"/>
  <c r="B388" i="17" s="1"/>
  <c r="D87" i="17"/>
  <c r="C41" i="17"/>
  <c r="B348" i="17" s="1"/>
  <c r="C93" i="17"/>
  <c r="B392" i="17" s="1"/>
  <c r="D98" i="17"/>
  <c r="C95" i="17"/>
  <c r="B394" i="17" s="1"/>
  <c r="D94" i="17"/>
  <c r="C48" i="17"/>
  <c r="B354" i="17" s="1"/>
  <c r="C100" i="17"/>
  <c r="B398" i="17" s="1"/>
  <c r="D105" i="17"/>
  <c r="C102" i="17"/>
  <c r="B400" i="17" s="1"/>
  <c r="D101" i="17"/>
  <c r="C55" i="17"/>
  <c r="B360" i="17" s="1"/>
  <c r="C107" i="17"/>
  <c r="B404" i="17" s="1"/>
  <c r="D112" i="17"/>
  <c r="C109" i="17"/>
  <c r="B406" i="17" s="1"/>
  <c r="D108" i="17"/>
  <c r="C62" i="17"/>
  <c r="B366" i="17" s="1"/>
  <c r="D61" i="17"/>
  <c r="C114" i="17"/>
  <c r="B410" i="17" s="1"/>
  <c r="D119" i="17"/>
  <c r="C116" i="17"/>
  <c r="B412" i="17" s="1"/>
  <c r="D115" i="17"/>
  <c r="C69" i="17"/>
  <c r="B372" i="17" s="1"/>
  <c r="D68" i="17"/>
  <c r="C121" i="17"/>
  <c r="B416" i="17" s="1"/>
  <c r="D126" i="17"/>
  <c r="C123" i="17"/>
  <c r="B418" i="17" s="1"/>
  <c r="D122" i="17"/>
  <c r="C76" i="17"/>
  <c r="B378" i="17" s="1"/>
  <c r="D75" i="17"/>
  <c r="C128" i="17"/>
  <c r="D133" i="17"/>
  <c r="F324" i="17" s="1"/>
  <c r="C130" i="17"/>
  <c r="D129" i="17"/>
  <c r="F320" i="17" s="1"/>
  <c r="D377" i="17"/>
  <c r="D374" i="17"/>
  <c r="D379" i="17"/>
  <c r="D375" i="17"/>
  <c r="A280" i="8"/>
  <c r="C86" i="17"/>
  <c r="H100" i="17"/>
  <c r="D301" i="8"/>
  <c r="E99" i="17"/>
  <c r="E63" i="17"/>
  <c r="E66" i="17"/>
  <c r="D74" i="17"/>
  <c r="F276" i="17" s="1"/>
  <c r="D66" i="17"/>
  <c r="E76" i="17"/>
  <c r="D73" i="17"/>
  <c r="F275" i="17" s="1"/>
  <c r="D76" i="17"/>
  <c r="F278" i="17" s="1"/>
  <c r="E74" i="17"/>
  <c r="E44" i="17"/>
  <c r="D47" i="17"/>
  <c r="D42" i="17"/>
  <c r="D49" i="17"/>
  <c r="E48" i="17"/>
  <c r="D41" i="17"/>
  <c r="E40" i="17"/>
  <c r="D44" i="17"/>
  <c r="D48" i="17"/>
  <c r="E47" i="17"/>
  <c r="D55" i="17"/>
  <c r="E54" i="17"/>
  <c r="D40" i="17"/>
  <c r="D54" i="17"/>
  <c r="E53" i="17"/>
  <c r="E42" i="17"/>
  <c r="D39" i="17"/>
  <c r="E49" i="17"/>
  <c r="D46" i="17"/>
  <c r="E45" i="17"/>
  <c r="E56" i="17"/>
  <c r="D53" i="17"/>
  <c r="E52" i="17"/>
  <c r="E39" i="17"/>
  <c r="E46" i="17"/>
  <c r="E41" i="17"/>
  <c r="D45" i="17"/>
  <c r="D56" i="17"/>
  <c r="E55" i="17"/>
  <c r="D52" i="17"/>
  <c r="D57" i="17"/>
  <c r="C259" i="8"/>
  <c r="D35" i="17"/>
  <c r="F243" i="17" s="1"/>
  <c r="D33" i="17"/>
  <c r="F241" i="17" s="1"/>
  <c r="D32" i="17"/>
  <c r="F240" i="17" s="1"/>
  <c r="D31" i="17"/>
  <c r="F239" i="17" s="1"/>
  <c r="E35" i="17"/>
  <c r="E33" i="17"/>
  <c r="E32" i="17"/>
  <c r="E31" i="17"/>
  <c r="A224" i="8"/>
  <c r="C29" i="17" s="1"/>
  <c r="B29" i="17" s="1"/>
  <c r="A231" i="8"/>
  <c r="B8" i="26" s="1"/>
  <c r="D8" i="26" s="1"/>
  <c r="A238" i="8"/>
  <c r="A245" i="8"/>
  <c r="A252" i="8"/>
  <c r="A259" i="8"/>
  <c r="A266" i="8"/>
  <c r="D266" i="8"/>
  <c r="E71" i="17" s="1"/>
  <c r="C336" i="17"/>
  <c r="E324" i="17" l="1"/>
  <c r="H324" i="17" s="1"/>
  <c r="C403" i="17"/>
  <c r="F403" i="17" s="1"/>
  <c r="F300" i="17"/>
  <c r="E300" i="17" s="1"/>
  <c r="H300" i="17" s="1"/>
  <c r="C387" i="17"/>
  <c r="F387" i="17" s="1"/>
  <c r="F284" i="17"/>
  <c r="E284" i="17" s="1"/>
  <c r="H284" i="17" s="1"/>
  <c r="C400" i="17"/>
  <c r="G400" i="17" s="1"/>
  <c r="F297" i="17"/>
  <c r="E297" i="17" s="1"/>
  <c r="H297" i="17" s="1"/>
  <c r="C394" i="17"/>
  <c r="F394" i="17" s="1"/>
  <c r="F291" i="17"/>
  <c r="E291" i="17" s="1"/>
  <c r="H291" i="17" s="1"/>
  <c r="C402" i="17"/>
  <c r="G402" i="17" s="1"/>
  <c r="F299" i="17"/>
  <c r="E299" i="17" s="1"/>
  <c r="H299" i="17" s="1"/>
  <c r="C417" i="17"/>
  <c r="F417" i="17" s="1"/>
  <c r="F314" i="17"/>
  <c r="E314" i="17" s="1"/>
  <c r="H314" i="17" s="1"/>
  <c r="C415" i="17"/>
  <c r="F415" i="17" s="1"/>
  <c r="F312" i="17"/>
  <c r="E312" i="17" s="1"/>
  <c r="H312" i="17" s="1"/>
  <c r="C405" i="17"/>
  <c r="F405" i="17" s="1"/>
  <c r="F302" i="17"/>
  <c r="E302" i="17" s="1"/>
  <c r="H302" i="17" s="1"/>
  <c r="C397" i="17"/>
  <c r="F397" i="17" s="1"/>
  <c r="F294" i="17"/>
  <c r="E294" i="17" s="1"/>
  <c r="H294" i="17" s="1"/>
  <c r="F238" i="17"/>
  <c r="E238" i="17" s="1"/>
  <c r="H238" i="17" s="1"/>
  <c r="C412" i="17"/>
  <c r="G412" i="17" s="1"/>
  <c r="F309" i="17"/>
  <c r="E309" i="17" s="1"/>
  <c r="H309" i="17" s="1"/>
  <c r="C388" i="17"/>
  <c r="F388" i="17" s="1"/>
  <c r="F285" i="17"/>
  <c r="E285" i="17" s="1"/>
  <c r="H285" i="17" s="1"/>
  <c r="E322" i="17"/>
  <c r="H322" i="17" s="1"/>
  <c r="C407" i="17"/>
  <c r="G407" i="17" s="1"/>
  <c r="F304" i="17"/>
  <c r="E304" i="17" s="1"/>
  <c r="H304" i="17" s="1"/>
  <c r="C401" i="17"/>
  <c r="G401" i="17" s="1"/>
  <c r="F298" i="17"/>
  <c r="E298" i="17" s="1"/>
  <c r="H298" i="17" s="1"/>
  <c r="C395" i="17"/>
  <c r="G395" i="17" s="1"/>
  <c r="F292" i="17"/>
  <c r="E292" i="17" s="1"/>
  <c r="H292" i="17" s="1"/>
  <c r="C416" i="17"/>
  <c r="F416" i="17" s="1"/>
  <c r="F313" i="17"/>
  <c r="E313" i="17" s="1"/>
  <c r="H313" i="17" s="1"/>
  <c r="C414" i="17"/>
  <c r="G414" i="17" s="1"/>
  <c r="F311" i="17"/>
  <c r="E311" i="17" s="1"/>
  <c r="H311" i="17" s="1"/>
  <c r="C404" i="17"/>
  <c r="F404" i="17" s="1"/>
  <c r="F301" i="17"/>
  <c r="E301" i="17" s="1"/>
  <c r="H301" i="17" s="1"/>
  <c r="C396" i="17"/>
  <c r="G396" i="17" s="1"/>
  <c r="F293" i="17"/>
  <c r="E293" i="17" s="1"/>
  <c r="H293" i="17" s="1"/>
  <c r="G281" i="17"/>
  <c r="C399" i="17"/>
  <c r="F399" i="17" s="1"/>
  <c r="F296" i="17"/>
  <c r="E296" i="17" s="1"/>
  <c r="H296" i="17" s="1"/>
  <c r="C391" i="17"/>
  <c r="F391" i="17" s="1"/>
  <c r="F288" i="17"/>
  <c r="E288" i="17" s="1"/>
  <c r="H288" i="17" s="1"/>
  <c r="C419" i="17"/>
  <c r="F419" i="17" s="1"/>
  <c r="F316" i="17"/>
  <c r="E316" i="17" s="1"/>
  <c r="H316" i="17" s="1"/>
  <c r="C389" i="17"/>
  <c r="F389" i="17" s="1"/>
  <c r="F286" i="17"/>
  <c r="E286" i="17" s="1"/>
  <c r="H286" i="17" s="1"/>
  <c r="E323" i="17"/>
  <c r="H323" i="17" s="1"/>
  <c r="C398" i="17"/>
  <c r="F398" i="17" s="1"/>
  <c r="F295" i="17"/>
  <c r="E295" i="17" s="1"/>
  <c r="H295" i="17" s="1"/>
  <c r="C390" i="17"/>
  <c r="F390" i="17" s="1"/>
  <c r="F287" i="17"/>
  <c r="E287" i="17" s="1"/>
  <c r="H287" i="17" s="1"/>
  <c r="E320" i="17"/>
  <c r="H320" i="17" s="1"/>
  <c r="C421" i="17"/>
  <c r="G421" i="17" s="1"/>
  <c r="F318" i="17"/>
  <c r="E318" i="17" s="1"/>
  <c r="H318" i="17" s="1"/>
  <c r="C411" i="17"/>
  <c r="G411" i="17" s="1"/>
  <c r="F308" i="17"/>
  <c r="E308" i="17" s="1"/>
  <c r="H308" i="17" s="1"/>
  <c r="C409" i="17"/>
  <c r="F409" i="17" s="1"/>
  <c r="F306" i="17"/>
  <c r="E306" i="17" s="1"/>
  <c r="H306" i="17" s="1"/>
  <c r="C393" i="17"/>
  <c r="G393" i="17" s="1"/>
  <c r="F290" i="17"/>
  <c r="E290" i="17" s="1"/>
  <c r="H290" i="17" s="1"/>
  <c r="C386" i="17"/>
  <c r="F386" i="17" s="1"/>
  <c r="F283" i="17"/>
  <c r="C418" i="17"/>
  <c r="G418" i="17" s="1"/>
  <c r="F315" i="17"/>
  <c r="E315" i="17" s="1"/>
  <c r="H315" i="17" s="1"/>
  <c r="C406" i="17"/>
  <c r="F406" i="17" s="1"/>
  <c r="F303" i="17"/>
  <c r="E303" i="17" s="1"/>
  <c r="H303" i="17" s="1"/>
  <c r="C413" i="17"/>
  <c r="G413" i="17" s="1"/>
  <c r="F310" i="17"/>
  <c r="E310" i="17" s="1"/>
  <c r="H310" i="17" s="1"/>
  <c r="C420" i="17"/>
  <c r="G420" i="17" s="1"/>
  <c r="F317" i="17"/>
  <c r="E317" i="17" s="1"/>
  <c r="H317" i="17" s="1"/>
  <c r="C410" i="17"/>
  <c r="F410" i="17" s="1"/>
  <c r="F307" i="17"/>
  <c r="E307" i="17" s="1"/>
  <c r="H307" i="17" s="1"/>
  <c r="C408" i="17"/>
  <c r="G408" i="17" s="1"/>
  <c r="F305" i="17"/>
  <c r="E305" i="17" s="1"/>
  <c r="H305" i="17" s="1"/>
  <c r="C392" i="17"/>
  <c r="G392" i="17" s="1"/>
  <c r="F289" i="17"/>
  <c r="E289" i="17" s="1"/>
  <c r="H289" i="17" s="1"/>
  <c r="C239" i="17"/>
  <c r="E239" i="17"/>
  <c r="H239" i="17" s="1"/>
  <c r="C361" i="17"/>
  <c r="F361" i="17" s="1"/>
  <c r="F261" i="17"/>
  <c r="E261" i="17" s="1"/>
  <c r="H261" i="17" s="1"/>
  <c r="C350" i="17"/>
  <c r="F350" i="17" s="1"/>
  <c r="F250" i="17"/>
  <c r="E250" i="17" s="1"/>
  <c r="H250" i="17" s="1"/>
  <c r="C355" i="17"/>
  <c r="K355" i="17" s="1"/>
  <c r="F255" i="17"/>
  <c r="E255" i="17" s="1"/>
  <c r="H255" i="17" s="1"/>
  <c r="C276" i="17"/>
  <c r="E276" i="17"/>
  <c r="H276" i="17" s="1"/>
  <c r="C369" i="17"/>
  <c r="F369" i="17" s="1"/>
  <c r="F269" i="17"/>
  <c r="E269" i="17" s="1"/>
  <c r="H269" i="17" s="1"/>
  <c r="C374" i="17"/>
  <c r="G374" i="17" s="1"/>
  <c r="F274" i="17"/>
  <c r="E274" i="17" s="1"/>
  <c r="H274" i="17" s="1"/>
  <c r="C372" i="17"/>
  <c r="K372" i="17" s="1"/>
  <c r="F272" i="17"/>
  <c r="E272" i="17" s="1"/>
  <c r="H272" i="17" s="1"/>
  <c r="C362" i="17"/>
  <c r="G362" i="17" s="1"/>
  <c r="F262" i="17"/>
  <c r="E262" i="17" s="1"/>
  <c r="H262" i="17" s="1"/>
  <c r="C370" i="17"/>
  <c r="F370" i="17" s="1"/>
  <c r="F270" i="17"/>
  <c r="E270" i="17" s="1"/>
  <c r="H270" i="17" s="1"/>
  <c r="C240" i="17"/>
  <c r="E240" i="17"/>
  <c r="H240" i="17" s="1"/>
  <c r="C351" i="17"/>
  <c r="F351" i="17" s="1"/>
  <c r="F251" i="17"/>
  <c r="E251" i="17" s="1"/>
  <c r="H251" i="17" s="1"/>
  <c r="C352" i="17"/>
  <c r="F352" i="17" s="1"/>
  <c r="F252" i="17"/>
  <c r="E252" i="17" s="1"/>
  <c r="H252" i="17" s="1"/>
  <c r="C360" i="17"/>
  <c r="F360" i="17" s="1"/>
  <c r="F260" i="17"/>
  <c r="E260" i="17" s="1"/>
  <c r="H260" i="17" s="1"/>
  <c r="C349" i="17"/>
  <c r="K349" i="17" s="1"/>
  <c r="F249" i="17"/>
  <c r="E249" i="17" s="1"/>
  <c r="H249" i="17" s="1"/>
  <c r="C383" i="17"/>
  <c r="F383" i="17" s="1"/>
  <c r="F277" i="17"/>
  <c r="E277" i="17" s="1"/>
  <c r="H277" i="17" s="1"/>
  <c r="C365" i="17"/>
  <c r="K365" i="17" s="1"/>
  <c r="F265" i="17"/>
  <c r="E265" i="17" s="1"/>
  <c r="H265" i="17" s="1"/>
  <c r="C356" i="17"/>
  <c r="F356" i="17" s="1"/>
  <c r="F256" i="17"/>
  <c r="E256" i="17" s="1"/>
  <c r="H256" i="17" s="1"/>
  <c r="C367" i="17"/>
  <c r="F367" i="17" s="1"/>
  <c r="F267" i="17"/>
  <c r="E267" i="17" s="1"/>
  <c r="H267" i="17" s="1"/>
  <c r="C345" i="17"/>
  <c r="F345" i="17" s="1"/>
  <c r="F245" i="17"/>
  <c r="E245" i="17" s="1"/>
  <c r="H245" i="17" s="1"/>
  <c r="C241" i="17"/>
  <c r="E241" i="17"/>
  <c r="H241" i="17" s="1"/>
  <c r="C357" i="17"/>
  <c r="F357" i="17" s="1"/>
  <c r="F257" i="17"/>
  <c r="E257" i="17" s="1"/>
  <c r="H257" i="17" s="1"/>
  <c r="C358" i="17"/>
  <c r="K358" i="17" s="1"/>
  <c r="F258" i="17"/>
  <c r="E258" i="17" s="1"/>
  <c r="H258" i="17" s="1"/>
  <c r="C359" i="17"/>
  <c r="K359" i="17" s="1"/>
  <c r="F259" i="17"/>
  <c r="E259" i="17" s="1"/>
  <c r="H259" i="17" s="1"/>
  <c r="C348" i="17"/>
  <c r="F348" i="17" s="1"/>
  <c r="F248" i="17"/>
  <c r="E248" i="17" s="1"/>
  <c r="H248" i="17" s="1"/>
  <c r="C353" i="17"/>
  <c r="F353" i="17" s="1"/>
  <c r="F253" i="17"/>
  <c r="E253" i="17" s="1"/>
  <c r="H253" i="17" s="1"/>
  <c r="E275" i="17"/>
  <c r="H275" i="17" s="1"/>
  <c r="C368" i="17"/>
  <c r="F368" i="17" s="1"/>
  <c r="F268" i="17"/>
  <c r="E268" i="17" s="1"/>
  <c r="H268" i="17" s="1"/>
  <c r="C366" i="17"/>
  <c r="F366" i="17" s="1"/>
  <c r="F266" i="17"/>
  <c r="E266" i="17" s="1"/>
  <c r="H266" i="17" s="1"/>
  <c r="C344" i="17"/>
  <c r="F344" i="17" s="1"/>
  <c r="F244" i="17"/>
  <c r="E244" i="17" s="1"/>
  <c r="H244" i="17" s="1"/>
  <c r="C379" i="17"/>
  <c r="G379" i="17" s="1"/>
  <c r="F279" i="17"/>
  <c r="E279" i="17" s="1"/>
  <c r="H279" i="17" s="1"/>
  <c r="C364" i="17"/>
  <c r="F364" i="17" s="1"/>
  <c r="F264" i="17"/>
  <c r="E264" i="17" s="1"/>
  <c r="H264" i="17" s="1"/>
  <c r="E243" i="17"/>
  <c r="H243" i="17" s="1"/>
  <c r="C243" i="17"/>
  <c r="C346" i="17"/>
  <c r="K346" i="17" s="1"/>
  <c r="F246" i="17"/>
  <c r="E246" i="17" s="1"/>
  <c r="H246" i="17" s="1"/>
  <c r="C347" i="17"/>
  <c r="K347" i="17" s="1"/>
  <c r="F247" i="17"/>
  <c r="E247" i="17" s="1"/>
  <c r="H247" i="17" s="1"/>
  <c r="C354" i="17"/>
  <c r="F354" i="17" s="1"/>
  <c r="F254" i="17"/>
  <c r="E254" i="17" s="1"/>
  <c r="H254" i="17" s="1"/>
  <c r="C278" i="17"/>
  <c r="E278" i="17"/>
  <c r="H278" i="17" s="1"/>
  <c r="C371" i="17"/>
  <c r="K371" i="17" s="1"/>
  <c r="F271" i="17"/>
  <c r="E271" i="17" s="1"/>
  <c r="H271" i="17" s="1"/>
  <c r="C373" i="17"/>
  <c r="F373" i="17" s="1"/>
  <c r="F273" i="17"/>
  <c r="E273" i="17" s="1"/>
  <c r="H273" i="17" s="1"/>
  <c r="C363" i="17"/>
  <c r="K363" i="17" s="1"/>
  <c r="F263" i="17"/>
  <c r="E263" i="17" s="1"/>
  <c r="H263" i="17" s="1"/>
  <c r="C342" i="17"/>
  <c r="F342" i="17" s="1"/>
  <c r="F242" i="17"/>
  <c r="E242" i="17" s="1"/>
  <c r="H242" i="17" s="1"/>
  <c r="D357" i="17"/>
  <c r="C257" i="17"/>
  <c r="D341" i="17"/>
  <c r="D343" i="17"/>
  <c r="D360" i="17"/>
  <c r="C260" i="17"/>
  <c r="D352" i="17"/>
  <c r="C252" i="17"/>
  <c r="D361" i="17"/>
  <c r="C261" i="17"/>
  <c r="D354" i="17"/>
  <c r="C254" i="17"/>
  <c r="D350" i="17"/>
  <c r="C250" i="17"/>
  <c r="D367" i="17"/>
  <c r="C267" i="17"/>
  <c r="D340" i="17"/>
  <c r="D358" i="17"/>
  <c r="C258" i="17"/>
  <c r="D347" i="17"/>
  <c r="C247" i="17"/>
  <c r="D348" i="17"/>
  <c r="C248" i="17"/>
  <c r="D355" i="17"/>
  <c r="C255" i="17"/>
  <c r="D353" i="17"/>
  <c r="C253" i="17"/>
  <c r="D369" i="17"/>
  <c r="C269" i="17"/>
  <c r="D339" i="17"/>
  <c r="D346" i="17"/>
  <c r="C246" i="17"/>
  <c r="D351" i="17"/>
  <c r="C251" i="17"/>
  <c r="D349" i="17"/>
  <c r="C249" i="17"/>
  <c r="D359" i="17"/>
  <c r="C259" i="17"/>
  <c r="H53" i="17"/>
  <c r="J358" i="17" s="1"/>
  <c r="I358" i="17" s="1"/>
  <c r="H87" i="17"/>
  <c r="J381" i="17" s="1"/>
  <c r="I381" i="17" s="1"/>
  <c r="H110" i="17"/>
  <c r="J401" i="17" s="1"/>
  <c r="I401" i="17" s="1"/>
  <c r="H112" i="17"/>
  <c r="J403" i="17" s="1"/>
  <c r="I403" i="17" s="1"/>
  <c r="H67" i="17"/>
  <c r="J370" i="17" s="1"/>
  <c r="I370" i="17" s="1"/>
  <c r="H97" i="17"/>
  <c r="J390" i="17" s="1"/>
  <c r="I390" i="17" s="1"/>
  <c r="H45" i="17"/>
  <c r="J351" i="17" s="1"/>
  <c r="I351" i="17" s="1"/>
  <c r="H72" i="17"/>
  <c r="H77" i="17"/>
  <c r="J379" i="17" s="1"/>
  <c r="I379" i="17" s="1"/>
  <c r="H122" i="17"/>
  <c r="J411" i="17" s="1"/>
  <c r="I411" i="17" s="1"/>
  <c r="H126" i="17"/>
  <c r="J415" i="17" s="1"/>
  <c r="I415" i="17" s="1"/>
  <c r="H54" i="17"/>
  <c r="J359" i="17" s="1"/>
  <c r="I359" i="17" s="1"/>
  <c r="H102" i="17"/>
  <c r="J394" i="17" s="1"/>
  <c r="I394" i="17" s="1"/>
  <c r="H111" i="17"/>
  <c r="J402" i="17" s="1"/>
  <c r="I402" i="17" s="1"/>
  <c r="H56" i="17"/>
  <c r="J361" i="17" s="1"/>
  <c r="I361" i="17" s="1"/>
  <c r="H105" i="17"/>
  <c r="J397" i="17" s="1"/>
  <c r="I397" i="17" s="1"/>
  <c r="H91" i="17"/>
  <c r="J385" i="17" s="1"/>
  <c r="I385" i="17" s="1"/>
  <c r="H131" i="17"/>
  <c r="J419" i="17" s="1"/>
  <c r="I419" i="17" s="1"/>
  <c r="H60" i="17"/>
  <c r="J364" i="17" s="1"/>
  <c r="I364" i="17" s="1"/>
  <c r="H103" i="17"/>
  <c r="J395" i="17" s="1"/>
  <c r="I395" i="17" s="1"/>
  <c r="H49" i="17"/>
  <c r="H74" i="17"/>
  <c r="J376" i="17" s="1"/>
  <c r="H96" i="17"/>
  <c r="J389" i="17" s="1"/>
  <c r="I389" i="17" s="1"/>
  <c r="H34" i="17"/>
  <c r="J342" i="17" s="1"/>
  <c r="I342" i="17" s="1"/>
  <c r="H33" i="17"/>
  <c r="J341" i="17" s="1"/>
  <c r="H117" i="17"/>
  <c r="J407" i="17" s="1"/>
  <c r="I407" i="17" s="1"/>
  <c r="H46" i="17"/>
  <c r="J352" i="17" s="1"/>
  <c r="I352" i="17" s="1"/>
  <c r="H89" i="17"/>
  <c r="J383" i="17" s="1"/>
  <c r="I383" i="17" s="1"/>
  <c r="H119" i="17"/>
  <c r="J409" i="17" s="1"/>
  <c r="I409" i="17" s="1"/>
  <c r="H123" i="17"/>
  <c r="J412" i="17" s="1"/>
  <c r="H109" i="17"/>
  <c r="J400" i="17" s="1"/>
  <c r="I400" i="17" s="1"/>
  <c r="H118" i="17"/>
  <c r="J408" i="17" s="1"/>
  <c r="I408" i="17" s="1"/>
  <c r="H90" i="17"/>
  <c r="J384" i="17" s="1"/>
  <c r="I384" i="17" s="1"/>
  <c r="J392" i="17"/>
  <c r="C338" i="17"/>
  <c r="H68" i="17"/>
  <c r="J371" i="17" s="1"/>
  <c r="I371" i="17" s="1"/>
  <c r="H44" i="17"/>
  <c r="H95" i="17"/>
  <c r="J388" i="17" s="1"/>
  <c r="I388" i="17" s="1"/>
  <c r="H30" i="17"/>
  <c r="H73" i="17"/>
  <c r="H70" i="17"/>
  <c r="J373" i="17" s="1"/>
  <c r="I373" i="17" s="1"/>
  <c r="H59" i="17"/>
  <c r="J363" i="17" s="1"/>
  <c r="I363" i="17" s="1"/>
  <c r="H93" i="17"/>
  <c r="H132" i="17"/>
  <c r="J420" i="17" s="1"/>
  <c r="I420" i="17" s="1"/>
  <c r="H66" i="17"/>
  <c r="J369" i="17" s="1"/>
  <c r="I369" i="17" s="1"/>
  <c r="H104" i="17"/>
  <c r="J396" i="17" s="1"/>
  <c r="I396" i="17" s="1"/>
  <c r="H125" i="17"/>
  <c r="J414" i="17" s="1"/>
  <c r="I414" i="17" s="1"/>
  <c r="H108" i="17"/>
  <c r="J399" i="17" s="1"/>
  <c r="I399" i="17" s="1"/>
  <c r="H121" i="17"/>
  <c r="H107" i="17"/>
  <c r="H38" i="17"/>
  <c r="J345" i="17" s="1"/>
  <c r="I345" i="17" s="1"/>
  <c r="H128" i="17"/>
  <c r="H114" i="17"/>
  <c r="H42" i="17"/>
  <c r="J349" i="17" s="1"/>
  <c r="I349" i="17" s="1"/>
  <c r="H41" i="17"/>
  <c r="J348" i="17" s="1"/>
  <c r="I348" i="17" s="1"/>
  <c r="H32" i="17"/>
  <c r="J340" i="17" s="1"/>
  <c r="B385" i="17"/>
  <c r="H39" i="17"/>
  <c r="J346" i="17" s="1"/>
  <c r="I346" i="17" s="1"/>
  <c r="H98" i="17"/>
  <c r="J391" i="17" s="1"/>
  <c r="I391" i="17" s="1"/>
  <c r="H31" i="17"/>
  <c r="J339" i="17" s="1"/>
  <c r="H115" i="17"/>
  <c r="J405" i="17" s="1"/>
  <c r="H61" i="17"/>
  <c r="J365" i="17" s="1"/>
  <c r="I365" i="17" s="1"/>
  <c r="H51" i="17"/>
  <c r="H130" i="17"/>
  <c r="J418" i="17" s="1"/>
  <c r="I418" i="17" s="1"/>
  <c r="H116" i="17"/>
  <c r="J406" i="17" s="1"/>
  <c r="I406" i="17" s="1"/>
  <c r="H88" i="17"/>
  <c r="J382" i="17" s="1"/>
  <c r="I382" i="17" s="1"/>
  <c r="H63" i="17"/>
  <c r="J367" i="17" s="1"/>
  <c r="I367" i="17" s="1"/>
  <c r="H52" i="17"/>
  <c r="J357" i="17" s="1"/>
  <c r="I357" i="17" s="1"/>
  <c r="H75" i="17"/>
  <c r="J377" i="17" s="1"/>
  <c r="I377" i="17" s="1"/>
  <c r="H48" i="17"/>
  <c r="J354" i="17" s="1"/>
  <c r="I354" i="17" s="1"/>
  <c r="H124" i="17"/>
  <c r="J413" i="17" s="1"/>
  <c r="I413" i="17" s="1"/>
  <c r="H35" i="17"/>
  <c r="J343" i="17" s="1"/>
  <c r="B130" i="17"/>
  <c r="H101" i="17"/>
  <c r="J393" i="17" s="1"/>
  <c r="I393" i="17" s="1"/>
  <c r="H47" i="17"/>
  <c r="J353" i="17" s="1"/>
  <c r="I353" i="17" s="1"/>
  <c r="H37" i="17"/>
  <c r="H86" i="17"/>
  <c r="H94" i="17"/>
  <c r="J387" i="17" s="1"/>
  <c r="I387" i="17" s="1"/>
  <c r="B63" i="17"/>
  <c r="B131" i="17"/>
  <c r="O228" i="8"/>
  <c r="O226" i="8"/>
  <c r="O223" i="8"/>
  <c r="B382" i="17"/>
  <c r="B128" i="17"/>
  <c r="B59" i="17"/>
  <c r="B129" i="17"/>
  <c r="B70" i="17"/>
  <c r="B96" i="17"/>
  <c r="B133" i="17"/>
  <c r="B93" i="17"/>
  <c r="B31" i="17"/>
  <c r="B61" i="17"/>
  <c r="C377" i="17"/>
  <c r="B110" i="17"/>
  <c r="B125" i="17"/>
  <c r="B380" i="17"/>
  <c r="B101" i="17"/>
  <c r="B91" i="17"/>
  <c r="B72" i="17"/>
  <c r="B107" i="17"/>
  <c r="B33" i="17"/>
  <c r="B65" i="17"/>
  <c r="B34" i="17"/>
  <c r="B104" i="17"/>
  <c r="B88" i="17"/>
  <c r="B377" i="17"/>
  <c r="B112" i="17"/>
  <c r="B30" i="17"/>
  <c r="B60" i="17"/>
  <c r="B97" i="17"/>
  <c r="B119" i="17"/>
  <c r="B375" i="17"/>
  <c r="B116" i="17"/>
  <c r="B121" i="17"/>
  <c r="B75" i="17"/>
  <c r="B35" i="17"/>
  <c r="B68" i="17"/>
  <c r="B37" i="17"/>
  <c r="B38" i="17"/>
  <c r="B103" i="17"/>
  <c r="B122" i="17"/>
  <c r="B94" i="17"/>
  <c r="B102" i="17"/>
  <c r="C50" i="17"/>
  <c r="B50" i="17" s="1"/>
  <c r="C43" i="17"/>
  <c r="B43" i="17" s="1"/>
  <c r="C64" i="17"/>
  <c r="C36" i="17"/>
  <c r="B36" i="17" s="1"/>
  <c r="B69" i="17"/>
  <c r="B58" i="17"/>
  <c r="B77" i="17"/>
  <c r="C385" i="17"/>
  <c r="C380" i="17"/>
  <c r="B117" i="17"/>
  <c r="B89" i="17"/>
  <c r="B111" i="17"/>
  <c r="B126" i="17"/>
  <c r="B108" i="17"/>
  <c r="B98" i="17"/>
  <c r="B114" i="17"/>
  <c r="B384" i="17"/>
  <c r="C71" i="17"/>
  <c r="C57" i="17"/>
  <c r="B57" i="17" s="1"/>
  <c r="B32" i="17"/>
  <c r="B62" i="17"/>
  <c r="B51" i="17"/>
  <c r="B67" i="17"/>
  <c r="B124" i="17"/>
  <c r="B118" i="17"/>
  <c r="B90" i="17"/>
  <c r="B115" i="17"/>
  <c r="B105" i="17"/>
  <c r="B87" i="17"/>
  <c r="C85" i="17"/>
  <c r="B123" i="17"/>
  <c r="B109" i="17"/>
  <c r="B95" i="17"/>
  <c r="B100" i="17"/>
  <c r="J372" i="17"/>
  <c r="I372" i="17" s="1"/>
  <c r="I421" i="17"/>
  <c r="I417" i="17"/>
  <c r="D376" i="17"/>
  <c r="D378" i="17"/>
  <c r="B86" i="17"/>
  <c r="B386" i="17"/>
  <c r="C378" i="17"/>
  <c r="C384" i="17"/>
  <c r="C375" i="17"/>
  <c r="C381" i="17"/>
  <c r="C376" i="17"/>
  <c r="C382" i="17"/>
  <c r="B54" i="17"/>
  <c r="B55" i="17"/>
  <c r="B45" i="17"/>
  <c r="B66" i="17"/>
  <c r="B46" i="17"/>
  <c r="B76" i="17"/>
  <c r="B48" i="17"/>
  <c r="B49" i="17"/>
  <c r="B56" i="17"/>
  <c r="B47" i="17"/>
  <c r="B73" i="17"/>
  <c r="B44" i="17"/>
  <c r="B42" i="17"/>
  <c r="B40" i="17"/>
  <c r="B52" i="17"/>
  <c r="B74" i="17"/>
  <c r="B53" i="17"/>
  <c r="B39" i="17"/>
  <c r="B41" i="17"/>
  <c r="D308" i="8"/>
  <c r="E113" i="17" s="1"/>
  <c r="E106" i="17"/>
  <c r="I366" i="17"/>
  <c r="I347" i="17"/>
  <c r="I360" i="17"/>
  <c r="C343" i="17"/>
  <c r="C339" i="17"/>
  <c r="C340" i="17"/>
  <c r="C341" i="17"/>
  <c r="D64" i="17"/>
  <c r="C266" i="8"/>
  <c r="D276" i="8"/>
  <c r="E81" i="17" s="1"/>
  <c r="D273" i="8"/>
  <c r="E78" i="17" s="1"/>
  <c r="D277" i="8"/>
  <c r="E82" i="17" s="1"/>
  <c r="D274" i="8"/>
  <c r="E79" i="17" s="1"/>
  <c r="D278" i="8"/>
  <c r="E83" i="17" s="1"/>
  <c r="D275" i="8"/>
  <c r="E80" i="17" s="1"/>
  <c r="D279" i="8"/>
  <c r="F402" i="17" l="1"/>
  <c r="F418" i="17"/>
  <c r="G403" i="17"/>
  <c r="F407" i="17"/>
  <c r="G409" i="17"/>
  <c r="F392" i="17"/>
  <c r="G419" i="17"/>
  <c r="F411" i="17"/>
  <c r="F396" i="17"/>
  <c r="G397" i="17"/>
  <c r="F393" i="17"/>
  <c r="F414" i="17"/>
  <c r="G415" i="17"/>
  <c r="F413" i="17"/>
  <c r="G399" i="17"/>
  <c r="F395" i="17"/>
  <c r="F400" i="17"/>
  <c r="F401" i="17"/>
  <c r="G387" i="17"/>
  <c r="G391" i="17"/>
  <c r="G405" i="17"/>
  <c r="G390" i="17"/>
  <c r="G389" i="17"/>
  <c r="G386" i="17"/>
  <c r="G416" i="17"/>
  <c r="G417" i="17"/>
  <c r="F421" i="17"/>
  <c r="F420" i="17"/>
  <c r="G404" i="17"/>
  <c r="G394" i="17"/>
  <c r="G406" i="17"/>
  <c r="F408" i="17"/>
  <c r="F412" i="17"/>
  <c r="G398" i="17"/>
  <c r="G410" i="17"/>
  <c r="G388" i="17"/>
  <c r="G337" i="17"/>
  <c r="E283" i="17"/>
  <c r="H283" i="17" s="1"/>
  <c r="F281" i="17"/>
  <c r="F374" i="17"/>
  <c r="G342" i="17"/>
  <c r="K374" i="17"/>
  <c r="G350" i="17"/>
  <c r="K350" i="17"/>
  <c r="F362" i="17"/>
  <c r="K366" i="17"/>
  <c r="K352" i="17"/>
  <c r="G349" i="17"/>
  <c r="K364" i="17"/>
  <c r="K353" i="17"/>
  <c r="G345" i="17"/>
  <c r="G359" i="17"/>
  <c r="F359" i="17"/>
  <c r="K351" i="17"/>
  <c r="G346" i="17"/>
  <c r="G371" i="17"/>
  <c r="G353" i="17"/>
  <c r="G357" i="17"/>
  <c r="K357" i="17"/>
  <c r="F371" i="17"/>
  <c r="K362" i="17"/>
  <c r="G354" i="17"/>
  <c r="G364" i="17"/>
  <c r="G344" i="17"/>
  <c r="K354" i="17"/>
  <c r="K370" i="17"/>
  <c r="G365" i="17"/>
  <c r="G347" i="17"/>
  <c r="G352" i="17"/>
  <c r="F355" i="17"/>
  <c r="G363" i="17"/>
  <c r="G367" i="17"/>
  <c r="K348" i="17"/>
  <c r="F347" i="17"/>
  <c r="F363" i="17"/>
  <c r="K379" i="17"/>
  <c r="K367" i="17"/>
  <c r="G370" i="17"/>
  <c r="G372" i="17"/>
  <c r="G351" i="17"/>
  <c r="F365" i="17"/>
  <c r="G348" i="17"/>
  <c r="G358" i="17"/>
  <c r="K360" i="17"/>
  <c r="F372" i="17"/>
  <c r="F346" i="17"/>
  <c r="G366" i="17"/>
  <c r="G360" i="17"/>
  <c r="G355" i="17"/>
  <c r="F358" i="17"/>
  <c r="K345" i="17"/>
  <c r="K373" i="17"/>
  <c r="K344" i="17"/>
  <c r="K368" i="17"/>
  <c r="K342" i="17"/>
  <c r="F349" i="17"/>
  <c r="K369" i="17"/>
  <c r="K356" i="17"/>
  <c r="G369" i="17"/>
  <c r="G356" i="17"/>
  <c r="G383" i="17"/>
  <c r="G361" i="17"/>
  <c r="G373" i="17"/>
  <c r="G368" i="17"/>
  <c r="K361" i="17"/>
  <c r="F379" i="17"/>
  <c r="J355" i="17"/>
  <c r="I355" i="17" s="1"/>
  <c r="J374" i="17"/>
  <c r="I374" i="17" s="1"/>
  <c r="J151" i="17"/>
  <c r="J177" i="17"/>
  <c r="J156" i="17"/>
  <c r="J178" i="17"/>
  <c r="J153" i="17"/>
  <c r="J173" i="17"/>
  <c r="J176" i="17"/>
  <c r="J152" i="17"/>
  <c r="J172" i="17"/>
  <c r="J175" i="17"/>
  <c r="J174" i="17"/>
  <c r="J398" i="17"/>
  <c r="J404" i="17"/>
  <c r="I404" i="17" s="1"/>
  <c r="J410" i="17"/>
  <c r="I410" i="17" s="1"/>
  <c r="J416" i="17"/>
  <c r="I416" i="17" s="1"/>
  <c r="J386" i="17"/>
  <c r="J344" i="17"/>
  <c r="I344" i="17" s="1"/>
  <c r="J350" i="17"/>
  <c r="I350" i="17" s="1"/>
  <c r="J356" i="17"/>
  <c r="I356" i="17" s="1"/>
  <c r="J380" i="17"/>
  <c r="I380" i="17" s="1"/>
  <c r="J338" i="17"/>
  <c r="F339" i="17"/>
  <c r="G339" i="17"/>
  <c r="F384" i="17"/>
  <c r="G384" i="17"/>
  <c r="F376" i="17"/>
  <c r="G376" i="17"/>
  <c r="F378" i="17"/>
  <c r="G378" i="17"/>
  <c r="F380" i="17"/>
  <c r="G380" i="17"/>
  <c r="F338" i="17"/>
  <c r="G338" i="17"/>
  <c r="G336" i="17" s="1"/>
  <c r="F341" i="17"/>
  <c r="G341" i="17"/>
  <c r="F381" i="17"/>
  <c r="G381" i="17"/>
  <c r="F385" i="17"/>
  <c r="G385" i="17"/>
  <c r="F382" i="17"/>
  <c r="G382" i="17"/>
  <c r="F343" i="17"/>
  <c r="G343" i="17"/>
  <c r="F340" i="17"/>
  <c r="G340" i="17"/>
  <c r="F375" i="17"/>
  <c r="G375" i="17"/>
  <c r="F377" i="17"/>
  <c r="G377" i="17"/>
  <c r="J375" i="17"/>
  <c r="I375" i="17" s="1"/>
  <c r="K338" i="17"/>
  <c r="O224" i="8"/>
  <c r="K377" i="17"/>
  <c r="K380" i="17"/>
  <c r="B64" i="17"/>
  <c r="K376" i="17"/>
  <c r="K378" i="17"/>
  <c r="K375" i="17"/>
  <c r="D315" i="8"/>
  <c r="E120" i="17" s="1"/>
  <c r="H188" i="17"/>
  <c r="H187" i="17"/>
  <c r="K339" i="17"/>
  <c r="K343" i="17"/>
  <c r="K341" i="17"/>
  <c r="K340" i="17"/>
  <c r="I339" i="17"/>
  <c r="I343" i="17"/>
  <c r="I341" i="17"/>
  <c r="I378" i="17"/>
  <c r="I376" i="17"/>
  <c r="I340" i="17"/>
  <c r="E84" i="17"/>
  <c r="D71" i="17"/>
  <c r="C278" i="8"/>
  <c r="C273" i="8"/>
  <c r="C279" i="8"/>
  <c r="C276" i="8"/>
  <c r="C275" i="8"/>
  <c r="C277" i="8"/>
  <c r="C274" i="8"/>
  <c r="G422" i="17" l="1"/>
  <c r="G335" i="17" s="1"/>
  <c r="D80" i="17"/>
  <c r="B80" i="17" s="1"/>
  <c r="D83" i="17"/>
  <c r="B83" i="17" s="1"/>
  <c r="D81" i="17"/>
  <c r="B81" i="17" s="1"/>
  <c r="D79" i="17"/>
  <c r="B79" i="17" s="1"/>
  <c r="D82" i="17"/>
  <c r="B82" i="17" s="1"/>
  <c r="D78" i="17"/>
  <c r="W29" i="17"/>
  <c r="B71" i="17"/>
  <c r="D322" i="8"/>
  <c r="D84" i="17"/>
  <c r="W30" i="17"/>
  <c r="Q34" i="8"/>
  <c r="Q33" i="8"/>
  <c r="Q32" i="8"/>
  <c r="Q31" i="8"/>
  <c r="P34" i="8"/>
  <c r="S34" i="8" s="1"/>
  <c r="I178" i="17" s="1"/>
  <c r="P33" i="8"/>
  <c r="S33" i="8" s="1"/>
  <c r="I177" i="17" s="1"/>
  <c r="P32" i="8"/>
  <c r="S32" i="8" s="1"/>
  <c r="I176" i="17" s="1"/>
  <c r="P31" i="8"/>
  <c r="S31" i="8" s="1"/>
  <c r="I175" i="17" s="1"/>
  <c r="Q30" i="8"/>
  <c r="P30" i="8"/>
  <c r="Q29" i="8"/>
  <c r="P29" i="8"/>
  <c r="S29" i="8" s="1"/>
  <c r="I173" i="17" s="1"/>
  <c r="Q28" i="8"/>
  <c r="P28" i="8"/>
  <c r="S28" i="8" s="1"/>
  <c r="I172" i="17" s="1"/>
  <c r="P26" i="8"/>
  <c r="S30" i="8" l="1"/>
  <c r="I174" i="17" s="1"/>
  <c r="W75" i="17"/>
  <c r="W64" i="17"/>
  <c r="W66" i="17" s="1"/>
  <c r="W65" i="17"/>
  <c r="W67" i="17" s="1"/>
  <c r="W74" i="17"/>
  <c r="Z59" i="17"/>
  <c r="AE59" i="17" s="1"/>
  <c r="F280" i="17" s="1"/>
  <c r="B78" i="17"/>
  <c r="Z60" i="17"/>
  <c r="AE60" i="17" s="1"/>
  <c r="G280" i="17" s="1"/>
  <c r="R27" i="17"/>
  <c r="AI43" i="17"/>
  <c r="B84" i="17"/>
  <c r="W44" i="17"/>
  <c r="W52" i="17" s="1"/>
  <c r="W43" i="17"/>
  <c r="W51" i="17" s="1"/>
  <c r="AI44" i="17"/>
  <c r="D330" i="8"/>
  <c r="E135" i="17" s="1"/>
  <c r="E127" i="17"/>
  <c r="D332" i="8"/>
  <c r="E137" i="17" s="1"/>
  <c r="D335" i="8"/>
  <c r="E140" i="17" s="1"/>
  <c r="D333" i="8"/>
  <c r="E138" i="17" s="1"/>
  <c r="D331" i="8"/>
  <c r="E136" i="17" s="1"/>
  <c r="D329" i="8"/>
  <c r="E134" i="17" s="1"/>
  <c r="D334" i="8"/>
  <c r="E139" i="17" s="1"/>
  <c r="W31" i="17"/>
  <c r="I144" i="17" s="1"/>
  <c r="J144" i="17" s="1"/>
  <c r="E280" i="17" l="1"/>
  <c r="H280" i="17" s="1"/>
  <c r="H172" i="17"/>
  <c r="H178" i="17"/>
  <c r="C103" i="9"/>
  <c r="B103" i="9"/>
  <c r="B104" i="9" s="1"/>
  <c r="J62" i="9"/>
  <c r="J106" i="9" s="1"/>
  <c r="I62" i="9"/>
  <c r="I106" i="9" s="1"/>
  <c r="C62" i="9"/>
  <c r="B62" i="9"/>
  <c r="C47" i="9"/>
  <c r="C48" i="9" s="1"/>
  <c r="B47" i="9"/>
  <c r="B48" i="9" s="1"/>
  <c r="J6" i="9"/>
  <c r="J50" i="9" s="1"/>
  <c r="I6" i="9"/>
  <c r="I50" i="9" s="1"/>
  <c r="C6" i="9"/>
  <c r="B6" i="9"/>
  <c r="C3" i="9"/>
  <c r="E12" i="9" s="1"/>
  <c r="G12" i="9" s="1"/>
  <c r="H12" i="9" s="1"/>
  <c r="B3" i="9"/>
  <c r="A3" i="9"/>
  <c r="C332" i="17"/>
  <c r="G158" i="17"/>
  <c r="G163" i="17" s="1"/>
  <c r="F158" i="17"/>
  <c r="H157" i="17"/>
  <c r="H149" i="17"/>
  <c r="I149" i="17" s="1"/>
  <c r="F20" i="17"/>
  <c r="E5" i="17"/>
  <c r="E4" i="17"/>
  <c r="E3" i="17"/>
  <c r="E2" i="17"/>
  <c r="C214" i="8"/>
  <c r="B214" i="8"/>
  <c r="A212" i="8"/>
  <c r="D209" i="8"/>
  <c r="D207" i="8"/>
  <c r="D206" i="8"/>
  <c r="D205" i="8"/>
  <c r="D204" i="8"/>
  <c r="D203" i="8"/>
  <c r="C202" i="8"/>
  <c r="A200" i="8"/>
  <c r="H190" i="8"/>
  <c r="G190" i="8"/>
  <c r="C190" i="8"/>
  <c r="B190" i="8"/>
  <c r="H189" i="8"/>
  <c r="G189" i="8"/>
  <c r="F189" i="8"/>
  <c r="E189" i="8"/>
  <c r="F188" i="8"/>
  <c r="A188" i="8"/>
  <c r="D185" i="8"/>
  <c r="D184" i="8"/>
  <c r="D183" i="8"/>
  <c r="D182" i="8"/>
  <c r="D181" i="8"/>
  <c r="D180" i="8"/>
  <c r="F179" i="8"/>
  <c r="E179" i="8"/>
  <c r="C179" i="8"/>
  <c r="H178" i="8"/>
  <c r="G178" i="8"/>
  <c r="F178" i="8"/>
  <c r="E178" i="8"/>
  <c r="F177" i="8"/>
  <c r="A177" i="8"/>
  <c r="H167" i="8"/>
  <c r="G167" i="8"/>
  <c r="C167" i="8"/>
  <c r="B167" i="8"/>
  <c r="H166" i="8"/>
  <c r="G166" i="8"/>
  <c r="F166" i="8"/>
  <c r="E166" i="8"/>
  <c r="F165" i="8"/>
  <c r="A165" i="8"/>
  <c r="D162" i="8"/>
  <c r="D161" i="8"/>
  <c r="D160" i="8"/>
  <c r="D159" i="8"/>
  <c r="D158" i="8"/>
  <c r="D157" i="8"/>
  <c r="F156" i="8"/>
  <c r="E156" i="8"/>
  <c r="C156" i="8"/>
  <c r="H155" i="8"/>
  <c r="G155" i="8"/>
  <c r="F155" i="8"/>
  <c r="E155" i="8"/>
  <c r="F154" i="8"/>
  <c r="A154" i="8"/>
  <c r="H144" i="8"/>
  <c r="G144" i="8"/>
  <c r="C144" i="8"/>
  <c r="B144" i="8"/>
  <c r="H143" i="8"/>
  <c r="G143" i="8"/>
  <c r="F143" i="8"/>
  <c r="E143" i="8"/>
  <c r="F142" i="8"/>
  <c r="A142" i="8"/>
  <c r="D139" i="8"/>
  <c r="D138" i="8"/>
  <c r="D137" i="8"/>
  <c r="D136" i="8"/>
  <c r="D135" i="8"/>
  <c r="D134" i="8"/>
  <c r="F133" i="8"/>
  <c r="E133" i="8"/>
  <c r="C133" i="8"/>
  <c r="H132" i="8"/>
  <c r="G132" i="8"/>
  <c r="F132" i="8"/>
  <c r="E132" i="8"/>
  <c r="F131" i="8"/>
  <c r="A131" i="8"/>
  <c r="H121" i="8"/>
  <c r="G121" i="8"/>
  <c r="C121" i="8"/>
  <c r="B121" i="8"/>
  <c r="H120" i="8"/>
  <c r="G120" i="8"/>
  <c r="F120" i="8"/>
  <c r="E120" i="8"/>
  <c r="F119" i="8"/>
  <c r="A119" i="8"/>
  <c r="D116" i="8"/>
  <c r="D115" i="8"/>
  <c r="D114" i="8"/>
  <c r="D113" i="8"/>
  <c r="D112" i="8"/>
  <c r="D111" i="8"/>
  <c r="F110" i="8"/>
  <c r="E110" i="8"/>
  <c r="C110" i="8"/>
  <c r="H109" i="8"/>
  <c r="G109" i="8"/>
  <c r="F109" i="8"/>
  <c r="E109" i="8"/>
  <c r="F108" i="8"/>
  <c r="A108" i="8"/>
  <c r="H98" i="8"/>
  <c r="Q41" i="8" s="1"/>
  <c r="G98" i="8"/>
  <c r="C98" i="8"/>
  <c r="B98" i="8"/>
  <c r="H97" i="8"/>
  <c r="G97" i="8"/>
  <c r="F97" i="8"/>
  <c r="E97" i="8"/>
  <c r="F96" i="8"/>
  <c r="A96" i="8"/>
  <c r="D93" i="8"/>
  <c r="D92" i="8"/>
  <c r="D91" i="8"/>
  <c r="D90" i="8"/>
  <c r="D89" i="8"/>
  <c r="D88" i="8"/>
  <c r="F87" i="8"/>
  <c r="E87" i="8"/>
  <c r="C87" i="8"/>
  <c r="H86" i="8"/>
  <c r="G86" i="8"/>
  <c r="F86" i="8"/>
  <c r="E86" i="8"/>
  <c r="F85" i="8"/>
  <c r="A85" i="8"/>
  <c r="H75" i="8"/>
  <c r="Q40" i="8" s="1"/>
  <c r="G75" i="8"/>
  <c r="P40" i="8" s="1"/>
  <c r="S40" i="8" s="1"/>
  <c r="C75" i="8"/>
  <c r="B75" i="8"/>
  <c r="H74" i="8"/>
  <c r="G74" i="8"/>
  <c r="F74" i="8"/>
  <c r="E74" i="8"/>
  <c r="F73" i="8"/>
  <c r="A73" i="8"/>
  <c r="D70" i="8"/>
  <c r="D69" i="8"/>
  <c r="D68" i="8"/>
  <c r="D67" i="8"/>
  <c r="D66" i="8"/>
  <c r="D65" i="8"/>
  <c r="F64" i="8"/>
  <c r="E64" i="8"/>
  <c r="C64" i="8"/>
  <c r="H63" i="8"/>
  <c r="G63" i="8"/>
  <c r="F63" i="8"/>
  <c r="E63" i="8"/>
  <c r="F62" i="8"/>
  <c r="A62" i="8"/>
  <c r="O22" i="8"/>
  <c r="N22" i="8"/>
  <c r="O21" i="8"/>
  <c r="N21" i="8"/>
  <c r="O20" i="8"/>
  <c r="N20" i="8"/>
  <c r="O19" i="8"/>
  <c r="N19" i="8"/>
  <c r="N14" i="8"/>
  <c r="N26" i="8" s="1"/>
  <c r="H52" i="8"/>
  <c r="Q39" i="8" s="1"/>
  <c r="G52" i="8"/>
  <c r="P39" i="8" s="1"/>
  <c r="S39" i="8" s="1"/>
  <c r="C52" i="8"/>
  <c r="B52" i="8"/>
  <c r="H51" i="8"/>
  <c r="G51" i="8"/>
  <c r="F51" i="8"/>
  <c r="R4" i="8" s="1"/>
  <c r="Q15" i="8" s="1"/>
  <c r="Q27" i="8" s="1"/>
  <c r="E51" i="8"/>
  <c r="Q4" i="8" s="1"/>
  <c r="P15" i="8" s="1"/>
  <c r="P27" i="8" s="1"/>
  <c r="F50" i="8"/>
  <c r="D47" i="8"/>
  <c r="D46" i="8"/>
  <c r="D45" i="8"/>
  <c r="D44" i="8"/>
  <c r="D43" i="8"/>
  <c r="D42" i="8"/>
  <c r="F41" i="8"/>
  <c r="E41" i="8"/>
  <c r="C41" i="8"/>
  <c r="H40" i="8"/>
  <c r="G40" i="8"/>
  <c r="F40" i="8"/>
  <c r="O4" i="8" s="1"/>
  <c r="O15" i="8" s="1"/>
  <c r="E40" i="8"/>
  <c r="N4" i="8" s="1"/>
  <c r="N15" i="8" s="1"/>
  <c r="F39" i="8"/>
  <c r="C35" i="8"/>
  <c r="C34" i="8"/>
  <c r="I33" i="8"/>
  <c r="H33" i="8"/>
  <c r="G33" i="8"/>
  <c r="F33" i="8"/>
  <c r="E27" i="8"/>
  <c r="E28" i="8" s="1"/>
  <c r="E29" i="8" s="1"/>
  <c r="C27" i="8"/>
  <c r="C28" i="8" s="1"/>
  <c r="F26" i="8"/>
  <c r="F25" i="8"/>
  <c r="F24" i="8"/>
  <c r="F23" i="8"/>
  <c r="F22" i="8"/>
  <c r="F21" i="8"/>
  <c r="F20" i="8"/>
  <c r="F19" i="8"/>
  <c r="F18" i="8"/>
  <c r="F14" i="8"/>
  <c r="F13" i="8"/>
  <c r="C13" i="8"/>
  <c r="B13" i="8"/>
  <c r="M128" i="2"/>
  <c r="M127" i="2"/>
  <c r="M126" i="2"/>
  <c r="M125" i="2"/>
  <c r="M124" i="2"/>
  <c r="M123" i="2"/>
  <c r="M122" i="2"/>
  <c r="M121" i="2"/>
  <c r="M120" i="2"/>
  <c r="M119" i="2"/>
  <c r="M118" i="2"/>
  <c r="M117" i="2"/>
  <c r="M116" i="2"/>
  <c r="M115" i="2"/>
  <c r="M114" i="2"/>
  <c r="M113" i="2"/>
  <c r="M112" i="2"/>
  <c r="M111" i="2"/>
  <c r="M110" i="2"/>
  <c r="M109" i="2"/>
  <c r="M108" i="2"/>
  <c r="M107" i="2"/>
  <c r="M106" i="2"/>
  <c r="M105" i="2"/>
  <c r="M104" i="2"/>
  <c r="M103" i="2"/>
  <c r="M102" i="2"/>
  <c r="M101" i="2"/>
  <c r="M100" i="2"/>
  <c r="M99" i="2"/>
  <c r="M98" i="2"/>
  <c r="M97" i="2"/>
  <c r="M96" i="2"/>
  <c r="M95" i="2"/>
  <c r="M94" i="2"/>
  <c r="M93" i="2"/>
  <c r="M92" i="2"/>
  <c r="M91" i="2"/>
  <c r="M90" i="2"/>
  <c r="M89" i="2"/>
  <c r="M88" i="2"/>
  <c r="M87" i="2"/>
  <c r="M86" i="2"/>
  <c r="M85" i="2"/>
  <c r="M84" i="2"/>
  <c r="M83" i="2"/>
  <c r="M82" i="2"/>
  <c r="M81" i="2"/>
  <c r="M80" i="2"/>
  <c r="M79" i="2"/>
  <c r="M78" i="2"/>
  <c r="M77" i="2"/>
  <c r="M76" i="2"/>
  <c r="M75" i="2"/>
  <c r="M74" i="2"/>
  <c r="M73" i="2"/>
  <c r="M72" i="2"/>
  <c r="M71" i="2"/>
  <c r="M70" i="2"/>
  <c r="M69" i="2"/>
  <c r="M68" i="2"/>
  <c r="M67" i="2"/>
  <c r="M66" i="2"/>
  <c r="M65" i="2"/>
  <c r="M64" i="2"/>
  <c r="M63" i="2"/>
  <c r="M62" i="2"/>
  <c r="M61" i="2"/>
  <c r="M60" i="2"/>
  <c r="M59" i="2"/>
  <c r="M58" i="2"/>
  <c r="M57" i="2"/>
  <c r="M56" i="2"/>
  <c r="M55" i="2"/>
  <c r="M54" i="2"/>
  <c r="M53" i="2"/>
  <c r="M52" i="2"/>
  <c r="M51" i="2"/>
  <c r="M50" i="2"/>
  <c r="M49" i="2"/>
  <c r="M48" i="2"/>
  <c r="M47" i="2"/>
  <c r="M46" i="2"/>
  <c r="M45" i="2"/>
  <c r="M44" i="2"/>
  <c r="M43" i="2"/>
  <c r="M42" i="2"/>
  <c r="M41" i="2"/>
  <c r="M40" i="2"/>
  <c r="M39" i="2"/>
  <c r="M38" i="2"/>
  <c r="M37" i="2"/>
  <c r="M36" i="2"/>
  <c r="M35" i="2"/>
  <c r="M34" i="2"/>
  <c r="M33" i="2"/>
  <c r="M32" i="2"/>
  <c r="M31" i="2"/>
  <c r="M30" i="2"/>
  <c r="M29" i="2"/>
  <c r="M28" i="2"/>
  <c r="M27" i="2"/>
  <c r="M26" i="2"/>
  <c r="M25" i="2"/>
  <c r="M24" i="2"/>
  <c r="M23" i="2"/>
  <c r="M22" i="2"/>
  <c r="M21" i="2"/>
  <c r="M20" i="2"/>
  <c r="M19" i="2"/>
  <c r="M18" i="2"/>
  <c r="M17" i="2"/>
  <c r="M16" i="2"/>
  <c r="M15" i="2"/>
  <c r="M14" i="2"/>
  <c r="M13" i="2"/>
  <c r="M12" i="2"/>
  <c r="M11" i="2"/>
  <c r="M10" i="2"/>
  <c r="M9" i="2"/>
  <c r="M8" i="2"/>
  <c r="M7" i="2"/>
  <c r="M6" i="2"/>
  <c r="M5" i="2"/>
  <c r="M4" i="2"/>
  <c r="M3" i="2"/>
  <c r="M2" i="2"/>
  <c r="E301" i="8" l="1"/>
  <c r="F106" i="17" s="1"/>
  <c r="P42" i="8"/>
  <c r="F322" i="8"/>
  <c r="G127" i="17" s="1"/>
  <c r="Q45" i="8"/>
  <c r="G26" i="8"/>
  <c r="G25" i="8"/>
  <c r="R20" i="8"/>
  <c r="R22" i="8"/>
  <c r="F301" i="8"/>
  <c r="G106" i="17" s="1"/>
  <c r="Q42" i="8"/>
  <c r="E308" i="8"/>
  <c r="F113" i="17" s="1"/>
  <c r="H113" i="17" s="1"/>
  <c r="I405" i="17" s="1"/>
  <c r="P43" i="8"/>
  <c r="F308" i="8"/>
  <c r="G113" i="17" s="1"/>
  <c r="Q43" i="8"/>
  <c r="E315" i="8"/>
  <c r="F120" i="17" s="1"/>
  <c r="P44" i="8"/>
  <c r="R19" i="8"/>
  <c r="R21" i="8"/>
  <c r="E294" i="8"/>
  <c r="F99" i="17" s="1"/>
  <c r="P41" i="8"/>
  <c r="S41" i="8" s="1"/>
  <c r="F315" i="8"/>
  <c r="G120" i="17" s="1"/>
  <c r="Q44" i="8"/>
  <c r="E322" i="8"/>
  <c r="F127" i="17" s="1"/>
  <c r="P45" i="8"/>
  <c r="S45" i="8" s="1"/>
  <c r="C280" i="8"/>
  <c r="G35" i="8"/>
  <c r="F35" i="8"/>
  <c r="Q16" i="8"/>
  <c r="I35" i="8"/>
  <c r="O5" i="8"/>
  <c r="G34" i="8"/>
  <c r="N5" i="8"/>
  <c r="F34" i="8"/>
  <c r="P16" i="8"/>
  <c r="H35" i="8"/>
  <c r="C130" i="8"/>
  <c r="E130" i="8" s="1"/>
  <c r="C176" i="8"/>
  <c r="E176" i="8" s="1"/>
  <c r="F287" i="8"/>
  <c r="G92" i="17" s="1"/>
  <c r="Q17" i="8"/>
  <c r="E287" i="8"/>
  <c r="F92" i="17" s="1"/>
  <c r="P17" i="8"/>
  <c r="S17" i="8" s="1"/>
  <c r="F294" i="8"/>
  <c r="G99" i="17" s="1"/>
  <c r="H99" i="17" s="1"/>
  <c r="I392" i="17" s="1"/>
  <c r="Q18" i="8"/>
  <c r="S18" i="8" s="1"/>
  <c r="F163" i="17"/>
  <c r="E226" i="17" s="1"/>
  <c r="H120" i="17"/>
  <c r="I412" i="17" s="1"/>
  <c r="H106" i="17"/>
  <c r="I398" i="17" s="1"/>
  <c r="C287" i="8"/>
  <c r="D85" i="17"/>
  <c r="H127" i="17"/>
  <c r="N29" i="8"/>
  <c r="N6" i="8"/>
  <c r="H64" i="8"/>
  <c r="O40" i="8" s="1"/>
  <c r="O6" i="8"/>
  <c r="E64" i="9"/>
  <c r="G64" i="9" s="1"/>
  <c r="H64" i="9" s="1"/>
  <c r="E70" i="9"/>
  <c r="G70" i="9" s="1"/>
  <c r="H70" i="9" s="1"/>
  <c r="E73" i="9"/>
  <c r="G73" i="9" s="1"/>
  <c r="H73" i="9" s="1"/>
  <c r="E76" i="9"/>
  <c r="G76" i="9" s="1"/>
  <c r="H76" i="9" s="1"/>
  <c r="E83" i="9"/>
  <c r="G83" i="9" s="1"/>
  <c r="H83" i="9" s="1"/>
  <c r="E86" i="9"/>
  <c r="G86" i="9" s="1"/>
  <c r="H86" i="9" s="1"/>
  <c r="E89" i="9"/>
  <c r="G89" i="9" s="1"/>
  <c r="H89" i="9" s="1"/>
  <c r="E95" i="9"/>
  <c r="G95" i="9" s="1"/>
  <c r="H95" i="9" s="1"/>
  <c r="E96" i="9"/>
  <c r="G96" i="9" s="1"/>
  <c r="H96" i="9" s="1"/>
  <c r="E101" i="9"/>
  <c r="G101" i="9" s="1"/>
  <c r="H101" i="9" s="1"/>
  <c r="E40" i="9"/>
  <c r="G40" i="9" s="1"/>
  <c r="H40" i="9" s="1"/>
  <c r="E41" i="9"/>
  <c r="G41" i="9" s="1"/>
  <c r="H41" i="9" s="1"/>
  <c r="E66" i="9"/>
  <c r="G66" i="9" s="1"/>
  <c r="H66" i="9" s="1"/>
  <c r="E71" i="9"/>
  <c r="G71" i="9" s="1"/>
  <c r="H71" i="9" s="1"/>
  <c r="E78" i="9"/>
  <c r="G78" i="9" s="1"/>
  <c r="H78" i="9" s="1"/>
  <c r="E81" i="9"/>
  <c r="G81" i="9" s="1"/>
  <c r="H81" i="9" s="1"/>
  <c r="E87" i="9"/>
  <c r="G87" i="9" s="1"/>
  <c r="H87" i="9" s="1"/>
  <c r="E88" i="9"/>
  <c r="G88" i="9" s="1"/>
  <c r="H88" i="9" s="1"/>
  <c r="E93" i="9"/>
  <c r="G93" i="9" s="1"/>
  <c r="H93" i="9" s="1"/>
  <c r="E98" i="9"/>
  <c r="G98" i="9" s="1"/>
  <c r="H98" i="9" s="1"/>
  <c r="E100" i="9"/>
  <c r="G100" i="9" s="1"/>
  <c r="H100" i="9" s="1"/>
  <c r="E43" i="9"/>
  <c r="G43" i="9" s="1"/>
  <c r="H43" i="9" s="1"/>
  <c r="E46" i="9"/>
  <c r="G46" i="9" s="1"/>
  <c r="H46" i="9" s="1"/>
  <c r="E67" i="9"/>
  <c r="G67" i="9" s="1"/>
  <c r="H67" i="9" s="1"/>
  <c r="E69" i="9"/>
  <c r="G69" i="9" s="1"/>
  <c r="H69" i="9" s="1"/>
  <c r="E72" i="9"/>
  <c r="G72" i="9" s="1"/>
  <c r="H72" i="9" s="1"/>
  <c r="E74" i="9"/>
  <c r="G74" i="9" s="1"/>
  <c r="H74" i="9" s="1"/>
  <c r="E79" i="9"/>
  <c r="G79" i="9" s="1"/>
  <c r="H79" i="9" s="1"/>
  <c r="E80" i="9"/>
  <c r="G80" i="9" s="1"/>
  <c r="H80" i="9" s="1"/>
  <c r="E85" i="9"/>
  <c r="G85" i="9" s="1"/>
  <c r="H85" i="9" s="1"/>
  <c r="E90" i="9"/>
  <c r="G90" i="9" s="1"/>
  <c r="H90" i="9" s="1"/>
  <c r="E92" i="9"/>
  <c r="G92" i="9" s="1"/>
  <c r="H92" i="9" s="1"/>
  <c r="E99" i="9"/>
  <c r="G99" i="9" s="1"/>
  <c r="H99" i="9" s="1"/>
  <c r="E102" i="9"/>
  <c r="G102" i="9" s="1"/>
  <c r="H102" i="9" s="1"/>
  <c r="E44" i="9"/>
  <c r="G44" i="9" s="1"/>
  <c r="H44" i="9" s="1"/>
  <c r="E45" i="9"/>
  <c r="G45" i="9" s="1"/>
  <c r="H45" i="9" s="1"/>
  <c r="E65" i="9"/>
  <c r="G65" i="9" s="1"/>
  <c r="H65" i="9" s="1"/>
  <c r="E68" i="9"/>
  <c r="G68" i="9" s="1"/>
  <c r="H68" i="9" s="1"/>
  <c r="E75" i="9"/>
  <c r="G75" i="9" s="1"/>
  <c r="H75" i="9" s="1"/>
  <c r="E77" i="9"/>
  <c r="G77" i="9" s="1"/>
  <c r="H77" i="9" s="1"/>
  <c r="E94" i="9"/>
  <c r="G94" i="9" s="1"/>
  <c r="H94" i="9" s="1"/>
  <c r="E82" i="9"/>
  <c r="G82" i="9" s="1"/>
  <c r="H82" i="9" s="1"/>
  <c r="E42" i="9"/>
  <c r="G42" i="9" s="1"/>
  <c r="H42" i="9" s="1"/>
  <c r="E84" i="9"/>
  <c r="G84" i="9" s="1"/>
  <c r="H84" i="9" s="1"/>
  <c r="E91" i="9"/>
  <c r="G91" i="9" s="1"/>
  <c r="H91" i="9" s="1"/>
  <c r="E97" i="9"/>
  <c r="G97" i="9" s="1"/>
  <c r="H97" i="9" s="1"/>
  <c r="C104" i="9"/>
  <c r="C105" i="9" s="1"/>
  <c r="B105" i="9"/>
  <c r="B49" i="9"/>
  <c r="C49" i="9"/>
  <c r="E18" i="9"/>
  <c r="E21" i="9"/>
  <c r="E26" i="9"/>
  <c r="E29" i="9"/>
  <c r="E34" i="9"/>
  <c r="E37" i="9"/>
  <c r="E19" i="9"/>
  <c r="E20" i="9"/>
  <c r="E27" i="9"/>
  <c r="E28" i="9"/>
  <c r="E35" i="9"/>
  <c r="E36" i="9"/>
  <c r="E17" i="9"/>
  <c r="E22" i="9"/>
  <c r="E25" i="9"/>
  <c r="E30" i="9"/>
  <c r="E33" i="9"/>
  <c r="E38" i="9"/>
  <c r="E15" i="9"/>
  <c r="E16" i="9"/>
  <c r="E23" i="9"/>
  <c r="E24" i="9"/>
  <c r="E31" i="9"/>
  <c r="E32" i="9"/>
  <c r="E39" i="9"/>
  <c r="H151" i="17"/>
  <c r="H175" i="17"/>
  <c r="H174" i="17"/>
  <c r="H173" i="17"/>
  <c r="H150" i="17"/>
  <c r="H155" i="17"/>
  <c r="H177" i="17"/>
  <c r="H152" i="17"/>
  <c r="H153" i="17"/>
  <c r="H156" i="17"/>
  <c r="D158" i="17"/>
  <c r="H154" i="17"/>
  <c r="H176" i="17"/>
  <c r="E158" i="17"/>
  <c r="N34" i="8"/>
  <c r="E280" i="8"/>
  <c r="F85" i="17" s="1"/>
  <c r="O34" i="8"/>
  <c r="F280" i="8"/>
  <c r="G85" i="17" s="1"/>
  <c r="O31" i="8"/>
  <c r="H58" i="17"/>
  <c r="G159" i="17"/>
  <c r="G161" i="17" s="1"/>
  <c r="S10" i="8"/>
  <c r="S11" i="8"/>
  <c r="C153" i="8"/>
  <c r="E153" i="8" s="1"/>
  <c r="D221" i="8"/>
  <c r="H87" i="8"/>
  <c r="G64" i="8"/>
  <c r="N40" i="8" s="1"/>
  <c r="R40" i="8" s="1"/>
  <c r="C38" i="8"/>
  <c r="E38" i="8" s="1"/>
  <c r="S7" i="8"/>
  <c r="F159" i="17"/>
  <c r="F161" i="17" s="1"/>
  <c r="E13" i="9"/>
  <c r="E8" i="9"/>
  <c r="G110" i="8"/>
  <c r="N31" i="8"/>
  <c r="R31" i="8" s="1"/>
  <c r="N33" i="8"/>
  <c r="R33" i="8" s="1"/>
  <c r="F27" i="8"/>
  <c r="N32" i="8"/>
  <c r="O33" i="8"/>
  <c r="H179" i="8"/>
  <c r="C61" i="8"/>
  <c r="E61" i="8" s="1"/>
  <c r="C84" i="8"/>
  <c r="E84" i="8" s="1"/>
  <c r="N30" i="8"/>
  <c r="R30" i="8" s="1"/>
  <c r="H133" i="8"/>
  <c r="O32" i="8"/>
  <c r="G156" i="8"/>
  <c r="S6" i="8"/>
  <c r="S9" i="8"/>
  <c r="O29" i="8"/>
  <c r="O30" i="8"/>
  <c r="G133" i="8"/>
  <c r="H156" i="8"/>
  <c r="E9" i="9"/>
  <c r="E63" i="9"/>
  <c r="G63" i="9" s="1"/>
  <c r="H63" i="9" s="1"/>
  <c r="G41" i="8"/>
  <c r="N28" i="8"/>
  <c r="N27" i="8"/>
  <c r="O28" i="8"/>
  <c r="O27" i="8"/>
  <c r="D123" i="8"/>
  <c r="D216" i="8"/>
  <c r="D79" i="8"/>
  <c r="D126" i="8"/>
  <c r="D146" i="8"/>
  <c r="D171" i="8"/>
  <c r="D219" i="8"/>
  <c r="D78" i="8"/>
  <c r="D103" i="8"/>
  <c r="D170" i="8"/>
  <c r="C107" i="8"/>
  <c r="E107" i="8" s="1"/>
  <c r="D55" i="8"/>
  <c r="D99" i="8"/>
  <c r="H110" i="8"/>
  <c r="D127" i="8"/>
  <c r="D147" i="8"/>
  <c r="D191" i="8"/>
  <c r="D218" i="8"/>
  <c r="D193" i="8"/>
  <c r="D173" i="8"/>
  <c r="D169" i="8"/>
  <c r="D149" i="8"/>
  <c r="D145" i="8"/>
  <c r="D125" i="8"/>
  <c r="D101" i="8"/>
  <c r="D81" i="8"/>
  <c r="D77" i="8"/>
  <c r="D57" i="8"/>
  <c r="D54" i="8"/>
  <c r="D217" i="8"/>
  <c r="D196" i="8"/>
  <c r="D192" i="8"/>
  <c r="D172" i="8"/>
  <c r="D168" i="8"/>
  <c r="D148" i="8"/>
  <c r="D124" i="8"/>
  <c r="D104" i="8"/>
  <c r="D100" i="8"/>
  <c r="D80" i="8"/>
  <c r="D76" i="8"/>
  <c r="D56" i="8"/>
  <c r="D53" i="8"/>
  <c r="D195" i="8"/>
  <c r="C29" i="8"/>
  <c r="C30" i="8" s="1"/>
  <c r="R12" i="8"/>
  <c r="C199" i="8"/>
  <c r="E199" i="8" s="1"/>
  <c r="S8" i="8"/>
  <c r="D58" i="8"/>
  <c r="G87" i="8"/>
  <c r="D102" i="8"/>
  <c r="D122" i="8"/>
  <c r="D150" i="8"/>
  <c r="G179" i="8"/>
  <c r="D194" i="8"/>
  <c r="D215" i="8"/>
  <c r="E10" i="9"/>
  <c r="E14" i="9"/>
  <c r="E7" i="9"/>
  <c r="E11" i="9"/>
  <c r="H41" i="8"/>
  <c r="O39" i="8" s="1"/>
  <c r="S5" i="8"/>
  <c r="Q12" i="8"/>
  <c r="F245" i="8" l="1"/>
  <c r="O42" i="8"/>
  <c r="E238" i="8"/>
  <c r="F43" i="17" s="1"/>
  <c r="I179" i="17" s="1"/>
  <c r="N41" i="8"/>
  <c r="F259" i="8"/>
  <c r="G64" i="17" s="1"/>
  <c r="O44" i="8"/>
  <c r="F252" i="8"/>
  <c r="G57" i="17" s="1"/>
  <c r="O43" i="8"/>
  <c r="R29" i="8"/>
  <c r="S43" i="8"/>
  <c r="E252" i="8"/>
  <c r="F57" i="17" s="1"/>
  <c r="H57" i="17" s="1"/>
  <c r="I154" i="17" s="1"/>
  <c r="N43" i="8"/>
  <c r="R43" i="8" s="1"/>
  <c r="F266" i="8"/>
  <c r="G71" i="17" s="1"/>
  <c r="O45" i="8"/>
  <c r="E259" i="8"/>
  <c r="F64" i="17" s="1"/>
  <c r="H64" i="17" s="1"/>
  <c r="N44" i="8"/>
  <c r="F238" i="8"/>
  <c r="G43" i="17" s="1"/>
  <c r="O41" i="8"/>
  <c r="R34" i="8"/>
  <c r="S42" i="8"/>
  <c r="E266" i="8"/>
  <c r="F71" i="17" s="1"/>
  <c r="N45" i="8"/>
  <c r="R45" i="8" s="1"/>
  <c r="R32" i="8"/>
  <c r="G50" i="17"/>
  <c r="E245" i="8"/>
  <c r="F50" i="17" s="1"/>
  <c r="N42" i="8"/>
  <c r="R42" i="8" s="1"/>
  <c r="S44" i="8"/>
  <c r="R28" i="8"/>
  <c r="N16" i="8"/>
  <c r="N39" i="8"/>
  <c r="R39" i="8" s="1"/>
  <c r="J154" i="17"/>
  <c r="S16" i="8"/>
  <c r="B83" i="26"/>
  <c r="D83" i="26" s="1"/>
  <c r="B80" i="26"/>
  <c r="D80" i="26" s="1"/>
  <c r="B78" i="26"/>
  <c r="D78" i="26" s="1"/>
  <c r="B75" i="26"/>
  <c r="D75" i="26" s="1"/>
  <c r="B72" i="26"/>
  <c r="D72" i="26" s="1"/>
  <c r="B70" i="26"/>
  <c r="D70" i="26" s="1"/>
  <c r="B67" i="26"/>
  <c r="D67" i="26" s="1"/>
  <c r="B64" i="26"/>
  <c r="D64" i="26" s="1"/>
  <c r="B62" i="26"/>
  <c r="D62" i="26" s="1"/>
  <c r="B59" i="26"/>
  <c r="D59" i="26" s="1"/>
  <c r="B56" i="26"/>
  <c r="D56" i="26" s="1"/>
  <c r="B54" i="26"/>
  <c r="D54" i="26" s="1"/>
  <c r="B51" i="26"/>
  <c r="B48" i="26"/>
  <c r="B45" i="26"/>
  <c r="B85" i="26"/>
  <c r="D85" i="26" s="1"/>
  <c r="B74" i="26"/>
  <c r="D74" i="26" s="1"/>
  <c r="B73" i="26"/>
  <c r="D73" i="26" s="1"/>
  <c r="B71" i="26"/>
  <c r="D71" i="26" s="1"/>
  <c r="B69" i="26"/>
  <c r="D69" i="26" s="1"/>
  <c r="B58" i="26"/>
  <c r="D58" i="26" s="1"/>
  <c r="B57" i="26"/>
  <c r="D57" i="26" s="1"/>
  <c r="B44" i="26"/>
  <c r="O230" i="8" s="1"/>
  <c r="B84" i="26"/>
  <c r="D84" i="26" s="1"/>
  <c r="B68" i="26"/>
  <c r="D68" i="26" s="1"/>
  <c r="B55" i="26"/>
  <c r="D55" i="26" s="1"/>
  <c r="B53" i="26"/>
  <c r="B82" i="26"/>
  <c r="D82" i="26" s="1"/>
  <c r="B81" i="26"/>
  <c r="D81" i="26" s="1"/>
  <c r="B79" i="26"/>
  <c r="D79" i="26" s="1"/>
  <c r="B77" i="26"/>
  <c r="D77" i="26" s="1"/>
  <c r="B66" i="26"/>
  <c r="D66" i="26" s="1"/>
  <c r="B65" i="26"/>
  <c r="D65" i="26" s="1"/>
  <c r="B63" i="26"/>
  <c r="D63" i="26" s="1"/>
  <c r="B61" i="26"/>
  <c r="D61" i="26" s="1"/>
  <c r="B52" i="26"/>
  <c r="B60" i="26"/>
  <c r="D60" i="26" s="1"/>
  <c r="B50" i="26"/>
  <c r="D50" i="26" s="1"/>
  <c r="B46" i="26"/>
  <c r="B76" i="26"/>
  <c r="D76" i="26" s="1"/>
  <c r="B49" i="26"/>
  <c r="B47" i="26"/>
  <c r="F224" i="8"/>
  <c r="G29" i="17" s="1"/>
  <c r="I34" i="8"/>
  <c r="E224" i="8"/>
  <c r="F29" i="17" s="1"/>
  <c r="H34" i="8"/>
  <c r="O232" i="8"/>
  <c r="J362" i="17"/>
  <c r="H92" i="17"/>
  <c r="I386" i="17" s="1"/>
  <c r="H226" i="17"/>
  <c r="H85" i="17"/>
  <c r="C337" i="17"/>
  <c r="B85" i="17"/>
  <c r="C294" i="8"/>
  <c r="D92" i="17"/>
  <c r="B92" i="17" s="1"/>
  <c r="E231" i="8"/>
  <c r="F36" i="17" s="1"/>
  <c r="N17" i="8"/>
  <c r="F231" i="8"/>
  <c r="G36" i="17" s="1"/>
  <c r="O17" i="8"/>
  <c r="J63" i="9"/>
  <c r="J103" i="9" s="1"/>
  <c r="J104" i="9" s="1"/>
  <c r="J105" i="9" s="1"/>
  <c r="J107" i="9" s="1"/>
  <c r="I63" i="9"/>
  <c r="I103" i="9" s="1"/>
  <c r="I104" i="9" s="1"/>
  <c r="I105" i="9" s="1"/>
  <c r="I107" i="9" s="1"/>
  <c r="G9" i="9"/>
  <c r="H9" i="9" s="1"/>
  <c r="G13" i="9"/>
  <c r="H13" i="9" s="1"/>
  <c r="G31" i="9"/>
  <c r="H31" i="9" s="1"/>
  <c r="G15" i="9"/>
  <c r="H15" i="9" s="1"/>
  <c r="G25" i="9"/>
  <c r="H25" i="9" s="1"/>
  <c r="G35" i="9"/>
  <c r="H35" i="9" s="1"/>
  <c r="G19" i="9"/>
  <c r="H19" i="9" s="1"/>
  <c r="G26" i="9"/>
  <c r="H26" i="9" s="1"/>
  <c r="G14" i="9"/>
  <c r="H14" i="9" s="1"/>
  <c r="G8" i="9"/>
  <c r="H8" i="9" s="1"/>
  <c r="G24" i="9"/>
  <c r="H24" i="9" s="1"/>
  <c r="G38" i="9"/>
  <c r="H38" i="9" s="1"/>
  <c r="G22" i="9"/>
  <c r="H22" i="9" s="1"/>
  <c r="G28" i="9"/>
  <c r="H28" i="9" s="1"/>
  <c r="G37" i="9"/>
  <c r="H37" i="9" s="1"/>
  <c r="G21" i="9"/>
  <c r="H21" i="9" s="1"/>
  <c r="G11" i="9"/>
  <c r="H11" i="9" s="1"/>
  <c r="G10" i="9"/>
  <c r="H10" i="9" s="1"/>
  <c r="G39" i="9"/>
  <c r="H39" i="9" s="1"/>
  <c r="G23" i="9"/>
  <c r="H23" i="9" s="1"/>
  <c r="G33" i="9"/>
  <c r="H33" i="9" s="1"/>
  <c r="G17" i="9"/>
  <c r="H17" i="9" s="1"/>
  <c r="G27" i="9"/>
  <c r="H27" i="9" s="1"/>
  <c r="G34" i="9"/>
  <c r="H34" i="9" s="1"/>
  <c r="G18" i="9"/>
  <c r="H18" i="9" s="1"/>
  <c r="G7" i="9"/>
  <c r="H7" i="9" s="1"/>
  <c r="J7" i="9" s="1"/>
  <c r="G32" i="9"/>
  <c r="H32" i="9" s="1"/>
  <c r="G16" i="9"/>
  <c r="H16" i="9" s="1"/>
  <c r="G30" i="9"/>
  <c r="H30" i="9" s="1"/>
  <c r="G36" i="9"/>
  <c r="H36" i="9" s="1"/>
  <c r="G20" i="9"/>
  <c r="H20" i="9" s="1"/>
  <c r="G29" i="9"/>
  <c r="H29" i="9" s="1"/>
  <c r="D159" i="17"/>
  <c r="D161" i="17" s="1"/>
  <c r="D163" i="17"/>
  <c r="F236" i="17" s="1"/>
  <c r="E159" i="17"/>
  <c r="E161" i="17" s="1"/>
  <c r="E163" i="17"/>
  <c r="G236" i="17" s="1"/>
  <c r="H180" i="17"/>
  <c r="I180" i="17"/>
  <c r="H158" i="17"/>
  <c r="H71" i="17"/>
  <c r="I156" i="17" s="1"/>
  <c r="P9" i="8"/>
  <c r="P11" i="8"/>
  <c r="H50" i="17"/>
  <c r="I153" i="17" s="1"/>
  <c r="P7" i="8"/>
  <c r="H65" i="17"/>
  <c r="P6" i="8"/>
  <c r="F18" i="17"/>
  <c r="E21" i="17"/>
  <c r="F14" i="17"/>
  <c r="F13" i="17"/>
  <c r="P8" i="8"/>
  <c r="F16" i="17"/>
  <c r="P10" i="8"/>
  <c r="F17" i="17"/>
  <c r="S12" i="8"/>
  <c r="F15" i="17"/>
  <c r="F19" i="17"/>
  <c r="H165" i="17"/>
  <c r="O16" i="8"/>
  <c r="F12" i="17"/>
  <c r="D21" i="17"/>
  <c r="D22" i="17" s="1"/>
  <c r="O12" i="8"/>
  <c r="N12" i="8"/>
  <c r="P5" i="8"/>
  <c r="I155" i="17" l="1"/>
  <c r="H43" i="17"/>
  <c r="I152" i="17" s="1"/>
  <c r="R44" i="8"/>
  <c r="R41" i="8"/>
  <c r="O234" i="8"/>
  <c r="E236" i="17"/>
  <c r="I8" i="9"/>
  <c r="J8" i="9"/>
  <c r="J47" i="9" s="1"/>
  <c r="J48" i="9" s="1"/>
  <c r="J49" i="9" s="1"/>
  <c r="J51" i="9" s="1"/>
  <c r="I362" i="17"/>
  <c r="J155" i="17"/>
  <c r="G234" i="17"/>
  <c r="D167" i="17"/>
  <c r="D168" i="17" s="1"/>
  <c r="F234" i="17"/>
  <c r="O233" i="8"/>
  <c r="O235" i="8"/>
  <c r="D51" i="26"/>
  <c r="R17" i="8"/>
  <c r="D46" i="26"/>
  <c r="R16" i="8"/>
  <c r="O236" i="8"/>
  <c r="O231" i="8"/>
  <c r="D52" i="26"/>
  <c r="D53" i="26"/>
  <c r="D48" i="26"/>
  <c r="D44" i="26"/>
  <c r="D49" i="26"/>
  <c r="D45" i="26"/>
  <c r="D47" i="26"/>
  <c r="J368" i="17"/>
  <c r="I368" i="17" s="1"/>
  <c r="J337" i="17"/>
  <c r="I337" i="17" s="1"/>
  <c r="H36" i="17"/>
  <c r="I151" i="17" s="1"/>
  <c r="C301" i="8"/>
  <c r="D99" i="17"/>
  <c r="H181" i="17"/>
  <c r="H183" i="17"/>
  <c r="I7" i="9"/>
  <c r="H159" i="17"/>
  <c r="H29" i="17"/>
  <c r="I150" i="17" s="1"/>
  <c r="E22" i="17"/>
  <c r="E23" i="17" s="1"/>
  <c r="H166" i="17"/>
  <c r="F21" i="17"/>
  <c r="P12" i="8"/>
  <c r="J150" i="17" l="1"/>
  <c r="J336" i="17"/>
  <c r="C308" i="8"/>
  <c r="D106" i="17"/>
  <c r="B99" i="17"/>
  <c r="I47" i="9"/>
  <c r="I48" i="9" s="1"/>
  <c r="H161" i="17"/>
  <c r="H185" i="17"/>
  <c r="E167" i="17"/>
  <c r="H163" i="17"/>
  <c r="D23" i="17"/>
  <c r="F22" i="17"/>
  <c r="B106" i="17" l="1"/>
  <c r="C315" i="8"/>
  <c r="D113" i="17"/>
  <c r="E168" i="17"/>
  <c r="D24" i="17"/>
  <c r="F24" i="17" s="1"/>
  <c r="F23" i="17"/>
  <c r="C322" i="8" l="1"/>
  <c r="D120" i="17"/>
  <c r="B113" i="17"/>
  <c r="I49" i="9"/>
  <c r="I51" i="9" s="1"/>
  <c r="B120" i="17" l="1"/>
  <c r="D127" i="17"/>
  <c r="C335" i="8"/>
  <c r="C329" i="8"/>
  <c r="C330" i="8"/>
  <c r="C331" i="8"/>
  <c r="C332" i="8"/>
  <c r="C333" i="8"/>
  <c r="C334" i="8"/>
  <c r="D137" i="17" l="1"/>
  <c r="B137" i="17" s="1"/>
  <c r="D140" i="17"/>
  <c r="D136" i="17"/>
  <c r="B136" i="17" s="1"/>
  <c r="D139" i="17"/>
  <c r="B139" i="17" s="1"/>
  <c r="D135" i="17"/>
  <c r="B135" i="17" s="1"/>
  <c r="D138" i="17"/>
  <c r="B138" i="17" s="1"/>
  <c r="D134" i="17"/>
  <c r="B134" i="17" s="1"/>
  <c r="B127" i="17"/>
  <c r="I336" i="17"/>
  <c r="I338" i="17"/>
  <c r="W70" i="17" l="1"/>
  <c r="W72" i="17" s="1"/>
  <c r="Z62" i="17"/>
  <c r="AI62" i="17" s="1"/>
  <c r="G325" i="17" s="1"/>
  <c r="Z61" i="17"/>
  <c r="AI61" i="17" s="1"/>
  <c r="F325" i="17" s="1"/>
  <c r="W76" i="17"/>
  <c r="W77" i="17"/>
  <c r="W69" i="17"/>
  <c r="W71" i="17" s="1"/>
  <c r="B140" i="17"/>
  <c r="W23" i="17"/>
  <c r="W24" i="17"/>
  <c r="W20" i="17"/>
  <c r="W21" i="17"/>
  <c r="W47" i="17"/>
  <c r="W54" i="17" s="1"/>
  <c r="W35" i="17"/>
  <c r="W48" i="17"/>
  <c r="W55" i="17" s="1"/>
  <c r="W36" i="17"/>
  <c r="AI47" i="17"/>
  <c r="W39" i="17"/>
  <c r="AI48" i="17"/>
  <c r="W40" i="17"/>
  <c r="R28" i="17"/>
  <c r="G167" i="17"/>
  <c r="G168" i="17" s="1"/>
  <c r="F167" i="17"/>
  <c r="F168" i="17" s="1"/>
  <c r="H167" i="17"/>
  <c r="H168" i="17" s="1"/>
  <c r="E325" i="17" l="1"/>
  <c r="H325" i="17" s="1"/>
  <c r="F336" i="17"/>
  <c r="F337" i="17"/>
  <c r="E225" i="17"/>
  <c r="E234" i="17" s="1"/>
  <c r="H225" i="17" l="1"/>
  <c r="D189" i="17" l="1"/>
  <c r="G189" i="17"/>
  <c r="G190" i="17" s="1"/>
  <c r="H231" i="17"/>
  <c r="E189" i="17"/>
  <c r="F189" i="17"/>
  <c r="F190" i="17" s="1"/>
  <c r="H186" i="17"/>
  <c r="H189" i="17" s="1"/>
  <c r="H190" i="17" s="1"/>
  <c r="E190" i="17" l="1"/>
  <c r="D190" i="17"/>
  <c r="H236" i="17"/>
  <c r="E230" i="17" l="1"/>
  <c r="H230" i="17" s="1"/>
  <c r="H234" i="17"/>
  <c r="E235" i="17" l="1"/>
  <c r="E281" i="17" s="1"/>
  <c r="H281" i="17" s="1"/>
  <c r="H235" i="17" l="1"/>
  <c r="C333" i="17"/>
</calcChain>
</file>

<file path=xl/comments1.xml><?xml version="1.0" encoding="utf-8"?>
<comments xmlns="http://schemas.openxmlformats.org/spreadsheetml/2006/main">
  <authors>
    <author>SARRAZIN David</author>
  </authors>
  <commentList>
    <comment ref="C10" authorId="0" shapeId="0">
      <text>
        <r>
          <rPr>
            <b/>
            <sz val="8"/>
            <color indexed="81"/>
            <rFont val="Tahoma"/>
            <family val="2"/>
          </rPr>
          <t>SARRAZIN David:</t>
        </r>
        <r>
          <rPr>
            <sz val="8"/>
            <color indexed="81"/>
            <rFont val="Tahoma"/>
            <family val="2"/>
          </rPr>
          <t xml:space="preserve">
Inidiquer la durée en mois
</t>
        </r>
      </text>
    </comment>
    <comment ref="E11" authorId="0" shapeId="0">
      <text>
        <r>
          <rPr>
            <b/>
            <sz val="8"/>
            <color indexed="81"/>
            <rFont val="Tahoma"/>
            <family val="2"/>
          </rPr>
          <t>SARRAZIN David:</t>
        </r>
        <r>
          <rPr>
            <sz val="8"/>
            <color indexed="81"/>
            <rFont val="Tahoma"/>
            <family val="2"/>
          </rPr>
          <t xml:space="preserve">
Mentionner ici l'article de l'AE prévoyant le versement de l'avance</t>
        </r>
      </text>
    </comment>
    <comment ref="F11" authorId="0" shapeId="0">
      <text>
        <r>
          <rPr>
            <b/>
            <sz val="8"/>
            <color indexed="81"/>
            <rFont val="Tahoma"/>
            <family val="2"/>
          </rPr>
          <t xml:space="preserve">SARRAZIN David:
</t>
        </r>
        <r>
          <rPr>
            <sz val="8"/>
            <color indexed="81"/>
            <rFont val="Tahoma"/>
            <family val="2"/>
          </rPr>
          <t>indiquer ici l'article mentionnant l'avance dans le CCAP</t>
        </r>
      </text>
    </comment>
    <comment ref="C12" authorId="0" shapeId="0">
      <text>
        <r>
          <rPr>
            <b/>
            <sz val="8"/>
            <color indexed="81"/>
            <rFont val="Tahoma"/>
            <family val="2"/>
          </rPr>
          <t>SARRAZIN David:</t>
        </r>
        <r>
          <rPr>
            <sz val="8"/>
            <color indexed="81"/>
            <rFont val="Tahoma"/>
            <family val="2"/>
          </rPr>
          <t xml:space="preserve">
Inidiquer si le marché est actualisable ou pas</t>
        </r>
      </text>
    </comment>
    <comment ref="E13" authorId="0" shapeId="0">
      <text>
        <r>
          <rPr>
            <b/>
            <sz val="8"/>
            <color indexed="81"/>
            <rFont val="Tahoma"/>
            <family val="2"/>
          </rPr>
          <t>SARRAZIN David:</t>
        </r>
        <r>
          <rPr>
            <sz val="8"/>
            <color indexed="81"/>
            <rFont val="Tahoma"/>
            <family val="2"/>
          </rPr>
          <t xml:space="preserve">
mentionner le mois Mo en format mm/aa
</t>
        </r>
      </text>
    </comment>
    <comment ref="G13" authorId="0" shapeId="0">
      <text>
        <r>
          <rPr>
            <b/>
            <sz val="8"/>
            <color indexed="81"/>
            <rFont val="Tahoma"/>
            <family val="2"/>
          </rPr>
          <t>SARRAZIN David:</t>
        </r>
        <r>
          <rPr>
            <sz val="8"/>
            <color indexed="81"/>
            <rFont val="Tahoma"/>
            <family val="2"/>
          </rPr>
          <t xml:space="preserve">
indiquer l'indice (ex : BT01)</t>
        </r>
      </text>
    </comment>
    <comment ref="G14" authorId="0" shapeId="0">
      <text>
        <r>
          <rPr>
            <b/>
            <sz val="8"/>
            <color indexed="81"/>
            <rFont val="Tahoma"/>
            <family val="2"/>
          </rPr>
          <t>SARRAZIN David:</t>
        </r>
        <r>
          <rPr>
            <sz val="8"/>
            <color indexed="81"/>
            <rFont val="Tahoma"/>
            <family val="2"/>
          </rPr>
          <t xml:space="preserve">
inidiquer le montant du Mo</t>
        </r>
      </text>
    </comment>
    <comment ref="B16" authorId="0" shapeId="0">
      <text>
        <r>
          <rPr>
            <b/>
            <sz val="8"/>
            <color indexed="81"/>
            <rFont val="Tahoma"/>
            <family val="2"/>
          </rPr>
          <t>SARRAZIN David:</t>
        </r>
        <r>
          <rPr>
            <sz val="8"/>
            <color indexed="81"/>
            <rFont val="Tahoma"/>
            <family val="2"/>
          </rPr>
          <t xml:space="preserve">
indiquer ici le montant de la TF et les TO affermies uniquement
</t>
        </r>
      </text>
    </comment>
    <comment ref="F38" authorId="0" shapeId="0">
      <text>
        <r>
          <rPr>
            <b/>
            <sz val="8"/>
            <color indexed="81"/>
            <rFont val="Tahoma"/>
            <family val="2"/>
          </rPr>
          <t>SARRAZIN David:</t>
        </r>
        <r>
          <rPr>
            <sz val="8"/>
            <color indexed="81"/>
            <rFont val="Tahoma"/>
            <family val="2"/>
          </rPr>
          <t xml:space="preserve">
indiquer si la tranche fait l'objet d'une avance
</t>
        </r>
      </text>
    </comment>
    <comment ref="G38"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38"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39"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41"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42"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42" authorId="0" shapeId="0">
      <text>
        <r>
          <rPr>
            <b/>
            <sz val="8"/>
            <color indexed="81"/>
            <rFont val="Tahoma"/>
            <family val="2"/>
          </rPr>
          <t>SARRAZIN David:</t>
        </r>
        <r>
          <rPr>
            <sz val="8"/>
            <color indexed="81"/>
            <rFont val="Tahoma"/>
            <family val="2"/>
          </rPr>
          <t xml:space="preserve">
Mentionner le nom du sous tritant
</t>
        </r>
      </text>
    </comment>
    <comment ref="G42" authorId="0" shapeId="0">
      <text>
        <r>
          <rPr>
            <b/>
            <sz val="8"/>
            <color indexed="81"/>
            <rFont val="Tahoma"/>
            <family val="2"/>
          </rPr>
          <t>SARRAZIN David:</t>
        </r>
        <r>
          <rPr>
            <sz val="8"/>
            <color indexed="81"/>
            <rFont val="Tahoma"/>
            <family val="2"/>
          </rPr>
          <t xml:space="preserve">
Mentionner le montant du DC4 par sous traitant
</t>
        </r>
      </text>
    </comment>
    <comment ref="F49" authorId="0" shapeId="0">
      <text>
        <r>
          <rPr>
            <b/>
            <sz val="8"/>
            <color indexed="81"/>
            <rFont val="Tahoma"/>
            <family val="2"/>
          </rPr>
          <t>SARRAZIN David:</t>
        </r>
        <r>
          <rPr>
            <sz val="8"/>
            <color indexed="81"/>
            <rFont val="Tahoma"/>
            <family val="2"/>
          </rPr>
          <t xml:space="preserve">
indiquer si la tranche fait l'objet d'une avance
</t>
        </r>
      </text>
    </comment>
    <comment ref="G49"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49"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50"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52"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61" authorId="0" shapeId="0">
      <text>
        <r>
          <rPr>
            <b/>
            <sz val="8"/>
            <color indexed="81"/>
            <rFont val="Tahoma"/>
            <family val="2"/>
          </rPr>
          <t>SARRAZIN David:</t>
        </r>
        <r>
          <rPr>
            <sz val="8"/>
            <color indexed="81"/>
            <rFont val="Tahoma"/>
            <family val="2"/>
          </rPr>
          <t xml:space="preserve">
indiquer si la tranche fait l'objet d'une avance
</t>
        </r>
      </text>
    </comment>
    <comment ref="G61"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61"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62"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64"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65"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65" authorId="0" shapeId="0">
      <text>
        <r>
          <rPr>
            <b/>
            <sz val="8"/>
            <color indexed="81"/>
            <rFont val="Tahoma"/>
            <family val="2"/>
          </rPr>
          <t>SARRAZIN David:</t>
        </r>
        <r>
          <rPr>
            <sz val="8"/>
            <color indexed="81"/>
            <rFont val="Tahoma"/>
            <family val="2"/>
          </rPr>
          <t xml:space="preserve">
Mentionner le nom du sous tritant
</t>
        </r>
      </text>
    </comment>
    <comment ref="G65" authorId="0" shapeId="0">
      <text>
        <r>
          <rPr>
            <b/>
            <sz val="8"/>
            <color indexed="81"/>
            <rFont val="Tahoma"/>
            <family val="2"/>
          </rPr>
          <t>SARRAZIN David:</t>
        </r>
        <r>
          <rPr>
            <sz val="8"/>
            <color indexed="81"/>
            <rFont val="Tahoma"/>
            <family val="2"/>
          </rPr>
          <t xml:space="preserve">
Mentionner le montant du DC4 par sous traitant
</t>
        </r>
      </text>
    </comment>
    <comment ref="F72" authorId="0" shapeId="0">
      <text>
        <r>
          <rPr>
            <b/>
            <sz val="8"/>
            <color indexed="81"/>
            <rFont val="Tahoma"/>
            <family val="2"/>
          </rPr>
          <t>SARRAZIN David:</t>
        </r>
        <r>
          <rPr>
            <sz val="8"/>
            <color indexed="81"/>
            <rFont val="Tahoma"/>
            <family val="2"/>
          </rPr>
          <t xml:space="preserve">
indiquer si la tranche fait l'objet d'une avance
</t>
        </r>
      </text>
    </comment>
    <comment ref="G7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7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7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75"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84" authorId="0" shapeId="0">
      <text>
        <r>
          <rPr>
            <b/>
            <sz val="8"/>
            <color indexed="81"/>
            <rFont val="Tahoma"/>
            <family val="2"/>
          </rPr>
          <t>SARRAZIN David:</t>
        </r>
        <r>
          <rPr>
            <sz val="8"/>
            <color indexed="81"/>
            <rFont val="Tahoma"/>
            <family val="2"/>
          </rPr>
          <t xml:space="preserve">
indiquer si la tranche fait l'objet d'une avance
</t>
        </r>
      </text>
    </comment>
    <comment ref="G84"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84"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85"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87"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88"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88" authorId="0" shapeId="0">
      <text>
        <r>
          <rPr>
            <b/>
            <sz val="8"/>
            <color indexed="81"/>
            <rFont val="Tahoma"/>
            <family val="2"/>
          </rPr>
          <t>SARRAZIN David:</t>
        </r>
        <r>
          <rPr>
            <sz val="8"/>
            <color indexed="81"/>
            <rFont val="Tahoma"/>
            <family val="2"/>
          </rPr>
          <t xml:space="preserve">
Mentionner le nom du sous tritant
</t>
        </r>
      </text>
    </comment>
    <comment ref="G88" authorId="0" shapeId="0">
      <text>
        <r>
          <rPr>
            <b/>
            <sz val="8"/>
            <color indexed="81"/>
            <rFont val="Tahoma"/>
            <family val="2"/>
          </rPr>
          <t>SARRAZIN David:</t>
        </r>
        <r>
          <rPr>
            <sz val="8"/>
            <color indexed="81"/>
            <rFont val="Tahoma"/>
            <family val="2"/>
          </rPr>
          <t xml:space="preserve">
Mentionner le montant du DC4 par sous traitant
</t>
        </r>
      </text>
    </comment>
    <comment ref="F95" authorId="0" shapeId="0">
      <text>
        <r>
          <rPr>
            <b/>
            <sz val="8"/>
            <color indexed="81"/>
            <rFont val="Tahoma"/>
            <family val="2"/>
          </rPr>
          <t>SARRAZIN David:</t>
        </r>
        <r>
          <rPr>
            <sz val="8"/>
            <color indexed="81"/>
            <rFont val="Tahoma"/>
            <family val="2"/>
          </rPr>
          <t xml:space="preserve">
indiquer si la tranche fait l'objet d'une avance
</t>
        </r>
      </text>
    </comment>
    <comment ref="G95"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95"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96"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9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07" authorId="0" shapeId="0">
      <text>
        <r>
          <rPr>
            <b/>
            <sz val="8"/>
            <color indexed="81"/>
            <rFont val="Tahoma"/>
            <family val="2"/>
          </rPr>
          <t>SARRAZIN David:</t>
        </r>
        <r>
          <rPr>
            <sz val="8"/>
            <color indexed="81"/>
            <rFont val="Tahoma"/>
            <family val="2"/>
          </rPr>
          <t xml:space="preserve">
indiquer si la tranche fait l'objet d'une avance
</t>
        </r>
      </text>
    </comment>
    <comment ref="G107"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07"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08"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10"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11"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11" authorId="0" shapeId="0">
      <text>
        <r>
          <rPr>
            <b/>
            <sz val="8"/>
            <color indexed="81"/>
            <rFont val="Tahoma"/>
            <family val="2"/>
          </rPr>
          <t>SARRAZIN David:</t>
        </r>
        <r>
          <rPr>
            <sz val="8"/>
            <color indexed="81"/>
            <rFont val="Tahoma"/>
            <family val="2"/>
          </rPr>
          <t xml:space="preserve">
Mentionner le nom du sous tritant
</t>
        </r>
      </text>
    </comment>
    <comment ref="G111" authorId="0" shapeId="0">
      <text>
        <r>
          <rPr>
            <b/>
            <sz val="8"/>
            <color indexed="81"/>
            <rFont val="Tahoma"/>
            <family val="2"/>
          </rPr>
          <t>SARRAZIN David:</t>
        </r>
        <r>
          <rPr>
            <sz val="8"/>
            <color indexed="81"/>
            <rFont val="Tahoma"/>
            <family val="2"/>
          </rPr>
          <t xml:space="preserve">
Mentionner le montant du DC4 par sous traitant
</t>
        </r>
      </text>
    </comment>
    <comment ref="F118" authorId="0" shapeId="0">
      <text>
        <r>
          <rPr>
            <b/>
            <sz val="8"/>
            <color indexed="81"/>
            <rFont val="Tahoma"/>
            <family val="2"/>
          </rPr>
          <t>SARRAZIN David:</t>
        </r>
        <r>
          <rPr>
            <sz val="8"/>
            <color indexed="81"/>
            <rFont val="Tahoma"/>
            <family val="2"/>
          </rPr>
          <t xml:space="preserve">
indiquer si la tranche fait l'objet d'une avance
</t>
        </r>
      </text>
    </comment>
    <comment ref="G118"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18"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19"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2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30" authorId="0" shapeId="0">
      <text>
        <r>
          <rPr>
            <b/>
            <sz val="8"/>
            <color indexed="81"/>
            <rFont val="Tahoma"/>
            <family val="2"/>
          </rPr>
          <t>SARRAZIN David:</t>
        </r>
        <r>
          <rPr>
            <sz val="8"/>
            <color indexed="81"/>
            <rFont val="Tahoma"/>
            <family val="2"/>
          </rPr>
          <t xml:space="preserve">
indiquer si la tranche fait l'objet d'une avance
</t>
        </r>
      </text>
    </comment>
    <comment ref="G130"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30"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31"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33"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34"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34" authorId="0" shapeId="0">
      <text>
        <r>
          <rPr>
            <b/>
            <sz val="8"/>
            <color indexed="81"/>
            <rFont val="Tahoma"/>
            <family val="2"/>
          </rPr>
          <t>SARRAZIN David:</t>
        </r>
        <r>
          <rPr>
            <sz val="8"/>
            <color indexed="81"/>
            <rFont val="Tahoma"/>
            <family val="2"/>
          </rPr>
          <t xml:space="preserve">
Mentionner le nom du sous tritant
</t>
        </r>
      </text>
    </comment>
    <comment ref="G134" authorId="0" shapeId="0">
      <text>
        <r>
          <rPr>
            <b/>
            <sz val="8"/>
            <color indexed="81"/>
            <rFont val="Tahoma"/>
            <family val="2"/>
          </rPr>
          <t>SARRAZIN David:</t>
        </r>
        <r>
          <rPr>
            <sz val="8"/>
            <color indexed="81"/>
            <rFont val="Tahoma"/>
            <family val="2"/>
          </rPr>
          <t xml:space="preserve">
Mentionner le montant du DC4 par sous traitant
</t>
        </r>
      </text>
    </comment>
    <comment ref="F141" authorId="0" shapeId="0">
      <text>
        <r>
          <rPr>
            <b/>
            <sz val="8"/>
            <color indexed="81"/>
            <rFont val="Tahoma"/>
            <family val="2"/>
          </rPr>
          <t>SARRAZIN David:</t>
        </r>
        <r>
          <rPr>
            <sz val="8"/>
            <color indexed="81"/>
            <rFont val="Tahoma"/>
            <family val="2"/>
          </rPr>
          <t xml:space="preserve">
indiquer si la tranche fait l'objet d'une avance
</t>
        </r>
      </text>
    </comment>
    <comment ref="G141"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41"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42"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4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53" authorId="0" shapeId="0">
      <text>
        <r>
          <rPr>
            <b/>
            <sz val="8"/>
            <color indexed="81"/>
            <rFont val="Tahoma"/>
            <family val="2"/>
          </rPr>
          <t>SARRAZIN David:</t>
        </r>
        <r>
          <rPr>
            <sz val="8"/>
            <color indexed="81"/>
            <rFont val="Tahoma"/>
            <family val="2"/>
          </rPr>
          <t xml:space="preserve">
indiquer si la tranche fait l'objet d'une avance
</t>
        </r>
      </text>
    </comment>
    <comment ref="G153"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53"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54"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56"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57"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57" authorId="0" shapeId="0">
      <text>
        <r>
          <rPr>
            <b/>
            <sz val="8"/>
            <color indexed="81"/>
            <rFont val="Tahoma"/>
            <family val="2"/>
          </rPr>
          <t>SARRAZIN David:</t>
        </r>
        <r>
          <rPr>
            <sz val="8"/>
            <color indexed="81"/>
            <rFont val="Tahoma"/>
            <family val="2"/>
          </rPr>
          <t xml:space="preserve">
Mentionner le nom du sous tritant
</t>
        </r>
      </text>
    </comment>
    <comment ref="G157" authorId="0" shapeId="0">
      <text>
        <r>
          <rPr>
            <b/>
            <sz val="8"/>
            <color indexed="81"/>
            <rFont val="Tahoma"/>
            <family val="2"/>
          </rPr>
          <t>SARRAZIN David:</t>
        </r>
        <r>
          <rPr>
            <sz val="8"/>
            <color indexed="81"/>
            <rFont val="Tahoma"/>
            <family val="2"/>
          </rPr>
          <t xml:space="preserve">
Mentionner le montant du DC4 par sous traitant
</t>
        </r>
      </text>
    </comment>
    <comment ref="F164" authorId="0" shapeId="0">
      <text>
        <r>
          <rPr>
            <b/>
            <sz val="8"/>
            <color indexed="81"/>
            <rFont val="Tahoma"/>
            <family val="2"/>
          </rPr>
          <t>SARRAZIN David:</t>
        </r>
        <r>
          <rPr>
            <sz val="8"/>
            <color indexed="81"/>
            <rFont val="Tahoma"/>
            <family val="2"/>
          </rPr>
          <t xml:space="preserve">
indiquer si la tranche fait l'objet d'une avance
</t>
        </r>
      </text>
    </comment>
    <comment ref="G164"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64"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65"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6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76" authorId="0" shapeId="0">
      <text>
        <r>
          <rPr>
            <b/>
            <sz val="8"/>
            <color indexed="81"/>
            <rFont val="Tahoma"/>
            <family val="2"/>
          </rPr>
          <t>SARRAZIN David:</t>
        </r>
        <r>
          <rPr>
            <sz val="8"/>
            <color indexed="81"/>
            <rFont val="Tahoma"/>
            <family val="2"/>
          </rPr>
          <t xml:space="preserve">
indiquer si la tranche fait l'objet d'une avance
</t>
        </r>
      </text>
    </comment>
    <comment ref="G176"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76"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77"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79"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80"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80" authorId="0" shapeId="0">
      <text>
        <r>
          <rPr>
            <b/>
            <sz val="8"/>
            <color indexed="81"/>
            <rFont val="Tahoma"/>
            <family val="2"/>
          </rPr>
          <t>SARRAZIN David:</t>
        </r>
        <r>
          <rPr>
            <sz val="8"/>
            <color indexed="81"/>
            <rFont val="Tahoma"/>
            <family val="2"/>
          </rPr>
          <t xml:space="preserve">
Mentionner le nom du sous tritant
</t>
        </r>
      </text>
    </comment>
    <comment ref="G180" authorId="0" shapeId="0">
      <text>
        <r>
          <rPr>
            <b/>
            <sz val="8"/>
            <color indexed="81"/>
            <rFont val="Tahoma"/>
            <family val="2"/>
          </rPr>
          <t>SARRAZIN David:</t>
        </r>
        <r>
          <rPr>
            <sz val="8"/>
            <color indexed="81"/>
            <rFont val="Tahoma"/>
            <family val="2"/>
          </rPr>
          <t xml:space="preserve">
Mentionner le montant du DC4 par sous traitant
</t>
        </r>
      </text>
    </comment>
    <comment ref="F187" authorId="0" shapeId="0">
      <text>
        <r>
          <rPr>
            <b/>
            <sz val="8"/>
            <color indexed="81"/>
            <rFont val="Tahoma"/>
            <family val="2"/>
          </rPr>
          <t>SARRAZIN David:</t>
        </r>
        <r>
          <rPr>
            <sz val="8"/>
            <color indexed="81"/>
            <rFont val="Tahoma"/>
            <family val="2"/>
          </rPr>
          <t xml:space="preserve">
indiquer si la tranche fait l'objet d'une avance
</t>
        </r>
      </text>
    </comment>
    <comment ref="G187"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87"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88"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90"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99"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B203"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G203" authorId="0" shapeId="0">
      <text>
        <r>
          <rPr>
            <b/>
            <sz val="8"/>
            <color indexed="81"/>
            <rFont val="Tahoma"/>
            <family val="2"/>
          </rPr>
          <t>SARRAZIN David:</t>
        </r>
        <r>
          <rPr>
            <sz val="8"/>
            <color indexed="81"/>
            <rFont val="Tahoma"/>
            <family val="2"/>
          </rPr>
          <t xml:space="preserve">
Mentionner le montant du DC4 par sous traitant
</t>
        </r>
      </text>
    </comment>
    <comment ref="F211"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List>
</comments>
</file>

<file path=xl/comments2.xml><?xml version="1.0" encoding="utf-8"?>
<comments xmlns="http://schemas.openxmlformats.org/spreadsheetml/2006/main">
  <authors>
    <author>SARRAZIN David</author>
  </authors>
  <commentList>
    <comment ref="C147" authorId="0" shapeId="0">
      <text>
        <r>
          <rPr>
            <b/>
            <sz val="8"/>
            <color indexed="81"/>
            <rFont val="Tahoma"/>
            <family val="2"/>
          </rPr>
          <t>SARRAZIN David:</t>
        </r>
        <r>
          <rPr>
            <sz val="8"/>
            <color indexed="81"/>
            <rFont val="Tahoma"/>
            <family val="2"/>
          </rPr>
          <t xml:space="preserve">
</t>
        </r>
        <r>
          <rPr>
            <b/>
            <sz val="8"/>
            <color indexed="81"/>
            <rFont val="Tahoma"/>
            <family val="2"/>
          </rPr>
          <t>le montant de l'avance une fois versée ne doit pas être modifiée</t>
        </r>
        <r>
          <rPr>
            <sz val="8"/>
            <color indexed="81"/>
            <rFont val="Tahoma"/>
            <family val="2"/>
          </rPr>
          <t>. Utiliser la ligne 1a en cas de restitution suite DC4</t>
        </r>
      </text>
    </comment>
    <comment ref="D147" authorId="0" shapeId="0">
      <text>
        <r>
          <rPr>
            <b/>
            <sz val="8"/>
            <color indexed="81"/>
            <rFont val="Tahoma"/>
            <family val="2"/>
          </rPr>
          <t>SARRAZIN David:</t>
        </r>
        <r>
          <rPr>
            <sz val="8"/>
            <color indexed="81"/>
            <rFont val="Tahoma"/>
            <family val="2"/>
          </rPr>
          <t xml:space="preserve">
à griser à partir du PV2
</t>
        </r>
      </text>
    </comment>
    <comment ref="C148" authorId="0" shapeId="0">
      <text>
        <r>
          <rPr>
            <b/>
            <sz val="8"/>
            <color indexed="81"/>
            <rFont val="Tahoma"/>
            <family val="2"/>
          </rPr>
          <t>SARRAZIN David:</t>
        </r>
        <r>
          <rPr>
            <sz val="8"/>
            <color indexed="81"/>
            <rFont val="Tahoma"/>
            <family val="2"/>
          </rPr>
          <t xml:space="preserve">
mentionner un montant positif calculé sur la base de la feuille RESTITUTIION AVANCE SUITE DC4
</t>
        </r>
      </text>
    </comment>
    <comment ref="D162" authorId="0" shapeId="0">
      <text>
        <r>
          <rPr>
            <b/>
            <sz val="48"/>
            <color indexed="81"/>
            <rFont val="Tahoma"/>
            <family val="2"/>
          </rPr>
          <t>SARRAZIN David:</t>
        </r>
        <r>
          <rPr>
            <sz val="48"/>
            <color indexed="81"/>
            <rFont val="Tahoma"/>
            <family val="2"/>
          </rPr>
          <t xml:space="preserve">
à griser à partir du PV2</t>
        </r>
      </text>
    </comment>
    <comment ref="C169" authorId="0" shapeId="0">
      <text>
        <r>
          <rPr>
            <b/>
            <sz val="8"/>
            <color indexed="81"/>
            <rFont val="Tahoma"/>
            <family val="2"/>
          </rPr>
          <t>SARRAZIN David:</t>
        </r>
        <r>
          <rPr>
            <sz val="8"/>
            <color indexed="81"/>
            <rFont val="Tahoma"/>
            <family val="2"/>
          </rPr>
          <t xml:space="preserve">
</t>
        </r>
        <r>
          <rPr>
            <b/>
            <sz val="8"/>
            <color indexed="81"/>
            <rFont val="Tahoma"/>
            <family val="2"/>
          </rPr>
          <t>le montant de l'avance une fois versée ne doit pas être modifiée</t>
        </r>
        <r>
          <rPr>
            <sz val="8"/>
            <color indexed="81"/>
            <rFont val="Tahoma"/>
            <family val="2"/>
          </rPr>
          <t>. Utiliser la ligne 1a en cas de restitution suite DC4</t>
        </r>
      </text>
    </comment>
    <comment ref="D169" authorId="0" shapeId="0">
      <text>
        <r>
          <rPr>
            <b/>
            <sz val="8"/>
            <color indexed="81"/>
            <rFont val="Tahoma"/>
            <family val="2"/>
          </rPr>
          <t>SARRAZIN David:</t>
        </r>
        <r>
          <rPr>
            <sz val="8"/>
            <color indexed="81"/>
            <rFont val="Tahoma"/>
            <family val="2"/>
          </rPr>
          <t xml:space="preserve">
à griser à partir du PV2
</t>
        </r>
      </text>
    </comment>
    <comment ref="C170" authorId="0" shapeId="0">
      <text>
        <r>
          <rPr>
            <b/>
            <sz val="8"/>
            <color indexed="81"/>
            <rFont val="Tahoma"/>
            <family val="2"/>
          </rPr>
          <t>SARRAZIN David:</t>
        </r>
        <r>
          <rPr>
            <sz val="8"/>
            <color indexed="81"/>
            <rFont val="Tahoma"/>
            <family val="2"/>
          </rPr>
          <t xml:space="preserve">
mentionner un montant positif calculé sur la base de la feuille RESTITUTIION AVANCE SUITE DC4
</t>
        </r>
      </text>
    </comment>
    <comment ref="D184" authorId="0" shapeId="0">
      <text>
        <r>
          <rPr>
            <b/>
            <sz val="48"/>
            <color indexed="81"/>
            <rFont val="Tahoma"/>
            <family val="2"/>
          </rPr>
          <t>SARRAZIN David:</t>
        </r>
        <r>
          <rPr>
            <sz val="48"/>
            <color indexed="81"/>
            <rFont val="Tahoma"/>
            <family val="2"/>
          </rPr>
          <t xml:space="preserve">
à griser à partir du PV2</t>
        </r>
      </text>
    </comment>
    <comment ref="C222" authorId="0" shapeId="0">
      <text>
        <r>
          <rPr>
            <b/>
            <sz val="8"/>
            <color indexed="81"/>
            <rFont val="Tahoma"/>
            <family val="2"/>
          </rPr>
          <t>SARRAZIN David:</t>
        </r>
        <r>
          <rPr>
            <sz val="8"/>
            <color indexed="81"/>
            <rFont val="Tahoma"/>
            <family val="2"/>
          </rPr>
          <t xml:space="preserve">
ATTENTION LIGNE 2 (si pas de RG) ou 3 si il y a RG
</t>
        </r>
      </text>
    </comment>
    <comment ref="C227" authorId="0" shapeId="0">
      <text>
        <r>
          <rPr>
            <b/>
            <sz val="8"/>
            <color indexed="81"/>
            <rFont val="Tahoma"/>
            <family val="2"/>
          </rPr>
          <t>SARRAZIN David:</t>
        </r>
        <r>
          <rPr>
            <sz val="8"/>
            <color indexed="81"/>
            <rFont val="Tahoma"/>
            <family val="2"/>
          </rPr>
          <t xml:space="preserve">
ATTENTION LIGNE 2 (si pas de RG) ou 3 si il y a RG
</t>
        </r>
      </text>
    </comment>
    <comment ref="C332"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 ref="F336" authorId="0" shapeId="0">
      <text>
        <r>
          <rPr>
            <b/>
            <sz val="48"/>
            <color indexed="81"/>
            <rFont val="Tahoma"/>
            <family val="2"/>
          </rPr>
          <t>SARRAZIN David:</t>
        </r>
        <r>
          <rPr>
            <sz val="48"/>
            <color indexed="81"/>
            <rFont val="Tahoma"/>
            <family val="2"/>
          </rPr>
          <t xml:space="preserve">
17
-somme des montants à payer sur les autres prestataires
</t>
        </r>
      </text>
    </comment>
  </commentList>
</comments>
</file>

<file path=xl/sharedStrings.xml><?xml version="1.0" encoding="utf-8"?>
<sst xmlns="http://schemas.openxmlformats.org/spreadsheetml/2006/main" count="1343" uniqueCount="663">
  <si>
    <t>CERTIFICAT DE PAIEMENT N°</t>
  </si>
  <si>
    <t>Titulaire</t>
  </si>
  <si>
    <t>Opération :</t>
  </si>
  <si>
    <t>Titulaire :</t>
  </si>
  <si>
    <t>n° marché :</t>
  </si>
  <si>
    <t>n°engagement :</t>
  </si>
  <si>
    <t>ECONOMIE GENERALE DU CONTRAT</t>
  </si>
  <si>
    <t>Taux de TVA</t>
  </si>
  <si>
    <t>Tranche ferme HT</t>
  </si>
  <si>
    <t>Tranche optionnelle 1 HT</t>
  </si>
  <si>
    <t>Tranche optionnelle 2 HT</t>
  </si>
  <si>
    <t>Tranche optionnelle 3 HT</t>
  </si>
  <si>
    <t>Montant OS et avenants HT</t>
  </si>
  <si>
    <t>Sous total HT</t>
  </si>
  <si>
    <t>Montant TVA</t>
  </si>
  <si>
    <t>Sous total TTC</t>
  </si>
  <si>
    <t>TOTAL TTC</t>
  </si>
  <si>
    <t>CALCUL DE L'ACOMPTE</t>
  </si>
  <si>
    <t>Avance HT</t>
  </si>
  <si>
    <t>Tranche Ferme HT</t>
  </si>
  <si>
    <t>TO 1 HT</t>
  </si>
  <si>
    <t>TO 2 HT</t>
  </si>
  <si>
    <t>TO 3 HT</t>
  </si>
  <si>
    <t>Mensuel</t>
  </si>
  <si>
    <t>VENTILATION PAR ENTITES € HT</t>
  </si>
  <si>
    <t>Type</t>
  </si>
  <si>
    <t>Nom</t>
  </si>
  <si>
    <t>janvier</t>
  </si>
  <si>
    <t>février</t>
  </si>
  <si>
    <t>mars</t>
  </si>
  <si>
    <t>avril</t>
  </si>
  <si>
    <t>mai</t>
  </si>
  <si>
    <t>juin</t>
  </si>
  <si>
    <t>juillet</t>
  </si>
  <si>
    <t>août</t>
  </si>
  <si>
    <t>septembre</t>
  </si>
  <si>
    <t>octobre</t>
  </si>
  <si>
    <t>novembre</t>
  </si>
  <si>
    <t>décembre</t>
  </si>
  <si>
    <t>actualisation</t>
  </si>
  <si>
    <t>Révision</t>
  </si>
  <si>
    <t>TVA avance</t>
  </si>
  <si>
    <t>TVA actualisation</t>
  </si>
  <si>
    <t>TVA révision</t>
  </si>
  <si>
    <t>GAPD</t>
  </si>
  <si>
    <t>Retenue de pénalités provisoires TTC</t>
  </si>
  <si>
    <t>Cumul général</t>
  </si>
  <si>
    <t>Mandats émis antérieurement</t>
  </si>
  <si>
    <t>S</t>
  </si>
  <si>
    <t>dont Tiulaire</t>
  </si>
  <si>
    <t>dont Sous-traitant</t>
  </si>
  <si>
    <t>dont Co-traitant</t>
  </si>
  <si>
    <t>nom</t>
  </si>
  <si>
    <t>Co-traitant</t>
  </si>
  <si>
    <t>total</t>
  </si>
  <si>
    <t>Lycée / site :</t>
  </si>
  <si>
    <t>Réfaction</t>
  </si>
  <si>
    <t>Montant cumulé HT</t>
  </si>
  <si>
    <t>restant du HT</t>
  </si>
  <si>
    <t>Lycée</t>
  </si>
  <si>
    <t>"ÉDOUARD BRANLY"</t>
  </si>
  <si>
    <t>"LE VERGER"</t>
  </si>
  <si>
    <t>"MARCELIN BERTHELOT"</t>
  </si>
  <si>
    <t>"ANDRÉ THEURIET"</t>
  </si>
  <si>
    <t>"LES TERRES ROUGES"</t>
  </si>
  <si>
    <t>"PILOTE INNOVANT INTERNATIONAL"</t>
  </si>
  <si>
    <t>"GUY CHAUVET"</t>
  </si>
  <si>
    <t>"MARC GODRIE"</t>
  </si>
  <si>
    <t>EREA</t>
  </si>
  <si>
    <t>"ANNE FRANK"</t>
  </si>
  <si>
    <t>"JEAN-MARIE BOULOUX"</t>
  </si>
  <si>
    <t>"JEAN MOULIN"</t>
  </si>
  <si>
    <t>"RAOUL MORTIER"</t>
  </si>
  <si>
    <t>"ALIÉNOR D'AQUITAINE"</t>
  </si>
  <si>
    <t>"AUGUSTE PERRET"</t>
  </si>
  <si>
    <t>"CAMILLE GUÉRIN"</t>
  </si>
  <si>
    <t>"KYOTO"</t>
  </si>
  <si>
    <t>"LE BOIS D'AMOUR"</t>
  </si>
  <si>
    <t>"LE DOLMEN"</t>
  </si>
  <si>
    <t>"NELSON MANDELA"</t>
  </si>
  <si>
    <t>"RÉAUMUR"</t>
  </si>
  <si>
    <t>"VICTOR HUGO"</t>
  </si>
  <si>
    <t>"XAVIER BERNARD"</t>
  </si>
  <si>
    <t>"DANIÈLE MATHIRON"</t>
  </si>
  <si>
    <t>lycée</t>
  </si>
  <si>
    <t>"LÉONARD DE VINCI"</t>
  </si>
  <si>
    <t>"LES SICAUDIÈRES"</t>
  </si>
  <si>
    <t>"MAURICE GENEVOIX"/"SIMONE SIGNORET"</t>
  </si>
  <si>
    <t>"JEAN-FRANCOIS CAIL"</t>
  </si>
  <si>
    <t>"JACQUES BUJAULT"</t>
  </si>
  <si>
    <t>"JOSEPH DESFONTAINES"</t>
  </si>
  <si>
    <t>"GASTON BARRÉ"</t>
  </si>
  <si>
    <t>"GASTON CHAISSAC"</t>
  </si>
  <si>
    <t>"JEAN MACÉ"</t>
  </si>
  <si>
    <t>"LA VENISE VERTE"</t>
  </si>
  <si>
    <t>"PAUL GUERIN"</t>
  </si>
  <si>
    <t>"THOMAS-JEAN MAIN"</t>
  </si>
  <si>
    <t>"ERNEST PÉROCHON"</t>
  </si>
  <si>
    <t>"LES GRIPPEAUX"</t>
  </si>
  <si>
    <t>"FRANCOISE DOLTO"</t>
  </si>
  <si>
    <t>"HAUT VAL DE SÈVRE"</t>
  </si>
  <si>
    <t>"J.MOULIN"(79)</t>
  </si>
  <si>
    <t>"DE LA MER ET DU LITTORAL"</t>
  </si>
  <si>
    <t>"JEAN HYPPOLITE"</t>
  </si>
  <si>
    <t>"LE RENAUDIN"</t>
  </si>
  <si>
    <t>"JEAN DAUTET"</t>
  </si>
  <si>
    <t>"LÉONCE VIELJEUX"</t>
  </si>
  <si>
    <t>"HOTELIER DU PARC DE LA FRANCOPHONIE"</t>
  </si>
  <si>
    <t>"PIERRE DORIOLE"</t>
  </si>
  <si>
    <t>"RENÉ-JOSUÉ VALIN"</t>
  </si>
  <si>
    <t>"ROMPSAY"</t>
  </si>
  <si>
    <t>"ANTOINE DE SAINT EXUPÉRY"</t>
  </si>
  <si>
    <t>"EMILE COMBES"</t>
  </si>
  <si>
    <t>"GILLES JAMAIN"</t>
  </si>
  <si>
    <t>"MARCEL DASSAULT"</t>
  </si>
  <si>
    <t>"MAURICE MERLEAU PONTY"</t>
  </si>
  <si>
    <t>de "L'ATLANTIQUE"</t>
  </si>
  <si>
    <t>"CORDOUAN"</t>
  </si>
  <si>
    <t>"BELLEVUE"</t>
  </si>
  <si>
    <t>"BERNARD PALISSY"</t>
  </si>
  <si>
    <t>"LE PETIT CHADIGNAC"</t>
  </si>
  <si>
    <t>"THÉODORE MONOD"</t>
  </si>
  <si>
    <t>"BLAISE PASCAL"</t>
  </si>
  <si>
    <t>"LOUIS-AUDOUIN DUBREUIL"</t>
  </si>
  <si>
    <t>"ENILIA-ENSMIC"</t>
  </si>
  <si>
    <t>"GEORGES DESCLAUDES"</t>
  </si>
  <si>
    <t>"MARITIME ET ACQUACOLE"</t>
  </si>
  <si>
    <t>"PAYS D'AUNIS"</t>
  </si>
  <si>
    <t>"CHARLES-AUGUSTIN COULOMB"</t>
  </si>
  <si>
    <t>"GUEZ DE BALZAC"</t>
  </si>
  <si>
    <t>"DE L'IMAGE ET DU SON"</t>
  </si>
  <si>
    <t>"JEAN ROSTAND"</t>
  </si>
  <si>
    <t>"MARGUERITE DE VALOIS"</t>
  </si>
  <si>
    <t>"DE SILLAC"</t>
  </si>
  <si>
    <t>"ÉLIE VINET"</t>
  </si>
  <si>
    <t>"FÉLIX GAILLARD"</t>
  </si>
  <si>
    <t>"PIERRE-ANDRÉ CHABANNE"</t>
  </si>
  <si>
    <t>"JEAN MONNET"</t>
  </si>
  <si>
    <t>"LOUIS DELAGE"</t>
  </si>
  <si>
    <t>"ÉMILE ROUX"</t>
  </si>
  <si>
    <t>"L'OISELLERIE"</t>
  </si>
  <si>
    <t>"LES CHIRONS"</t>
  </si>
  <si>
    <t>"JEAN CAILLAUD"</t>
  </si>
  <si>
    <t>"LOUISE MICHEL"</t>
  </si>
  <si>
    <t>"JEAN-ALBERT GRÉGOIRE"</t>
  </si>
  <si>
    <t>DGD</t>
  </si>
  <si>
    <t>TVA remboursement avance
(avancement travaux)</t>
  </si>
  <si>
    <t>Titu</t>
  </si>
  <si>
    <t>ST TVA autoliquidée</t>
  </si>
  <si>
    <t>ST TVA non-autoliquidée</t>
  </si>
  <si>
    <t>Autres retenues provisoires TTC</t>
  </si>
  <si>
    <t>Sous-Total TTC 5 + 8</t>
  </si>
  <si>
    <t>département</t>
  </si>
  <si>
    <t>au</t>
  </si>
  <si>
    <t>à l'</t>
  </si>
  <si>
    <t>_16</t>
  </si>
  <si>
    <t>_17</t>
  </si>
  <si>
    <t>_79</t>
  </si>
  <si>
    <t>_86</t>
  </si>
  <si>
    <t>montant après ST</t>
  </si>
  <si>
    <t>ACTUALISATION</t>
  </si>
  <si>
    <t>REVISION</t>
  </si>
  <si>
    <t>TABLEAU DE REVISION TITULAIRE</t>
  </si>
  <si>
    <t>SITUATIONS</t>
  </si>
  <si>
    <t>MOIS EXECUTION TRAVAUX</t>
  </si>
  <si>
    <t>Coeff de révisions</t>
  </si>
  <si>
    <t>arrondi</t>
  </si>
  <si>
    <t>D</t>
  </si>
  <si>
    <t>P</t>
  </si>
  <si>
    <t>TOTAL</t>
  </si>
  <si>
    <t>TVA</t>
  </si>
  <si>
    <t>(p) : index provisoire</t>
  </si>
  <si>
    <t>D : index définitif</t>
  </si>
  <si>
    <t>TABLEAU DE REVISION CO-TRAITANT</t>
  </si>
  <si>
    <t>OUI</t>
  </si>
  <si>
    <t>NON</t>
  </si>
  <si>
    <t>Montant intial TVA</t>
  </si>
  <si>
    <t>Indiquer à droite les montants des sous traitants HT</t>
  </si>
  <si>
    <t>Tranche FERME</t>
  </si>
  <si>
    <t>Cotraitant</t>
  </si>
  <si>
    <t>TOTAL (3b + 4)</t>
  </si>
  <si>
    <t>Objet :</t>
  </si>
  <si>
    <t>AE</t>
  </si>
  <si>
    <t>CCAP</t>
  </si>
  <si>
    <t>l'article 3</t>
  </si>
  <si>
    <t>l'article 4</t>
  </si>
  <si>
    <t>l'article 5</t>
  </si>
  <si>
    <t>l'article 6</t>
  </si>
  <si>
    <t>l'article 7</t>
  </si>
  <si>
    <t>Montant initial TVA</t>
  </si>
  <si>
    <t>Tranche Ferme</t>
  </si>
  <si>
    <t>Tranche Optionnelle 1</t>
  </si>
  <si>
    <t>Tranche Optionnelle 2</t>
  </si>
  <si>
    <t>OS et avenants</t>
  </si>
  <si>
    <t>S HT</t>
  </si>
  <si>
    <t>reste à repartir</t>
  </si>
  <si>
    <t>Mo</t>
  </si>
  <si>
    <t>Nom indice</t>
  </si>
  <si>
    <t>TVA restitution avance suite DC4 (pour info)</t>
  </si>
  <si>
    <t>Montant TRVX réalisé TVA</t>
  </si>
  <si>
    <t>Montant Révision TVA</t>
  </si>
  <si>
    <t>P/D</t>
  </si>
  <si>
    <t>avance</t>
  </si>
  <si>
    <t>_19</t>
  </si>
  <si>
    <t>_23</t>
  </si>
  <si>
    <t>_87</t>
  </si>
  <si>
    <t>"D'ARSONVAL"</t>
  </si>
  <si>
    <t>"MARCEL BARBENCEYS"</t>
  </si>
  <si>
    <t>"BORT ARTENSE"</t>
  </si>
  <si>
    <t>"GEORGES CABANIS"</t>
  </si>
  <si>
    <t>"PIERRE CARAMINOT"</t>
  </si>
  <si>
    <t>"RENE CASSIN"</t>
  </si>
  <si>
    <t>"DANTON"</t>
  </si>
  <si>
    <t>"LAVOISIER"</t>
  </si>
  <si>
    <t>"DES MILLES SOURCES"</t>
  </si>
  <si>
    <t>"EDMOND PERRIER"</t>
  </si>
  <si>
    <t>"BERNART DE VENTADOUR"</t>
  </si>
  <si>
    <t>"BRIVE-VOUTEZAC"</t>
  </si>
  <si>
    <t>"DE HAUTE CORREZE"</t>
  </si>
  <si>
    <t>"EDGARD PISANI"</t>
  </si>
  <si>
    <t>"PIERRE BOURDAN"</t>
  </si>
  <si>
    <t>"JEAN FAVARD"</t>
  </si>
  <si>
    <t>"DES METIERS ET DU BATIMENT DE FELLETIN"</t>
  </si>
  <si>
    <t>"DELHPINE GAY"</t>
  </si>
  <si>
    <t>"EUGENE JAMOT"</t>
  </si>
  <si>
    <t>"JEAN JAURES"</t>
  </si>
  <si>
    <t>"RAYMOND LOEWY"</t>
  </si>
  <si>
    <t>"GASTON ROUSSILAT"</t>
  </si>
  <si>
    <t>"D'AHUN"</t>
  </si>
  <si>
    <t>"MARYSE BASTIE"</t>
  </si>
  <si>
    <t>"BAPTISTE DARNET"</t>
  </si>
  <si>
    <t>"DAUTRY"</t>
  </si>
  <si>
    <t>"PAUL EUARD"</t>
  </si>
  <si>
    <t>"GAY LUSSAC"</t>
  </si>
  <si>
    <t>"JEAN GIRAUOUX"</t>
  </si>
  <si>
    <t>"LEONARD LIMOSIN"</t>
  </si>
  <si>
    <t>"LE MAS JAMBOST"</t>
  </si>
  <si>
    <t>"MARTIN NADAUD"</t>
  </si>
  <si>
    <t>"MARCEL PAGNOL"</t>
  </si>
  <si>
    <t>"AUGUSTE RENOIR"</t>
  </si>
  <si>
    <t>"GEORGES SAND"</t>
  </si>
  <si>
    <t>"TURGOT"</t>
  </si>
  <si>
    <t>"EDOUARD VAILLANT"</t>
  </si>
  <si>
    <t>"SUZANNE VALANDON"</t>
  </si>
  <si>
    <t>"DE SAINT YRIEZIX DE LA PERCHE"</t>
  </si>
  <si>
    <t>"DE LIMOGES ET DU NORD HAUTE VIENNE" (MAGNAC LAVAL")</t>
  </si>
  <si>
    <t>"DE LIMOGES ET DU NORD HAUTE VIENNE" (LES VASEIX")</t>
  </si>
  <si>
    <t>Sans Objet</t>
  </si>
  <si>
    <t>Soit un acompte total de</t>
  </si>
  <si>
    <t>DGD suite à Révision définitive</t>
  </si>
  <si>
    <t>RG</t>
  </si>
  <si>
    <t>Sureté INITIALE (RG / GAPD / Sans objet)</t>
  </si>
  <si>
    <t>Sureté MODIFICATIVE (RG / GAPD)</t>
  </si>
  <si>
    <t>Retenue de Garantie tranche ferme</t>
  </si>
  <si>
    <t>GAPD tranche ferme</t>
  </si>
  <si>
    <t>RG tranche ferme remplacée par GAPD</t>
  </si>
  <si>
    <t>Retenue de Garantie TO 1</t>
  </si>
  <si>
    <t>GAPD TO 1</t>
  </si>
  <si>
    <t>RG TO1 remplacée par GAPD</t>
  </si>
  <si>
    <t>Retenue de Garantie TO 2</t>
  </si>
  <si>
    <t>GAPD TO 2</t>
  </si>
  <si>
    <t>RG TO2 remplacée par GAPD</t>
  </si>
  <si>
    <t>Retenue de Garantie TO 3</t>
  </si>
  <si>
    <t>GAPD TO 3</t>
  </si>
  <si>
    <t>TF</t>
  </si>
  <si>
    <t>TO1</t>
  </si>
  <si>
    <t>TO2</t>
  </si>
  <si>
    <t>TO3</t>
  </si>
  <si>
    <t>ferme</t>
  </si>
  <si>
    <t>ACTUALISATION / REVISION</t>
  </si>
  <si>
    <t>MODE d'EMPLOI DU CLASSEUR</t>
  </si>
  <si>
    <t>Ce fichier s'utilise en activant les macros sur Excel. Pour connaire la marche à suivre pour autoriser l'activation des macros vous pouvez suivre le lien suivant</t>
  </si>
  <si>
    <t>https://support.office.com/fr-fr/article/activer-ou-d%C3%A9sactiver-les-macros-dans-les-fichiers-office-12b036fd-d140-4e74-b45e-16fed1a7e5c6</t>
  </si>
  <si>
    <t>Le fichier comporte plusieurs onglets qui s'ouvrent en fonction des éléments mentionnées dans l'onglet "DONNEES".</t>
  </si>
  <si>
    <t>La feuille DONNEES est la seule visible au lancement du fichier. Il vous faudra y mentionner un certain nombre d'informations relatives au contrat.</t>
  </si>
  <si>
    <t>L'ensemble des onglets est protégé par mot de passe pour éviter les erreurs de manipulations. Les zones nécessitant votre intervention sont déverouillées ou accessibles.</t>
  </si>
  <si>
    <t>De manière générale  :</t>
  </si>
  <si>
    <t>indique une liste déroulante dans laquelle vous est proposé des éléments présaisis.</t>
  </si>
  <si>
    <t xml:space="preserve">les éléments </t>
  </si>
  <si>
    <t>mentionne une zone où s'opére un ou des calculs</t>
  </si>
  <si>
    <t>Dans les lignes qui se sont ouvertes, vous avez accès aux élements bleus (liste déroulante) et blanc.</t>
  </si>
  <si>
    <t>Remboursement avance HT</t>
  </si>
  <si>
    <t>Cotraitant 1</t>
  </si>
  <si>
    <t>Tranche optionnelle 4 HT</t>
  </si>
  <si>
    <t>Tranche optionnelle 5 HT</t>
  </si>
  <si>
    <t>Tranche optionnelle 6 HT</t>
  </si>
  <si>
    <t>Avenants et OS</t>
  </si>
  <si>
    <t>Retenue de Garantie TO 4</t>
  </si>
  <si>
    <t>GAPD TO 4</t>
  </si>
  <si>
    <t>Retenue de Garantie TO 5</t>
  </si>
  <si>
    <t>GAPD TO 5</t>
  </si>
  <si>
    <t>Retenue de Garantie TO 6</t>
  </si>
  <si>
    <t>GAPD TO 6</t>
  </si>
  <si>
    <t>Sureté Complémentaire</t>
  </si>
  <si>
    <t>RG complémentaire sur avenant / OS</t>
  </si>
  <si>
    <t>GAPD complémentaire sur avenant / OS</t>
  </si>
  <si>
    <t>TO4</t>
  </si>
  <si>
    <t>TO5</t>
  </si>
  <si>
    <t>TO6</t>
  </si>
  <si>
    <t>somme</t>
  </si>
  <si>
    <t>TO 4 HT</t>
  </si>
  <si>
    <t>TO 5 HT</t>
  </si>
  <si>
    <t>TO 6 HT</t>
  </si>
  <si>
    <t>FERME</t>
  </si>
  <si>
    <t>Sous traitant introduit au démarrage à déduire du calcul de l'avance</t>
  </si>
  <si>
    <t>l'article 8-1</t>
  </si>
  <si>
    <t>Tranche Optionnelle 3</t>
  </si>
  <si>
    <t>Tranche Optionnelle 4</t>
  </si>
  <si>
    <t>Tranche Optionnelle 5</t>
  </si>
  <si>
    <t>Tranche Optionnelle 6</t>
  </si>
  <si>
    <t>Montant des tranches pour calcul de l'avance déduction faite des sous traitants déclarés au démarrage</t>
  </si>
  <si>
    <t>Montant du marché donnant lieu à avance / tranche - sous traitants déclarés après avance</t>
  </si>
  <si>
    <t>montant après avenants</t>
  </si>
  <si>
    <t>déjà mandaté TTC</t>
  </si>
  <si>
    <t>Montant du marché y compris sous traitants et avenants par tranche</t>
  </si>
  <si>
    <t>Tranche</t>
  </si>
  <si>
    <t>Titulaire / Co traitant</t>
  </si>
  <si>
    <t>montant HT</t>
  </si>
  <si>
    <t xml:space="preserve"> montant HT</t>
  </si>
  <si>
    <t>Travaux réalisés sur le mois</t>
  </si>
  <si>
    <t>montant HT2</t>
  </si>
  <si>
    <t xml:space="preserve"> montant HT3</t>
  </si>
  <si>
    <t>Colonne1</t>
  </si>
  <si>
    <t>type (titulaire / ST)</t>
  </si>
  <si>
    <t>type tit / ST</t>
  </si>
  <si>
    <t>Ventilation du marché par entité et par tranche</t>
  </si>
  <si>
    <t>montant avenants</t>
  </si>
  <si>
    <t>avenants et OS toutes tranches confondues</t>
  </si>
  <si>
    <t>TVA travaux réalisés (3a x taux de TVA)</t>
  </si>
  <si>
    <t>restitution avance suite DC4  (non déduit des calculs)</t>
  </si>
  <si>
    <t>RG TO 1 remplacée par GAPD</t>
  </si>
  <si>
    <t>RG TO 2 remplacée par GAPD</t>
  </si>
  <si>
    <t>RG TO 3 remplacée par GAPD</t>
  </si>
  <si>
    <t>RG TO 4 remplacée par GAPD</t>
  </si>
  <si>
    <t>RG TO 5 remplacée par GAPD</t>
  </si>
  <si>
    <t>RG TO 6 remplacée par GAPD</t>
  </si>
  <si>
    <t>Colonne2</t>
  </si>
  <si>
    <t xml:space="preserve"> montant HT4</t>
  </si>
  <si>
    <t>Colonne3</t>
  </si>
  <si>
    <t>total HT</t>
  </si>
  <si>
    <t>20,0%</t>
  </si>
  <si>
    <t>10,0%</t>
  </si>
  <si>
    <r>
      <t>ECONOMIE GENERALE DU CONTRAT</t>
    </r>
    <r>
      <rPr>
        <b/>
        <sz val="14"/>
        <color rgb="FFFF0000"/>
        <rFont val="Calibri"/>
        <family val="2"/>
        <scheme val="minor"/>
      </rPr>
      <t xml:space="preserve"> (TRANCHES AFFERMIES UNIQUEMENT)</t>
    </r>
  </si>
  <si>
    <t xml:space="preserve"> </t>
  </si>
  <si>
    <t>Cumulé antérieur TVA</t>
  </si>
  <si>
    <t>0,0%</t>
  </si>
  <si>
    <t>20,0%3</t>
  </si>
  <si>
    <t>0,0%4</t>
  </si>
  <si>
    <t>Colonne5</t>
  </si>
  <si>
    <t>Colonne6</t>
  </si>
  <si>
    <t>1(tit)</t>
  </si>
  <si>
    <t>1a(tit)</t>
  </si>
  <si>
    <t>1b(tit)</t>
  </si>
  <si>
    <t>2a(tit)</t>
  </si>
  <si>
    <t>2b(tit)</t>
  </si>
  <si>
    <t>2c(tit)</t>
  </si>
  <si>
    <t>2d(tit)</t>
  </si>
  <si>
    <t>2e(tit)</t>
  </si>
  <si>
    <t>2f(tit)</t>
  </si>
  <si>
    <t>2g(tit)</t>
  </si>
  <si>
    <t>2h(tit)</t>
  </si>
  <si>
    <t>3a(tit)</t>
  </si>
  <si>
    <t>3b(tit)</t>
  </si>
  <si>
    <t>4(tit)</t>
  </si>
  <si>
    <t>5(tit)</t>
  </si>
  <si>
    <t>6(tit)</t>
  </si>
  <si>
    <t>6a(tit)</t>
  </si>
  <si>
    <t>6b(tit)</t>
  </si>
  <si>
    <t>7(tit)</t>
  </si>
  <si>
    <t>7a(tit)</t>
  </si>
  <si>
    <t>8(tit)</t>
  </si>
  <si>
    <t>9(tit)</t>
  </si>
  <si>
    <t>1(co-tr)</t>
  </si>
  <si>
    <t>1a(co-tr)</t>
  </si>
  <si>
    <t>1b(co-tr)</t>
  </si>
  <si>
    <t>2a(co-tr)</t>
  </si>
  <si>
    <t>2b(co-tr)</t>
  </si>
  <si>
    <t>2c(co-tr)</t>
  </si>
  <si>
    <t>2d(co-tr)</t>
  </si>
  <si>
    <t>2e(co-tr)</t>
  </si>
  <si>
    <t>2f(co-tr)</t>
  </si>
  <si>
    <t>2g(co-tr)</t>
  </si>
  <si>
    <t>2h(co-tr)</t>
  </si>
  <si>
    <t>3a(co-tr)</t>
  </si>
  <si>
    <t>3b(co-tr)</t>
  </si>
  <si>
    <t>4(co-tr)</t>
  </si>
  <si>
    <t>5(co-tr)</t>
  </si>
  <si>
    <t>6(co-tr)</t>
  </si>
  <si>
    <t>6a(co-tr)</t>
  </si>
  <si>
    <t>6b(co-tr)</t>
  </si>
  <si>
    <t>7(co-tr)</t>
  </si>
  <si>
    <t>7a(co-tr)</t>
  </si>
  <si>
    <t>8(co-tr)</t>
  </si>
  <si>
    <t>9(co-tr)</t>
  </si>
  <si>
    <t>11 (tit)</t>
  </si>
  <si>
    <t>11-1 (tit)</t>
  </si>
  <si>
    <t>11-2 (tit)</t>
  </si>
  <si>
    <t>11-3 (tit)</t>
  </si>
  <si>
    <t>11-4 (tit)</t>
  </si>
  <si>
    <t>11-5 (tit)</t>
  </si>
  <si>
    <t>11-6 (tit)</t>
  </si>
  <si>
    <t>11-7 (tit)</t>
  </si>
  <si>
    <t>11-8 (tit)</t>
  </si>
  <si>
    <t>11-9 (tit)</t>
  </si>
  <si>
    <t>11-10 (tit)</t>
  </si>
  <si>
    <t>11-11 (tit)</t>
  </si>
  <si>
    <t>12 (tit)</t>
  </si>
  <si>
    <t>13 (tit)</t>
  </si>
  <si>
    <t>14 (tit)</t>
  </si>
  <si>
    <t>15 (tit)</t>
  </si>
  <si>
    <t>16 (tit)</t>
  </si>
  <si>
    <t>10 (co-tr)</t>
  </si>
  <si>
    <t>10-1 (co-tr)</t>
  </si>
  <si>
    <t>11 (co-tr)</t>
  </si>
  <si>
    <t>11-1 (co-tr)</t>
  </si>
  <si>
    <t>11-2 (co-tr)</t>
  </si>
  <si>
    <t>11-3 (co-tr)</t>
  </si>
  <si>
    <t>11-4 (co-tr)</t>
  </si>
  <si>
    <t>11-5 (co-tr)</t>
  </si>
  <si>
    <t>11-6 (co-tr)</t>
  </si>
  <si>
    <t>11-7 (co-tr)</t>
  </si>
  <si>
    <t>11-8 (co-tr)</t>
  </si>
  <si>
    <t>11-9 (co-tr)</t>
  </si>
  <si>
    <t>11-10 (co-tr)</t>
  </si>
  <si>
    <t>11-11 (co-tr)</t>
  </si>
  <si>
    <t>11-12 (tit)</t>
  </si>
  <si>
    <t>11-12 (co-tr)</t>
  </si>
  <si>
    <t>somme des sous-traitants sur la situation</t>
  </si>
  <si>
    <t>Travaux réalisés cumulés</t>
  </si>
  <si>
    <t>somme des sous-traitants cumulés</t>
  </si>
  <si>
    <t xml:space="preserve"> montant HT5</t>
  </si>
  <si>
    <t xml:space="preserve"> montant HT6</t>
  </si>
  <si>
    <t>10(tit)</t>
  </si>
  <si>
    <t>10-1(tit)</t>
  </si>
  <si>
    <t>Engagement</t>
  </si>
  <si>
    <t>Sureté si groupement</t>
  </si>
  <si>
    <t>GAPD fournie par le titulaire sur l'ensemble du marché</t>
  </si>
  <si>
    <t>RG sur le titulaire et sur le co-traitant</t>
  </si>
  <si>
    <t>RG sur le titulaire pour l'ensemble du marché</t>
  </si>
  <si>
    <t>GAPD sur titulaire et cotraitant</t>
  </si>
  <si>
    <t>RG tranche ferme pour le groupement</t>
  </si>
  <si>
    <t>GAPD tranche ferme pour le groupement</t>
  </si>
  <si>
    <t>RG tranche ferme remplacée par GAPD pour le groupement</t>
  </si>
  <si>
    <t>Retenue de Garantie TO 1 pour le groupement</t>
  </si>
  <si>
    <t>GAPD TO1 pour le groupement</t>
  </si>
  <si>
    <t>Retenue de Garantie TO 2 pour le groupement</t>
  </si>
  <si>
    <t>GAPD TO2 pour le groupement</t>
  </si>
  <si>
    <t>Retenue de Garantie TO 3 pour le groupement</t>
  </si>
  <si>
    <t>Retenue de Garantie TO 4 pour le groupement</t>
  </si>
  <si>
    <t>GAPD TO 4 pour le groupement</t>
  </si>
  <si>
    <t>GAPD TO 3 pour le groupement</t>
  </si>
  <si>
    <t>Retenue de Garantie TO 5 pour le groupement</t>
  </si>
  <si>
    <t>GAPD TO 5 pour le groupement</t>
  </si>
  <si>
    <t>Retenue de Garantie TO 6 pour le groupement</t>
  </si>
  <si>
    <t>GAPD TO 6 pour le groupement</t>
  </si>
  <si>
    <t>RG TO 1 remplacée par GAPD pour le groupement</t>
  </si>
  <si>
    <t>RG TO 2 remplacée par GAPD pour le groupement</t>
  </si>
  <si>
    <t>RG TO 3 remplacée par GAPD pour le groupement</t>
  </si>
  <si>
    <t>RG TO 4 remplacée par GAPD pour le groupement</t>
  </si>
  <si>
    <t>RG TO 5 remplacée par GAPD pour le groupement</t>
  </si>
  <si>
    <t>RG TO 6 remplacée par GAPD pour le groupement</t>
  </si>
  <si>
    <t>RG complémentaire sur avenant / OS pour le groupement</t>
  </si>
  <si>
    <t>GAPD complémentaire sur avenant / OS pour le groupement</t>
  </si>
  <si>
    <t>12 (co-tr)</t>
  </si>
  <si>
    <t>13 (co-tr)</t>
  </si>
  <si>
    <t>14 (co-tr)</t>
  </si>
  <si>
    <t>15 (co-tr)</t>
  </si>
  <si>
    <t>16 (co-tr)</t>
  </si>
  <si>
    <t>montant de TVA mensu</t>
  </si>
  <si>
    <t>titulaire</t>
  </si>
  <si>
    <t>cotraitant</t>
  </si>
  <si>
    <t>montant TVA autoliquidée tout taux confondus</t>
  </si>
  <si>
    <t>Montant de TVA du cotraitant tout taux confondus</t>
  </si>
  <si>
    <t>17 (tit)</t>
  </si>
  <si>
    <t>filtre</t>
  </si>
  <si>
    <t>Dates OS démarrage</t>
  </si>
  <si>
    <t>à reporter HT dans le CCP</t>
  </si>
  <si>
    <t>TOTAL révisions TTC</t>
  </si>
  <si>
    <t>révisions déjà mandaté TTC</t>
  </si>
  <si>
    <t>DUREE INITIALE en mois de la TF</t>
  </si>
  <si>
    <t>durée de la TO en mois</t>
  </si>
  <si>
    <t>Cumul général du titulaire</t>
  </si>
  <si>
    <r>
      <t>Sous-Total travaux (</t>
    </r>
    <r>
      <rPr>
        <sz val="65"/>
        <color theme="1"/>
        <rFont val="Symbol"/>
        <family val="1"/>
        <charset val="2"/>
      </rPr>
      <t>S</t>
    </r>
    <r>
      <rPr>
        <sz val="65"/>
        <color theme="1"/>
        <rFont val="Calibri"/>
        <family val="2"/>
      </rPr>
      <t>2a-&gt;2h HT)</t>
    </r>
  </si>
  <si>
    <r>
      <t>Sous-Total avance +
travaux (somme 3a - 1 - 1b</t>
    </r>
    <r>
      <rPr>
        <sz val="65"/>
        <color theme="1"/>
        <rFont val="Calibri"/>
        <family val="2"/>
      </rPr>
      <t>) HT</t>
    </r>
  </si>
  <si>
    <r>
      <t>Total des retenues TTC (</t>
    </r>
    <r>
      <rPr>
        <sz val="65"/>
        <color theme="1"/>
        <rFont val="Symbol"/>
        <family val="1"/>
        <charset val="2"/>
      </rPr>
      <t>S</t>
    </r>
    <r>
      <rPr>
        <sz val="65"/>
        <color theme="1"/>
        <rFont val="Calibri"/>
        <family val="2"/>
        <scheme val="minor"/>
      </rPr>
      <t xml:space="preserve"> 11-&gt;13)</t>
    </r>
  </si>
  <si>
    <t>Révision définitive sur le dernier indice connu lors de l’application de la formule de révision</t>
  </si>
  <si>
    <t>Révision provisoire sur dernier indice connu - révision définitive à prévoir sur indice réel</t>
  </si>
  <si>
    <t>Révision sur indice définitif, pas de révision provisoire</t>
  </si>
  <si>
    <t>Montant de TVA du titulaire</t>
  </si>
  <si>
    <t>taux 1</t>
  </si>
  <si>
    <t>taux 2</t>
  </si>
  <si>
    <t>18 (co-tr)</t>
  </si>
  <si>
    <t>19 (tit)</t>
  </si>
  <si>
    <t>19 (co-tr)</t>
  </si>
  <si>
    <t>info restitution suite DC4 TDR sur titulaire</t>
  </si>
  <si>
    <t>info restitution suite DC4 TDR sur co-traitant</t>
  </si>
  <si>
    <t>info pénalités provisoires sur titulaire</t>
  </si>
  <si>
    <t>info pénalités provisoires sur cotraitant</t>
  </si>
  <si>
    <t>19-1 (tit)</t>
  </si>
  <si>
    <t>19-1 (co-tr)</t>
  </si>
  <si>
    <t>Acompte à payer TTC</t>
  </si>
  <si>
    <t>N°PV</t>
  </si>
  <si>
    <t>AVANCE titulaire</t>
  </si>
  <si>
    <t>AVANCE cotraitant</t>
  </si>
  <si>
    <t>N°mandat réel</t>
  </si>
  <si>
    <t>N°mandat ordre</t>
  </si>
  <si>
    <t>montant TTC</t>
  </si>
  <si>
    <t>N°titre ordre</t>
  </si>
  <si>
    <t>Montant antérieur HT</t>
  </si>
  <si>
    <r>
      <t>Sous-Total TVA (</t>
    </r>
    <r>
      <rPr>
        <sz val="65"/>
        <color theme="1"/>
        <rFont val="Symbol"/>
        <family val="1"/>
        <charset val="2"/>
      </rPr>
      <t>S 6</t>
    </r>
    <r>
      <rPr>
        <sz val="65"/>
        <color theme="1"/>
        <rFont val="Symbol"/>
        <family val="1"/>
        <charset val="2"/>
      </rPr>
      <t>-&gt;6</t>
    </r>
    <r>
      <rPr>
        <sz val="65"/>
        <color theme="1"/>
        <rFont val="Arial"/>
        <family val="2"/>
      </rPr>
      <t>b</t>
    </r>
    <r>
      <rPr>
        <sz val="65"/>
        <color theme="1"/>
        <rFont val="Symbol"/>
        <family val="1"/>
        <charset val="2"/>
      </rPr>
      <t xml:space="preserve"> - 7)</t>
    </r>
  </si>
  <si>
    <r>
      <t>Sous-Total TVA (</t>
    </r>
    <r>
      <rPr>
        <sz val="65"/>
        <color theme="1"/>
        <rFont val="Symbol"/>
        <family val="1"/>
        <charset val="2"/>
      </rPr>
      <t>S 6</t>
    </r>
    <r>
      <rPr>
        <sz val="65"/>
        <color theme="1"/>
        <rFont val="Symbol"/>
        <family val="1"/>
        <charset val="2"/>
      </rPr>
      <t xml:space="preserve"> -&gt;6</t>
    </r>
    <r>
      <rPr>
        <sz val="65"/>
        <color theme="1"/>
        <rFont val="Arial"/>
        <family val="2"/>
      </rPr>
      <t>b</t>
    </r>
    <r>
      <rPr>
        <sz val="65"/>
        <color theme="1"/>
        <rFont val="Symbol"/>
        <family val="1"/>
        <charset val="2"/>
      </rPr>
      <t xml:space="preserve"> - 7)</t>
    </r>
  </si>
  <si>
    <t>17-1(tit)</t>
  </si>
  <si>
    <t>nom ST</t>
  </si>
  <si>
    <t>Titulaire_Tranche_FERME</t>
  </si>
  <si>
    <t>Tranche_FERME</t>
  </si>
  <si>
    <t>Tranche_OPTIONNELLE_1</t>
  </si>
  <si>
    <t>Tranche_OPTIONNELLE_2</t>
  </si>
  <si>
    <t>Tranche_OPTIONNELLE_3</t>
  </si>
  <si>
    <t>Tranche_OPTIONNELLE_4</t>
  </si>
  <si>
    <t>Tranche_OPTIONNELLE_5</t>
  </si>
  <si>
    <t>Tranche_OPTIONNELLE_6</t>
  </si>
  <si>
    <t>Titulaire_Tranche_OPTIONNELLE_1</t>
  </si>
  <si>
    <t>Titulaire_Tranche_OPTIONNELLE_2</t>
  </si>
  <si>
    <t>Titulaire_Tranche_OPTIONNELLE_3</t>
  </si>
  <si>
    <t>Titulaire_Tranche_OPTIONNELLE_4</t>
  </si>
  <si>
    <t>Titulaire_Tranche_OPTIONNELLE_5</t>
  </si>
  <si>
    <t>Titulaire_Tranche_OPTIONNELLE_6</t>
  </si>
  <si>
    <t>Cotraitant_1_Tranche_FERME</t>
  </si>
  <si>
    <t>Cotraitant_1_Tranche_OPTIONNELLE_1</t>
  </si>
  <si>
    <t>Cotraitant_1_Tranche_OPTIONNELLE_2</t>
  </si>
  <si>
    <t>Cotraitant_1_Tranche_OPTIONNELLE_3</t>
  </si>
  <si>
    <t>Cotraitant_1_Tranche_OPTIONNELLE_4</t>
  </si>
  <si>
    <t>Cotraitant_1_Tranche_OPTIONNELLE_5</t>
  </si>
  <si>
    <t>Cotraitant_1_Tranche_OPTIONNELLE_6</t>
  </si>
  <si>
    <t>Cotraitant_1</t>
  </si>
  <si>
    <t>Titulaire_</t>
  </si>
  <si>
    <t>N°titre réel</t>
  </si>
  <si>
    <t>Le cheminement dans le classeur.</t>
  </si>
  <si>
    <t>1-tout commence par l'onglet DONNEES.</t>
  </si>
  <si>
    <t>Vous y saisierez la fiche d'identité du marché sur les lignes 1 a 7</t>
  </si>
  <si>
    <t>Il est conseillé de saisir en majuscules. Les données des lignes 1 à 7 permettent d'alimenter le haut du certificat de paiement</t>
  </si>
  <si>
    <t>Pour remplir les lignes 10 à 14 référez-vous au CCAP du marché de travaux</t>
  </si>
  <si>
    <t>indiquez la durée de la seule Tranche Ferme (TF)</t>
  </si>
  <si>
    <t>En C10 :</t>
  </si>
  <si>
    <t>En C11 :</t>
  </si>
  <si>
    <t>la cellule ne s'active que si la durée de la TF est strictement supérieur à 2 mois.</t>
  </si>
  <si>
    <t>indiquer si OUI ou NON une avance doit être verséé (sans distinction à cette étape de la notion de titulaire et de cotraitant)</t>
  </si>
  <si>
    <t>E 11 / F11 :</t>
  </si>
  <si>
    <t>cellule à usage des agents de la région en charge de la préparation de l'état liquidatif de l'avance</t>
  </si>
  <si>
    <t>choisir si le marché est FERME / REVISABLE / ACTUALISABLE</t>
  </si>
  <si>
    <t xml:space="preserve">C 12 : </t>
  </si>
  <si>
    <t>E 12 :</t>
  </si>
  <si>
    <t>sélectionner les modalités de révision ou d'actualisation le cas échéant (bien lire le CCAP)</t>
  </si>
  <si>
    <t>E 13 / G 13 / I 13 / G 14 :</t>
  </si>
  <si>
    <t>mentionner les éléments permettant de réaliser les calculs de révision / actualisation</t>
  </si>
  <si>
    <t>Dans le tableau économie générale du contrat :</t>
  </si>
  <si>
    <t>ne saisir que les tranches affermies (tranche ferme + tranches optionnelles ayant donnée lieu à un décision d'affermissement dans la notification du marché ou dans un OS du maitre d'ouvrage)</t>
  </si>
  <si>
    <t>choisir les deux taux de TVA possibles</t>
  </si>
  <si>
    <t>mentionner la date de démarrage des tranches (y compris tranche ferme car ce calcul sert en cas d'actualisation pour calculer le d-3)</t>
  </si>
  <si>
    <t>mentionner la durée des tranches optionelles affermies (nécessaire au calcul des avances le cas échéant)</t>
  </si>
  <si>
    <t>Les blocs suivants décomposent les tranches fermes et optionnelles entre titulaire et cotraitant</t>
  </si>
  <si>
    <t>Ils permettent en outre de dire si OUI ou NON une avance est demandée sur la tranche (par titulaire et par cotraitant)</t>
  </si>
  <si>
    <t>de définir le type de sous traitants (avec ou sans TVA autoliquidée) et d'indiquer si ces sous traitants sont déclarés avant le caclcul de l'avance (impact sur le montant de l'avance versé)</t>
  </si>
  <si>
    <t>2-en cas d'avance (vérifiez si le titulaire a coché l'avance) ouvrir la feuille CALCUL AVANCE TITULAIRE (et cotraitant le cas échéant)</t>
  </si>
  <si>
    <t xml:space="preserve">cette feuille fait remonter les infos de la feuille DONNEES et en particulier : </t>
  </si>
  <si>
    <t>Plusieurs feuilles (CALCUL AVANCE TITULAIRE / COTRAITANT, CPP TITULAIRE-ST, REVISION, ACTUALISATION) comporte plusieurs filtres automatiques.</t>
  </si>
  <si>
    <t>Ces filtres sont prévus pour vous être accessibles. Par défaut, il s'actualise lorsque vous entrez dans la feuille.</t>
  </si>
  <si>
    <t>les montants d'avance déjà versé le cas échéant</t>
  </si>
  <si>
    <t>le montant du marché - les éventuelles sous traitants déclarés avant le calcul de l'avance</t>
  </si>
  <si>
    <t>vous devez saisir le numéro de l'avance en cellule C9. Dès que le chiffre est supérieur à 0, alors le calcul de l'avance s'opére et vient incrémenter le CPP dans la partie paiement antérieurs</t>
  </si>
  <si>
    <t>le montant total TTC de l'avance est reporté dans la case E363 du CPP TITULAIRE-ST pour le titulaire et 364 pour le cotraitant.</t>
  </si>
  <si>
    <t>les montants d'avance HT sont également mémorisés pour tenir compte du versement d'une seconde avance (ou n avance) par la suite.</t>
  </si>
  <si>
    <t>3-utilisation de la feuille CPP titulaire-ST</t>
  </si>
  <si>
    <t>vous commencerez par mentionner le montant des travaux réalisés du mois en éclatant les montants par tranche et prestataire</t>
  </si>
  <si>
    <t>C'est ce tableau qui va automatiser l'ensemble des autres calculs.</t>
  </si>
  <si>
    <t>4-ouverture le cas échéant de la feuille de restitution d'avance suite DC4</t>
  </si>
  <si>
    <t>Si un DC4 a été présenté après versement de l'avance (et avant son remboursement intégral) il est nécessaire d'accéder à cette feuille pour qu'elle calcule le montant de l'avance à récupérer</t>
  </si>
  <si>
    <t>pour cela dans feuille vous séléctionnerez en cellule A11 le créancier et la tranche concernée. Ensuite en cellule D27 vous sélectionerez le nom du sous traitant que vous aurez préalablement mentionné dans la feuille DONNEES (attention à bien remplir dans la bonne tranche)</t>
  </si>
  <si>
    <t>En sortant de la cellule E27 un formulaire vous proposera d'intégrer ces donées au CPP, cela aura aussi pour effet de créer une copie de l'état liquidatif (ce qui sera utile plus tard pour générer les pièces
nécessaires à la réalisation du CPP complet). Une fois cliquer sur le premier bouton vous pourrez réaliser un nouvel état liquidatif le cas échéant et les données sont mémorisés dans la feuille.</t>
  </si>
  <si>
    <t>5-ouverture la feuille de remboursement d'avance</t>
  </si>
  <si>
    <t>cette feuille est alimenté par les travaux par le titulaire ou le cotraitant (sans tenir compte des travaux réalisés par les sous traitants).</t>
  </si>
  <si>
    <t>la feuille tient compte des restitutions d'avance déjà réalisés suite à l'intro du DC4.</t>
  </si>
  <si>
    <t>En cliquant sur a cellule A3 vous sélectionnez la tranche concernée et un formulaire vous proposera alors ici aussi d'intégrer vos données au CPP, de créer une copie dans un nouvel onglet (utile pour générer un pdf par la suite) et vous permet de générer un nouvel état de récupération sur une autre tranche le cas échéant</t>
  </si>
  <si>
    <t>6-ouvertur de la feuille REVISION ou ACTUALISATION</t>
  </si>
  <si>
    <t>FEUILLE REVISION</t>
  </si>
  <si>
    <t>vous devez dépliez le filtre placé en cellule L5</t>
  </si>
  <si>
    <t>Vous remplir l'indice du BT m et sélectionner D dans la colonne bleu.</t>
  </si>
  <si>
    <t>En quittant la feuille, les montant de révision sont intégrés au CPP TITULAIRE ST</t>
  </si>
  <si>
    <t>Pensez au COTRAITANT plus bas dans la feuille</t>
  </si>
  <si>
    <t>7-retour sur la feuille CPP TITULAIRE-ST</t>
  </si>
  <si>
    <t>A présent le CPP doit comporter l'ensemble des données requises. Vous pouvez appuer sur l ebouton bleu en haut à droite.</t>
  </si>
  <si>
    <t>Avec le bouton 1 vous pouvez sélectioner les feuilles nécessaires à la génération du CPP en PDF. Le fichier s'enregistre au même endroit que le présent fichier et se nomme en fonction d'une cellule dans le CP</t>
  </si>
  <si>
    <t>Avec le bouton 2, vous pourrez faire une copie du classeur pour en garder une trace et faire des corrections éventuelles.</t>
  </si>
  <si>
    <t>Avec le bouton 3, ne sélectionnez pas de feuilles cela permet de préparer un nouveau CPP et fait un certain nombre de bascule de calcul.</t>
  </si>
  <si>
    <t>Total HT tit</t>
  </si>
  <si>
    <t>Total HT cotrait</t>
  </si>
  <si>
    <t>VISAS</t>
  </si>
  <si>
    <t>1-Le Maître d'Oeuvre arrête ce certificat qui devient « Projet de Décompte Général »
(Art.13.4.1. du CCAG Travaux 2009)</t>
  </si>
  <si>
    <t>2-Aux vues du présent décompte et du visa 1, le représentant du pouvoir adjudicateur accepte ce certificat qui devient « Décompte Général »
(Art.13.4.2. du CCAG Travaux 2009)</t>
  </si>
  <si>
    <t>3-Aux vues du présent décompte et des visas 1 et 2, le Titulaire accepte ce certificat qui devient « Décompte Général et Définitif »
(Art.13.4.3. du CCAG Travaux 2009)</t>
  </si>
  <si>
    <r>
      <t xml:space="preserve">Date, lieu et signature </t>
    </r>
    <r>
      <rPr>
        <i/>
        <sz val="65"/>
        <color theme="1"/>
        <rFont val="Calibri"/>
        <family val="2"/>
        <scheme val="minor"/>
      </rPr>
      <t>(et/ou réserves du titulaire le cas échéant)</t>
    </r>
  </si>
  <si>
    <t>VISA de l'état d'acompte par le maître d'œuvre</t>
  </si>
  <si>
    <t>Mois de réalisation (mm/aa) :</t>
  </si>
  <si>
    <t>formule de révision</t>
  </si>
  <si>
    <t>Cn=x+(y * In-3/I-3)</t>
  </si>
  <si>
    <t>cn=x+(y*In/I)</t>
  </si>
  <si>
    <t>part du seul titulaire ou seul cotraitant</t>
  </si>
  <si>
    <t>total titu</t>
  </si>
  <si>
    <t>total cotrait</t>
  </si>
  <si>
    <t>marché / DC4 HT</t>
  </si>
  <si>
    <t>Acompte à payer sur le titulaire et ses ST</t>
  </si>
  <si>
    <t>Acompte à payer sur le co-traitant et ses ST</t>
  </si>
  <si>
    <t>idem mais sur cumul</t>
  </si>
  <si>
    <t>HT somme des sous traitants du titulaire</t>
  </si>
  <si>
    <t>HT somme des sous traitants du co-traitant</t>
  </si>
  <si>
    <t>TTC somme des sous traitants du titulaire</t>
  </si>
  <si>
    <t>TTC somme des sous traitants du cotraitant</t>
  </si>
  <si>
    <t>17-1 (tit)</t>
  </si>
  <si>
    <t>18-1(co-tr)</t>
  </si>
  <si>
    <t>TVA autoliquidee par taux titul</t>
  </si>
  <si>
    <t>mandat ligne 1 du titulaire</t>
  </si>
  <si>
    <t>RG à mandater en ligne 2 titulaire</t>
  </si>
  <si>
    <t>mandat ligne 1 du cotraitant</t>
  </si>
  <si>
    <t>RG à mandater en ligne 2 cotraitant</t>
  </si>
  <si>
    <t>pour info montant de la TVA autoliquidée sur ST du cotraitant</t>
  </si>
  <si>
    <t>17-1 (tit-ST)</t>
  </si>
  <si>
    <t>18-1 (cotr-ST)</t>
  </si>
  <si>
    <t>ST HT non auto taux 1 titul</t>
  </si>
  <si>
    <t>ST HT non auto taux 2 titul</t>
  </si>
  <si>
    <t>ST TTC non auto taux 2 titul</t>
  </si>
  <si>
    <t>ST TTC non auto taux 1 titul</t>
  </si>
  <si>
    <t>HT somme des sous traitants titu taux 2</t>
  </si>
  <si>
    <t>HT somme des sous traitants titu taux 1</t>
  </si>
  <si>
    <t>HT somme des sous traitants cotrait taux 1</t>
  </si>
  <si>
    <t>HT somme des sous traitants cotrait taux 2</t>
  </si>
  <si>
    <t>ST HT non auto taux 1 cotrait</t>
  </si>
  <si>
    <t>ST HT non auto taux 2 cotrait</t>
  </si>
  <si>
    <t>ST TTC non auto taux 1 cotrait</t>
  </si>
  <si>
    <t>ST TTC non auto taux 2 cotrait</t>
  </si>
  <si>
    <t>TABLEAU DE SUIVI DE l'AVANCEMENT FINANCIER DU MARCHE</t>
  </si>
  <si>
    <t>Montant de travaux mensuel HT</t>
  </si>
  <si>
    <t>ventilation du mandat TTC par taux TVA</t>
  </si>
  <si>
    <t>pour info montant de la TVA autoliquidée sur mandat du titulaire</t>
  </si>
  <si>
    <t>CFA</t>
  </si>
  <si>
    <t>CFA Cognac</t>
  </si>
  <si>
    <t>CFA Barbezieux</t>
  </si>
  <si>
    <t>CFA Lagord</t>
  </si>
  <si>
    <t>CFA Saint Benoît-Poitiers</t>
  </si>
  <si>
    <t>Maison de la Région Poitiers</t>
  </si>
  <si>
    <t>Hôtel de Région Limoges</t>
  </si>
  <si>
    <t>Pôle des écos industrie</t>
  </si>
  <si>
    <t>ARFTLV La Rochelle</t>
  </si>
  <si>
    <t>Lac de Vassivières</t>
  </si>
  <si>
    <t>Bâtiments_Régionaux</t>
  </si>
  <si>
    <t>Revision</t>
  </si>
  <si>
    <t>TVA Revision</t>
  </si>
  <si>
    <t>au lycée "GUEZ DE BALZAC"</t>
  </si>
  <si>
    <t>2015 PC 115839</t>
  </si>
  <si>
    <t>Solivage des combles</t>
  </si>
  <si>
    <t>2018P001T01036</t>
  </si>
  <si>
    <t>BT16b</t>
  </si>
  <si>
    <t>montant TTCmontant TTCmontant TTC</t>
  </si>
  <si>
    <t>toto</t>
  </si>
</sst>
</file>

<file path=xl/styles.xml><?xml version="1.0" encoding="utf-8"?>
<styleSheet xmlns="http://schemas.openxmlformats.org/spreadsheetml/2006/main" xmlns:mc="http://schemas.openxmlformats.org/markup-compatibility/2006" xmlns:x14ac="http://schemas.microsoft.com/office/spreadsheetml/2009/9/ac" mc:Ignorable="x14ac">
  <numFmts count="18">
    <numFmt numFmtId="7" formatCode="#,##0.00\ &quot;€&quot;;\-#,##0.00\ &quot;€&quot;"/>
    <numFmt numFmtId="44" formatCode="_-* #,##0.00\ &quot;€&quot;_-;\-* #,##0.00\ &quot;€&quot;_-;_-* &quot;-&quot;??\ &quot;€&quot;_-;_-@_-"/>
    <numFmt numFmtId="43" formatCode="_-* #,##0.00\ _€_-;\-* #,##0.00\ _€_-;_-* &quot;-&quot;??\ _€_-;_-@_-"/>
    <numFmt numFmtId="164" formatCode="0.0%"/>
    <numFmt numFmtId="165" formatCode="#,##0.00\ &quot;€&quot;"/>
    <numFmt numFmtId="168" formatCode="#,##0.00&quot; F&quot;"/>
    <numFmt numFmtId="169" formatCode="#,##0.00\ [$€-40C];[Red]\-#,##0.00\ [$€-40C]"/>
    <numFmt numFmtId="170" formatCode="#,##0.00&quot; €&quot;"/>
    <numFmt numFmtId="171" formatCode="0.00000"/>
    <numFmt numFmtId="172" formatCode="#,##0.0000"/>
    <numFmt numFmtId="173" formatCode="#,##0.0"/>
    <numFmt numFmtId="174" formatCode="0.000"/>
    <numFmt numFmtId="178" formatCode="_-* #,##0\ _€_-;\-* #,##0\ _€_-;_-* &quot;-&quot;??\ _€_-;_-@_-"/>
    <numFmt numFmtId="179" formatCode="_-* #,##0.00\ [$€-40C]_-;\-* #,##0.00\ [$€-40C]_-;_-* &quot;-&quot;??\ [$€-40C]_-;_-@_-"/>
    <numFmt numFmtId="180" formatCode="#,##0.00\ _€"/>
    <numFmt numFmtId="181" formatCode="dd/mm/yy;@"/>
    <numFmt numFmtId="182" formatCode="00000"/>
    <numFmt numFmtId="183" formatCode="[$-40C]mmm\-yy;@"/>
  </numFmts>
  <fonts count="52" x14ac:knownFonts="1">
    <font>
      <sz val="11"/>
      <color theme="1"/>
      <name val="Calibri"/>
      <family val="2"/>
      <scheme val="minor"/>
    </font>
    <font>
      <sz val="11"/>
      <color theme="1"/>
      <name val="Calibri"/>
      <family val="2"/>
      <scheme val="minor"/>
    </font>
    <font>
      <sz val="8"/>
      <color theme="1"/>
      <name val="Calibri"/>
      <family val="2"/>
      <scheme val="minor"/>
    </font>
    <font>
      <sz val="10"/>
      <color theme="1"/>
      <name val="Calibri"/>
      <family val="2"/>
      <scheme val="minor"/>
    </font>
    <font>
      <sz val="8"/>
      <color indexed="81"/>
      <name val="Tahoma"/>
      <family val="2"/>
    </font>
    <font>
      <b/>
      <sz val="8"/>
      <color indexed="81"/>
      <name val="Tahoma"/>
      <family val="2"/>
    </font>
    <font>
      <sz val="8"/>
      <color theme="1"/>
      <name val="Liberation Sans"/>
      <family val="2"/>
    </font>
    <font>
      <sz val="8"/>
      <color theme="1"/>
      <name val="Arial"/>
      <family val="2"/>
    </font>
    <font>
      <sz val="14"/>
      <color theme="1"/>
      <name val="Calibri"/>
      <family val="2"/>
      <scheme val="minor"/>
    </font>
    <font>
      <b/>
      <sz val="14"/>
      <color theme="1"/>
      <name val="Calibri"/>
      <family val="2"/>
      <scheme val="minor"/>
    </font>
    <font>
      <sz val="14"/>
      <color theme="1"/>
      <name val="Symbol"/>
      <family val="1"/>
      <charset val="2"/>
    </font>
    <font>
      <i/>
      <sz val="14"/>
      <color theme="1"/>
      <name val="Calibri"/>
      <family val="2"/>
      <scheme val="minor"/>
    </font>
    <font>
      <sz val="10"/>
      <name val="Arial"/>
      <family val="2"/>
    </font>
    <font>
      <b/>
      <i/>
      <sz val="10"/>
      <name val="Arial"/>
      <family val="2"/>
    </font>
    <font>
      <b/>
      <sz val="10"/>
      <name val="Arial"/>
      <family val="2"/>
    </font>
    <font>
      <u/>
      <sz val="10"/>
      <name val="Arial"/>
      <family val="2"/>
    </font>
    <font>
      <b/>
      <sz val="10"/>
      <name val="Helvetica"/>
      <family val="2"/>
    </font>
    <font>
      <sz val="11"/>
      <color indexed="81"/>
      <name val="Tahoma"/>
      <family val="2"/>
    </font>
    <font>
      <sz val="12"/>
      <color indexed="81"/>
      <name val="Tahoma"/>
      <family val="2"/>
    </font>
    <font>
      <sz val="14"/>
      <color theme="0"/>
      <name val="Calibri"/>
      <family val="2"/>
      <scheme val="minor"/>
    </font>
    <font>
      <b/>
      <sz val="11"/>
      <color theme="1"/>
      <name val="Calibri"/>
      <family val="2"/>
      <scheme val="minor"/>
    </font>
    <font>
      <u/>
      <sz val="11"/>
      <color theme="10"/>
      <name val="Calibri"/>
      <family val="2"/>
      <scheme val="minor"/>
    </font>
    <font>
      <b/>
      <u/>
      <sz val="11"/>
      <color theme="1"/>
      <name val="Calibri"/>
      <family val="2"/>
      <scheme val="minor"/>
    </font>
    <font>
      <sz val="11"/>
      <color rgb="FFFF0000"/>
      <name val="Calibri"/>
      <family val="2"/>
      <scheme val="minor"/>
    </font>
    <font>
      <sz val="48"/>
      <color indexed="81"/>
      <name val="Tahoma"/>
      <family val="2"/>
    </font>
    <font>
      <b/>
      <sz val="48"/>
      <color indexed="81"/>
      <name val="Tahoma"/>
      <family val="2"/>
    </font>
    <font>
      <b/>
      <sz val="14"/>
      <color rgb="FFFF0000"/>
      <name val="Calibri"/>
      <family val="2"/>
      <scheme val="minor"/>
    </font>
    <font>
      <sz val="10"/>
      <color theme="0"/>
      <name val="Arial"/>
      <family val="2"/>
    </font>
    <font>
      <b/>
      <sz val="10"/>
      <color theme="0"/>
      <name val="Arial"/>
      <family val="2"/>
    </font>
    <font>
      <sz val="65"/>
      <color theme="1"/>
      <name val="Calibri"/>
      <family val="2"/>
      <scheme val="minor"/>
    </font>
    <font>
      <b/>
      <sz val="65"/>
      <color theme="1"/>
      <name val="Calibri"/>
      <family val="2"/>
      <scheme val="minor"/>
    </font>
    <font>
      <sz val="65"/>
      <name val="Calibri"/>
      <family val="2"/>
      <scheme val="minor"/>
    </font>
    <font>
      <sz val="65"/>
      <color theme="0"/>
      <name val="Calibri"/>
      <family val="2"/>
      <scheme val="minor"/>
    </font>
    <font>
      <sz val="65"/>
      <color theme="0"/>
      <name val="Symbol"/>
      <family val="1"/>
      <charset val="2"/>
    </font>
    <font>
      <sz val="65"/>
      <color theme="5" tint="0.79998168889431442"/>
      <name val="Calibri"/>
      <family val="2"/>
      <scheme val="minor"/>
    </font>
    <font>
      <i/>
      <sz val="65"/>
      <color theme="1"/>
      <name val="Calibri"/>
      <family val="2"/>
      <scheme val="minor"/>
    </font>
    <font>
      <sz val="65"/>
      <color theme="1"/>
      <name val="Symbol"/>
      <family val="1"/>
      <charset val="2"/>
    </font>
    <font>
      <b/>
      <sz val="65"/>
      <color theme="5"/>
      <name val="Calibri"/>
      <family val="2"/>
      <scheme val="minor"/>
    </font>
    <font>
      <sz val="65"/>
      <color theme="1"/>
      <name val="Calibri"/>
      <family val="2"/>
    </font>
    <font>
      <sz val="65"/>
      <color theme="1"/>
      <name val="Arial"/>
      <family val="2"/>
    </font>
    <font>
      <b/>
      <i/>
      <sz val="65"/>
      <color theme="1"/>
      <name val="Calibri"/>
      <family val="2"/>
      <scheme val="minor"/>
    </font>
    <font>
      <b/>
      <sz val="65"/>
      <color theme="0"/>
      <name val="Calibri"/>
      <family val="2"/>
      <scheme val="minor"/>
    </font>
    <font>
      <b/>
      <i/>
      <sz val="65"/>
      <color theme="0"/>
      <name val="Calibri"/>
      <family val="2"/>
      <scheme val="minor"/>
    </font>
    <font>
      <sz val="65"/>
      <color rgb="FFFF0000"/>
      <name val="Calibri"/>
      <family val="2"/>
      <scheme val="minor"/>
    </font>
    <font>
      <sz val="48"/>
      <color theme="1"/>
      <name val="Calibri"/>
      <family val="2"/>
      <scheme val="minor"/>
    </font>
    <font>
      <sz val="48"/>
      <color theme="5" tint="0.79998168889431442"/>
      <name val="Calibri"/>
      <family val="2"/>
      <scheme val="minor"/>
    </font>
    <font>
      <sz val="14"/>
      <color rgb="FFFF0000"/>
      <name val="Calibri"/>
      <family val="2"/>
      <scheme val="minor"/>
    </font>
    <font>
      <sz val="48"/>
      <color theme="1"/>
      <name val="Calibri"/>
      <family val="2"/>
      <scheme val="minor"/>
    </font>
    <font>
      <sz val="48"/>
      <color theme="5" tint="0.79998168889431442"/>
      <name val="Calibri"/>
      <family val="2"/>
      <scheme val="minor"/>
    </font>
    <font>
      <b/>
      <i/>
      <sz val="65"/>
      <color rgb="FFFF0000"/>
      <name val="Calibri"/>
      <family val="2"/>
      <scheme val="minor"/>
    </font>
    <font>
      <sz val="58"/>
      <color theme="1"/>
      <name val="Calibri"/>
      <family val="2"/>
      <scheme val="minor"/>
    </font>
    <font>
      <sz val="55"/>
      <color theme="1"/>
      <name val="Calibri"/>
      <family val="2"/>
      <scheme val="minor"/>
    </font>
  </fonts>
  <fills count="21">
    <fill>
      <patternFill patternType="none"/>
    </fill>
    <fill>
      <patternFill patternType="gray125"/>
    </fill>
    <fill>
      <patternFill patternType="solid">
        <fgColor theme="4" tint="0.59999389629810485"/>
        <bgColor indexed="64"/>
      </patternFill>
    </fill>
    <fill>
      <patternFill patternType="solid">
        <fgColor theme="0" tint="-0.14999847407452621"/>
        <bgColor indexed="64"/>
      </patternFill>
    </fill>
    <fill>
      <patternFill patternType="solid">
        <fgColor theme="0"/>
        <bgColor indexed="64"/>
      </patternFill>
    </fill>
    <fill>
      <patternFill patternType="solid">
        <fgColor theme="1"/>
        <bgColor indexed="64"/>
      </patternFill>
    </fill>
    <fill>
      <patternFill patternType="solid">
        <fgColor theme="5" tint="0.79998168889431442"/>
        <bgColor indexed="64"/>
      </patternFill>
    </fill>
    <fill>
      <patternFill patternType="solid">
        <fgColor theme="2"/>
        <bgColor indexed="64"/>
      </patternFill>
    </fill>
    <fill>
      <patternFill patternType="solid">
        <fgColor indexed="26"/>
        <bgColor indexed="9"/>
      </patternFill>
    </fill>
    <fill>
      <patternFill patternType="solid">
        <fgColor indexed="9"/>
        <bgColor indexed="26"/>
      </patternFill>
    </fill>
    <fill>
      <patternFill patternType="solid">
        <fgColor theme="4" tint="0.39997558519241921"/>
        <bgColor indexed="64"/>
      </patternFill>
    </fill>
    <fill>
      <patternFill patternType="solid">
        <fgColor rgb="FF92D050"/>
        <bgColor indexed="64"/>
      </patternFill>
    </fill>
    <fill>
      <patternFill patternType="solid">
        <fgColor theme="5" tint="0.79998168889431442"/>
        <bgColor indexed="9"/>
      </patternFill>
    </fill>
    <fill>
      <patternFill patternType="solid">
        <fgColor rgb="FFFFFF00"/>
        <bgColor indexed="64"/>
      </patternFill>
    </fill>
    <fill>
      <patternFill patternType="solid">
        <fgColor theme="5" tint="0.39997558519241921"/>
        <bgColor indexed="64"/>
      </patternFill>
    </fill>
    <fill>
      <patternFill patternType="solid">
        <fgColor theme="4"/>
        <bgColor theme="4"/>
      </patternFill>
    </fill>
    <fill>
      <patternFill patternType="solid">
        <fgColor theme="5"/>
        <bgColor indexed="64"/>
      </patternFill>
    </fill>
    <fill>
      <patternFill patternType="solid">
        <fgColor indexed="9"/>
        <bgColor indexed="64"/>
      </patternFill>
    </fill>
    <fill>
      <patternFill patternType="solid">
        <fgColor theme="5"/>
        <bgColor theme="5"/>
      </patternFill>
    </fill>
    <fill>
      <patternFill patternType="solid">
        <fgColor theme="9" tint="0.59999389629810485"/>
        <bgColor indexed="64"/>
      </patternFill>
    </fill>
    <fill>
      <gradientFill degree="90">
        <stop position="0">
          <color theme="0"/>
        </stop>
        <stop position="1">
          <color rgb="FFF3A9A9"/>
        </stop>
      </gradientFill>
    </fill>
  </fills>
  <borders count="100">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style="medium">
        <color rgb="FF000000"/>
      </right>
      <top/>
      <bottom/>
      <diagonal/>
    </border>
    <border>
      <left style="thin">
        <color indexed="64"/>
      </left>
      <right/>
      <top/>
      <bottom style="thin">
        <color indexed="64"/>
      </bottom>
      <diagonal/>
    </border>
    <border>
      <left/>
      <right/>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diagonalUp="1">
      <left style="thin">
        <color indexed="64"/>
      </left>
      <right style="thin">
        <color indexed="64"/>
      </right>
      <top style="thin">
        <color indexed="64"/>
      </top>
      <bottom/>
      <diagonal style="thin">
        <color indexed="64"/>
      </diagonal>
    </border>
    <border diagonalUp="1">
      <left style="thin">
        <color indexed="64"/>
      </left>
      <right style="thin">
        <color indexed="64"/>
      </right>
      <top/>
      <bottom/>
      <diagonal style="thin">
        <color indexed="64"/>
      </diagonal>
    </border>
    <border diagonalUp="1">
      <left style="thin">
        <color indexed="64"/>
      </left>
      <right style="thin">
        <color indexed="64"/>
      </right>
      <top/>
      <bottom style="thin">
        <color indexed="64"/>
      </bottom>
      <diagonal style="thin">
        <color indexed="64"/>
      </diagonal>
    </border>
    <border>
      <left style="medium">
        <color indexed="8"/>
      </left>
      <right/>
      <top style="medium">
        <color indexed="8"/>
      </top>
      <bottom style="medium">
        <color indexed="8"/>
      </bottom>
      <diagonal/>
    </border>
    <border>
      <left style="medium">
        <color indexed="8"/>
      </left>
      <right style="medium">
        <color indexed="8"/>
      </right>
      <top style="medium">
        <color indexed="8"/>
      </top>
      <bottom style="medium">
        <color indexed="8"/>
      </bottom>
      <diagonal/>
    </border>
    <border>
      <left style="medium">
        <color indexed="8"/>
      </left>
      <right style="medium">
        <color indexed="8"/>
      </right>
      <top style="thin">
        <color indexed="8"/>
      </top>
      <bottom style="thin">
        <color indexed="8"/>
      </bottom>
      <diagonal/>
    </border>
    <border>
      <left/>
      <right style="medium">
        <color indexed="8"/>
      </right>
      <top/>
      <bottom style="thin">
        <color indexed="8"/>
      </bottom>
      <diagonal/>
    </border>
    <border>
      <left style="medium">
        <color indexed="8"/>
      </left>
      <right/>
      <top style="medium">
        <color indexed="8"/>
      </top>
      <bottom/>
      <diagonal/>
    </border>
    <border>
      <left/>
      <right/>
      <top style="medium">
        <color indexed="8"/>
      </top>
      <bottom/>
      <diagonal/>
    </border>
    <border>
      <left style="medium">
        <color indexed="64"/>
      </left>
      <right style="medium">
        <color indexed="64"/>
      </right>
      <top/>
      <bottom style="medium">
        <color indexed="64"/>
      </bottom>
      <diagonal/>
    </border>
    <border>
      <left style="medium">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style="hair">
        <color indexed="64"/>
      </right>
      <top/>
      <bottom/>
      <diagonal/>
    </border>
    <border>
      <left style="medium">
        <color indexed="64"/>
      </left>
      <right style="hair">
        <color indexed="64"/>
      </right>
      <top/>
      <bottom style="medium">
        <color indexed="64"/>
      </bottom>
      <diagonal/>
    </border>
    <border>
      <left style="hair">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8"/>
      </left>
      <right style="medium">
        <color indexed="8"/>
      </right>
      <top/>
      <bottom/>
      <diagonal/>
    </border>
    <border>
      <left style="medium">
        <color indexed="8"/>
      </left>
      <right style="medium">
        <color indexed="8"/>
      </right>
      <top style="medium">
        <color indexed="8"/>
      </top>
      <bottom/>
      <diagonal/>
    </border>
    <border>
      <left style="medium">
        <color indexed="8"/>
      </left>
      <right style="medium">
        <color indexed="8"/>
      </right>
      <top/>
      <bottom style="thin">
        <color indexed="8"/>
      </bottom>
      <diagonal/>
    </border>
    <border>
      <left style="medium">
        <color indexed="8"/>
      </left>
      <right/>
      <top/>
      <bottom style="thin">
        <color indexed="8"/>
      </bottom>
      <diagonal/>
    </border>
    <border>
      <left style="medium">
        <color indexed="64"/>
      </left>
      <right style="medium">
        <color indexed="64"/>
      </right>
      <top style="medium">
        <color indexed="64"/>
      </top>
      <bottom style="medium">
        <color indexed="64"/>
      </bottom>
      <diagonal/>
    </border>
    <border>
      <left/>
      <right style="medium">
        <color indexed="8"/>
      </right>
      <top style="medium">
        <color indexed="8"/>
      </top>
      <bottom/>
      <diagonal/>
    </border>
    <border>
      <left style="hair">
        <color indexed="64"/>
      </left>
      <right/>
      <top/>
      <bottom/>
      <diagonal/>
    </border>
    <border>
      <left style="hair">
        <color indexed="64"/>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thin">
        <color indexed="64"/>
      </top>
      <bottom/>
      <diagonal/>
    </border>
    <border>
      <left style="medium">
        <color indexed="64"/>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theme="4"/>
      </left>
      <right/>
      <top style="thin">
        <color theme="4"/>
      </top>
      <bottom/>
      <diagonal/>
    </border>
    <border>
      <left style="thin">
        <color theme="5"/>
      </left>
      <right/>
      <top style="thin">
        <color theme="5"/>
      </top>
      <bottom/>
      <diagonal/>
    </border>
    <border>
      <left style="thin">
        <color indexed="64"/>
      </left>
      <right/>
      <top style="thin">
        <color theme="5"/>
      </top>
      <bottom/>
      <diagonal/>
    </border>
    <border>
      <left style="thin">
        <color indexed="64"/>
      </left>
      <right style="medium">
        <color indexed="64"/>
      </right>
      <top style="thin">
        <color indexed="64"/>
      </top>
      <bottom/>
      <diagonal/>
    </border>
    <border>
      <left/>
      <right style="medium">
        <color indexed="64"/>
      </right>
      <top style="thin">
        <color theme="5"/>
      </top>
      <bottom/>
      <diagonal/>
    </border>
    <border>
      <left style="thin">
        <color indexed="64"/>
      </left>
      <right/>
      <top style="medium">
        <color indexed="64"/>
      </top>
      <bottom/>
      <diagonal/>
    </border>
    <border>
      <left style="thin">
        <color indexed="64"/>
      </left>
      <right style="medium">
        <color indexed="64"/>
      </right>
      <top style="medium">
        <color indexed="64"/>
      </top>
      <bottom/>
      <diagonal/>
    </border>
    <border diagonalUp="1">
      <left style="thin">
        <color indexed="64"/>
      </left>
      <right style="thin">
        <color indexed="64"/>
      </right>
      <top style="thin">
        <color indexed="64"/>
      </top>
      <bottom style="thin">
        <color indexed="64"/>
      </bottom>
      <diagonal style="thin">
        <color indexed="64"/>
      </diagonal>
    </border>
    <border>
      <left style="thin">
        <color indexed="64"/>
      </left>
      <right/>
      <top style="thin">
        <color indexed="64"/>
      </top>
      <bottom style="thin">
        <color theme="4"/>
      </bottom>
      <diagonal/>
    </border>
    <border>
      <left style="medium">
        <color indexed="64"/>
      </left>
      <right/>
      <top style="thin">
        <color indexed="64"/>
      </top>
      <bottom/>
      <diagonal/>
    </border>
    <border>
      <left/>
      <right style="medium">
        <color indexed="8"/>
      </right>
      <top/>
      <bottom/>
      <diagonal/>
    </border>
    <border>
      <left style="medium">
        <color indexed="64"/>
      </left>
      <right style="medium">
        <color indexed="64"/>
      </right>
      <top style="medium">
        <color indexed="64"/>
      </top>
      <bottom style="medium">
        <color indexed="8"/>
      </bottom>
      <diagonal/>
    </border>
    <border>
      <left style="medium">
        <color indexed="64"/>
      </left>
      <right style="medium">
        <color indexed="64"/>
      </right>
      <top style="medium">
        <color indexed="8"/>
      </top>
      <bottom style="medium">
        <color indexed="8"/>
      </bottom>
      <diagonal/>
    </border>
    <border>
      <left style="medium">
        <color indexed="64"/>
      </left>
      <right style="medium">
        <color indexed="64"/>
      </right>
      <top style="medium">
        <color indexed="8"/>
      </top>
      <bottom style="medium">
        <color indexed="64"/>
      </bottom>
      <diagonal/>
    </border>
    <border>
      <left style="thin">
        <color indexed="64"/>
      </left>
      <right/>
      <top style="medium">
        <color indexed="64"/>
      </top>
      <bottom style="thin">
        <color theme="5"/>
      </bottom>
      <diagonal/>
    </border>
    <border>
      <left/>
      <right style="thin">
        <color theme="5"/>
      </right>
      <top style="medium">
        <color indexed="64"/>
      </top>
      <bottom style="thin">
        <color theme="5"/>
      </bottom>
      <diagonal/>
    </border>
    <border>
      <left style="medium">
        <color indexed="64"/>
      </left>
      <right/>
      <top style="medium">
        <color indexed="64"/>
      </top>
      <bottom style="thin">
        <color theme="5"/>
      </bottom>
      <diagonal/>
    </border>
    <border>
      <left style="thin">
        <color indexed="64"/>
      </left>
      <right style="thin">
        <color theme="4"/>
      </right>
      <top style="thin">
        <color indexed="64"/>
      </top>
      <bottom style="thin">
        <color theme="4"/>
      </bottom>
      <diagonal/>
    </border>
    <border>
      <left style="thin">
        <color theme="4"/>
      </left>
      <right/>
      <top style="thin">
        <color indexed="64"/>
      </top>
      <bottom/>
      <diagonal/>
    </border>
    <border>
      <left style="thin">
        <color indexed="64"/>
      </left>
      <right style="thin">
        <color theme="4"/>
      </right>
      <top style="thin">
        <color indexed="64"/>
      </top>
      <bottom/>
      <diagonal/>
    </border>
    <border>
      <left style="thin">
        <color indexed="64"/>
      </left>
      <right style="thin">
        <color indexed="64"/>
      </right>
      <top style="thin">
        <color theme="4"/>
      </top>
      <bottom/>
      <diagonal/>
    </border>
    <border>
      <left style="double">
        <color rgb="FFC00000"/>
      </left>
      <right style="thin">
        <color indexed="64"/>
      </right>
      <top style="double">
        <color rgb="FFC00000"/>
      </top>
      <bottom style="thin">
        <color indexed="64"/>
      </bottom>
      <diagonal/>
    </border>
    <border>
      <left style="thin">
        <color indexed="64"/>
      </left>
      <right style="double">
        <color rgb="FFC00000"/>
      </right>
      <top style="double">
        <color rgb="FFC00000"/>
      </top>
      <bottom style="thin">
        <color indexed="64"/>
      </bottom>
      <diagonal/>
    </border>
    <border>
      <left style="double">
        <color rgb="FFC00000"/>
      </left>
      <right style="thin">
        <color indexed="64"/>
      </right>
      <top style="thin">
        <color indexed="64"/>
      </top>
      <bottom style="thin">
        <color indexed="64"/>
      </bottom>
      <diagonal/>
    </border>
    <border>
      <left style="thin">
        <color indexed="64"/>
      </left>
      <right style="double">
        <color rgb="FFC00000"/>
      </right>
      <top style="thin">
        <color indexed="64"/>
      </top>
      <bottom style="thin">
        <color indexed="64"/>
      </bottom>
      <diagonal/>
    </border>
    <border>
      <left style="double">
        <color rgb="FFC00000"/>
      </left>
      <right style="thin">
        <color indexed="64"/>
      </right>
      <top style="thin">
        <color indexed="64"/>
      </top>
      <bottom style="double">
        <color rgb="FFC00000"/>
      </bottom>
      <diagonal/>
    </border>
    <border>
      <left/>
      <right style="double">
        <color rgb="FFC00000"/>
      </right>
      <top style="thin">
        <color indexed="64"/>
      </top>
      <bottom/>
      <diagonal/>
    </border>
    <border>
      <left/>
      <right style="double">
        <color rgb="FFC00000"/>
      </right>
      <top/>
      <bottom style="thin">
        <color indexed="64"/>
      </bottom>
      <diagonal/>
    </border>
    <border>
      <left style="thin">
        <color indexed="64"/>
      </left>
      <right style="thin">
        <color theme="5"/>
      </right>
      <top style="thin">
        <color indexed="64"/>
      </top>
      <bottom/>
      <diagonal/>
    </border>
    <border>
      <left style="double">
        <color rgb="FFC00000"/>
      </left>
      <right style="thin">
        <color indexed="64"/>
      </right>
      <top style="thin">
        <color indexed="64"/>
      </top>
      <bottom/>
      <diagonal/>
    </border>
    <border>
      <left style="thin">
        <color indexed="64"/>
      </left>
      <right style="double">
        <color rgb="FFC00000"/>
      </right>
      <top style="thin">
        <color indexed="64"/>
      </top>
      <bottom/>
      <diagonal/>
    </border>
    <border>
      <left style="double">
        <color rgb="FFFF0000"/>
      </left>
      <right style="thin">
        <color indexed="64"/>
      </right>
      <top style="double">
        <color rgb="FFFF0000"/>
      </top>
      <bottom style="thin">
        <color indexed="64"/>
      </bottom>
      <diagonal/>
    </border>
    <border>
      <left style="thin">
        <color indexed="64"/>
      </left>
      <right style="thin">
        <color indexed="64"/>
      </right>
      <top style="double">
        <color rgb="FFFF0000"/>
      </top>
      <bottom style="thin">
        <color indexed="64"/>
      </bottom>
      <diagonal/>
    </border>
    <border diagonalUp="1">
      <left style="thin">
        <color indexed="64"/>
      </left>
      <right style="thin">
        <color indexed="64"/>
      </right>
      <top style="double">
        <color rgb="FFFF0000"/>
      </top>
      <bottom style="thin">
        <color indexed="64"/>
      </bottom>
      <diagonal style="thin">
        <color indexed="64"/>
      </diagonal>
    </border>
    <border>
      <left style="thin">
        <color indexed="64"/>
      </left>
      <right/>
      <top style="double">
        <color rgb="FFFF0000"/>
      </top>
      <bottom style="thin">
        <color indexed="64"/>
      </bottom>
      <diagonal/>
    </border>
    <border>
      <left style="double">
        <color rgb="FFC00000"/>
      </left>
      <right style="thin">
        <color indexed="64"/>
      </right>
      <top style="double">
        <color rgb="FFFF0000"/>
      </top>
      <bottom style="thin">
        <color indexed="64"/>
      </bottom>
      <diagonal/>
    </border>
    <border>
      <left style="thin">
        <color indexed="64"/>
      </left>
      <right style="double">
        <color rgb="FFC00000"/>
      </right>
      <top style="double">
        <color rgb="FFFF0000"/>
      </top>
      <bottom style="thin">
        <color indexed="64"/>
      </bottom>
      <diagonal/>
    </border>
    <border>
      <left style="double">
        <color rgb="FFFF0000"/>
      </left>
      <right style="thin">
        <color indexed="64"/>
      </right>
      <top style="thin">
        <color indexed="64"/>
      </top>
      <bottom style="thin">
        <color indexed="64"/>
      </bottom>
      <diagonal/>
    </border>
    <border>
      <left style="double">
        <color rgb="FFFF0000"/>
      </left>
      <right style="thin">
        <color indexed="64"/>
      </right>
      <top style="thin">
        <color indexed="64"/>
      </top>
      <bottom style="double">
        <color rgb="FFFF0000"/>
      </bottom>
      <diagonal/>
    </border>
    <border>
      <left style="thin">
        <color indexed="64"/>
      </left>
      <right style="thin">
        <color indexed="64"/>
      </right>
      <top style="thin">
        <color indexed="64"/>
      </top>
      <bottom style="double">
        <color rgb="FFFF0000"/>
      </bottom>
      <diagonal/>
    </border>
    <border diagonalUp="1">
      <left style="thin">
        <color indexed="64"/>
      </left>
      <right style="thin">
        <color indexed="64"/>
      </right>
      <top style="thin">
        <color indexed="64"/>
      </top>
      <bottom style="double">
        <color rgb="FFFF0000"/>
      </bottom>
      <diagonal style="thin">
        <color indexed="64"/>
      </diagonal>
    </border>
    <border>
      <left style="thin">
        <color indexed="64"/>
      </left>
      <right/>
      <top style="thin">
        <color indexed="64"/>
      </top>
      <bottom style="double">
        <color rgb="FFFF0000"/>
      </bottom>
      <diagonal/>
    </border>
    <border>
      <left style="double">
        <color rgb="FFC00000"/>
      </left>
      <right style="thin">
        <color indexed="64"/>
      </right>
      <top style="thin">
        <color indexed="64"/>
      </top>
      <bottom style="double">
        <color rgb="FFFF0000"/>
      </bottom>
      <diagonal/>
    </border>
    <border>
      <left style="thin">
        <color indexed="64"/>
      </left>
      <right style="double">
        <color rgb="FFC00000"/>
      </right>
      <top style="thin">
        <color indexed="64"/>
      </top>
      <bottom style="double">
        <color rgb="FFFF0000"/>
      </bottom>
      <diagonal/>
    </border>
    <border>
      <left style="thin">
        <color indexed="64"/>
      </left>
      <right style="double">
        <color rgb="FFFF0000"/>
      </right>
      <top style="thin">
        <color indexed="64"/>
      </top>
      <bottom style="double">
        <color rgb="FFC00000"/>
      </bottom>
      <diagonal/>
    </border>
    <border>
      <left style="double">
        <color rgb="FFC00000"/>
      </left>
      <right style="thin">
        <color indexed="64"/>
      </right>
      <top/>
      <bottom style="thin">
        <color indexed="64"/>
      </bottom>
      <diagonal/>
    </border>
    <border>
      <left style="thin">
        <color indexed="64"/>
      </left>
      <right style="double">
        <color rgb="FFFF0000"/>
      </right>
      <top/>
      <bottom style="thin">
        <color indexed="64"/>
      </bottom>
      <diagonal/>
    </border>
    <border>
      <left style="double">
        <color rgb="FFC00000"/>
      </left>
      <right style="double">
        <color rgb="FFC00000"/>
      </right>
      <top style="thin">
        <color indexed="64"/>
      </top>
      <bottom style="thin">
        <color indexed="64"/>
      </bottom>
      <diagonal/>
    </border>
  </borders>
  <cellStyleXfs count="8">
    <xf numFmtId="0" fontId="0" fillId="0" borderId="0"/>
    <xf numFmtId="44" fontId="1" fillId="0" borderId="0" applyFont="0" applyFill="0" applyBorder="0" applyAlignment="0" applyProtection="0"/>
    <xf numFmtId="9" fontId="1" fillId="0" borderId="0" applyFont="0" applyFill="0" applyBorder="0" applyAlignment="0" applyProtection="0"/>
    <xf numFmtId="0" fontId="12" fillId="0" borderId="0"/>
    <xf numFmtId="44" fontId="12" fillId="0" borderId="0" applyFont="0" applyFill="0" applyBorder="0" applyAlignment="0" applyProtection="0"/>
    <xf numFmtId="9" fontId="12" fillId="0" borderId="0" applyFont="0" applyFill="0" applyBorder="0" applyAlignment="0" applyProtection="0"/>
    <xf numFmtId="43" fontId="1" fillId="0" borderId="0" applyFont="0" applyFill="0" applyBorder="0" applyAlignment="0" applyProtection="0"/>
    <xf numFmtId="0" fontId="21" fillId="0" borderId="0" applyNumberFormat="0" applyFill="0" applyBorder="0" applyAlignment="0" applyProtection="0"/>
  </cellStyleXfs>
  <cellXfs count="610">
    <xf numFmtId="0" fontId="0" fillId="0" borderId="0" xfId="0"/>
    <xf numFmtId="0" fontId="3" fillId="0" borderId="0" xfId="0" applyFont="1"/>
    <xf numFmtId="164" fontId="3" fillId="0" borderId="0" xfId="2" applyNumberFormat="1" applyFont="1"/>
    <xf numFmtId="0" fontId="6" fillId="0" borderId="0" xfId="0" applyFont="1" applyAlignment="1">
      <alignment horizontal="center" vertical="center" wrapText="1"/>
    </xf>
    <xf numFmtId="0" fontId="2" fillId="0" borderId="0" xfId="0" applyFont="1"/>
    <xf numFmtId="0" fontId="6" fillId="0" borderId="0" xfId="0" applyFont="1" applyAlignment="1">
      <alignment horizontal="left" vertical="center" wrapText="1"/>
    </xf>
    <xf numFmtId="0" fontId="6" fillId="0" borderId="7" xfId="0" applyFont="1" applyBorder="1" applyAlignment="1">
      <alignment horizontal="left" vertical="center" wrapText="1"/>
    </xf>
    <xf numFmtId="0" fontId="7" fillId="0" borderId="0" xfId="0" applyFont="1" applyAlignment="1">
      <alignment horizontal="left" vertical="center" wrapText="1"/>
    </xf>
    <xf numFmtId="0" fontId="3" fillId="0" borderId="0" xfId="0" applyFont="1" applyAlignment="1">
      <alignment horizontal="right"/>
    </xf>
    <xf numFmtId="0" fontId="8" fillId="0" borderId="0" xfId="0" applyFont="1"/>
    <xf numFmtId="0" fontId="8" fillId="0" borderId="1" xfId="0" applyFont="1" applyBorder="1"/>
    <xf numFmtId="0" fontId="8" fillId="0" borderId="1" xfId="0" applyFont="1" applyBorder="1" applyAlignment="1">
      <alignment horizontal="center"/>
    </xf>
    <xf numFmtId="164" fontId="8" fillId="2" borderId="1" xfId="2" applyNumberFormat="1" applyFont="1" applyFill="1" applyBorder="1" applyAlignment="1">
      <alignment horizontal="center" vertical="center"/>
    </xf>
    <xf numFmtId="0" fontId="10" fillId="0" borderId="1" xfId="0" applyFont="1" applyBorder="1" applyAlignment="1">
      <alignment horizontal="center" vertical="center"/>
    </xf>
    <xf numFmtId="44" fontId="8" fillId="6" borderId="1" xfId="0" applyNumberFormat="1" applyFont="1" applyFill="1" applyBorder="1" applyAlignment="1">
      <alignment horizontal="right" vertical="center"/>
    </xf>
    <xf numFmtId="0" fontId="9" fillId="0" borderId="1" xfId="0" applyFont="1" applyBorder="1" applyAlignment="1">
      <alignment horizontal="right"/>
    </xf>
    <xf numFmtId="44" fontId="8" fillId="6" borderId="1" xfId="1" applyFont="1" applyFill="1" applyBorder="1" applyAlignment="1">
      <alignment horizontal="right" vertical="center"/>
    </xf>
    <xf numFmtId="0" fontId="8" fillId="0" borderId="0" xfId="0" applyFont="1" applyBorder="1" applyAlignment="1">
      <alignment horizontal="center"/>
    </xf>
    <xf numFmtId="44" fontId="8" fillId="6" borderId="1" xfId="0" applyNumberFormat="1" applyFont="1" applyFill="1" applyBorder="1"/>
    <xf numFmtId="0" fontId="8" fillId="0" borderId="1" xfId="0" applyFont="1" applyFill="1" applyBorder="1"/>
    <xf numFmtId="0" fontId="8" fillId="6" borderId="1" xfId="0" applyFont="1" applyFill="1" applyBorder="1" applyAlignment="1">
      <alignment horizontal="center"/>
    </xf>
    <xf numFmtId="0" fontId="8" fillId="6" borderId="4" xfId="0" applyFont="1" applyFill="1" applyBorder="1" applyAlignment="1">
      <alignment horizontal="center" vertical="center"/>
    </xf>
    <xf numFmtId="44" fontId="8" fillId="4" borderId="0" xfId="1" applyFont="1" applyFill="1" applyBorder="1" applyAlignment="1">
      <alignment horizontal="right" vertical="center"/>
    </xf>
    <xf numFmtId="0" fontId="8" fillId="6" borderId="1" xfId="0" applyFont="1" applyFill="1" applyBorder="1"/>
    <xf numFmtId="0" fontId="8" fillId="0" borderId="1" xfId="0" applyFont="1" applyBorder="1" applyAlignment="1">
      <alignment horizontal="center"/>
    </xf>
    <xf numFmtId="44" fontId="8" fillId="4" borderId="0" xfId="1" applyFont="1" applyFill="1" applyBorder="1"/>
    <xf numFmtId="44" fontId="8" fillId="6" borderId="11" xfId="1" applyFont="1" applyFill="1" applyBorder="1"/>
    <xf numFmtId="0" fontId="8" fillId="7" borderId="20" xfId="0" applyFont="1" applyFill="1" applyBorder="1"/>
    <xf numFmtId="0" fontId="8" fillId="7" borderId="21" xfId="0" applyFont="1" applyFill="1" applyBorder="1"/>
    <xf numFmtId="0" fontId="8" fillId="7" borderId="22" xfId="0" applyFont="1" applyFill="1" applyBorder="1"/>
    <xf numFmtId="0" fontId="12" fillId="0" borderId="0" xfId="3"/>
    <xf numFmtId="168" fontId="12" fillId="0" borderId="0" xfId="3" applyNumberFormat="1"/>
    <xf numFmtId="0" fontId="15" fillId="0" borderId="0" xfId="3" applyFont="1" applyAlignment="1">
      <alignment horizontal="center"/>
    </xf>
    <xf numFmtId="0" fontId="12" fillId="0" borderId="0" xfId="3" applyAlignment="1">
      <alignment horizontal="center"/>
    </xf>
    <xf numFmtId="168" fontId="12" fillId="0" borderId="0" xfId="3" applyNumberFormat="1" applyAlignment="1">
      <alignment horizontal="center"/>
    </xf>
    <xf numFmtId="0" fontId="16" fillId="8" borderId="24" xfId="3" applyFont="1" applyFill="1" applyBorder="1" applyAlignment="1">
      <alignment horizontal="center" vertical="center" wrapText="1"/>
    </xf>
    <xf numFmtId="0" fontId="12" fillId="0" borderId="25" xfId="3" applyBorder="1" applyAlignment="1">
      <alignment horizontal="center" vertical="center"/>
    </xf>
    <xf numFmtId="0" fontId="12" fillId="0" borderId="25" xfId="3" applyFill="1" applyBorder="1" applyAlignment="1">
      <alignment horizontal="center" vertical="center"/>
    </xf>
    <xf numFmtId="0" fontId="14" fillId="9" borderId="23" xfId="3" applyFont="1" applyFill="1" applyBorder="1" applyAlignment="1">
      <alignment horizontal="center" vertical="center"/>
    </xf>
    <xf numFmtId="169" fontId="14" fillId="9" borderId="23" xfId="3" applyNumberFormat="1" applyFont="1" applyFill="1" applyBorder="1" applyAlignment="1">
      <alignment horizontal="center" vertical="center"/>
    </xf>
    <xf numFmtId="170" fontId="14" fillId="9" borderId="24" xfId="3" applyNumberFormat="1" applyFont="1" applyFill="1" applyBorder="1" applyAlignment="1">
      <alignment vertical="center"/>
    </xf>
    <xf numFmtId="168" fontId="14" fillId="9" borderId="27" xfId="3" applyNumberFormat="1" applyFont="1" applyFill="1" applyBorder="1" applyAlignment="1">
      <alignment vertical="center"/>
    </xf>
    <xf numFmtId="168" fontId="14" fillId="9" borderId="28" xfId="3" applyNumberFormat="1" applyFont="1" applyFill="1" applyBorder="1" applyAlignment="1">
      <alignment horizontal="center" vertical="center"/>
    </xf>
    <xf numFmtId="170" fontId="14" fillId="9" borderId="28" xfId="3" applyNumberFormat="1" applyFont="1" applyFill="1" applyBorder="1" applyAlignment="1">
      <alignment vertical="center"/>
    </xf>
    <xf numFmtId="0" fontId="14" fillId="0" borderId="0" xfId="3" applyFont="1"/>
    <xf numFmtId="0" fontId="14" fillId="0" borderId="24" xfId="3" applyFont="1" applyBorder="1" applyAlignment="1">
      <alignment horizontal="center"/>
    </xf>
    <xf numFmtId="169" fontId="12" fillId="0" borderId="24" xfId="3" applyNumberFormat="1" applyFont="1" applyBorder="1" applyAlignment="1">
      <alignment horizontal="center"/>
    </xf>
    <xf numFmtId="170" fontId="12" fillId="0" borderId="24" xfId="3" applyNumberFormat="1" applyBorder="1"/>
    <xf numFmtId="168" fontId="12" fillId="0" borderId="0" xfId="3" applyNumberFormat="1" applyBorder="1" applyAlignment="1">
      <alignment horizontal="center"/>
    </xf>
    <xf numFmtId="170" fontId="12" fillId="0" borderId="0" xfId="3" applyNumberFormat="1" applyBorder="1"/>
    <xf numFmtId="169" fontId="14" fillId="0" borderId="24" xfId="3" applyNumberFormat="1" applyFont="1" applyBorder="1" applyAlignment="1">
      <alignment horizontal="center"/>
    </xf>
    <xf numFmtId="170" fontId="14" fillId="0" borderId="24" xfId="3" applyNumberFormat="1" applyFont="1" applyBorder="1"/>
    <xf numFmtId="0" fontId="12" fillId="0" borderId="0" xfId="3" applyBorder="1" applyAlignment="1">
      <alignment horizontal="center"/>
    </xf>
    <xf numFmtId="0" fontId="12" fillId="0" borderId="0" xfId="3" applyFont="1" applyAlignment="1">
      <alignment horizontal="left"/>
    </xf>
    <xf numFmtId="0" fontId="12" fillId="0" borderId="0" xfId="3" applyFont="1" applyBorder="1" applyAlignment="1">
      <alignment horizontal="left"/>
    </xf>
    <xf numFmtId="168" fontId="12" fillId="0" borderId="0" xfId="3" applyNumberFormat="1" applyBorder="1"/>
    <xf numFmtId="17" fontId="12" fillId="0" borderId="0" xfId="3" applyNumberFormat="1" applyFont="1" applyFill="1" applyBorder="1" applyAlignment="1">
      <alignment horizontal="left"/>
    </xf>
    <xf numFmtId="17" fontId="12" fillId="0" borderId="0" xfId="3" applyNumberFormat="1" applyFill="1" applyBorder="1" applyAlignment="1">
      <alignment horizontal="center"/>
    </xf>
    <xf numFmtId="17" fontId="12" fillId="0" borderId="0" xfId="3" applyNumberFormat="1" applyFill="1" applyBorder="1" applyAlignment="1">
      <alignment horizontal="left"/>
    </xf>
    <xf numFmtId="173" fontId="12" fillId="0" borderId="0" xfId="3" applyNumberFormat="1" applyFill="1" applyBorder="1" applyAlignment="1">
      <alignment horizontal="center"/>
    </xf>
    <xf numFmtId="174" fontId="12" fillId="0" borderId="0" xfId="3" applyNumberFormat="1" applyBorder="1" applyAlignment="1">
      <alignment horizontal="center" vertical="center"/>
    </xf>
    <xf numFmtId="0" fontId="12" fillId="0" borderId="0" xfId="3" applyAlignment="1">
      <alignment horizontal="left"/>
    </xf>
    <xf numFmtId="44" fontId="8" fillId="6" borderId="4" xfId="0" applyNumberFormat="1" applyFont="1" applyFill="1" applyBorder="1"/>
    <xf numFmtId="0" fontId="8" fillId="4" borderId="11" xfId="0" applyFont="1" applyFill="1" applyBorder="1" applyAlignment="1">
      <alignment horizontal="center"/>
    </xf>
    <xf numFmtId="0" fontId="8" fillId="6" borderId="30" xfId="0" applyFont="1" applyFill="1" applyBorder="1" applyAlignment="1">
      <alignment horizontal="center" vertical="center"/>
    </xf>
    <xf numFmtId="0" fontId="8" fillId="6" borderId="31" xfId="0" applyFont="1" applyFill="1" applyBorder="1" applyAlignment="1">
      <alignment horizontal="center" vertical="center"/>
    </xf>
    <xf numFmtId="164" fontId="8" fillId="6" borderId="32" xfId="0" applyNumberFormat="1" applyFont="1" applyFill="1" applyBorder="1" applyAlignment="1">
      <alignment horizontal="center" vertical="center"/>
    </xf>
    <xf numFmtId="44" fontId="8" fillId="6" borderId="33" xfId="0" applyNumberFormat="1" applyFont="1" applyFill="1" applyBorder="1"/>
    <xf numFmtId="44" fontId="8" fillId="6" borderId="34" xfId="0" applyNumberFormat="1" applyFont="1" applyFill="1" applyBorder="1"/>
    <xf numFmtId="0" fontId="9" fillId="0" borderId="0" xfId="0" applyFont="1" applyAlignment="1"/>
    <xf numFmtId="0" fontId="8" fillId="6" borderId="3" xfId="0" applyFont="1" applyFill="1" applyBorder="1"/>
    <xf numFmtId="0" fontId="0" fillId="4" borderId="0" xfId="0" applyFill="1"/>
    <xf numFmtId="0" fontId="9" fillId="0" borderId="1" xfId="0" applyFont="1" applyBorder="1" applyAlignment="1">
      <alignment horizontal="left" vertical="center"/>
    </xf>
    <xf numFmtId="0" fontId="9" fillId="2" borderId="1" xfId="0" applyFont="1" applyFill="1" applyBorder="1" applyAlignment="1">
      <alignment horizontal="center" vertical="center"/>
    </xf>
    <xf numFmtId="0" fontId="9" fillId="4" borderId="0" xfId="0" applyFont="1" applyFill="1" applyBorder="1" applyAlignment="1">
      <alignment horizontal="right"/>
    </xf>
    <xf numFmtId="0" fontId="9" fillId="2" borderId="0" xfId="0" applyFont="1" applyFill="1" applyBorder="1" applyAlignment="1">
      <alignment horizontal="center" vertical="center"/>
    </xf>
    <xf numFmtId="0" fontId="11" fillId="0" borderId="11" xfId="0" applyFont="1" applyBorder="1" applyAlignment="1">
      <alignment horizontal="center" vertical="center"/>
    </xf>
    <xf numFmtId="0" fontId="11" fillId="0" borderId="2" xfId="0" applyFont="1" applyBorder="1" applyAlignment="1">
      <alignment horizontal="center" vertical="center"/>
    </xf>
    <xf numFmtId="0" fontId="8" fillId="6" borderId="11" xfId="0" applyFont="1" applyFill="1" applyBorder="1" applyAlignment="1">
      <alignment horizontal="center"/>
    </xf>
    <xf numFmtId="0" fontId="8" fillId="4" borderId="6" xfId="0" applyFont="1" applyFill="1" applyBorder="1" applyAlignment="1">
      <alignment horizontal="center"/>
    </xf>
    <xf numFmtId="0" fontId="9" fillId="6" borderId="1" xfId="0" applyFont="1" applyFill="1" applyBorder="1" applyAlignment="1">
      <alignment horizontal="center" vertical="center"/>
    </xf>
    <xf numFmtId="0" fontId="9" fillId="0" borderId="1" xfId="0" applyFont="1" applyBorder="1" applyAlignment="1"/>
    <xf numFmtId="0" fontId="9" fillId="6" borderId="1" xfId="0" applyFont="1" applyFill="1" applyBorder="1" applyAlignment="1">
      <alignment horizontal="center" wrapText="1"/>
    </xf>
    <xf numFmtId="0" fontId="12" fillId="0" borderId="1" xfId="3" applyBorder="1" applyAlignment="1">
      <alignment horizontal="center"/>
    </xf>
    <xf numFmtId="0" fontId="14" fillId="6" borderId="1" xfId="3" applyFont="1" applyFill="1" applyBorder="1" applyAlignment="1">
      <alignment horizontal="center" vertical="center"/>
    </xf>
    <xf numFmtId="0" fontId="8" fillId="0" borderId="1" xfId="0" applyFont="1" applyBorder="1" applyAlignment="1">
      <alignment horizontal="center"/>
    </xf>
    <xf numFmtId="9" fontId="16" fillId="12" borderId="37" xfId="2" applyFont="1" applyFill="1" applyBorder="1" applyAlignment="1">
      <alignment horizontal="center" vertical="center" wrapText="1"/>
    </xf>
    <xf numFmtId="168" fontId="16" fillId="8" borderId="41" xfId="3" applyNumberFormat="1" applyFont="1" applyFill="1" applyBorder="1" applyAlignment="1">
      <alignment horizontal="center" vertical="center" wrapText="1"/>
    </xf>
    <xf numFmtId="9" fontId="16" fillId="12" borderId="41" xfId="2" applyFont="1" applyFill="1" applyBorder="1" applyAlignment="1">
      <alignment horizontal="center" vertical="center" wrapText="1"/>
    </xf>
    <xf numFmtId="168" fontId="16" fillId="8" borderId="42" xfId="3" applyNumberFormat="1" applyFont="1" applyFill="1" applyBorder="1" applyAlignment="1">
      <alignment horizontal="center" vertical="center" wrapText="1"/>
    </xf>
    <xf numFmtId="44" fontId="8" fillId="4" borderId="10" xfId="1" applyFont="1" applyFill="1" applyBorder="1"/>
    <xf numFmtId="0" fontId="8" fillId="2" borderId="0" xfId="0" applyFont="1" applyFill="1" applyBorder="1" applyAlignment="1" applyProtection="1">
      <alignment horizontal="center" vertical="center"/>
    </xf>
    <xf numFmtId="17" fontId="8" fillId="0" borderId="1" xfId="0" applyNumberFormat="1" applyFont="1" applyBorder="1" applyAlignment="1" applyProtection="1">
      <alignment horizontal="center" vertical="center"/>
      <protection locked="0"/>
    </xf>
    <xf numFmtId="44" fontId="8" fillId="0" borderId="1" xfId="1" applyFont="1" applyBorder="1" applyAlignment="1" applyProtection="1">
      <alignment horizontal="right" vertical="center"/>
      <protection locked="0"/>
    </xf>
    <xf numFmtId="0" fontId="8" fillId="4" borderId="4" xfId="0" applyFont="1" applyFill="1" applyBorder="1" applyAlignment="1" applyProtection="1">
      <alignment horizontal="center"/>
      <protection locked="0"/>
    </xf>
    <xf numFmtId="44" fontId="8" fillId="4" borderId="15" xfId="1" applyFont="1" applyFill="1" applyBorder="1" applyProtection="1">
      <protection locked="0"/>
    </xf>
    <xf numFmtId="44" fontId="8" fillId="4" borderId="3" xfId="1" applyFont="1" applyFill="1" applyBorder="1" applyProtection="1">
      <protection locked="0"/>
    </xf>
    <xf numFmtId="0" fontId="8" fillId="2" borderId="3" xfId="0" applyFont="1" applyFill="1" applyBorder="1" applyProtection="1">
      <protection locked="0"/>
    </xf>
    <xf numFmtId="164" fontId="8" fillId="2" borderId="1" xfId="2" applyNumberFormat="1" applyFont="1" applyFill="1" applyBorder="1" applyAlignment="1" applyProtection="1">
      <alignment horizontal="center" vertical="center"/>
      <protection locked="0"/>
    </xf>
    <xf numFmtId="0" fontId="9" fillId="2" borderId="1" xfId="0" applyFont="1" applyFill="1" applyBorder="1" applyAlignment="1" applyProtection="1">
      <alignment horizontal="center" vertical="center"/>
      <protection locked="0"/>
    </xf>
    <xf numFmtId="0" fontId="8" fillId="2" borderId="1" xfId="0" applyFont="1" applyFill="1" applyBorder="1" applyAlignment="1" applyProtection="1">
      <alignment horizontal="center" vertical="center"/>
      <protection locked="0"/>
    </xf>
    <xf numFmtId="0" fontId="14" fillId="6" borderId="1" xfId="3" applyFont="1" applyFill="1" applyBorder="1" applyAlignment="1">
      <alignment horizontal="left"/>
    </xf>
    <xf numFmtId="4" fontId="12" fillId="0" borderId="25" xfId="3" applyNumberFormat="1" applyBorder="1" applyAlignment="1" applyProtection="1">
      <alignment horizontal="center" vertical="center"/>
      <protection locked="0"/>
    </xf>
    <xf numFmtId="4" fontId="12" fillId="0" borderId="25" xfId="3" applyNumberFormat="1" applyFill="1" applyBorder="1" applyAlignment="1" applyProtection="1">
      <alignment horizontal="center" vertical="center"/>
      <protection locked="0"/>
    </xf>
    <xf numFmtId="44" fontId="8" fillId="4" borderId="11" xfId="1" applyFont="1" applyFill="1" applyBorder="1" applyProtection="1">
      <protection locked="0"/>
    </xf>
    <xf numFmtId="9" fontId="16" fillId="12" borderId="16" xfId="2" applyFont="1" applyFill="1" applyBorder="1" applyAlignment="1">
      <alignment horizontal="center" vertical="center" wrapText="1"/>
    </xf>
    <xf numFmtId="0" fontId="12" fillId="2" borderId="1" xfId="3" applyFill="1" applyBorder="1" applyAlignment="1">
      <alignment horizontal="center" vertical="center"/>
    </xf>
    <xf numFmtId="0" fontId="12" fillId="2" borderId="1" xfId="3" applyFill="1" applyBorder="1" applyAlignment="1" applyProtection="1">
      <alignment horizontal="center"/>
      <protection locked="0"/>
    </xf>
    <xf numFmtId="44" fontId="8" fillId="4" borderId="1" xfId="1" applyFont="1" applyFill="1" applyBorder="1"/>
    <xf numFmtId="44" fontId="8" fillId="4" borderId="1" xfId="1" applyFont="1" applyFill="1" applyBorder="1" applyAlignment="1">
      <alignment horizontal="center" vertical="center"/>
    </xf>
    <xf numFmtId="44" fontId="8" fillId="2" borderId="1" xfId="1" applyFont="1" applyFill="1" applyBorder="1" applyProtection="1">
      <protection locked="0"/>
    </xf>
    <xf numFmtId="178" fontId="8" fillId="4" borderId="1" xfId="6" applyNumberFormat="1" applyFont="1" applyFill="1" applyBorder="1" applyProtection="1">
      <protection locked="0"/>
    </xf>
    <xf numFmtId="44" fontId="8" fillId="4" borderId="1" xfId="1" applyFont="1" applyFill="1" applyBorder="1" applyAlignment="1" applyProtection="1">
      <alignment horizontal="center" vertical="center"/>
      <protection locked="0"/>
    </xf>
    <xf numFmtId="0" fontId="8" fillId="4" borderId="1" xfId="1" applyNumberFormat="1" applyFont="1" applyFill="1" applyBorder="1" applyAlignment="1" applyProtection="1">
      <alignment horizontal="center" vertical="center"/>
      <protection locked="0"/>
    </xf>
    <xf numFmtId="17" fontId="12" fillId="0" borderId="25" xfId="3" applyNumberFormat="1" applyFont="1" applyBorder="1" applyAlignment="1" applyProtection="1">
      <alignment horizontal="center" vertical="center"/>
      <protection locked="0"/>
    </xf>
    <xf numFmtId="17" fontId="12" fillId="0" borderId="25" xfId="3" applyNumberFormat="1" applyFont="1" applyFill="1" applyBorder="1" applyAlignment="1" applyProtection="1">
      <alignment horizontal="center" vertical="center"/>
      <protection locked="0"/>
    </xf>
    <xf numFmtId="0" fontId="8" fillId="6" borderId="32" xfId="0" applyFont="1" applyFill="1" applyBorder="1" applyAlignment="1">
      <alignment horizontal="center" vertical="center"/>
    </xf>
    <xf numFmtId="0" fontId="8" fillId="6" borderId="43" xfId="0" applyFont="1" applyFill="1" applyBorder="1" applyAlignment="1">
      <alignment horizontal="center" vertical="center"/>
    </xf>
    <xf numFmtId="44" fontId="8" fillId="6" borderId="44" xfId="0" applyNumberFormat="1" applyFont="1" applyFill="1" applyBorder="1"/>
    <xf numFmtId="44" fontId="8" fillId="6" borderId="2" xfId="1" applyFont="1" applyFill="1" applyBorder="1" applyAlignment="1">
      <alignment horizontal="right" vertical="center"/>
    </xf>
    <xf numFmtId="44" fontId="8" fillId="6" borderId="2" xfId="1" applyFont="1" applyFill="1" applyBorder="1"/>
    <xf numFmtId="44" fontId="8" fillId="4" borderId="2" xfId="1" applyFont="1" applyFill="1" applyBorder="1" applyProtection="1">
      <protection locked="0"/>
    </xf>
    <xf numFmtId="17" fontId="14" fillId="6" borderId="1" xfId="3" applyNumberFormat="1" applyFont="1" applyFill="1" applyBorder="1" applyAlignment="1">
      <alignment horizontal="center" vertical="center"/>
    </xf>
    <xf numFmtId="44" fontId="19" fillId="4" borderId="0" xfId="1" applyFont="1" applyFill="1" applyBorder="1"/>
    <xf numFmtId="44" fontId="8" fillId="0" borderId="1" xfId="1" quotePrefix="1" applyFont="1" applyBorder="1" applyAlignment="1" applyProtection="1">
      <alignment horizontal="right" vertical="center"/>
      <protection locked="0"/>
    </xf>
    <xf numFmtId="0" fontId="21" fillId="4" borderId="0" xfId="7" applyFill="1"/>
    <xf numFmtId="0" fontId="22" fillId="4" borderId="0" xfId="0" applyFont="1" applyFill="1"/>
    <xf numFmtId="164" fontId="11" fillId="6" borderId="2" xfId="0" applyNumberFormat="1" applyFont="1" applyFill="1" applyBorder="1" applyAlignment="1">
      <alignment horizontal="center"/>
    </xf>
    <xf numFmtId="164" fontId="8" fillId="6" borderId="8" xfId="0" applyNumberFormat="1" applyFont="1" applyFill="1" applyBorder="1" applyAlignment="1">
      <alignment horizontal="center" vertical="center"/>
    </xf>
    <xf numFmtId="0" fontId="11" fillId="6" borderId="11" xfId="0" applyFont="1" applyFill="1" applyBorder="1" applyAlignment="1">
      <alignment horizontal="center"/>
    </xf>
    <xf numFmtId="0" fontId="11" fillId="6" borderId="6" xfId="0" applyFont="1" applyFill="1" applyBorder="1" applyAlignment="1">
      <alignment horizontal="center"/>
    </xf>
    <xf numFmtId="44" fontId="8" fillId="6" borderId="1" xfId="1" applyFont="1" applyFill="1" applyBorder="1" applyAlignment="1">
      <alignment horizontal="right" vertical="center"/>
    </xf>
    <xf numFmtId="0" fontId="8" fillId="6" borderId="1" xfId="0" applyFont="1" applyFill="1" applyBorder="1" applyAlignment="1">
      <alignment horizontal="center"/>
    </xf>
    <xf numFmtId="164" fontId="11" fillId="6" borderId="12" xfId="0" applyNumberFormat="1" applyFont="1" applyFill="1" applyBorder="1" applyAlignment="1">
      <alignment horizontal="center"/>
    </xf>
    <xf numFmtId="164" fontId="8" fillId="6" borderId="10" xfId="0" applyNumberFormat="1" applyFont="1" applyFill="1" applyBorder="1" applyAlignment="1">
      <alignment horizontal="center" vertical="center"/>
    </xf>
    <xf numFmtId="0" fontId="8" fillId="6" borderId="4" xfId="0" applyFont="1" applyFill="1" applyBorder="1" applyAlignment="1">
      <alignment horizontal="center" vertical="center" wrapText="1"/>
    </xf>
    <xf numFmtId="0" fontId="8" fillId="6" borderId="11" xfId="0" applyFont="1" applyFill="1" applyBorder="1" applyAlignment="1">
      <alignment horizontal="center" vertical="center"/>
    </xf>
    <xf numFmtId="164" fontId="8" fillId="6" borderId="2" xfId="0" applyNumberFormat="1" applyFont="1" applyFill="1" applyBorder="1" applyAlignment="1">
      <alignment horizontal="center" vertical="center"/>
    </xf>
    <xf numFmtId="44" fontId="8" fillId="2" borderId="1" xfId="1" applyFont="1" applyFill="1" applyBorder="1" applyAlignment="1" applyProtection="1">
      <alignment horizontal="center"/>
      <protection locked="0"/>
    </xf>
    <xf numFmtId="0" fontId="9" fillId="0" borderId="13" xfId="0" applyFont="1" applyBorder="1" applyAlignment="1">
      <alignment vertical="center"/>
    </xf>
    <xf numFmtId="44" fontId="8" fillId="2" borderId="1" xfId="1" applyFont="1" applyFill="1" applyBorder="1" applyAlignment="1" applyProtection="1">
      <alignment horizontal="center" vertical="center"/>
      <protection locked="0"/>
    </xf>
    <xf numFmtId="44" fontId="8" fillId="0" borderId="1" xfId="0" applyNumberFormat="1" applyFont="1" applyBorder="1"/>
    <xf numFmtId="9" fontId="8" fillId="0" borderId="2" xfId="2" applyFont="1" applyBorder="1" applyAlignment="1">
      <alignment horizontal="center" vertical="center"/>
    </xf>
    <xf numFmtId="0" fontId="8" fillId="0" borderId="2" xfId="0" applyFont="1" applyBorder="1"/>
    <xf numFmtId="0" fontId="8" fillId="11" borderId="1" xfId="0" applyFont="1" applyFill="1" applyBorder="1"/>
    <xf numFmtId="0" fontId="8" fillId="11" borderId="4" xfId="0" applyFont="1" applyFill="1" applyBorder="1"/>
    <xf numFmtId="9" fontId="0" fillId="0" borderId="1" xfId="0" applyNumberFormat="1" applyBorder="1"/>
    <xf numFmtId="44" fontId="0" fillId="0" borderId="1" xfId="1" applyFont="1" applyBorder="1"/>
    <xf numFmtId="44" fontId="0" fillId="0" borderId="0" xfId="0" applyNumberFormat="1"/>
    <xf numFmtId="0" fontId="8" fillId="0" borderId="4" xfId="0" applyFont="1" applyBorder="1"/>
    <xf numFmtId="0" fontId="8" fillId="0" borderId="10" xfId="0" applyFont="1" applyFill="1" applyBorder="1"/>
    <xf numFmtId="0" fontId="8" fillId="0" borderId="12" xfId="0" applyFont="1" applyFill="1" applyBorder="1"/>
    <xf numFmtId="44" fontId="8" fillId="2" borderId="1" xfId="1" applyFont="1" applyFill="1" applyBorder="1" applyAlignment="1" applyProtection="1">
      <alignment horizontal="center"/>
      <protection locked="0"/>
    </xf>
    <xf numFmtId="0" fontId="8" fillId="4" borderId="1" xfId="0" applyFont="1" applyFill="1" applyBorder="1" applyAlignment="1">
      <alignment horizontal="center"/>
    </xf>
    <xf numFmtId="44" fontId="8" fillId="0" borderId="0" xfId="0" applyNumberFormat="1" applyFont="1"/>
    <xf numFmtId="0" fontId="8" fillId="0" borderId="3" xfId="0" applyFont="1" applyBorder="1"/>
    <xf numFmtId="0" fontId="8" fillId="4" borderId="50" xfId="0" applyFont="1" applyFill="1" applyBorder="1" applyAlignment="1">
      <alignment horizontal="center"/>
    </xf>
    <xf numFmtId="164" fontId="8" fillId="6" borderId="12" xfId="0" applyNumberFormat="1" applyFont="1" applyFill="1" applyBorder="1" applyAlignment="1">
      <alignment horizontal="center" vertical="center"/>
    </xf>
    <xf numFmtId="44" fontId="8" fillId="6" borderId="2" xfId="0" applyNumberFormat="1" applyFont="1" applyFill="1" applyBorder="1"/>
    <xf numFmtId="0" fontId="8" fillId="6" borderId="50" xfId="0" applyFont="1" applyFill="1" applyBorder="1" applyAlignment="1">
      <alignment horizontal="center" vertical="center"/>
    </xf>
    <xf numFmtId="44" fontId="8" fillId="6" borderId="8" xfId="0" applyNumberFormat="1" applyFont="1" applyFill="1" applyBorder="1"/>
    <xf numFmtId="44" fontId="0" fillId="0" borderId="1" xfId="0" applyNumberFormat="1" applyBorder="1"/>
    <xf numFmtId="0" fontId="8" fillId="0" borderId="1" xfId="0" applyFont="1" applyBorder="1" applyAlignment="1">
      <alignment horizontal="center"/>
    </xf>
    <xf numFmtId="44" fontId="8" fillId="4" borderId="1" xfId="1" applyFont="1" applyFill="1" applyBorder="1" applyAlignment="1">
      <alignment horizontal="center"/>
    </xf>
    <xf numFmtId="181" fontId="8" fillId="4" borderId="1" xfId="1" applyNumberFormat="1" applyFont="1" applyFill="1" applyBorder="1" applyProtection="1">
      <protection locked="0"/>
    </xf>
    <xf numFmtId="0" fontId="27" fillId="0" borderId="0" xfId="3" applyFont="1"/>
    <xf numFmtId="4" fontId="27" fillId="0" borderId="0" xfId="3" applyNumberFormat="1" applyFont="1"/>
    <xf numFmtId="0" fontId="28" fillId="0" borderId="0" xfId="3" applyFont="1"/>
    <xf numFmtId="169" fontId="14" fillId="9" borderId="63" xfId="3" applyNumberFormat="1" applyFont="1" applyFill="1" applyBorder="1" applyAlignment="1">
      <alignment horizontal="center" vertical="center"/>
    </xf>
    <xf numFmtId="169" fontId="14" fillId="9" borderId="64" xfId="3" applyNumberFormat="1" applyFont="1" applyFill="1" applyBorder="1" applyAlignment="1">
      <alignment horizontal="center" vertical="center"/>
    </xf>
    <xf numFmtId="169" fontId="14" fillId="9" borderId="65" xfId="3" applyNumberFormat="1" applyFont="1" applyFill="1" applyBorder="1" applyAlignment="1">
      <alignment horizontal="center" vertical="center"/>
    </xf>
    <xf numFmtId="0" fontId="14" fillId="0" borderId="24" xfId="3" applyFont="1" applyBorder="1" applyAlignment="1">
      <alignment horizontal="center" vertical="center"/>
    </xf>
    <xf numFmtId="169" fontId="12" fillId="0" borderId="0" xfId="3" applyNumberFormat="1"/>
    <xf numFmtId="0" fontId="28" fillId="11" borderId="0" xfId="3" applyFont="1" applyFill="1" applyAlignment="1">
      <alignment horizontal="center" vertical="center"/>
    </xf>
    <xf numFmtId="44" fontId="8" fillId="4" borderId="1" xfId="1" applyFont="1" applyFill="1" applyBorder="1" applyAlignment="1">
      <alignment horizontal="center"/>
    </xf>
    <xf numFmtId="0" fontId="8" fillId="4" borderId="1" xfId="1" applyNumberFormat="1" applyFont="1" applyFill="1" applyBorder="1" applyAlignment="1" applyProtection="1">
      <alignment horizontal="center" vertical="center"/>
    </xf>
    <xf numFmtId="0" fontId="29" fillId="0" borderId="0" xfId="0" applyFont="1"/>
    <xf numFmtId="44" fontId="29" fillId="4" borderId="0" xfId="1" applyFont="1" applyFill="1" applyBorder="1"/>
    <xf numFmtId="44" fontId="29" fillId="4" borderId="0" xfId="0" applyNumberFormat="1" applyFont="1" applyFill="1" applyBorder="1" applyAlignment="1">
      <alignment horizontal="right" vertical="center"/>
    </xf>
    <xf numFmtId="0" fontId="29" fillId="0" borderId="1" xfId="0" applyFont="1" applyBorder="1"/>
    <xf numFmtId="44" fontId="31" fillId="4" borderId="0" xfId="1" applyFont="1" applyFill="1" applyBorder="1"/>
    <xf numFmtId="0" fontId="29" fillId="0" borderId="1" xfId="0" applyFont="1" applyBorder="1" applyAlignment="1">
      <alignment horizontal="center" vertical="center"/>
    </xf>
    <xf numFmtId="0" fontId="29" fillId="4" borderId="0" xfId="0" applyFont="1" applyFill="1" applyAlignment="1">
      <alignment horizontal="center" vertical="center"/>
    </xf>
    <xf numFmtId="0" fontId="29" fillId="4" borderId="0" xfId="0" applyFont="1" applyFill="1" applyAlignment="1">
      <alignment horizontal="center"/>
    </xf>
    <xf numFmtId="0" fontId="32" fillId="4" borderId="15" xfId="0" applyFont="1" applyFill="1" applyBorder="1"/>
    <xf numFmtId="164" fontId="31" fillId="6" borderId="1" xfId="2" applyNumberFormat="1" applyFont="1" applyFill="1" applyBorder="1" applyAlignment="1">
      <alignment horizontal="center" vertical="center"/>
    </xf>
    <xf numFmtId="0" fontId="33" fillId="4" borderId="8" xfId="0" applyFont="1" applyFill="1" applyBorder="1" applyAlignment="1">
      <alignment horizontal="center" vertical="center"/>
    </xf>
    <xf numFmtId="0" fontId="31" fillId="6" borderId="15" xfId="0" applyFont="1" applyFill="1" applyBorder="1" applyAlignment="1">
      <alignment horizontal="center"/>
    </xf>
    <xf numFmtId="164" fontId="34" fillId="6" borderId="2" xfId="2" applyNumberFormat="1" applyFont="1" applyFill="1" applyBorder="1" applyAlignment="1">
      <alignment horizontal="center" vertical="center"/>
    </xf>
    <xf numFmtId="0" fontId="31" fillId="6" borderId="2" xfId="0" applyFont="1" applyFill="1" applyBorder="1" applyAlignment="1">
      <alignment horizontal="center" vertical="center"/>
    </xf>
    <xf numFmtId="0" fontId="29" fillId="6" borderId="3" xfId="0" applyFont="1" applyFill="1" applyBorder="1"/>
    <xf numFmtId="44" fontId="29" fillId="6" borderId="1" xfId="1" applyFont="1" applyFill="1" applyBorder="1" applyAlignment="1">
      <alignment horizontal="right" vertical="center"/>
    </xf>
    <xf numFmtId="44" fontId="29" fillId="6" borderId="1" xfId="0" applyNumberFormat="1" applyFont="1" applyFill="1" applyBorder="1" applyAlignment="1">
      <alignment horizontal="right" vertical="center"/>
    </xf>
    <xf numFmtId="0" fontId="29" fillId="0" borderId="0" xfId="0" applyFont="1" applyAlignment="1">
      <alignment horizontal="right" vertical="center"/>
    </xf>
    <xf numFmtId="0" fontId="30" fillId="6" borderId="3" xfId="0" applyFont="1" applyFill="1" applyBorder="1" applyAlignment="1">
      <alignment horizontal="right"/>
    </xf>
    <xf numFmtId="44" fontId="32" fillId="4" borderId="0" xfId="1" applyFont="1" applyFill="1" applyBorder="1"/>
    <xf numFmtId="0" fontId="30" fillId="6" borderId="51" xfId="0" applyFont="1" applyFill="1" applyBorder="1" applyAlignment="1">
      <alignment horizontal="right"/>
    </xf>
    <xf numFmtId="44" fontId="29" fillId="6" borderId="50" xfId="1" applyFont="1" applyFill="1" applyBorder="1" applyAlignment="1">
      <alignment horizontal="right" vertical="center"/>
    </xf>
    <xf numFmtId="44" fontId="29" fillId="6" borderId="51" xfId="1" applyFont="1" applyFill="1" applyBorder="1" applyAlignment="1">
      <alignment horizontal="right" vertical="center"/>
    </xf>
    <xf numFmtId="164" fontId="29" fillId="6" borderId="2" xfId="0" applyNumberFormat="1" applyFont="1" applyFill="1" applyBorder="1" applyAlignment="1">
      <alignment horizontal="center" vertical="center"/>
    </xf>
    <xf numFmtId="164" fontId="29" fillId="6" borderId="1" xfId="1" applyNumberFormat="1" applyFont="1" applyFill="1" applyBorder="1" applyAlignment="1">
      <alignment horizontal="center"/>
    </xf>
    <xf numFmtId="44" fontId="29" fillId="6" borderId="0" xfId="1" applyFont="1" applyFill="1" applyBorder="1"/>
    <xf numFmtId="44" fontId="29" fillId="4" borderId="9" xfId="1" applyFont="1" applyFill="1" applyBorder="1"/>
    <xf numFmtId="0" fontId="30" fillId="0" borderId="15" xfId="0" applyFont="1" applyBorder="1" applyAlignment="1">
      <alignment horizontal="center" vertical="center"/>
    </xf>
    <xf numFmtId="0" fontId="30" fillId="0" borderId="14" xfId="0" applyFont="1" applyBorder="1" applyAlignment="1">
      <alignment horizontal="center" vertical="center"/>
    </xf>
    <xf numFmtId="0" fontId="36" fillId="0" borderId="0" xfId="0" applyFont="1" applyBorder="1" applyAlignment="1">
      <alignment horizontal="center" vertical="center"/>
    </xf>
    <xf numFmtId="0" fontId="30" fillId="0" borderId="9" xfId="0" applyFont="1" applyBorder="1" applyAlignment="1">
      <alignment horizontal="center" vertical="center"/>
    </xf>
    <xf numFmtId="0" fontId="32" fillId="0" borderId="0" xfId="0" applyFont="1"/>
    <xf numFmtId="44" fontId="32" fillId="4" borderId="0" xfId="1" applyFont="1" applyFill="1" applyBorder="1" applyAlignment="1">
      <alignment horizontal="center" vertical="center"/>
    </xf>
    <xf numFmtId="0" fontId="30" fillId="6" borderId="3" xfId="0" applyFont="1" applyFill="1" applyBorder="1" applyAlignment="1">
      <alignment horizontal="center" vertical="center"/>
    </xf>
    <xf numFmtId="0" fontId="30" fillId="6" borderId="1" xfId="0" applyFont="1" applyFill="1" applyBorder="1" applyAlignment="1">
      <alignment horizontal="center" vertical="center"/>
    </xf>
    <xf numFmtId="179" fontId="30" fillId="6" borderId="1" xfId="0" applyNumberFormat="1" applyFont="1" applyFill="1" applyBorder="1" applyAlignment="1">
      <alignment horizontal="center" vertical="center"/>
    </xf>
    <xf numFmtId="179" fontId="30" fillId="0" borderId="1" xfId="1" applyNumberFormat="1" applyFont="1" applyBorder="1" applyAlignment="1" applyProtection="1">
      <alignment horizontal="center" vertical="center"/>
      <protection locked="0"/>
    </xf>
    <xf numFmtId="44" fontId="29" fillId="4" borderId="0" xfId="1" applyFont="1" applyFill="1" applyBorder="1" applyAlignment="1">
      <alignment horizontal="center" vertical="center"/>
    </xf>
    <xf numFmtId="179" fontId="30" fillId="6" borderId="1" xfId="1" applyNumberFormat="1" applyFont="1" applyFill="1" applyBorder="1" applyAlignment="1">
      <alignment horizontal="center" vertical="center"/>
    </xf>
    <xf numFmtId="179" fontId="29" fillId="4" borderId="0" xfId="1" applyNumberFormat="1" applyFont="1" applyFill="1" applyBorder="1"/>
    <xf numFmtId="0" fontId="30" fillId="6" borderId="51" xfId="0" applyFont="1" applyFill="1" applyBorder="1" applyAlignment="1">
      <alignment horizontal="center" vertical="center"/>
    </xf>
    <xf numFmtId="0" fontId="30" fillId="6" borderId="11" xfId="0" applyFont="1" applyFill="1" applyBorder="1" applyAlignment="1">
      <alignment horizontal="center" vertical="center"/>
    </xf>
    <xf numFmtId="179" fontId="30" fillId="6" borderId="11" xfId="0" applyNumberFormat="1" applyFont="1" applyFill="1" applyBorder="1" applyAlignment="1">
      <alignment horizontal="center" vertical="center"/>
    </xf>
    <xf numFmtId="179" fontId="30" fillId="0" borderId="11" xfId="1" applyNumberFormat="1" applyFont="1" applyBorder="1" applyAlignment="1" applyProtection="1">
      <alignment horizontal="center" vertical="center"/>
      <protection locked="0"/>
    </xf>
    <xf numFmtId="179" fontId="30" fillId="6" borderId="11" xfId="1" applyNumberFormat="1" applyFont="1" applyFill="1" applyBorder="1" applyAlignment="1">
      <alignment horizontal="center" vertical="center"/>
    </xf>
    <xf numFmtId="44" fontId="29" fillId="4" borderId="0" xfId="1" applyNumberFormat="1" applyFont="1" applyFill="1" applyBorder="1" applyAlignment="1">
      <alignment horizontal="center" vertical="center"/>
    </xf>
    <xf numFmtId="0" fontId="30" fillId="0" borderId="0" xfId="0" applyFont="1" applyBorder="1" applyAlignment="1">
      <alignment horizontal="center" vertical="center"/>
    </xf>
    <xf numFmtId="179" fontId="30" fillId="0" borderId="0" xfId="0" applyNumberFormat="1" applyFont="1" applyBorder="1" applyAlignment="1">
      <alignment horizontal="center" vertical="center"/>
    </xf>
    <xf numFmtId="179" fontId="30" fillId="0" borderId="0" xfId="1" applyNumberFormat="1" applyFont="1" applyBorder="1" applyAlignment="1">
      <alignment horizontal="center" vertical="center"/>
    </xf>
    <xf numFmtId="0" fontId="29" fillId="0" borderId="1" xfId="0" applyFont="1" applyBorder="1" applyAlignment="1">
      <alignment horizontal="center" vertical="center" wrapText="1"/>
    </xf>
    <xf numFmtId="164" fontId="29" fillId="0" borderId="1" xfId="0" applyNumberFormat="1" applyFont="1" applyBorder="1" applyAlignment="1">
      <alignment horizontal="center" vertical="center"/>
    </xf>
    <xf numFmtId="0" fontId="37" fillId="18" borderId="0" xfId="0" applyFont="1" applyFill="1" applyAlignment="1"/>
    <xf numFmtId="44" fontId="37" fillId="16" borderId="53" xfId="1" applyNumberFormat="1" applyFont="1" applyFill="1" applyBorder="1"/>
    <xf numFmtId="0" fontId="37" fillId="16" borderId="54" xfId="0" applyFont="1" applyFill="1" applyBorder="1" applyAlignment="1">
      <alignment vertical="center"/>
    </xf>
    <xf numFmtId="164" fontId="37" fillId="16" borderId="50" xfId="0" applyNumberFormat="1" applyFont="1" applyFill="1" applyBorder="1" applyAlignment="1">
      <alignment horizontal="center"/>
    </xf>
    <xf numFmtId="164" fontId="37" fillId="16" borderId="50" xfId="0" applyNumberFormat="1" applyFont="1" applyFill="1" applyBorder="1" applyAlignment="1">
      <alignment horizontal="center" vertical="center" wrapText="1"/>
    </xf>
    <xf numFmtId="0" fontId="37" fillId="16" borderId="10" xfId="0" applyFont="1" applyFill="1" applyBorder="1" applyAlignment="1">
      <alignment horizontal="center" vertical="center"/>
    </xf>
    <xf numFmtId="0" fontId="37" fillId="16" borderId="50" xfId="0" applyFont="1" applyFill="1" applyBorder="1" applyAlignment="1">
      <alignment vertical="center" wrapText="1"/>
    </xf>
    <xf numFmtId="0" fontId="37" fillId="16" borderId="11" xfId="0" applyFont="1" applyFill="1" applyBorder="1" applyAlignment="1">
      <alignment vertical="center" wrapText="1"/>
    </xf>
    <xf numFmtId="0" fontId="29" fillId="16" borderId="17" xfId="0" applyFont="1" applyFill="1" applyBorder="1" applyAlignment="1">
      <alignment horizontal="center" vertical="center" textRotation="90"/>
    </xf>
    <xf numFmtId="0" fontId="29" fillId="0" borderId="57" xfId="0" applyFont="1" applyBorder="1" applyAlignment="1">
      <alignment horizontal="center" vertical="center"/>
    </xf>
    <xf numFmtId="44" fontId="29" fillId="6" borderId="57" xfId="1" applyNumberFormat="1" applyFont="1" applyFill="1" applyBorder="1"/>
    <xf numFmtId="9" fontId="29" fillId="5" borderId="57" xfId="2" applyNumberFormat="1" applyFont="1" applyFill="1" applyBorder="1"/>
    <xf numFmtId="44" fontId="29" fillId="5" borderId="58" xfId="1" applyNumberFormat="1" applyFont="1" applyFill="1" applyBorder="1" applyAlignment="1"/>
    <xf numFmtId="44" fontId="29" fillId="4" borderId="0" xfId="1" applyFont="1" applyFill="1" applyBorder="1" applyAlignment="1"/>
    <xf numFmtId="0" fontId="29" fillId="16" borderId="19" xfId="0" applyFont="1" applyFill="1" applyBorder="1" applyAlignment="1">
      <alignment horizontal="center" vertical="center" textRotation="90"/>
    </xf>
    <xf numFmtId="0" fontId="29" fillId="0" borderId="50" xfId="0" applyFont="1" applyBorder="1" applyAlignment="1">
      <alignment horizontal="center" vertical="center"/>
    </xf>
    <xf numFmtId="0" fontId="29" fillId="0" borderId="50" xfId="0" applyFont="1" applyBorder="1" applyAlignment="1">
      <alignment horizontal="left" vertical="top" wrapText="1"/>
    </xf>
    <xf numFmtId="44" fontId="29" fillId="6" borderId="50" xfId="1" applyNumberFormat="1" applyFont="1" applyFill="1" applyBorder="1"/>
    <xf numFmtId="9" fontId="29" fillId="5" borderId="50" xfId="2" applyNumberFormat="1" applyFont="1" applyFill="1" applyBorder="1"/>
    <xf numFmtId="44" fontId="29" fillId="5" borderId="55" xfId="1" applyNumberFormat="1" applyFont="1" applyFill="1" applyBorder="1" applyAlignment="1"/>
    <xf numFmtId="0" fontId="29" fillId="0" borderId="50" xfId="0" applyFont="1" applyBorder="1" applyAlignment="1">
      <alignment wrapText="1"/>
    </xf>
    <xf numFmtId="10" fontId="29" fillId="6" borderId="50" xfId="2" applyNumberFormat="1" applyFont="1" applyFill="1" applyBorder="1"/>
    <xf numFmtId="0" fontId="29" fillId="3" borderId="50" xfId="0" applyFont="1" applyFill="1" applyBorder="1" applyAlignment="1">
      <alignment horizontal="center" vertical="center"/>
    </xf>
    <xf numFmtId="0" fontId="29" fillId="3" borderId="50" xfId="0" applyFont="1" applyFill="1" applyBorder="1" applyAlignment="1">
      <alignment wrapText="1"/>
    </xf>
    <xf numFmtId="44" fontId="29" fillId="6" borderId="50" xfId="0" applyNumberFormat="1" applyFont="1" applyFill="1" applyBorder="1"/>
    <xf numFmtId="44" fontId="29" fillId="4" borderId="54" xfId="1" applyNumberFormat="1" applyFont="1" applyFill="1" applyBorder="1"/>
    <xf numFmtId="44" fontId="29" fillId="4" borderId="56" xfId="1" applyNumberFormat="1" applyFont="1" applyFill="1" applyBorder="1"/>
    <xf numFmtId="179" fontId="29" fillId="6" borderId="50" xfId="1" applyNumberFormat="1" applyFont="1" applyFill="1" applyBorder="1"/>
    <xf numFmtId="0" fontId="29" fillId="0" borderId="50" xfId="0" applyFont="1" applyBorder="1" applyAlignment="1">
      <alignment vertical="center" wrapText="1"/>
    </xf>
    <xf numFmtId="44" fontId="29" fillId="6" borderId="50" xfId="0" applyNumberFormat="1" applyFont="1" applyFill="1" applyBorder="1" applyAlignment="1"/>
    <xf numFmtId="0" fontId="29" fillId="16" borderId="18" xfId="0" applyFont="1" applyFill="1" applyBorder="1" applyAlignment="1">
      <alignment horizontal="center" vertical="center" textRotation="90"/>
    </xf>
    <xf numFmtId="0" fontId="29" fillId="0" borderId="17" xfId="0" applyFont="1" applyBorder="1" applyAlignment="1">
      <alignment horizontal="center" vertical="center"/>
    </xf>
    <xf numFmtId="0" fontId="29" fillId="16" borderId="0" xfId="0" applyFont="1" applyFill="1" applyBorder="1" applyAlignment="1">
      <alignment horizontal="center" vertical="center" textRotation="90"/>
    </xf>
    <xf numFmtId="0" fontId="29" fillId="0" borderId="61" xfId="0" applyFont="1" applyBorder="1" applyAlignment="1">
      <alignment horizontal="center" vertical="center"/>
    </xf>
    <xf numFmtId="0" fontId="29" fillId="3" borderId="61" xfId="0" applyFont="1" applyFill="1" applyBorder="1" applyAlignment="1">
      <alignment horizontal="center" vertical="center"/>
    </xf>
    <xf numFmtId="0" fontId="29" fillId="3" borderId="68" xfId="0" applyFont="1" applyFill="1" applyBorder="1" applyAlignment="1">
      <alignment horizontal="center" vertical="center"/>
    </xf>
    <xf numFmtId="44" fontId="29" fillId="17" borderId="66" xfId="1" applyNumberFormat="1" applyFont="1" applyFill="1" applyBorder="1" applyAlignment="1"/>
    <xf numFmtId="44" fontId="29" fillId="4" borderId="67" xfId="1" applyNumberFormat="1" applyFont="1" applyFill="1" applyBorder="1" applyAlignment="1"/>
    <xf numFmtId="0" fontId="29" fillId="0" borderId="0" xfId="0" applyFont="1" applyAlignment="1"/>
    <xf numFmtId="0" fontId="29" fillId="0" borderId="14" xfId="0" applyFont="1" applyBorder="1" applyAlignment="1"/>
    <xf numFmtId="44" fontId="29" fillId="6" borderId="1" xfId="1" applyNumberFormat="1" applyFont="1" applyFill="1" applyBorder="1" applyAlignment="1">
      <alignment horizontal="center"/>
    </xf>
    <xf numFmtId="182" fontId="29" fillId="4" borderId="10" xfId="0" applyNumberFormat="1" applyFont="1" applyFill="1" applyBorder="1" applyAlignment="1"/>
    <xf numFmtId="182" fontId="29" fillId="4" borderId="0" xfId="0" applyNumberFormat="1" applyFont="1" applyFill="1" applyBorder="1" applyAlignment="1"/>
    <xf numFmtId="49" fontId="29" fillId="0" borderId="1" xfId="0" applyNumberFormat="1" applyFont="1" applyBorder="1" applyAlignment="1">
      <alignment horizontal="center" vertical="center"/>
    </xf>
    <xf numFmtId="44" fontId="29" fillId="6" borderId="1" xfId="0" applyNumberFormat="1" applyFont="1" applyFill="1" applyBorder="1" applyAlignment="1"/>
    <xf numFmtId="0" fontId="29" fillId="6" borderId="1" xfId="0" applyFont="1" applyFill="1" applyBorder="1" applyAlignment="1"/>
    <xf numFmtId="44" fontId="29" fillId="6" borderId="1" xfId="1" applyFont="1" applyFill="1" applyBorder="1" applyAlignment="1">
      <alignment horizontal="center"/>
    </xf>
    <xf numFmtId="182" fontId="29" fillId="4" borderId="10" xfId="1" applyNumberFormat="1" applyFont="1" applyFill="1" applyBorder="1" applyAlignment="1"/>
    <xf numFmtId="182" fontId="29" fillId="4" borderId="0" xfId="1" applyNumberFormat="1" applyFont="1" applyFill="1" applyBorder="1"/>
    <xf numFmtId="182" fontId="29" fillId="4" borderId="10" xfId="1" applyNumberFormat="1" applyFont="1" applyFill="1" applyBorder="1" applyAlignment="1">
      <alignment horizontal="center"/>
    </xf>
    <xf numFmtId="182" fontId="29" fillId="4" borderId="8" xfId="1" applyNumberFormat="1" applyFont="1" applyFill="1" applyBorder="1" applyAlignment="1"/>
    <xf numFmtId="182" fontId="29" fillId="4" borderId="9" xfId="1" applyNumberFormat="1" applyFont="1" applyFill="1" applyBorder="1"/>
    <xf numFmtId="44" fontId="29" fillId="4" borderId="0" xfId="1" applyFont="1" applyFill="1" applyBorder="1" applyAlignment="1">
      <alignment horizontal="center"/>
    </xf>
    <xf numFmtId="0" fontId="29" fillId="0" borderId="1" xfId="0" applyFont="1" applyFill="1" applyBorder="1"/>
    <xf numFmtId="44" fontId="29" fillId="3" borderId="59" xfId="1" applyFont="1" applyFill="1" applyBorder="1" applyAlignment="1" applyProtection="1">
      <protection locked="0"/>
    </xf>
    <xf numFmtId="44" fontId="29" fillId="0" borderId="3" xfId="1" applyFont="1" applyBorder="1" applyAlignment="1" applyProtection="1">
      <protection locked="0"/>
    </xf>
    <xf numFmtId="44" fontId="29" fillId="6" borderId="1" xfId="1" applyFont="1" applyFill="1" applyBorder="1" applyAlignment="1"/>
    <xf numFmtId="44" fontId="29" fillId="0" borderId="50" xfId="1" applyFont="1" applyBorder="1" applyAlignment="1" applyProtection="1">
      <protection locked="0"/>
    </xf>
    <xf numFmtId="44" fontId="29" fillId="0" borderId="48" xfId="1" applyFont="1" applyBorder="1" applyAlignment="1" applyProtection="1">
      <protection locked="0"/>
    </xf>
    <xf numFmtId="44" fontId="29" fillId="4" borderId="14" xfId="1" applyFont="1" applyFill="1" applyBorder="1" applyAlignment="1"/>
    <xf numFmtId="44" fontId="29" fillId="6" borderId="1" xfId="1" applyFont="1" applyFill="1" applyBorder="1"/>
    <xf numFmtId="44" fontId="29" fillId="0" borderId="1" xfId="1" applyFont="1" applyBorder="1" applyAlignment="1" applyProtection="1">
      <protection locked="0"/>
    </xf>
    <xf numFmtId="0" fontId="30" fillId="3" borderId="1" xfId="0" applyFont="1" applyFill="1" applyBorder="1" applyAlignment="1">
      <alignment horizontal="center" vertical="center"/>
    </xf>
    <xf numFmtId="0" fontId="30" fillId="4" borderId="1" xfId="0" applyFont="1" applyFill="1" applyBorder="1" applyAlignment="1">
      <alignment horizontal="center" vertical="center"/>
    </xf>
    <xf numFmtId="0" fontId="29" fillId="4" borderId="0" xfId="1" applyNumberFormat="1" applyFont="1" applyFill="1" applyBorder="1" applyAlignment="1">
      <alignment horizontal="center" vertical="center"/>
    </xf>
    <xf numFmtId="0" fontId="40" fillId="4" borderId="1" xfId="0" applyFont="1" applyFill="1" applyBorder="1" applyAlignment="1">
      <alignment horizontal="center" vertical="center"/>
    </xf>
    <xf numFmtId="0" fontId="30" fillId="4" borderId="9" xfId="0" applyFont="1" applyFill="1" applyBorder="1" applyAlignment="1">
      <alignment horizontal="center" vertical="center"/>
    </xf>
    <xf numFmtId="0" fontId="30" fillId="4" borderId="15" xfId="0" applyFont="1" applyFill="1" applyBorder="1"/>
    <xf numFmtId="180" fontId="42" fillId="15" borderId="50" xfId="0" applyNumberFormat="1" applyFont="1" applyFill="1" applyBorder="1" applyAlignment="1">
      <alignment horizontal="center" vertical="center" wrapText="1"/>
    </xf>
    <xf numFmtId="180" fontId="41" fillId="15" borderId="50" xfId="0" applyNumberFormat="1" applyFont="1" applyFill="1" applyBorder="1" applyAlignment="1">
      <alignment horizontal="center" vertical="center"/>
    </xf>
    <xf numFmtId="0" fontId="29" fillId="6" borderId="50" xfId="0" applyFont="1" applyFill="1" applyBorder="1" applyAlignment="1">
      <alignment horizontal="center" vertical="center"/>
    </xf>
    <xf numFmtId="0" fontId="43" fillId="4" borderId="0" xfId="0" applyFont="1" applyFill="1"/>
    <xf numFmtId="44" fontId="31" fillId="6" borderId="0" xfId="1" applyFont="1" applyFill="1" applyBorder="1"/>
    <xf numFmtId="0" fontId="29" fillId="6" borderId="0" xfId="0" applyFont="1" applyFill="1"/>
    <xf numFmtId="0" fontId="29" fillId="0" borderId="0" xfId="0" applyFont="1" applyAlignment="1">
      <alignment horizontal="center" vertical="center"/>
    </xf>
    <xf numFmtId="4" fontId="12" fillId="0" borderId="0" xfId="3" applyNumberFormat="1" applyFont="1"/>
    <xf numFmtId="1" fontId="8" fillId="2" borderId="1" xfId="1" applyNumberFormat="1" applyFont="1" applyFill="1" applyBorder="1" applyAlignment="1" applyProtection="1">
      <alignment horizontal="center" vertical="center"/>
      <protection locked="0"/>
    </xf>
    <xf numFmtId="169" fontId="12" fillId="6" borderId="25" xfId="3" applyNumberFormat="1" applyFill="1" applyBorder="1" applyAlignment="1" applyProtection="1">
      <alignment horizontal="center" vertical="center"/>
      <protection locked="0"/>
    </xf>
    <xf numFmtId="2" fontId="12" fillId="6" borderId="25" xfId="3" applyNumberFormat="1" applyFill="1" applyBorder="1" applyAlignment="1">
      <alignment horizontal="center" vertical="center"/>
    </xf>
    <xf numFmtId="171" fontId="12" fillId="6" borderId="25" xfId="3" applyNumberFormat="1" applyFill="1" applyBorder="1" applyAlignment="1">
      <alignment horizontal="center" vertical="center"/>
    </xf>
    <xf numFmtId="172" fontId="12" fillId="6" borderId="26" xfId="3" applyNumberFormat="1" applyFill="1" applyBorder="1" applyAlignment="1">
      <alignment horizontal="center" vertical="center"/>
    </xf>
    <xf numFmtId="4" fontId="12" fillId="6" borderId="26" xfId="3" applyNumberFormat="1" applyFill="1" applyBorder="1" applyAlignment="1">
      <alignment horizontal="center" vertical="center"/>
    </xf>
    <xf numFmtId="4" fontId="12" fillId="6" borderId="62" xfId="3" applyNumberFormat="1" applyFill="1" applyBorder="1" applyAlignment="1">
      <alignment horizontal="center" vertical="center"/>
    </xf>
    <xf numFmtId="0" fontId="30" fillId="0" borderId="15" xfId="0" applyFont="1" applyBorder="1" applyAlignment="1">
      <alignment horizontal="center" vertical="center" wrapText="1"/>
    </xf>
    <xf numFmtId="0" fontId="30" fillId="6" borderId="1" xfId="0" applyFont="1" applyFill="1" applyBorder="1" applyAlignment="1">
      <alignment horizontal="center" vertical="center" wrapText="1"/>
    </xf>
    <xf numFmtId="0" fontId="30" fillId="6" borderId="11" xfId="0" applyFont="1" applyFill="1" applyBorder="1" applyAlignment="1">
      <alignment horizontal="center" vertical="center" wrapText="1"/>
    </xf>
    <xf numFmtId="0" fontId="29" fillId="6" borderId="50" xfId="0" applyFont="1" applyFill="1" applyBorder="1" applyAlignment="1">
      <alignment horizontal="center" vertical="center" wrapText="1"/>
    </xf>
    <xf numFmtId="179" fontId="29" fillId="6" borderId="50" xfId="1" applyNumberFormat="1" applyFont="1" applyFill="1" applyBorder="1" applyAlignment="1">
      <alignment horizontal="center" vertical="center"/>
    </xf>
    <xf numFmtId="0" fontId="29" fillId="6" borderId="1" xfId="0" applyFont="1" applyFill="1" applyBorder="1" applyAlignment="1">
      <alignment horizontal="center" vertical="center"/>
    </xf>
    <xf numFmtId="179" fontId="29" fillId="6" borderId="50" xfId="2" applyNumberFormat="1" applyFont="1" applyFill="1" applyBorder="1" applyAlignment="1">
      <alignment horizontal="center" vertical="center"/>
    </xf>
    <xf numFmtId="179" fontId="29" fillId="6" borderId="50" xfId="0" applyNumberFormat="1" applyFont="1" applyFill="1" applyBorder="1" applyAlignment="1">
      <alignment horizontal="center" vertical="center"/>
    </xf>
    <xf numFmtId="0" fontId="9" fillId="2" borderId="11" xfId="0" applyFont="1" applyFill="1" applyBorder="1" applyAlignment="1" applyProtection="1">
      <alignment horizontal="center"/>
      <protection locked="0"/>
    </xf>
    <xf numFmtId="0" fontId="29" fillId="0" borderId="57" xfId="0" applyFont="1" applyBorder="1" applyAlignment="1">
      <alignment wrapText="1"/>
    </xf>
    <xf numFmtId="0" fontId="29" fillId="4" borderId="50" xfId="0" applyFont="1" applyFill="1" applyBorder="1" applyAlignment="1">
      <alignment wrapText="1"/>
    </xf>
    <xf numFmtId="0" fontId="29" fillId="3" borderId="66" xfId="0" applyFont="1" applyFill="1" applyBorder="1" applyAlignment="1">
      <alignment wrapText="1"/>
    </xf>
    <xf numFmtId="0" fontId="29" fillId="2" borderId="1" xfId="0" applyNumberFormat="1" applyFont="1" applyFill="1" applyBorder="1" applyAlignment="1">
      <alignment wrapText="1"/>
    </xf>
    <xf numFmtId="44" fontId="29" fillId="2" borderId="1" xfId="0" applyNumberFormat="1" applyFont="1" applyFill="1" applyBorder="1" applyAlignment="1">
      <alignment horizontal="left" vertical="top" wrapText="1"/>
    </xf>
    <xf numFmtId="0" fontId="29" fillId="2" borderId="1" xfId="0" applyFont="1" applyFill="1" applyBorder="1" applyAlignment="1">
      <alignment wrapText="1"/>
    </xf>
    <xf numFmtId="0" fontId="29" fillId="0" borderId="1" xfId="0" applyFont="1" applyFill="1" applyBorder="1" applyAlignment="1">
      <alignment wrapText="1"/>
    </xf>
    <xf numFmtId="0" fontId="30" fillId="3" borderId="1" xfId="0" applyFont="1" applyFill="1" applyBorder="1" applyAlignment="1">
      <alignment wrapText="1"/>
    </xf>
    <xf numFmtId="0" fontId="30" fillId="4" borderId="1" xfId="0" applyFont="1" applyFill="1" applyBorder="1" applyAlignment="1">
      <alignment wrapText="1"/>
    </xf>
    <xf numFmtId="0" fontId="40" fillId="4" borderId="1" xfId="0" applyFont="1" applyFill="1" applyBorder="1" applyAlignment="1">
      <alignment wrapText="1"/>
    </xf>
    <xf numFmtId="0" fontId="42" fillId="15" borderId="50" xfId="0" applyFont="1" applyFill="1" applyBorder="1" applyAlignment="1">
      <alignment horizontal="center" vertical="center"/>
    </xf>
    <xf numFmtId="0" fontId="44" fillId="4" borderId="70" xfId="0" applyFont="1" applyFill="1" applyBorder="1" applyAlignment="1">
      <alignment horizontal="center" vertical="center"/>
    </xf>
    <xf numFmtId="0" fontId="44" fillId="4" borderId="50" xfId="0" applyFont="1" applyFill="1" applyBorder="1" applyAlignment="1">
      <alignment horizontal="center" vertical="center"/>
    </xf>
    <xf numFmtId="0" fontId="44" fillId="4" borderId="50" xfId="0" applyFont="1" applyFill="1" applyBorder="1"/>
    <xf numFmtId="0" fontId="44" fillId="4" borderId="70" xfId="0" applyFont="1" applyFill="1" applyBorder="1"/>
    <xf numFmtId="0" fontId="44" fillId="4" borderId="60" xfId="0" applyFont="1" applyFill="1" applyBorder="1"/>
    <xf numFmtId="0" fontId="44" fillId="4" borderId="1" xfId="0" applyFont="1" applyFill="1" applyBorder="1" applyAlignment="1">
      <alignment horizontal="right"/>
    </xf>
    <xf numFmtId="0" fontId="44" fillId="4" borderId="1" xfId="0" applyFont="1" applyFill="1" applyBorder="1"/>
    <xf numFmtId="0" fontId="44" fillId="6" borderId="70" xfId="0" applyFont="1" applyFill="1" applyBorder="1" applyAlignment="1">
      <alignment horizontal="center" vertical="center"/>
    </xf>
    <xf numFmtId="0" fontId="44" fillId="6" borderId="50" xfId="0" applyFont="1" applyFill="1" applyBorder="1" applyAlignment="1">
      <alignment horizontal="center" vertical="center"/>
    </xf>
    <xf numFmtId="0" fontId="44" fillId="6" borderId="71" xfId="0" applyFont="1" applyFill="1" applyBorder="1" applyAlignment="1">
      <alignment horizontal="center" vertical="center"/>
    </xf>
    <xf numFmtId="0" fontId="29" fillId="6" borderId="1" xfId="0" applyFont="1" applyFill="1" applyBorder="1"/>
    <xf numFmtId="0" fontId="44" fillId="4" borderId="1" xfId="0" applyFont="1" applyFill="1" applyBorder="1" applyAlignment="1" applyProtection="1">
      <alignment horizontal="right"/>
      <protection locked="0"/>
    </xf>
    <xf numFmtId="0" fontId="44" fillId="4" borderId="1" xfId="0" applyFont="1" applyFill="1" applyBorder="1" applyProtection="1">
      <protection locked="0"/>
    </xf>
    <xf numFmtId="0" fontId="45" fillId="6" borderId="0" xfId="0" applyFont="1" applyFill="1" applyBorder="1" applyAlignment="1">
      <alignment horizontal="center" vertical="center"/>
    </xf>
    <xf numFmtId="44" fontId="32" fillId="4" borderId="0" xfId="1" applyFont="1" applyFill="1" applyBorder="1" applyAlignment="1"/>
    <xf numFmtId="179" fontId="44" fillId="4" borderId="1" xfId="0" applyNumberFormat="1" applyFont="1" applyFill="1" applyBorder="1"/>
    <xf numFmtId="179" fontId="44" fillId="4" borderId="1" xfId="0" applyNumberFormat="1" applyFont="1" applyFill="1" applyBorder="1" applyAlignment="1">
      <alignment horizontal="center" vertical="center"/>
    </xf>
    <xf numFmtId="179" fontId="44" fillId="4" borderId="71" xfId="0" applyNumberFormat="1" applyFont="1" applyFill="1" applyBorder="1"/>
    <xf numFmtId="179" fontId="44" fillId="4" borderId="69" xfId="0" applyNumberFormat="1" applyFont="1" applyFill="1" applyBorder="1"/>
    <xf numFmtId="179" fontId="44" fillId="4" borderId="5" xfId="0" applyNumberFormat="1" applyFont="1" applyFill="1" applyBorder="1" applyProtection="1">
      <protection locked="0"/>
    </xf>
    <xf numFmtId="179" fontId="44" fillId="4" borderId="1" xfId="0" applyNumberFormat="1" applyFont="1" applyFill="1" applyBorder="1" applyProtection="1">
      <protection locked="0"/>
    </xf>
    <xf numFmtId="0" fontId="34" fillId="6" borderId="2" xfId="0" applyFont="1" applyFill="1" applyBorder="1"/>
    <xf numFmtId="179" fontId="44" fillId="4" borderId="48" xfId="0" applyNumberFormat="1" applyFont="1" applyFill="1" applyBorder="1" applyProtection="1">
      <protection locked="0"/>
    </xf>
    <xf numFmtId="44" fontId="29" fillId="0" borderId="0" xfId="1" applyFont="1" applyBorder="1" applyAlignment="1" applyProtection="1">
      <alignment horizontal="center"/>
      <protection locked="0"/>
    </xf>
    <xf numFmtId="179" fontId="29" fillId="6" borderId="57" xfId="0" applyNumberFormat="1" applyFont="1" applyFill="1" applyBorder="1"/>
    <xf numFmtId="179" fontId="29" fillId="6" borderId="57" xfId="1" applyNumberFormat="1" applyFont="1" applyFill="1" applyBorder="1"/>
    <xf numFmtId="179" fontId="29" fillId="6" borderId="50" xfId="0" applyNumberFormat="1" applyFont="1" applyFill="1" applyBorder="1"/>
    <xf numFmtId="179" fontId="29" fillId="6" borderId="50" xfId="0" applyNumberFormat="1" applyFont="1" applyFill="1" applyBorder="1" applyAlignment="1"/>
    <xf numFmtId="179" fontId="29" fillId="6" borderId="50" xfId="1" applyNumberFormat="1" applyFont="1" applyFill="1" applyBorder="1" applyAlignment="1">
      <alignment horizontal="right"/>
    </xf>
    <xf numFmtId="179" fontId="29" fillId="6" borderId="66" xfId="0" applyNumberFormat="1" applyFont="1" applyFill="1" applyBorder="1" applyAlignment="1"/>
    <xf numFmtId="179" fontId="29" fillId="6" borderId="66" xfId="1" applyNumberFormat="1" applyFont="1" applyFill="1" applyBorder="1" applyAlignment="1"/>
    <xf numFmtId="179" fontId="29" fillId="6" borderId="1" xfId="1" applyNumberFormat="1" applyFont="1" applyFill="1" applyBorder="1" applyAlignment="1">
      <alignment horizontal="center"/>
    </xf>
    <xf numFmtId="179" fontId="29" fillId="6" borderId="1" xfId="0" applyNumberFormat="1" applyFont="1" applyFill="1" applyBorder="1" applyAlignment="1"/>
    <xf numFmtId="179" fontId="44" fillId="4" borderId="11" xfId="0" applyNumberFormat="1" applyFont="1" applyFill="1" applyBorder="1" applyProtection="1">
      <protection locked="0"/>
    </xf>
    <xf numFmtId="180" fontId="42" fillId="15" borderId="72" xfId="0" applyNumberFormat="1" applyFont="1" applyFill="1" applyBorder="1" applyAlignment="1">
      <alignment horizontal="center" vertical="center" wrapText="1"/>
    </xf>
    <xf numFmtId="179" fontId="29" fillId="6" borderId="11" xfId="2" applyNumberFormat="1" applyFont="1" applyFill="1" applyBorder="1" applyAlignment="1">
      <alignment horizontal="center" vertical="center"/>
    </xf>
    <xf numFmtId="44" fontId="30" fillId="4" borderId="0" xfId="1" applyFont="1" applyFill="1" applyBorder="1" applyAlignment="1"/>
    <xf numFmtId="7" fontId="29" fillId="4" borderId="0" xfId="1" applyNumberFormat="1" applyFont="1" applyFill="1" applyBorder="1" applyAlignment="1">
      <alignment horizontal="center" vertical="center"/>
    </xf>
    <xf numFmtId="44" fontId="43" fillId="4" borderId="0" xfId="1" applyFont="1" applyFill="1" applyBorder="1" applyAlignment="1">
      <alignment horizontal="center" vertical="center"/>
    </xf>
    <xf numFmtId="44" fontId="8" fillId="0" borderId="4" xfId="0" applyNumberFormat="1" applyFont="1" applyBorder="1"/>
    <xf numFmtId="44" fontId="0" fillId="0" borderId="4" xfId="0" applyNumberFormat="1" applyBorder="1"/>
    <xf numFmtId="0" fontId="0" fillId="0" borderId="1" xfId="0" applyBorder="1"/>
    <xf numFmtId="0" fontId="0" fillId="13" borderId="1" xfId="0" applyFill="1" applyBorder="1"/>
    <xf numFmtId="44" fontId="8" fillId="13" borderId="1" xfId="1" applyFont="1" applyFill="1" applyBorder="1"/>
    <xf numFmtId="0" fontId="0" fillId="0" borderId="4" xfId="0" applyBorder="1"/>
    <xf numFmtId="0" fontId="0" fillId="13" borderId="4" xfId="0" applyFill="1" applyBorder="1"/>
    <xf numFmtId="44" fontId="8" fillId="4" borderId="3" xfId="1" applyFont="1" applyFill="1" applyBorder="1"/>
    <xf numFmtId="44" fontId="8" fillId="13" borderId="3" xfId="1" applyFont="1" applyFill="1" applyBorder="1"/>
    <xf numFmtId="44" fontId="46" fillId="4" borderId="0" xfId="1" applyFont="1" applyFill="1" applyBorder="1"/>
    <xf numFmtId="0" fontId="44" fillId="3" borderId="1" xfId="0" applyFont="1" applyFill="1" applyBorder="1"/>
    <xf numFmtId="179" fontId="44" fillId="3" borderId="1" xfId="0" applyNumberFormat="1" applyFont="1" applyFill="1" applyBorder="1"/>
    <xf numFmtId="0" fontId="44" fillId="3" borderId="50" xfId="0" applyFont="1" applyFill="1" applyBorder="1"/>
    <xf numFmtId="179" fontId="44" fillId="3" borderId="71" xfId="0" applyNumberFormat="1" applyFont="1" applyFill="1" applyBorder="1"/>
    <xf numFmtId="0" fontId="44" fillId="4" borderId="1" xfId="0" applyFont="1" applyFill="1" applyBorder="1" applyAlignment="1">
      <alignment horizontal="center" vertical="center"/>
    </xf>
    <xf numFmtId="179" fontId="29" fillId="4" borderId="12" xfId="1" applyNumberFormat="1" applyFont="1" applyFill="1" applyBorder="1" applyAlignment="1">
      <alignment horizontal="center" vertical="center"/>
    </xf>
    <xf numFmtId="165" fontId="48" fillId="6" borderId="48" xfId="0" applyNumberFormat="1" applyFont="1" applyFill="1" applyBorder="1" applyAlignment="1">
      <alignment horizontal="center" vertical="center"/>
    </xf>
    <xf numFmtId="179" fontId="47" fillId="3" borderId="2" xfId="0" applyNumberFormat="1" applyFont="1" applyFill="1" applyBorder="1"/>
    <xf numFmtId="179" fontId="47" fillId="3" borderId="1" xfId="0" applyNumberFormat="1" applyFont="1" applyFill="1" applyBorder="1"/>
    <xf numFmtId="179" fontId="32" fillId="0" borderId="0" xfId="0" applyNumberFormat="1" applyFont="1" applyBorder="1" applyAlignment="1">
      <alignment horizontal="center" vertical="center"/>
    </xf>
    <xf numFmtId="179" fontId="32" fillId="0" borderId="0" xfId="0" applyNumberFormat="1" applyFont="1" applyFill="1" applyBorder="1"/>
    <xf numFmtId="179" fontId="32" fillId="0" borderId="0" xfId="0" applyNumberFormat="1" applyFont="1"/>
    <xf numFmtId="0" fontId="0" fillId="4" borderId="0" xfId="0" applyFill="1" applyAlignment="1">
      <alignment vertical="center"/>
    </xf>
    <xf numFmtId="0" fontId="20" fillId="4" borderId="0" xfId="0" applyFont="1" applyFill="1"/>
    <xf numFmtId="179" fontId="29" fillId="6" borderId="1" xfId="1" applyNumberFormat="1" applyFont="1" applyFill="1" applyBorder="1"/>
    <xf numFmtId="179" fontId="31" fillId="6" borderId="1" xfId="1" applyNumberFormat="1" applyFont="1" applyFill="1" applyBorder="1"/>
    <xf numFmtId="165" fontId="29" fillId="6" borderId="50" xfId="1" applyNumberFormat="1" applyFont="1" applyFill="1" applyBorder="1" applyProtection="1">
      <protection locked="0"/>
    </xf>
    <xf numFmtId="165" fontId="31" fillId="6" borderId="50" xfId="1" applyNumberFormat="1" applyFont="1" applyFill="1" applyBorder="1" applyProtection="1">
      <protection locked="0"/>
    </xf>
    <xf numFmtId="179" fontId="29" fillId="6" borderId="50" xfId="1" applyNumberFormat="1" applyFont="1" applyFill="1" applyBorder="1" applyProtection="1">
      <protection locked="0"/>
    </xf>
    <xf numFmtId="165" fontId="29" fillId="6" borderId="50" xfId="1" applyNumberFormat="1" applyFont="1" applyFill="1" applyBorder="1"/>
    <xf numFmtId="179" fontId="29" fillId="0" borderId="0" xfId="0" applyNumberFormat="1" applyFont="1"/>
    <xf numFmtId="0" fontId="8" fillId="2" borderId="1" xfId="0" applyFont="1" applyFill="1" applyBorder="1" applyAlignment="1" applyProtection="1">
      <alignment horizontal="center"/>
      <protection locked="0"/>
    </xf>
    <xf numFmtId="44" fontId="8" fillId="6" borderId="1" xfId="1" applyFont="1" applyFill="1" applyBorder="1"/>
    <xf numFmtId="165" fontId="32" fillId="4" borderId="0" xfId="1" applyNumberFormat="1" applyFont="1" applyFill="1" applyBorder="1"/>
    <xf numFmtId="44" fontId="49" fillId="4" borderId="52" xfId="1" applyNumberFormat="1" applyFont="1" applyFill="1" applyBorder="1" applyAlignment="1">
      <alignment horizontal="center" vertical="center" wrapText="1"/>
    </xf>
    <xf numFmtId="179" fontId="30" fillId="6" borderId="4" xfId="0" applyNumberFormat="1" applyFont="1" applyFill="1" applyBorder="1" applyAlignment="1"/>
    <xf numFmtId="179" fontId="29" fillId="6" borderId="4" xfId="0" applyNumberFormat="1" applyFont="1" applyFill="1" applyBorder="1" applyAlignment="1"/>
    <xf numFmtId="44" fontId="29" fillId="6" borderId="75" xfId="1" applyFont="1" applyFill="1" applyBorder="1" applyProtection="1"/>
    <xf numFmtId="44" fontId="29" fillId="6" borderId="76" xfId="1" applyFont="1" applyFill="1" applyBorder="1" applyProtection="1"/>
    <xf numFmtId="44" fontId="29" fillId="6" borderId="77" xfId="1" applyFont="1" applyFill="1" applyBorder="1" applyProtection="1"/>
    <xf numFmtId="0" fontId="29" fillId="4" borderId="50" xfId="0" applyFont="1" applyFill="1" applyBorder="1" applyAlignment="1">
      <alignment horizontal="center" vertical="center"/>
    </xf>
    <xf numFmtId="0" fontId="29" fillId="4" borderId="48" xfId="0" applyFont="1" applyFill="1" applyBorder="1" applyAlignment="1">
      <alignment wrapText="1"/>
    </xf>
    <xf numFmtId="44" fontId="29" fillId="4" borderId="48" xfId="1" applyFont="1" applyFill="1" applyBorder="1" applyAlignment="1" applyProtection="1">
      <protection locked="0"/>
    </xf>
    <xf numFmtId="165" fontId="29" fillId="4" borderId="78" xfId="0" applyNumberFormat="1" applyFont="1" applyFill="1" applyBorder="1" applyAlignment="1"/>
    <xf numFmtId="0" fontId="29" fillId="4" borderId="8" xfId="0" applyFont="1" applyFill="1" applyBorder="1" applyAlignment="1">
      <alignment horizontal="center" vertical="center"/>
    </xf>
    <xf numFmtId="0" fontId="29" fillId="4" borderId="9" xfId="0" applyFont="1" applyFill="1" applyBorder="1" applyAlignment="1">
      <alignment wrapText="1"/>
    </xf>
    <xf numFmtId="44" fontId="29" fillId="4" borderId="9" xfId="1" applyFont="1" applyFill="1" applyBorder="1" applyAlignment="1" applyProtection="1">
      <protection locked="0"/>
    </xf>
    <xf numFmtId="165" fontId="29" fillId="4" borderId="79" xfId="0" applyNumberFormat="1" applyFont="1" applyFill="1" applyBorder="1" applyAlignment="1"/>
    <xf numFmtId="0" fontId="30" fillId="3" borderId="11" xfId="0" applyFont="1" applyFill="1" applyBorder="1" applyAlignment="1">
      <alignment horizontal="center" vertical="center"/>
    </xf>
    <xf numFmtId="0" fontId="30" fillId="3" borderId="11" xfId="0" applyFont="1" applyFill="1" applyBorder="1" applyAlignment="1">
      <alignment wrapText="1"/>
    </xf>
    <xf numFmtId="44" fontId="29" fillId="3" borderId="20" xfId="1" applyFont="1" applyFill="1" applyBorder="1" applyAlignment="1" applyProtection="1">
      <protection locked="0"/>
    </xf>
    <xf numFmtId="179" fontId="30" fillId="6" borderId="50" xfId="0" applyNumberFormat="1" applyFont="1" applyFill="1" applyBorder="1" applyAlignment="1"/>
    <xf numFmtId="44" fontId="29" fillId="6" borderId="81" xfId="1" applyFont="1" applyFill="1" applyBorder="1" applyProtection="1"/>
    <xf numFmtId="44" fontId="29" fillId="6" borderId="82" xfId="1" applyFont="1" applyFill="1" applyBorder="1" applyProtection="1"/>
    <xf numFmtId="0" fontId="30" fillId="3" borderId="2" xfId="0" applyFont="1" applyFill="1" applyBorder="1" applyAlignment="1">
      <alignment horizontal="center" vertical="center"/>
    </xf>
    <xf numFmtId="0" fontId="30" fillId="3" borderId="2" xfId="0" applyFont="1" applyFill="1" applyBorder="1" applyAlignment="1">
      <alignment wrapText="1"/>
    </xf>
    <xf numFmtId="44" fontId="29" fillId="3" borderId="22" xfId="1" applyFont="1" applyFill="1" applyBorder="1" applyAlignment="1" applyProtection="1">
      <protection locked="0"/>
    </xf>
    <xf numFmtId="179" fontId="29" fillId="6" borderId="8" xfId="0" applyNumberFormat="1" applyFont="1" applyFill="1" applyBorder="1" applyAlignment="1"/>
    <xf numFmtId="164" fontId="29" fillId="20" borderId="75" xfId="1" applyNumberFormat="1" applyFont="1" applyFill="1" applyBorder="1" applyAlignment="1">
      <alignment horizontal="center" vertical="center"/>
    </xf>
    <xf numFmtId="164" fontId="29" fillId="20" borderId="76" xfId="1" applyNumberFormat="1" applyFont="1" applyFill="1" applyBorder="1" applyAlignment="1">
      <alignment horizontal="center" vertical="center"/>
    </xf>
    <xf numFmtId="0" fontId="30" fillId="20" borderId="83" xfId="0" applyFont="1" applyFill="1" applyBorder="1" applyAlignment="1">
      <alignment horizontal="center" vertical="center"/>
    </xf>
    <xf numFmtId="0" fontId="30" fillId="20" borderId="84" xfId="0" applyFont="1" applyFill="1" applyBorder="1" applyAlignment="1">
      <alignment wrapText="1"/>
    </xf>
    <xf numFmtId="44" fontId="29" fillId="20" borderId="85" xfId="1" applyFont="1" applyFill="1" applyBorder="1" applyAlignment="1" applyProtection="1">
      <protection locked="0"/>
    </xf>
    <xf numFmtId="179" fontId="30" fillId="20" borderId="86" xfId="0" applyNumberFormat="1" applyFont="1" applyFill="1" applyBorder="1" applyAlignment="1"/>
    <xf numFmtId="44" fontId="29" fillId="20" borderId="87" xfId="1" applyFont="1" applyFill="1" applyBorder="1" applyProtection="1"/>
    <xf numFmtId="44" fontId="29" fillId="20" borderId="88" xfId="1" applyFont="1" applyFill="1" applyBorder="1" applyProtection="1"/>
    <xf numFmtId="0" fontId="30" fillId="20" borderId="89" xfId="0" applyFont="1" applyFill="1" applyBorder="1" applyAlignment="1">
      <alignment horizontal="center" vertical="center"/>
    </xf>
    <xf numFmtId="0" fontId="30" fillId="20" borderId="1" xfId="0" applyFont="1" applyFill="1" applyBorder="1" applyAlignment="1">
      <alignment wrapText="1"/>
    </xf>
    <xf numFmtId="44" fontId="29" fillId="20" borderId="59" xfId="1" applyFont="1" applyFill="1" applyBorder="1" applyAlignment="1" applyProtection="1">
      <protection locked="0"/>
    </xf>
    <xf numFmtId="179" fontId="30" fillId="20" borderId="4" xfId="0" applyNumberFormat="1" applyFont="1" applyFill="1" applyBorder="1" applyAlignment="1"/>
    <xf numFmtId="44" fontId="29" fillId="20" borderId="75" xfId="1" applyFont="1" applyFill="1" applyBorder="1" applyProtection="1"/>
    <xf numFmtId="44" fontId="29" fillId="20" borderId="76" xfId="1" applyFont="1" applyFill="1" applyBorder="1" applyProtection="1"/>
    <xf numFmtId="0" fontId="30" fillId="20" borderId="90" xfId="0" applyFont="1" applyFill="1" applyBorder="1" applyAlignment="1">
      <alignment horizontal="center" vertical="center"/>
    </xf>
    <xf numFmtId="44" fontId="29" fillId="20" borderId="92" xfId="1" applyFont="1" applyFill="1" applyBorder="1" applyAlignment="1" applyProtection="1">
      <protection locked="0"/>
    </xf>
    <xf numFmtId="179" fontId="30" fillId="20" borderId="93" xfId="0" applyNumberFormat="1" applyFont="1" applyFill="1" applyBorder="1" applyAlignment="1"/>
    <xf numFmtId="44" fontId="29" fillId="20" borderId="94" xfId="1" applyFont="1" applyFill="1" applyBorder="1" applyProtection="1"/>
    <xf numFmtId="44" fontId="29" fillId="20" borderId="95" xfId="1" applyFont="1" applyFill="1" applyBorder="1" applyProtection="1"/>
    <xf numFmtId="7" fontId="29" fillId="6" borderId="1" xfId="1" applyNumberFormat="1" applyFont="1" applyFill="1" applyBorder="1" applyAlignment="1">
      <alignment horizontal="center"/>
    </xf>
    <xf numFmtId="179" fontId="31" fillId="4" borderId="12" xfId="1" applyNumberFormat="1" applyFont="1" applyFill="1" applyBorder="1" applyAlignment="1">
      <alignment horizontal="center" vertical="center"/>
    </xf>
    <xf numFmtId="7" fontId="29" fillId="6" borderId="80" xfId="0" applyNumberFormat="1" applyFont="1" applyFill="1" applyBorder="1"/>
    <xf numFmtId="164" fontId="8" fillId="0" borderId="1" xfId="0" applyNumberFormat="1" applyFont="1" applyBorder="1"/>
    <xf numFmtId="179" fontId="8" fillId="0" borderId="1" xfId="0" applyNumberFormat="1" applyFont="1" applyBorder="1"/>
    <xf numFmtId="10" fontId="29" fillId="4" borderId="55" xfId="2" applyNumberFormat="1" applyFont="1" applyFill="1" applyBorder="1" applyAlignment="1"/>
    <xf numFmtId="164" fontId="29" fillId="0" borderId="0" xfId="0" applyNumberFormat="1" applyFont="1"/>
    <xf numFmtId="44" fontId="29" fillId="6" borderId="96" xfId="1" applyFont="1" applyFill="1" applyBorder="1" applyProtection="1"/>
    <xf numFmtId="179" fontId="32" fillId="4" borderId="12" xfId="1" applyNumberFormat="1" applyFont="1" applyFill="1" applyBorder="1" applyAlignment="1">
      <alignment horizontal="center" vertical="center"/>
    </xf>
    <xf numFmtId="0" fontId="29" fillId="6" borderId="4" xfId="0" applyFont="1" applyFill="1" applyBorder="1" applyAlignment="1">
      <alignment horizontal="center" vertical="center"/>
    </xf>
    <xf numFmtId="179" fontId="29" fillId="6" borderId="4" xfId="0" applyNumberFormat="1" applyFont="1" applyFill="1" applyBorder="1" applyAlignment="1">
      <alignment horizontal="center" vertical="center"/>
    </xf>
    <xf numFmtId="179" fontId="32" fillId="4" borderId="2" xfId="1" applyNumberFormat="1" applyFont="1" applyFill="1" applyBorder="1" applyAlignment="1">
      <alignment horizontal="center" vertical="center"/>
    </xf>
    <xf numFmtId="179" fontId="29" fillId="6" borderId="4" xfId="1" applyNumberFormat="1" applyFont="1" applyFill="1" applyBorder="1" applyAlignment="1">
      <alignment horizontal="center" vertical="center"/>
    </xf>
    <xf numFmtId="179" fontId="29" fillId="6" borderId="4" xfId="2" applyNumberFormat="1" applyFont="1" applyFill="1" applyBorder="1" applyAlignment="1">
      <alignment horizontal="center" vertical="center"/>
    </xf>
    <xf numFmtId="179" fontId="29" fillId="6" borderId="1" xfId="2" applyNumberFormat="1" applyFont="1" applyFill="1" applyBorder="1" applyAlignment="1">
      <alignment horizontal="center" vertical="center"/>
    </xf>
    <xf numFmtId="44" fontId="29" fillId="6" borderId="97" xfId="1" applyFont="1" applyFill="1" applyBorder="1" applyProtection="1"/>
    <xf numFmtId="44" fontId="29" fillId="6" borderId="98" xfId="1" applyFont="1" applyFill="1" applyBorder="1" applyProtection="1"/>
    <xf numFmtId="0" fontId="29" fillId="0" borderId="0" xfId="0" applyFont="1" applyAlignment="1">
      <alignment horizontal="center"/>
    </xf>
    <xf numFmtId="0" fontId="40" fillId="20" borderId="1" xfId="0" applyFont="1" applyFill="1" applyBorder="1" applyAlignment="1">
      <alignment wrapText="1"/>
    </xf>
    <xf numFmtId="44" fontId="31" fillId="4" borderId="1" xfId="1" applyFont="1" applyFill="1" applyBorder="1"/>
    <xf numFmtId="44" fontId="29" fillId="4" borderId="1" xfId="1" applyFont="1" applyFill="1" applyBorder="1"/>
    <xf numFmtId="44" fontId="29" fillId="0" borderId="0" xfId="0" applyNumberFormat="1" applyFont="1"/>
    <xf numFmtId="0" fontId="40" fillId="20" borderId="91" xfId="0" applyFont="1" applyFill="1" applyBorder="1" applyAlignment="1">
      <alignment wrapText="1"/>
    </xf>
    <xf numFmtId="44" fontId="29" fillId="20" borderId="99" xfId="1" applyFont="1" applyFill="1" applyBorder="1" applyProtection="1"/>
    <xf numFmtId="0" fontId="0" fillId="4" borderId="0" xfId="0" applyFill="1" applyAlignment="1">
      <alignment horizontal="center"/>
    </xf>
    <xf numFmtId="0" fontId="0" fillId="4" borderId="0" xfId="0" applyFill="1" applyAlignment="1">
      <alignment horizontal="left" wrapText="1"/>
    </xf>
    <xf numFmtId="0" fontId="0" fillId="4" borderId="0" xfId="0" applyFill="1" applyAlignment="1">
      <alignment horizontal="left" vertical="top" wrapText="1"/>
    </xf>
    <xf numFmtId="44" fontId="8" fillId="4" borderId="1" xfId="1" applyFont="1" applyFill="1" applyBorder="1" applyAlignment="1">
      <alignment horizontal="center"/>
    </xf>
    <xf numFmtId="44" fontId="8" fillId="2" borderId="1" xfId="1" applyFont="1" applyFill="1" applyBorder="1" applyAlignment="1" applyProtection="1">
      <alignment horizontal="center"/>
      <protection locked="0"/>
    </xf>
    <xf numFmtId="44" fontId="0" fillId="2" borderId="45" xfId="1" applyFont="1" applyFill="1" applyBorder="1" applyAlignment="1">
      <alignment horizontal="center" vertical="center" wrapText="1"/>
    </xf>
    <xf numFmtId="44" fontId="1" fillId="2" borderId="46" xfId="1" applyFont="1" applyFill="1" applyBorder="1" applyAlignment="1">
      <alignment horizontal="center" vertical="center" wrapText="1"/>
    </xf>
    <xf numFmtId="44" fontId="1" fillId="2" borderId="47" xfId="1" applyFont="1" applyFill="1" applyBorder="1" applyAlignment="1">
      <alignment horizontal="center" vertical="center" wrapText="1"/>
    </xf>
    <xf numFmtId="0" fontId="23" fillId="11" borderId="1" xfId="0" applyFont="1" applyFill="1" applyBorder="1" applyAlignment="1">
      <alignment horizontal="center"/>
    </xf>
    <xf numFmtId="0" fontId="8" fillId="13" borderId="1" xfId="0" applyFont="1" applyFill="1" applyBorder="1" applyAlignment="1">
      <alignment horizontal="center"/>
    </xf>
    <xf numFmtId="0" fontId="8" fillId="14" borderId="1" xfId="0" applyFont="1" applyFill="1" applyBorder="1" applyAlignment="1">
      <alignment horizontal="center"/>
    </xf>
    <xf numFmtId="0" fontId="8" fillId="0" borderId="1" xfId="0" applyFont="1" applyBorder="1" applyAlignment="1">
      <alignment horizontal="center"/>
    </xf>
    <xf numFmtId="0" fontId="8" fillId="11" borderId="48" xfId="0" applyFont="1" applyFill="1" applyBorder="1" applyAlignment="1">
      <alignment horizontal="center" wrapText="1"/>
    </xf>
    <xf numFmtId="0" fontId="8" fillId="11" borderId="0" xfId="0" applyFont="1" applyFill="1" applyBorder="1" applyAlignment="1">
      <alignment horizontal="center" wrapText="1"/>
    </xf>
    <xf numFmtId="0" fontId="9" fillId="11" borderId="48" xfId="0" applyFont="1" applyFill="1" applyBorder="1" applyAlignment="1">
      <alignment horizontal="center" wrapText="1"/>
    </xf>
    <xf numFmtId="0" fontId="9" fillId="11" borderId="0" xfId="0" applyFont="1" applyFill="1" applyBorder="1" applyAlignment="1">
      <alignment horizontal="center" wrapText="1"/>
    </xf>
    <xf numFmtId="0" fontId="8" fillId="2" borderId="4" xfId="0" applyFont="1" applyFill="1" applyBorder="1" applyAlignment="1" applyProtection="1">
      <alignment horizontal="center"/>
      <protection locked="0"/>
    </xf>
    <xf numFmtId="0" fontId="8" fillId="2" borderId="5" xfId="0" applyFont="1" applyFill="1" applyBorder="1" applyAlignment="1" applyProtection="1">
      <alignment horizontal="center"/>
      <protection locked="0"/>
    </xf>
    <xf numFmtId="0" fontId="8" fillId="0" borderId="4" xfId="0" applyNumberFormat="1" applyFont="1" applyBorder="1" applyAlignment="1" applyProtection="1">
      <alignment horizontal="center"/>
      <protection locked="0"/>
    </xf>
    <xf numFmtId="0" fontId="8" fillId="0" borderId="5" xfId="0" applyNumberFormat="1" applyFont="1" applyBorder="1" applyAlignment="1" applyProtection="1">
      <alignment horizontal="center"/>
      <protection locked="0"/>
    </xf>
    <xf numFmtId="0" fontId="8" fillId="0" borderId="1" xfId="0" applyFont="1" applyBorder="1" applyAlignment="1" applyProtection="1">
      <alignment horizontal="center"/>
      <protection locked="0"/>
    </xf>
    <xf numFmtId="0" fontId="8" fillId="2" borderId="1" xfId="0" applyFont="1" applyFill="1" applyBorder="1" applyAlignment="1" applyProtection="1">
      <alignment horizontal="center"/>
      <protection locked="0"/>
    </xf>
    <xf numFmtId="0" fontId="8" fillId="7" borderId="11" xfId="0" applyFont="1" applyFill="1" applyBorder="1" applyAlignment="1">
      <alignment horizontal="center" vertical="center" wrapText="1"/>
    </xf>
    <xf numFmtId="0" fontId="8" fillId="7" borderId="12" xfId="0" applyFont="1" applyFill="1" applyBorder="1" applyAlignment="1">
      <alignment horizontal="center" vertical="center" wrapText="1"/>
    </xf>
    <xf numFmtId="0" fontId="8" fillId="7" borderId="2" xfId="0" applyFont="1" applyFill="1" applyBorder="1" applyAlignment="1">
      <alignment horizontal="center" vertical="center" wrapText="1"/>
    </xf>
    <xf numFmtId="44" fontId="9" fillId="4" borderId="9" xfId="1" applyFont="1" applyFill="1" applyBorder="1" applyAlignment="1">
      <alignment horizontal="center"/>
    </xf>
    <xf numFmtId="44" fontId="8" fillId="6" borderId="1" xfId="1" applyFont="1" applyFill="1" applyBorder="1" applyAlignment="1">
      <alignment horizontal="right" vertical="center"/>
    </xf>
    <xf numFmtId="0" fontId="8" fillId="6" borderId="1" xfId="1" applyNumberFormat="1" applyFont="1" applyFill="1" applyBorder="1" applyAlignment="1">
      <alignment horizontal="center" vertical="center"/>
    </xf>
    <xf numFmtId="0" fontId="11" fillId="0" borderId="3" xfId="0" applyFont="1" applyBorder="1" applyAlignment="1">
      <alignment horizontal="center" vertical="center"/>
    </xf>
    <xf numFmtId="0" fontId="11" fillId="0" borderId="1" xfId="0" applyFont="1" applyBorder="1" applyAlignment="1">
      <alignment horizontal="center" vertical="center"/>
    </xf>
    <xf numFmtId="0" fontId="8" fillId="10" borderId="0" xfId="0" applyFont="1" applyFill="1" applyAlignment="1">
      <alignment horizontal="left" vertical="center"/>
    </xf>
    <xf numFmtId="0" fontId="8" fillId="0" borderId="35" xfId="0" applyFont="1" applyBorder="1" applyAlignment="1">
      <alignment horizontal="center" vertical="center" textRotation="90"/>
    </xf>
    <xf numFmtId="0" fontId="8" fillId="0" borderId="36" xfId="0" applyFont="1" applyBorder="1" applyAlignment="1">
      <alignment horizontal="center" vertical="center" textRotation="90"/>
    </xf>
    <xf numFmtId="0" fontId="8" fillId="0" borderId="29" xfId="0" applyFont="1" applyBorder="1" applyAlignment="1">
      <alignment horizontal="center" vertical="center" textRotation="90"/>
    </xf>
    <xf numFmtId="0" fontId="8" fillId="2" borderId="1" xfId="1" applyNumberFormat="1" applyFont="1" applyFill="1" applyBorder="1" applyAlignment="1" applyProtection="1">
      <alignment horizontal="center"/>
      <protection locked="0"/>
    </xf>
    <xf numFmtId="0" fontId="9" fillId="2" borderId="4" xfId="0" applyFont="1" applyFill="1" applyBorder="1" applyAlignment="1" applyProtection="1">
      <alignment horizontal="center" vertical="center"/>
      <protection locked="0"/>
    </xf>
    <xf numFmtId="0" fontId="9" fillId="2" borderId="5" xfId="0" applyFont="1" applyFill="1" applyBorder="1" applyAlignment="1" applyProtection="1">
      <alignment horizontal="center" vertical="center"/>
      <protection locked="0"/>
    </xf>
    <xf numFmtId="0" fontId="9" fillId="2" borderId="3" xfId="0" applyFont="1" applyFill="1" applyBorder="1" applyAlignment="1" applyProtection="1">
      <alignment horizontal="center" vertical="center"/>
      <protection locked="0"/>
    </xf>
    <xf numFmtId="44" fontId="8" fillId="4" borderId="4" xfId="1" applyFont="1" applyFill="1" applyBorder="1" applyAlignment="1">
      <alignment horizontal="center"/>
    </xf>
    <xf numFmtId="44" fontId="8" fillId="4" borderId="5" xfId="1" applyFont="1" applyFill="1" applyBorder="1" applyAlignment="1">
      <alignment horizontal="center"/>
    </xf>
    <xf numFmtId="44" fontId="8" fillId="4" borderId="3" xfId="1" applyFont="1" applyFill="1" applyBorder="1" applyAlignment="1">
      <alignment horizontal="center"/>
    </xf>
    <xf numFmtId="0" fontId="8" fillId="2" borderId="4" xfId="1" applyNumberFormat="1" applyFont="1" applyFill="1" applyBorder="1" applyAlignment="1" applyProtection="1">
      <alignment horizontal="center"/>
      <protection locked="0"/>
    </xf>
    <xf numFmtId="0" fontId="8" fillId="2" borderId="48" xfId="1" applyNumberFormat="1" applyFont="1" applyFill="1" applyBorder="1" applyAlignment="1" applyProtection="1">
      <alignment horizontal="center"/>
      <protection locked="0"/>
    </xf>
    <xf numFmtId="0" fontId="8" fillId="2" borderId="3" xfId="1" applyNumberFormat="1" applyFont="1" applyFill="1" applyBorder="1" applyAlignment="1" applyProtection="1">
      <alignment horizontal="center"/>
      <protection locked="0"/>
    </xf>
    <xf numFmtId="0" fontId="8" fillId="0" borderId="19" xfId="0" applyFont="1" applyBorder="1" applyAlignment="1">
      <alignment horizontal="center" vertical="center" textRotation="90"/>
    </xf>
    <xf numFmtId="0" fontId="8" fillId="0" borderId="0" xfId="0" applyFont="1" applyBorder="1" applyAlignment="1">
      <alignment horizontal="center" vertical="center" textRotation="90"/>
    </xf>
    <xf numFmtId="0" fontId="8" fillId="0" borderId="14" xfId="0" applyFont="1" applyBorder="1" applyAlignment="1">
      <alignment horizontal="center" vertical="center" textRotation="90"/>
    </xf>
    <xf numFmtId="0" fontId="8" fillId="2" borderId="49" xfId="0" applyFont="1" applyFill="1" applyBorder="1" applyAlignment="1" applyProtection="1">
      <alignment horizontal="center"/>
      <protection locked="0"/>
    </xf>
    <xf numFmtId="0" fontId="8" fillId="2" borderId="3" xfId="0" applyFont="1" applyFill="1" applyBorder="1" applyAlignment="1" applyProtection="1">
      <alignment horizontal="center"/>
      <protection locked="0"/>
    </xf>
    <xf numFmtId="0" fontId="11" fillId="6" borderId="50" xfId="0" applyFont="1" applyFill="1" applyBorder="1" applyAlignment="1">
      <alignment horizontal="center"/>
    </xf>
    <xf numFmtId="0" fontId="11" fillId="6" borderId="48" xfId="0" applyFont="1" applyFill="1" applyBorder="1" applyAlignment="1">
      <alignment horizontal="center"/>
    </xf>
    <xf numFmtId="0" fontId="11" fillId="6" borderId="10" xfId="0" applyFont="1" applyFill="1" applyBorder="1" applyAlignment="1">
      <alignment horizontal="center"/>
    </xf>
    <xf numFmtId="0" fontId="11" fillId="6" borderId="0" xfId="0" applyFont="1" applyFill="1" applyBorder="1" applyAlignment="1">
      <alignment horizontal="center"/>
    </xf>
    <xf numFmtId="0" fontId="11" fillId="6" borderId="8" xfId="0" applyFont="1" applyFill="1" applyBorder="1" applyAlignment="1">
      <alignment horizontal="center"/>
    </xf>
    <xf numFmtId="0" fontId="11" fillId="6" borderId="9" xfId="0" applyFont="1" applyFill="1" applyBorder="1" applyAlignment="1">
      <alignment horizontal="center"/>
    </xf>
    <xf numFmtId="0" fontId="0" fillId="0" borderId="1" xfId="0" applyBorder="1" applyAlignment="1" applyProtection="1">
      <alignment horizontal="center"/>
      <protection locked="0"/>
    </xf>
    <xf numFmtId="44" fontId="29" fillId="4" borderId="1" xfId="1" applyFont="1" applyFill="1" applyBorder="1" applyAlignment="1">
      <alignment horizontal="center" vertical="center"/>
    </xf>
    <xf numFmtId="44" fontId="30" fillId="4" borderId="0" xfId="1" applyFont="1" applyFill="1" applyBorder="1" applyAlignment="1">
      <alignment horizontal="center"/>
    </xf>
    <xf numFmtId="44" fontId="29" fillId="0" borderId="1" xfId="1" applyFont="1" applyBorder="1" applyAlignment="1" applyProtection="1">
      <alignment horizontal="center"/>
      <protection locked="0"/>
    </xf>
    <xf numFmtId="44" fontId="40" fillId="6" borderId="1" xfId="0" applyNumberFormat="1" applyFont="1" applyFill="1" applyBorder="1" applyAlignment="1">
      <alignment horizontal="center"/>
    </xf>
    <xf numFmtId="44" fontId="30" fillId="6" borderId="4" xfId="0" applyNumberFormat="1" applyFont="1" applyFill="1" applyBorder="1" applyAlignment="1">
      <alignment horizontal="center"/>
    </xf>
    <xf numFmtId="44" fontId="30" fillId="6" borderId="3" xfId="0" applyNumberFormat="1" applyFont="1" applyFill="1" applyBorder="1" applyAlignment="1">
      <alignment horizontal="center"/>
    </xf>
    <xf numFmtId="44" fontId="30" fillId="4" borderId="1" xfId="0" applyNumberFormat="1" applyFont="1" applyFill="1" applyBorder="1" applyAlignment="1">
      <alignment horizontal="center"/>
    </xf>
    <xf numFmtId="0" fontId="51" fillId="0" borderId="11" xfId="0" applyFont="1" applyBorder="1" applyAlignment="1">
      <alignment horizontal="center" vertical="center" wrapText="1"/>
    </xf>
    <xf numFmtId="0" fontId="51" fillId="0" borderId="2" xfId="0" applyFont="1" applyBorder="1" applyAlignment="1">
      <alignment horizontal="center" vertical="center" wrapText="1"/>
    </xf>
    <xf numFmtId="44" fontId="29" fillId="4" borderId="0" xfId="1" applyFont="1" applyFill="1" applyBorder="1" applyAlignment="1">
      <alignment horizontal="center"/>
    </xf>
    <xf numFmtId="44" fontId="31" fillId="4" borderId="4" xfId="1" applyFont="1" applyFill="1" applyBorder="1" applyAlignment="1">
      <alignment horizontal="center"/>
    </xf>
    <xf numFmtId="44" fontId="31" fillId="4" borderId="3" xfId="1" applyFont="1" applyFill="1" applyBorder="1" applyAlignment="1">
      <alignment horizontal="center"/>
    </xf>
    <xf numFmtId="0" fontId="30" fillId="6" borderId="4" xfId="0" applyFont="1" applyFill="1" applyBorder="1" applyAlignment="1" applyProtection="1">
      <alignment horizontal="center"/>
    </xf>
    <xf numFmtId="0" fontId="30" fillId="6" borderId="3" xfId="0" applyFont="1" applyFill="1" applyBorder="1" applyAlignment="1" applyProtection="1">
      <alignment horizontal="center"/>
    </xf>
    <xf numFmtId="44" fontId="32" fillId="4" borderId="10" xfId="1" applyFont="1" applyFill="1" applyBorder="1" applyAlignment="1">
      <alignment horizontal="center"/>
    </xf>
    <xf numFmtId="44" fontId="32" fillId="4" borderId="0" xfId="1" applyFont="1" applyFill="1" applyBorder="1" applyAlignment="1">
      <alignment horizontal="center"/>
    </xf>
    <xf numFmtId="0" fontId="29" fillId="6" borderId="5" xfId="0" applyFont="1" applyFill="1" applyBorder="1" applyAlignment="1">
      <alignment horizontal="center"/>
    </xf>
    <xf numFmtId="0" fontId="29" fillId="6" borderId="3" xfId="0" applyFont="1" applyFill="1" applyBorder="1" applyAlignment="1">
      <alignment horizontal="center"/>
    </xf>
    <xf numFmtId="0" fontId="29" fillId="6" borderId="4" xfId="0" applyFont="1" applyFill="1" applyBorder="1" applyAlignment="1">
      <alignment horizontal="center"/>
    </xf>
    <xf numFmtId="0" fontId="30" fillId="0" borderId="0" xfId="0" applyFont="1" applyAlignment="1">
      <alignment horizontal="center"/>
    </xf>
    <xf numFmtId="0" fontId="29" fillId="6" borderId="4" xfId="0" applyFont="1" applyFill="1" applyBorder="1" applyAlignment="1">
      <alignment horizontal="center" wrapText="1"/>
    </xf>
    <xf numFmtId="0" fontId="29" fillId="6" borderId="3" xfId="0" applyFont="1" applyFill="1" applyBorder="1" applyAlignment="1">
      <alignment horizontal="center" wrapText="1"/>
    </xf>
    <xf numFmtId="0" fontId="30" fillId="0" borderId="11" xfId="0" applyFont="1" applyBorder="1" applyAlignment="1">
      <alignment horizontal="center" vertical="center"/>
    </xf>
    <xf numFmtId="0" fontId="30" fillId="0" borderId="1" xfId="0" applyFont="1" applyBorder="1" applyAlignment="1">
      <alignment horizontal="center" vertical="center"/>
    </xf>
    <xf numFmtId="44" fontId="29" fillId="4" borderId="1" xfId="1" applyFont="1" applyFill="1" applyBorder="1" applyAlignment="1">
      <alignment horizontal="center"/>
    </xf>
    <xf numFmtId="0" fontId="29" fillId="0" borderId="1" xfId="0" applyFont="1" applyFill="1" applyBorder="1" applyAlignment="1">
      <alignment horizontal="center" vertical="center"/>
    </xf>
    <xf numFmtId="0" fontId="35" fillId="0" borderId="8" xfId="0" applyFont="1" applyBorder="1" applyAlignment="1">
      <alignment horizontal="center"/>
    </xf>
    <xf numFmtId="0" fontId="35" fillId="0" borderId="9" xfId="0" applyFont="1" applyBorder="1" applyAlignment="1">
      <alignment horizontal="center"/>
    </xf>
    <xf numFmtId="0" fontId="35" fillId="0" borderId="15" xfId="0" applyFont="1" applyBorder="1" applyAlignment="1">
      <alignment horizontal="center"/>
    </xf>
    <xf numFmtId="0" fontId="30" fillId="0" borderId="50" xfId="0" applyFont="1" applyFill="1" applyBorder="1" applyAlignment="1">
      <alignment horizontal="center" vertical="center"/>
    </xf>
    <xf numFmtId="0" fontId="30" fillId="0" borderId="10" xfId="0" applyFont="1" applyFill="1" applyBorder="1" applyAlignment="1">
      <alignment horizontal="center" vertical="center"/>
    </xf>
    <xf numFmtId="0" fontId="29" fillId="0" borderId="11" xfId="0" applyFont="1" applyBorder="1" applyAlignment="1">
      <alignment horizontal="center" vertical="center"/>
    </xf>
    <xf numFmtId="0" fontId="29" fillId="0" borderId="2" xfId="0" applyFont="1" applyBorder="1" applyAlignment="1">
      <alignment horizontal="center" vertical="center"/>
    </xf>
    <xf numFmtId="0" fontId="29" fillId="0" borderId="4" xfId="0" applyFont="1" applyBorder="1" applyAlignment="1">
      <alignment horizontal="center"/>
    </xf>
    <xf numFmtId="0" fontId="29" fillId="0" borderId="3" xfId="0" applyFont="1" applyBorder="1" applyAlignment="1">
      <alignment horizontal="center"/>
    </xf>
    <xf numFmtId="183" fontId="29" fillId="19" borderId="4" xfId="0" applyNumberFormat="1" applyFont="1" applyFill="1" applyBorder="1" applyAlignment="1" applyProtection="1">
      <alignment horizontal="center" vertical="center"/>
      <protection locked="0"/>
    </xf>
    <xf numFmtId="183" fontId="29" fillId="19" borderId="3" xfId="0" applyNumberFormat="1" applyFont="1" applyFill="1" applyBorder="1" applyAlignment="1" applyProtection="1">
      <alignment horizontal="center" vertical="center"/>
      <protection locked="0"/>
    </xf>
    <xf numFmtId="44" fontId="50" fillId="20" borderId="73" xfId="1" applyFont="1" applyFill="1" applyBorder="1" applyAlignment="1">
      <alignment horizontal="center" vertical="center"/>
    </xf>
    <xf numFmtId="44" fontId="50" fillId="20" borderId="74" xfId="1" applyFont="1" applyFill="1" applyBorder="1" applyAlignment="1">
      <alignment horizontal="center" vertical="center"/>
    </xf>
    <xf numFmtId="0" fontId="29" fillId="0" borderId="4" xfId="0" applyFont="1" applyBorder="1" applyAlignment="1">
      <alignment horizontal="center" vertical="center"/>
    </xf>
    <xf numFmtId="0" fontId="29" fillId="0" borderId="5" xfId="0" applyFont="1" applyBorder="1" applyAlignment="1">
      <alignment horizontal="center" vertical="center"/>
    </xf>
    <xf numFmtId="0" fontId="29" fillId="0" borderId="3" xfId="0" applyFont="1" applyBorder="1" applyAlignment="1">
      <alignment horizontal="center" vertical="center"/>
    </xf>
    <xf numFmtId="0" fontId="29" fillId="0" borderId="11" xfId="0" applyFont="1" applyBorder="1" applyAlignment="1">
      <alignment horizontal="center" vertical="center" wrapText="1"/>
    </xf>
    <xf numFmtId="0" fontId="29" fillId="0" borderId="12" xfId="0" applyFont="1" applyBorder="1" applyAlignment="1">
      <alignment horizontal="center" vertical="center"/>
    </xf>
    <xf numFmtId="0" fontId="29" fillId="0" borderId="50" xfId="0" applyFont="1" applyBorder="1" applyAlignment="1">
      <alignment horizontal="center" vertical="center" wrapText="1"/>
    </xf>
    <xf numFmtId="0" fontId="29" fillId="0" borderId="48" xfId="0" applyFont="1" applyBorder="1" applyAlignment="1">
      <alignment horizontal="center" vertical="center" wrapText="1"/>
    </xf>
    <xf numFmtId="0" fontId="29" fillId="0" borderId="51" xfId="0" applyFont="1" applyBorder="1" applyAlignment="1">
      <alignment horizontal="center" vertical="center" wrapText="1"/>
    </xf>
    <xf numFmtId="0" fontId="29" fillId="0" borderId="10" xfId="0" applyFont="1" applyBorder="1" applyAlignment="1">
      <alignment horizontal="center" vertical="center" wrapText="1"/>
    </xf>
    <xf numFmtId="0" fontId="29" fillId="0" borderId="0" xfId="0" applyFont="1" applyBorder="1" applyAlignment="1">
      <alignment horizontal="center" vertical="center" wrapText="1"/>
    </xf>
    <xf numFmtId="0" fontId="29" fillId="0" borderId="14" xfId="0" applyFont="1" applyBorder="1" applyAlignment="1">
      <alignment horizontal="center" vertical="center" wrapText="1"/>
    </xf>
    <xf numFmtId="0" fontId="29" fillId="0" borderId="8" xfId="0" applyFont="1" applyBorder="1" applyAlignment="1">
      <alignment horizontal="center" vertical="center" wrapText="1"/>
    </xf>
    <xf numFmtId="0" fontId="29" fillId="0" borderId="9" xfId="0" applyFont="1" applyBorder="1" applyAlignment="1">
      <alignment horizontal="center" vertical="center" wrapText="1"/>
    </xf>
    <xf numFmtId="0" fontId="29" fillId="0" borderId="15" xfId="0" applyFont="1" applyBorder="1" applyAlignment="1">
      <alignment horizontal="center" vertical="center" wrapText="1"/>
    </xf>
    <xf numFmtId="0" fontId="29" fillId="0" borderId="51" xfId="0" applyFont="1" applyBorder="1" applyAlignment="1">
      <alignment horizontal="center" vertical="center"/>
    </xf>
    <xf numFmtId="0" fontId="29" fillId="0" borderId="10" xfId="0" applyFont="1" applyBorder="1" applyAlignment="1">
      <alignment horizontal="center" vertical="center"/>
    </xf>
    <xf numFmtId="0" fontId="29" fillId="0" borderId="14" xfId="0" applyFont="1" applyBorder="1" applyAlignment="1">
      <alignment horizontal="center" vertical="center"/>
    </xf>
    <xf numFmtId="0" fontId="29" fillId="0" borderId="8" xfId="0" applyFont="1" applyBorder="1" applyAlignment="1">
      <alignment horizontal="center" vertical="center"/>
    </xf>
    <xf numFmtId="0" fontId="29" fillId="0" borderId="15" xfId="0" applyFont="1" applyBorder="1" applyAlignment="1">
      <alignment horizontal="center" vertical="center"/>
    </xf>
    <xf numFmtId="44" fontId="29" fillId="4" borderId="10" xfId="0" applyNumberFormat="1" applyFont="1" applyFill="1" applyBorder="1" applyAlignment="1">
      <alignment horizontal="center" vertical="center"/>
    </xf>
    <xf numFmtId="44" fontId="29" fillId="4" borderId="0" xfId="0" applyNumberFormat="1" applyFont="1" applyFill="1" applyBorder="1" applyAlignment="1">
      <alignment horizontal="center" vertical="center"/>
    </xf>
    <xf numFmtId="0" fontId="29" fillId="0" borderId="50" xfId="0" applyFont="1" applyBorder="1" applyAlignment="1">
      <alignment horizontal="center" vertical="center"/>
    </xf>
    <xf numFmtId="0" fontId="29" fillId="0" borderId="48" xfId="0" applyFont="1" applyBorder="1" applyAlignment="1">
      <alignment horizontal="center" vertical="center"/>
    </xf>
    <xf numFmtId="0" fontId="29" fillId="0" borderId="9" xfId="0" applyFont="1" applyBorder="1" applyAlignment="1">
      <alignment horizontal="center" vertical="center"/>
    </xf>
    <xf numFmtId="0" fontId="29" fillId="0" borderId="0" xfId="0" applyFont="1" applyBorder="1" applyAlignment="1">
      <alignment horizontal="center" vertical="center"/>
    </xf>
    <xf numFmtId="0" fontId="29" fillId="0" borderId="11" xfId="0" applyFont="1" applyBorder="1" applyAlignment="1">
      <alignment horizontal="center"/>
    </xf>
    <xf numFmtId="0" fontId="29" fillId="0" borderId="12" xfId="0" applyFont="1" applyBorder="1" applyAlignment="1">
      <alignment horizontal="center"/>
    </xf>
    <xf numFmtId="0" fontId="29" fillId="0" borderId="2" xfId="0" applyFont="1" applyBorder="1" applyAlignment="1">
      <alignment horizontal="center"/>
    </xf>
    <xf numFmtId="0" fontId="29" fillId="0" borderId="50" xfId="0" applyFont="1" applyBorder="1" applyAlignment="1">
      <alignment horizontal="center"/>
    </xf>
    <xf numFmtId="0" fontId="29" fillId="0" borderId="48" xfId="0" applyFont="1" applyBorder="1" applyAlignment="1">
      <alignment horizontal="center"/>
    </xf>
    <xf numFmtId="0" fontId="29" fillId="0" borderId="51" xfId="0" applyFont="1" applyBorder="1" applyAlignment="1">
      <alignment horizontal="center"/>
    </xf>
    <xf numFmtId="0" fontId="29" fillId="0" borderId="10" xfId="0" applyFont="1" applyBorder="1" applyAlignment="1">
      <alignment horizontal="center"/>
    </xf>
    <xf numFmtId="0" fontId="29" fillId="0" borderId="0" xfId="0" applyFont="1" applyBorder="1" applyAlignment="1">
      <alignment horizontal="center"/>
    </xf>
    <xf numFmtId="0" fontId="29" fillId="0" borderId="14" xfId="0" applyFont="1" applyBorder="1" applyAlignment="1">
      <alignment horizontal="center"/>
    </xf>
    <xf numFmtId="0" fontId="29" fillId="0" borderId="8" xfId="0" applyFont="1" applyBorder="1" applyAlignment="1">
      <alignment horizontal="center"/>
    </xf>
    <xf numFmtId="0" fontId="29" fillId="0" borderId="9" xfId="0" applyFont="1" applyBorder="1" applyAlignment="1">
      <alignment horizontal="center"/>
    </xf>
    <xf numFmtId="0" fontId="29" fillId="0" borderId="15" xfId="0" applyFont="1" applyBorder="1" applyAlignment="1">
      <alignment horizontal="center"/>
    </xf>
    <xf numFmtId="0" fontId="13" fillId="0" borderId="0" xfId="3" applyFont="1" applyAlignment="1">
      <alignment horizontal="center"/>
    </xf>
    <xf numFmtId="0" fontId="13" fillId="0" borderId="0" xfId="3" applyFont="1" applyBorder="1" applyAlignment="1">
      <alignment horizontal="center"/>
    </xf>
    <xf numFmtId="0" fontId="16" fillId="8" borderId="38" xfId="3" applyFont="1" applyFill="1" applyBorder="1" applyAlignment="1">
      <alignment horizontal="center" vertical="center" wrapText="1"/>
    </xf>
    <xf numFmtId="0" fontId="16" fillId="8" borderId="39" xfId="3" applyFont="1" applyFill="1" applyBorder="1" applyAlignment="1">
      <alignment horizontal="center" vertical="center" wrapText="1"/>
    </xf>
    <xf numFmtId="168" fontId="16" fillId="8" borderId="38" xfId="3" applyNumberFormat="1" applyFont="1" applyFill="1" applyBorder="1" applyAlignment="1">
      <alignment horizontal="center" vertical="center" wrapText="1"/>
    </xf>
    <xf numFmtId="168" fontId="16" fillId="8" borderId="39" xfId="3" applyNumberFormat="1" applyFont="1" applyFill="1" applyBorder="1" applyAlignment="1">
      <alignment horizontal="center" vertical="center" wrapText="1"/>
    </xf>
    <xf numFmtId="168" fontId="16" fillId="8" borderId="27" xfId="3" applyNumberFormat="1" applyFont="1" applyFill="1" applyBorder="1" applyAlignment="1">
      <alignment horizontal="center" vertical="center" wrapText="1"/>
    </xf>
    <xf numFmtId="168" fontId="16" fillId="8" borderId="40" xfId="3" applyNumberFormat="1" applyFont="1" applyFill="1" applyBorder="1" applyAlignment="1">
      <alignment horizontal="center" vertical="center" wrapText="1"/>
    </xf>
  </cellXfs>
  <cellStyles count="8">
    <cellStyle name="Lien hypertexte" xfId="7" builtinId="8"/>
    <cellStyle name="Milliers" xfId="6" builtinId="3"/>
    <cellStyle name="Monétaire" xfId="1" builtinId="4"/>
    <cellStyle name="Monétaire 2" xfId="4"/>
    <cellStyle name="Normal" xfId="0" builtinId="0"/>
    <cellStyle name="Normal 2" xfId="3"/>
    <cellStyle name="Pourcentage" xfId="2" builtinId="5"/>
    <cellStyle name="Pourcentage 2" xfId="5"/>
  </cellStyles>
  <dxfs count="54">
    <dxf>
      <font>
        <strike val="0"/>
        <outline val="0"/>
        <shadow val="0"/>
        <u val="none"/>
        <vertAlign val="baseline"/>
        <sz val="10"/>
        <color theme="0"/>
        <name val="Arial"/>
        <scheme val="none"/>
      </font>
    </dxf>
    <dxf>
      <font>
        <strike val="0"/>
        <outline val="0"/>
        <shadow val="0"/>
        <u val="none"/>
        <vertAlign val="baseline"/>
        <sz val="10"/>
        <color theme="0"/>
        <name val="Arial"/>
        <scheme val="none"/>
      </font>
    </dxf>
    <dxf>
      <font>
        <b/>
        <strike val="0"/>
        <outline val="0"/>
        <shadow val="0"/>
        <u val="none"/>
        <vertAlign val="baseline"/>
        <sz val="10"/>
        <color theme="0"/>
        <name val="Arial"/>
        <scheme val="none"/>
      </font>
      <fill>
        <patternFill patternType="solid">
          <fgColor indexed="64"/>
          <bgColor rgb="FF92D050"/>
        </patternFill>
      </fill>
      <alignment horizontal="center" vertical="center" textRotation="0" wrapText="0" indent="0" justifyLastLine="0" shrinkToFit="0" readingOrder="0"/>
    </dxf>
    <dxf>
      <font>
        <strike val="0"/>
        <outline val="0"/>
        <shadow val="0"/>
        <u val="none"/>
        <vertAlign val="baseline"/>
        <sz val="10"/>
        <color theme="0"/>
        <name val="Arial"/>
        <scheme val="none"/>
      </font>
    </dxf>
    <dxf>
      <font>
        <strike val="0"/>
        <outline val="0"/>
        <shadow val="0"/>
        <u val="none"/>
        <vertAlign val="baseline"/>
        <sz val="10"/>
        <color theme="0"/>
        <name val="Arial"/>
        <scheme val="none"/>
      </font>
    </dxf>
    <dxf>
      <font>
        <b/>
        <strike val="0"/>
        <outline val="0"/>
        <shadow val="0"/>
        <u val="none"/>
        <vertAlign val="baseline"/>
        <sz val="10"/>
        <color theme="0"/>
        <name val="Arial"/>
        <scheme val="none"/>
      </font>
      <fill>
        <patternFill patternType="solid">
          <fgColor indexed="64"/>
          <bgColor rgb="FF92D050"/>
        </patternFill>
      </fill>
      <alignment horizontal="center" vertical="center" textRotation="0" wrapText="0" indent="0" justifyLastLine="0" shrinkToFit="0" readingOrder="0"/>
    </dxf>
    <dxf>
      <font>
        <b val="0"/>
        <i val="0"/>
        <strike val="0"/>
        <condense val="0"/>
        <extend val="0"/>
        <outline val="0"/>
        <shadow val="0"/>
        <u val="none"/>
        <vertAlign val="baseline"/>
        <sz val="65"/>
        <color theme="1"/>
        <name val="Calibri"/>
        <scheme val="minor"/>
      </font>
      <numFmt numFmtId="179" formatCode="_-* #,##0.00\ [$€-40C]_-;\-* #,##0.00\ [$€-40C]_-;_-* &quot;-&quot;??\ [$€-40C]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65"/>
        <color theme="1"/>
        <name val="Calibri"/>
        <scheme val="minor"/>
      </font>
      <fill>
        <patternFill patternType="solid">
          <fgColor indexed="64"/>
          <bgColor theme="5" tint="0.79998168889431442"/>
        </patternFill>
      </fill>
      <alignment horizontal="center" vertical="center" textRotation="0" wrapText="0" indent="0" justifyLastLine="0" shrinkToFit="0" readingOrder="0"/>
    </dxf>
    <dxf>
      <font>
        <b/>
        <i val="0"/>
        <strike val="0"/>
        <condense val="0"/>
        <extend val="0"/>
        <outline val="0"/>
        <shadow val="0"/>
        <u val="none"/>
        <vertAlign val="baseline"/>
        <sz val="65"/>
        <color theme="1"/>
        <name val="Calibri"/>
        <scheme val="minor"/>
      </font>
      <fill>
        <patternFill patternType="solid">
          <fgColor indexed="64"/>
          <bgColor theme="0"/>
        </patternFill>
      </fill>
      <alignment horizontal="general" vertical="bottom" textRotation="0" wrapText="0" indent="0" justifyLastLine="0" shrinkToFit="0" readingOrder="0"/>
    </dxf>
    <dxf>
      <font>
        <b val="0"/>
        <i val="0"/>
        <strike val="0"/>
        <condense val="0"/>
        <extend val="0"/>
        <outline val="0"/>
        <shadow val="0"/>
        <u val="none"/>
        <vertAlign val="baseline"/>
        <sz val="48"/>
        <color theme="1"/>
        <name val="Calibri"/>
        <scheme val="minor"/>
      </font>
      <numFmt numFmtId="179" formatCode="_-* #,##0.00\ [$€-40C]_-;\-* #,##0.00\ [$€-40C]_-;_-* &quot;-&quot;??\ [$€-40C]_-;_-@_-"/>
      <fill>
        <patternFill patternType="solid">
          <fgColor indexed="64"/>
          <bgColor theme="0"/>
        </patternFill>
      </fill>
      <border diagonalUp="0" diagonalDown="0">
        <left/>
        <right/>
        <top style="thin">
          <color indexed="64"/>
        </top>
        <bottom style="thin">
          <color indexed="64"/>
        </bottom>
        <vertical/>
        <horizontal/>
      </border>
      <protection locked="0" hidden="0"/>
    </dxf>
    <dxf>
      <border outline="0">
        <top style="thin">
          <color indexed="64"/>
        </top>
      </border>
    </dxf>
    <dxf>
      <border outline="0">
        <top style="thin">
          <color indexed="64"/>
        </top>
        <bottom style="thin">
          <color indexed="64"/>
        </bottom>
      </border>
    </dxf>
    <dxf>
      <font>
        <b val="0"/>
        <i val="0"/>
        <strike val="0"/>
        <condense val="0"/>
        <extend val="0"/>
        <outline val="0"/>
        <shadow val="0"/>
        <u val="none"/>
        <vertAlign val="baseline"/>
        <sz val="48"/>
        <color theme="1"/>
        <name val="Calibri"/>
        <scheme val="minor"/>
      </font>
      <fill>
        <patternFill patternType="solid">
          <fgColor indexed="64"/>
          <bgColor theme="0"/>
        </patternFill>
      </fill>
      <protection locked="0" hidden="0"/>
    </dxf>
    <dxf>
      <border outline="0">
        <bottom style="thin">
          <color indexed="64"/>
        </bottom>
      </border>
    </dxf>
    <dxf>
      <font>
        <b val="0"/>
        <i val="0"/>
        <strike val="0"/>
        <condense val="0"/>
        <extend val="0"/>
        <outline val="0"/>
        <shadow val="0"/>
        <u val="none"/>
        <vertAlign val="baseline"/>
        <sz val="65"/>
        <color theme="5" tint="0.79998168889431442"/>
        <name val="Calibri"/>
        <scheme val="minor"/>
      </font>
      <fill>
        <patternFill patternType="solid">
          <fgColor indexed="64"/>
          <bgColor theme="5" tint="0.79998168889431442"/>
        </patternFill>
      </fill>
    </dxf>
    <dxf>
      <font>
        <b val="0"/>
        <i val="0"/>
        <strike val="0"/>
        <condense val="0"/>
        <extend val="0"/>
        <outline val="0"/>
        <shadow val="0"/>
        <u val="none"/>
        <vertAlign val="baseline"/>
        <sz val="48"/>
        <color theme="1"/>
        <name val="Calibri"/>
        <scheme val="minor"/>
      </font>
      <numFmt numFmtId="179" formatCode="_-* #,##0.00\ [$€-40C]_-;\-* #,##0.00\ [$€-40C]_-;_-* &quot;-&quot;??\ [$€-40C]_-;_-@_-"/>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48"/>
        <color theme="1"/>
        <name val="Calibri"/>
        <scheme val="minor"/>
      </font>
      <numFmt numFmtId="179" formatCode="_-* #,##0.00\ [$€-40C]_-;\-* #,##0.00\ [$€-40C]_-;_-* &quot;-&quot;??\ [$€-40C]_-;_-@_-"/>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border outline="0">
        <right style="thin">
          <color indexed="64"/>
        </right>
        <bottom style="thin">
          <color indexed="64"/>
        </bottom>
      </border>
    </dxf>
    <dxf>
      <font>
        <b val="0"/>
        <i val="0"/>
        <strike val="0"/>
        <condense val="0"/>
        <extend val="0"/>
        <outline val="0"/>
        <shadow val="0"/>
        <u val="none"/>
        <vertAlign val="baseline"/>
        <sz val="48"/>
        <color theme="1"/>
        <name val="Calibri"/>
        <scheme val="minor"/>
      </font>
      <fill>
        <patternFill patternType="solid">
          <fgColor indexed="64"/>
          <bgColor theme="0"/>
        </patternFill>
      </fill>
    </dxf>
    <dxf>
      <font>
        <b val="0"/>
        <i val="0"/>
        <strike val="0"/>
        <condense val="0"/>
        <extend val="0"/>
        <outline val="0"/>
        <shadow val="0"/>
        <u val="none"/>
        <vertAlign val="baseline"/>
        <sz val="48"/>
        <color theme="5" tint="0.79998168889431442"/>
        <name val="Calibri"/>
        <scheme val="minor"/>
      </font>
      <fill>
        <patternFill patternType="solid">
          <fgColor indexed="64"/>
          <bgColor theme="5" tint="0.79998168889431442"/>
        </patternFill>
      </fill>
      <alignment horizontal="center" vertical="center" textRotation="0" wrapText="0" indent="0" justifyLastLine="0" shrinkToFit="0" readingOrder="0"/>
    </dxf>
    <dxf>
      <font>
        <b val="0"/>
        <i val="0"/>
        <strike val="0"/>
        <condense val="0"/>
        <extend val="0"/>
        <outline val="0"/>
        <shadow val="0"/>
        <u val="none"/>
        <vertAlign val="baseline"/>
        <sz val="65"/>
        <color theme="1"/>
        <name val="Calibri"/>
        <scheme val="minor"/>
      </font>
      <fill>
        <patternFill patternType="solid">
          <fgColor indexed="64"/>
          <bgColor theme="0"/>
        </patternFill>
      </fill>
    </dxf>
    <dxf>
      <border outline="0">
        <top style="thin">
          <color indexed="64"/>
        </top>
      </border>
    </dxf>
    <dxf>
      <font>
        <b val="0"/>
        <i val="0"/>
        <strike val="0"/>
        <condense val="0"/>
        <extend val="0"/>
        <outline val="0"/>
        <shadow val="0"/>
        <u val="none"/>
        <vertAlign val="baseline"/>
        <sz val="65"/>
        <color theme="1"/>
        <name val="Calibri"/>
        <scheme val="minor"/>
      </font>
      <fill>
        <patternFill patternType="solid">
          <fgColor indexed="64"/>
          <bgColor theme="0"/>
        </patternFill>
      </fill>
    </dxf>
    <dxf>
      <font>
        <b/>
        <i val="0"/>
        <strike val="0"/>
        <condense val="0"/>
        <extend val="0"/>
        <outline val="0"/>
        <shadow val="0"/>
        <u val="none"/>
        <vertAlign val="baseline"/>
        <sz val="65"/>
        <color theme="5"/>
        <name val="Calibri"/>
        <scheme val="minor"/>
      </font>
      <fill>
        <patternFill patternType="solid">
          <fgColor indexed="64"/>
          <bgColor theme="5"/>
        </patternFill>
      </fill>
      <alignment horizontal="center" vertical="center" textRotation="0" wrapText="0" indent="0" justifyLastLine="0" shrinkToFit="0" readingOrder="0"/>
    </dxf>
    <dxf>
      <font>
        <b val="0"/>
        <i val="0"/>
        <strike val="0"/>
        <condense val="0"/>
        <extend val="0"/>
        <outline val="0"/>
        <shadow val="0"/>
        <u val="none"/>
        <vertAlign val="baseline"/>
        <sz val="65"/>
        <color theme="1"/>
        <name val="Calibri"/>
        <scheme val="minor"/>
      </font>
      <fill>
        <patternFill patternType="solid">
          <fgColor indexed="64"/>
          <bgColor theme="5" tint="0.79998168889431442"/>
        </patternFill>
      </fill>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65"/>
        <color theme="1"/>
        <name val="Calibri"/>
        <scheme val="minor"/>
      </font>
      <fill>
        <patternFill patternType="solid">
          <fgColor indexed="64"/>
          <bgColor theme="5" tint="0.79998168889431442"/>
        </patternFill>
      </fill>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65"/>
        <color theme="1"/>
        <name val="Calibri"/>
        <scheme val="minor"/>
      </font>
      <fill>
        <patternFill patternType="solid">
          <fgColor indexed="64"/>
          <bgColor theme="5" tint="0.79998168889431442"/>
        </patternFill>
      </fill>
      <alignment horizontal="right" vertical="bottom" textRotation="0" wrapText="0" indent="0" justifyLastLine="0" shrinkToFit="0" readingOrder="0"/>
      <border diagonalUp="0" diagonalDown="0" outline="0">
        <left/>
        <right style="thin">
          <color indexed="64"/>
        </right>
        <top style="thin">
          <color indexed="64"/>
        </top>
        <bottom style="thin">
          <color indexed="64"/>
        </bottom>
      </border>
    </dxf>
    <dxf>
      <font>
        <strike val="0"/>
        <outline val="0"/>
        <shadow val="0"/>
        <u val="none"/>
        <vertAlign val="baseline"/>
        <sz val="65"/>
      </font>
      <border outline="0">
        <left style="thin">
          <color indexed="64"/>
        </left>
        <top style="thin">
          <color indexed="64"/>
        </top>
        <bottom style="thin">
          <color indexed="64"/>
        </bottom>
      </border>
    </dxf>
    <dxf>
      <border outline="0">
        <bottom style="thin">
          <color indexed="64"/>
        </bottom>
      </border>
    </dxf>
    <dxf>
      <font>
        <strike val="0"/>
        <outline val="0"/>
        <shadow val="0"/>
        <u val="none"/>
        <vertAlign val="baseline"/>
        <sz val="65"/>
      </font>
    </dxf>
    <dxf>
      <font>
        <strike val="0"/>
        <outline val="0"/>
        <shadow val="0"/>
        <u val="none"/>
        <vertAlign val="baseline"/>
        <sz val="48"/>
        <color auto="1"/>
        <name val="Calibri"/>
        <scheme val="minor"/>
      </font>
      <fill>
        <patternFill>
          <fgColor indexed="64"/>
          <bgColor theme="5" tint="0.79998168889431442"/>
        </patternFill>
      </fill>
      <alignment horizontal="center" textRotation="0" wrapText="0" indent="0" justifyLastLine="0" shrinkToFit="0" readingOrder="0"/>
    </dxf>
    <dxf>
      <font>
        <b val="0"/>
        <i val="0"/>
        <strike val="0"/>
        <condense val="0"/>
        <extend val="0"/>
        <outline val="0"/>
        <shadow val="0"/>
        <u val="none"/>
        <vertAlign val="baseline"/>
        <sz val="65"/>
        <color theme="1"/>
        <name val="Calibri"/>
        <scheme val="minor"/>
      </font>
      <numFmt numFmtId="165" formatCode="#,##0.00\ &quot;€&quot;"/>
      <fill>
        <patternFill patternType="solid">
          <fgColor indexed="64"/>
          <bgColor theme="0"/>
        </patternFill>
      </fill>
      <border diagonalUp="0" diagonalDown="0" outline="0">
        <left style="thin">
          <color indexed="64"/>
        </left>
        <right/>
        <top style="thin">
          <color indexed="64"/>
        </top>
        <bottom style="thin">
          <color indexed="64"/>
        </bottom>
      </border>
      <protection locked="0" hidden="0"/>
    </dxf>
    <dxf>
      <font>
        <strike val="0"/>
        <outline val="0"/>
        <shadow val="0"/>
        <u val="none"/>
        <vertAlign val="baseline"/>
        <sz val="65"/>
      </font>
      <numFmt numFmtId="179" formatCode="_-* #,##0.00\ [$€-40C]_-;\-* #,##0.00\ [$€-40C]_-;_-* &quot;-&quot;??\ [$€-40C]_-;_-@_-"/>
      <fill>
        <patternFill>
          <fgColor indexed="64"/>
          <bgColor theme="5" tint="0.79998168889431442"/>
        </patternFill>
      </fill>
      <alignment horizontal="center" vertical="center" textRotation="0" wrapText="0" indent="0" justifyLastLine="0" shrinkToFit="0" readingOrder="0"/>
      <border outline="0">
        <left style="thin">
          <color indexed="64"/>
        </left>
      </border>
    </dxf>
    <dxf>
      <font>
        <strike val="0"/>
        <outline val="0"/>
        <shadow val="0"/>
        <u val="none"/>
        <vertAlign val="baseline"/>
        <sz val="65"/>
      </font>
      <numFmt numFmtId="179" formatCode="_-* #,##0.00\ [$€-40C]_-;\-* #,##0.00\ [$€-40C]_-;_-* &quot;-&quot;??\ [$€-40C]_-;_-@_-"/>
      <fill>
        <patternFill>
          <fgColor indexed="64"/>
          <bgColor theme="5" tint="0.79998168889431442"/>
        </patternFill>
      </fill>
      <alignment horizontal="center" vertical="center" textRotation="0" wrapText="0" indent="0" justifyLastLine="0" shrinkToFit="0" readingOrder="0"/>
      <border outline="0">
        <right style="thin">
          <color indexed="64"/>
        </right>
      </border>
    </dxf>
    <dxf>
      <font>
        <strike val="0"/>
        <outline val="0"/>
        <shadow val="0"/>
        <u val="none"/>
        <vertAlign val="baseline"/>
        <sz val="65"/>
      </font>
      <numFmt numFmtId="34" formatCode="_-* #,##0.00\ &quot;€&quot;_-;\-* #,##0.00\ &quot;€&quot;_-;_-* &quot;-&quot;??\ &quot;€&quot;_-;_-@_-"/>
      <alignment horizontal="center" vertical="center" textRotation="0" wrapText="0" indent="0" justifyLastLine="0" shrinkToFit="0" readingOrder="0"/>
      <border outline="0">
        <right style="thin">
          <color indexed="64"/>
        </right>
      </border>
    </dxf>
    <dxf>
      <font>
        <b/>
        <strike val="0"/>
        <outline val="0"/>
        <shadow val="0"/>
        <u val="none"/>
        <vertAlign val="baseline"/>
        <sz val="65"/>
      </font>
      <numFmt numFmtId="179" formatCode="_-* #,##0.00\ [$€-40C]_-;\-* #,##0.00\ [$€-40C]_-;_-* &quot;-&quot;??\ [$€-40C]_-;_-@_-"/>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b/>
        <strike val="0"/>
        <outline val="0"/>
        <shadow val="0"/>
        <u val="none"/>
        <vertAlign val="baseline"/>
        <sz val="65"/>
      </font>
      <numFmt numFmtId="179" formatCode="_-* #,##0.00\ [$€-40C]_-;\-* #,##0.00\ [$€-40C]_-;_-* &quot;-&quot;??\ [$€-40C]_-;_-@_-"/>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protection locked="0" hidden="0"/>
    </dxf>
    <dxf>
      <font>
        <b/>
        <i val="0"/>
        <strike val="0"/>
        <condense val="0"/>
        <extend val="0"/>
        <outline val="0"/>
        <shadow val="0"/>
        <u val="none"/>
        <vertAlign val="baseline"/>
        <sz val="65"/>
        <color theme="1"/>
        <name val="Calibri"/>
        <scheme val="minor"/>
      </font>
      <numFmt numFmtId="179" formatCode="_-* #,##0.00\ [$€-40C]_-;\-* #,##0.00\ [$€-40C]_-;_-* &quot;-&quot;??\ [$€-40C]_-;_-@_-"/>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65"/>
        <color theme="1"/>
        <name val="Calibri"/>
        <scheme val="minor"/>
      </font>
      <numFmt numFmtId="179" formatCode="_-* #,##0.00\ [$€-40C]_-;\-* #,##0.00\ [$€-40C]_-;_-* &quot;-&quot;??\ [$€-40C]_-;_-@_-"/>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b/>
        <i val="0"/>
        <strike val="0"/>
        <condense val="0"/>
        <extend val="0"/>
        <outline val="0"/>
        <shadow val="0"/>
        <u val="none"/>
        <vertAlign val="baseline"/>
        <sz val="65"/>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65"/>
        <color theme="1"/>
        <name val="Calibri"/>
        <scheme val="minor"/>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65"/>
        <color theme="1"/>
        <name val="Calibri"/>
        <scheme val="minor"/>
      </font>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ont>
        <strike val="0"/>
        <outline val="0"/>
        <shadow val="0"/>
        <u val="none"/>
        <vertAlign val="baseline"/>
        <sz val="65"/>
        <color theme="0"/>
        <name val="Calibri"/>
        <scheme val="minor"/>
      </font>
      <alignment horizontal="center" vertical="center" textRotation="0" wrapText="0" indent="0" justifyLastLine="0" shrinkToFit="0" readingOrder="0"/>
    </dxf>
    <dxf>
      <font>
        <strike val="0"/>
        <outline val="0"/>
        <shadow val="0"/>
        <u val="none"/>
        <vertAlign val="baseline"/>
        <sz val="65"/>
      </font>
      <border outline="0">
        <top style="thin">
          <color indexed="64"/>
        </top>
      </border>
    </dxf>
    <dxf>
      <border outline="0">
        <left style="thin">
          <color indexed="64"/>
        </left>
        <right style="thin">
          <color indexed="64"/>
        </right>
        <top style="thin">
          <color indexed="64"/>
        </top>
        <bottom style="thin">
          <color indexed="64"/>
        </bottom>
      </border>
    </dxf>
    <dxf>
      <font>
        <strike val="0"/>
        <outline val="0"/>
        <shadow val="0"/>
        <u val="none"/>
        <vertAlign val="baseline"/>
        <sz val="48"/>
      </font>
      <alignment horizontal="center" vertical="center" textRotation="0" wrapText="0" indent="0" justifyLastLine="0" shrinkToFit="0" readingOrder="0"/>
    </dxf>
    <dxf>
      <font>
        <strike val="0"/>
        <outline val="0"/>
        <shadow val="0"/>
        <u val="none"/>
        <vertAlign val="baseline"/>
        <sz val="65"/>
      </font>
      <numFmt numFmtId="34" formatCode="_-* #,##0.00\ &quot;€&quot;_-;\-* #,##0.00\ &quot;€&quot;_-;_-* &quot;-&quot;??\ &quot;€&quot;_-;_-@_-"/>
      <border outline="0">
        <bottom style="thin">
          <color indexed="64"/>
        </bottom>
      </border>
    </dxf>
    <dxf>
      <font>
        <strike val="0"/>
        <outline val="0"/>
        <shadow val="0"/>
        <u val="none"/>
        <vertAlign val="baseline"/>
        <sz val="48"/>
      </font>
    </dxf>
    <dxf>
      <font>
        <b val="0"/>
        <i val="0"/>
        <strike val="0"/>
        <condense val="0"/>
        <extend val="0"/>
        <outline val="0"/>
        <shadow val="0"/>
        <u val="none"/>
        <vertAlign val="baseline"/>
        <sz val="65"/>
        <color theme="1"/>
        <name val="Calibri"/>
        <scheme val="minor"/>
      </font>
      <numFmt numFmtId="34" formatCode="_-* #,##0.00\ &quot;€&quot;_-;\-* #,##0.00\ &quot;€&quot;_-;_-* &quot;-&quot;??\ &quot;€&quot;_-;_-@_-"/>
      <fill>
        <patternFill patternType="solid">
          <fgColor indexed="64"/>
          <bgColor theme="5" tint="0.79998168889431442"/>
        </patternFill>
      </fill>
      <border diagonalUp="0" diagonalDown="0" outline="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4"/>
        <color theme="1"/>
        <name val="Calibri"/>
        <scheme val="minor"/>
      </font>
      <fill>
        <patternFill patternType="solid">
          <fgColor indexed="64"/>
          <bgColor theme="0"/>
        </patternFill>
      </fill>
    </dxf>
    <dxf>
      <border outline="0">
        <left style="thin">
          <color indexed="64"/>
        </left>
        <right style="thin">
          <color indexed="64"/>
        </right>
      </border>
    </dxf>
    <dxf>
      <font>
        <b val="0"/>
        <i val="0"/>
        <strike val="0"/>
        <condense val="0"/>
        <extend val="0"/>
        <outline val="0"/>
        <shadow val="0"/>
        <u val="none"/>
        <vertAlign val="baseline"/>
        <sz val="14"/>
        <color theme="1"/>
        <name val="Calibri"/>
        <scheme val="minor"/>
      </font>
      <fill>
        <patternFill patternType="solid">
          <fgColor indexed="64"/>
          <bgColor theme="0"/>
        </patternFill>
      </fill>
    </dxf>
    <dxf>
      <font>
        <b val="0"/>
        <i val="0"/>
        <strike val="0"/>
        <condense val="0"/>
        <extend val="0"/>
        <outline val="0"/>
        <shadow val="0"/>
        <u val="none"/>
        <vertAlign val="baseline"/>
        <sz val="14"/>
        <color rgb="FFFF0000"/>
        <name val="Calibri"/>
        <scheme val="minor"/>
      </font>
      <fill>
        <patternFill patternType="solid">
          <fgColor indexed="64"/>
          <bgColor theme="0"/>
        </patternFill>
      </fill>
    </dxf>
    <dxf>
      <border diagonalUp="0" diagonalDown="0">
        <left/>
        <right/>
        <top/>
        <bottom/>
        <vertical/>
        <horizontal/>
      </border>
    </dxf>
  </dxfs>
  <tableStyles count="1" defaultTableStyle="TableStyleMedium2" defaultPivotStyle="PivotStyleLight16">
    <tableStyle name="Style de tableau 1" pivot="0" count="1">
      <tableStyleElement type="wholeTable" dxfId="53"/>
    </tableStyle>
  </tableStyles>
  <colors>
    <mruColors>
      <color rgb="FFF3A9A9"/>
      <color rgb="FFFF8A81"/>
      <color rgb="FFFF5050"/>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12</xdr:col>
      <xdr:colOff>129267</xdr:colOff>
      <xdr:row>41</xdr:row>
      <xdr:rowOff>0</xdr:rowOff>
    </xdr:from>
    <xdr:to>
      <xdr:col>15</xdr:col>
      <xdr:colOff>170089</xdr:colOff>
      <xdr:row>42</xdr:row>
      <xdr:rowOff>183697</xdr:rowOff>
    </xdr:to>
    <xdr:sp macro="" textlink="">
      <xdr:nvSpPr>
        <xdr:cNvPr id="10" name="Rectangle 9">
          <a:extLst>
            <a:ext uri="{FF2B5EF4-FFF2-40B4-BE49-F238E27FC236}">
              <a16:creationId xmlns="" xmlns:a16="http://schemas.microsoft.com/office/drawing/2014/main" id="{00000000-0008-0000-0100-00000A000000}"/>
            </a:ext>
          </a:extLst>
        </xdr:cNvPr>
        <xdr:cNvSpPr/>
      </xdr:nvSpPr>
      <xdr:spPr>
        <a:xfrm>
          <a:off x="9273267" y="6858000"/>
          <a:ext cx="2326822" cy="46264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Y</a:t>
          </a:r>
          <a:r>
            <a:rPr lang="fr-FR" sz="1100" baseline="0"/>
            <a:t>-a-t-il une avance sur la tranche considérée ?</a:t>
          </a:r>
          <a:endParaRPr lang="fr-FR" sz="1100"/>
        </a:p>
      </xdr:txBody>
    </xdr:sp>
    <xdr:clientData/>
  </xdr:twoCellAnchor>
  <xdr:twoCellAnchor>
    <xdr:from>
      <xdr:col>12</xdr:col>
      <xdr:colOff>129268</xdr:colOff>
      <xdr:row>43</xdr:row>
      <xdr:rowOff>47625</xdr:rowOff>
    </xdr:from>
    <xdr:to>
      <xdr:col>15</xdr:col>
      <xdr:colOff>170089</xdr:colOff>
      <xdr:row>45</xdr:row>
      <xdr:rowOff>108858</xdr:rowOff>
    </xdr:to>
    <xdr:sp macro="" textlink="">
      <xdr:nvSpPr>
        <xdr:cNvPr id="11" name="Rectangle 10">
          <a:extLst>
            <a:ext uri="{FF2B5EF4-FFF2-40B4-BE49-F238E27FC236}">
              <a16:creationId xmlns="" xmlns:a16="http://schemas.microsoft.com/office/drawing/2014/main" id="{00000000-0008-0000-0100-00000B000000}"/>
            </a:ext>
          </a:extLst>
        </xdr:cNvPr>
        <xdr:cNvSpPr/>
      </xdr:nvSpPr>
      <xdr:spPr>
        <a:xfrm>
          <a:off x="9273268" y="7375071"/>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Le</a:t>
          </a:r>
          <a:r>
            <a:rPr lang="fr-FR" sz="1100" baseline="0"/>
            <a:t> contrat donne t-il lieu à une RG / une GAPD / aucune garantie ?</a:t>
          </a:r>
          <a:endParaRPr lang="fr-FR" sz="1100"/>
        </a:p>
      </xdr:txBody>
    </xdr:sp>
    <xdr:clientData/>
  </xdr:twoCellAnchor>
  <xdr:twoCellAnchor>
    <xdr:from>
      <xdr:col>12</xdr:col>
      <xdr:colOff>129268</xdr:colOff>
      <xdr:row>45</xdr:row>
      <xdr:rowOff>170089</xdr:rowOff>
    </xdr:from>
    <xdr:to>
      <xdr:col>15</xdr:col>
      <xdr:colOff>170089</xdr:colOff>
      <xdr:row>48</xdr:row>
      <xdr:rowOff>40822</xdr:rowOff>
    </xdr:to>
    <xdr:sp macro="" textlink="">
      <xdr:nvSpPr>
        <xdr:cNvPr id="12" name="Rectangle 11">
          <a:extLst>
            <a:ext uri="{FF2B5EF4-FFF2-40B4-BE49-F238E27FC236}">
              <a16:creationId xmlns="" xmlns:a16="http://schemas.microsoft.com/office/drawing/2014/main" id="{00000000-0008-0000-0100-00000C000000}"/>
            </a:ext>
          </a:extLst>
        </xdr:cNvPr>
        <xdr:cNvSpPr/>
      </xdr:nvSpPr>
      <xdr:spPr>
        <a:xfrm>
          <a:off x="9273268" y="7878535"/>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La garantie initiale</a:t>
          </a:r>
          <a:r>
            <a:rPr lang="fr-FR" sz="1100" baseline="0"/>
            <a:t> a été modifiée en cours d'éxecution ?</a:t>
          </a:r>
          <a:endParaRPr lang="fr-FR" sz="1100"/>
        </a:p>
      </xdr:txBody>
    </xdr:sp>
    <xdr:clientData/>
  </xdr:twoCellAnchor>
  <xdr:twoCellAnchor>
    <xdr:from>
      <xdr:col>12</xdr:col>
      <xdr:colOff>136071</xdr:colOff>
      <xdr:row>48</xdr:row>
      <xdr:rowOff>115661</xdr:rowOff>
    </xdr:from>
    <xdr:to>
      <xdr:col>15</xdr:col>
      <xdr:colOff>176892</xdr:colOff>
      <xdr:row>50</xdr:row>
      <xdr:rowOff>176894</xdr:rowOff>
    </xdr:to>
    <xdr:sp macro="" textlink="">
      <xdr:nvSpPr>
        <xdr:cNvPr id="21" name="Rectangle 20">
          <a:extLst>
            <a:ext uri="{FF2B5EF4-FFF2-40B4-BE49-F238E27FC236}">
              <a16:creationId xmlns="" xmlns:a16="http://schemas.microsoft.com/office/drawing/2014/main" id="{00000000-0008-0000-0100-000015000000}"/>
            </a:ext>
          </a:extLst>
        </xdr:cNvPr>
        <xdr:cNvSpPr/>
      </xdr:nvSpPr>
      <xdr:spPr>
        <a:xfrm>
          <a:off x="9280071" y="8395607"/>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Quel est le régime</a:t>
          </a:r>
          <a:r>
            <a:rPr lang="fr-FR" sz="1100" baseline="0"/>
            <a:t> de liquidation de la TVA du sous traitant ?</a:t>
          </a:r>
          <a:endParaRPr lang="fr-FR" sz="1100"/>
        </a:p>
      </xdr:txBody>
    </xdr:sp>
    <xdr:clientData/>
  </xdr:twoCellAnchor>
  <xdr:twoCellAnchor>
    <xdr:from>
      <xdr:col>12</xdr:col>
      <xdr:colOff>136071</xdr:colOff>
      <xdr:row>51</xdr:row>
      <xdr:rowOff>47626</xdr:rowOff>
    </xdr:from>
    <xdr:to>
      <xdr:col>15</xdr:col>
      <xdr:colOff>176892</xdr:colOff>
      <xdr:row>52</xdr:row>
      <xdr:rowOff>115662</xdr:rowOff>
    </xdr:to>
    <xdr:sp macro="" textlink="">
      <xdr:nvSpPr>
        <xdr:cNvPr id="22" name="Rectangle 21">
          <a:extLst>
            <a:ext uri="{FF2B5EF4-FFF2-40B4-BE49-F238E27FC236}">
              <a16:creationId xmlns="" xmlns:a16="http://schemas.microsoft.com/office/drawing/2014/main" id="{00000000-0008-0000-0100-000016000000}"/>
            </a:ext>
          </a:extLst>
        </xdr:cNvPr>
        <xdr:cNvSpPr/>
      </xdr:nvSpPr>
      <xdr:spPr>
        <a:xfrm>
          <a:off x="9280071" y="8899072"/>
          <a:ext cx="2326821" cy="258536"/>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Quel est le montant sous-traité</a:t>
          </a:r>
          <a:r>
            <a:rPr lang="fr-FR" sz="1100" baseline="0"/>
            <a:t> </a:t>
          </a:r>
          <a:r>
            <a:rPr lang="fr-FR" sz="1100"/>
            <a:t>?</a:t>
          </a:r>
        </a:p>
      </xdr:txBody>
    </xdr:sp>
    <xdr:clientData/>
  </xdr:twoCellAnchor>
  <xdr:twoCellAnchor>
    <xdr:from>
      <xdr:col>12</xdr:col>
      <xdr:colOff>136072</xdr:colOff>
      <xdr:row>53</xdr:row>
      <xdr:rowOff>163285</xdr:rowOff>
    </xdr:from>
    <xdr:to>
      <xdr:col>15</xdr:col>
      <xdr:colOff>176893</xdr:colOff>
      <xdr:row>58</xdr:row>
      <xdr:rowOff>0</xdr:rowOff>
    </xdr:to>
    <xdr:sp macro="" textlink="">
      <xdr:nvSpPr>
        <xdr:cNvPr id="23" name="Rectangle 22">
          <a:extLst>
            <a:ext uri="{FF2B5EF4-FFF2-40B4-BE49-F238E27FC236}">
              <a16:creationId xmlns="" xmlns:a16="http://schemas.microsoft.com/office/drawing/2014/main" id="{00000000-0008-0000-0100-000017000000}"/>
            </a:ext>
          </a:extLst>
        </xdr:cNvPr>
        <xdr:cNvSpPr/>
      </xdr:nvSpPr>
      <xdr:spPr>
        <a:xfrm>
          <a:off x="9422947" y="9402535"/>
          <a:ext cx="2326821" cy="789215"/>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Le sous-traitant</a:t>
          </a:r>
          <a:r>
            <a:rPr lang="fr-FR" sz="1100" baseline="0"/>
            <a:t> a-t-il été déclaré à la notification ?si oui implique que l'avance a été caclulée en tenant compte du montat sous-traité</a:t>
          </a:r>
          <a:endParaRPr lang="fr-FR" sz="1100"/>
        </a:p>
      </xdr:txBody>
    </xdr:sp>
    <xdr:clientData/>
  </xdr:twoCellAnchor>
  <xdr:twoCellAnchor editAs="oneCell">
    <xdr:from>
      <xdr:col>0</xdr:col>
      <xdr:colOff>27214</xdr:colOff>
      <xdr:row>43</xdr:row>
      <xdr:rowOff>136071</xdr:rowOff>
    </xdr:from>
    <xdr:to>
      <xdr:col>12</xdr:col>
      <xdr:colOff>56324</xdr:colOff>
      <xdr:row>58</xdr:row>
      <xdr:rowOff>13083</xdr:rowOff>
    </xdr:to>
    <xdr:pic>
      <xdr:nvPicPr>
        <xdr:cNvPr id="3" name="Image 2"/>
        <xdr:cNvPicPr>
          <a:picLocks noChangeAspect="1"/>
        </xdr:cNvPicPr>
      </xdr:nvPicPr>
      <xdr:blipFill>
        <a:blip xmlns:r="http://schemas.openxmlformats.org/officeDocument/2006/relationships" r:embed="rId1"/>
        <a:stretch>
          <a:fillRect/>
        </a:stretch>
      </xdr:blipFill>
      <xdr:spPr>
        <a:xfrm>
          <a:off x="27214" y="7470321"/>
          <a:ext cx="9315985" cy="2734512"/>
        </a:xfrm>
        <a:prstGeom prst="rect">
          <a:avLst/>
        </a:prstGeom>
      </xdr:spPr>
    </xdr:pic>
    <xdr:clientData/>
  </xdr:twoCellAnchor>
  <xdr:twoCellAnchor>
    <xdr:from>
      <xdr:col>5</xdr:col>
      <xdr:colOff>333375</xdr:colOff>
      <xdr:row>41</xdr:row>
      <xdr:rowOff>136073</xdr:rowOff>
    </xdr:from>
    <xdr:to>
      <xdr:col>11</xdr:col>
      <xdr:colOff>707571</xdr:colOff>
      <xdr:row>44</xdr:row>
      <xdr:rowOff>136072</xdr:rowOff>
    </xdr:to>
    <xdr:cxnSp macro="">
      <xdr:nvCxnSpPr>
        <xdr:cNvPr id="14" name="Connecteur droit avec flèche 13">
          <a:extLst>
            <a:ext uri="{FF2B5EF4-FFF2-40B4-BE49-F238E27FC236}">
              <a16:creationId xmlns="" xmlns:a16="http://schemas.microsoft.com/office/drawing/2014/main" id="{00000000-0008-0000-0100-00000E000000}"/>
            </a:ext>
          </a:extLst>
        </xdr:cNvPr>
        <xdr:cNvCxnSpPr/>
      </xdr:nvCxnSpPr>
      <xdr:spPr>
        <a:xfrm flipH="1">
          <a:off x="4286250" y="7089323"/>
          <a:ext cx="4946196" cy="571499"/>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292554</xdr:colOff>
      <xdr:row>44</xdr:row>
      <xdr:rowOff>149679</xdr:rowOff>
    </xdr:from>
    <xdr:to>
      <xdr:col>12</xdr:col>
      <xdr:colOff>163285</xdr:colOff>
      <xdr:row>44</xdr:row>
      <xdr:rowOff>163287</xdr:rowOff>
    </xdr:to>
    <xdr:cxnSp macro="">
      <xdr:nvCxnSpPr>
        <xdr:cNvPr id="15" name="Connecteur droit avec flèche 14">
          <a:extLst>
            <a:ext uri="{FF2B5EF4-FFF2-40B4-BE49-F238E27FC236}">
              <a16:creationId xmlns="" xmlns:a16="http://schemas.microsoft.com/office/drawing/2014/main" id="{00000000-0008-0000-0100-00000F000000}"/>
            </a:ext>
          </a:extLst>
        </xdr:cNvPr>
        <xdr:cNvCxnSpPr/>
      </xdr:nvCxnSpPr>
      <xdr:spPr>
        <a:xfrm flipH="1" flipV="1">
          <a:off x="5626554" y="7667625"/>
          <a:ext cx="3680731" cy="13608"/>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625929</xdr:colOff>
      <xdr:row>45</xdr:row>
      <xdr:rowOff>20411</xdr:rowOff>
    </xdr:from>
    <xdr:to>
      <xdr:col>12</xdr:col>
      <xdr:colOff>102055</xdr:colOff>
      <xdr:row>46</xdr:row>
      <xdr:rowOff>183698</xdr:rowOff>
    </xdr:to>
    <xdr:cxnSp macro="">
      <xdr:nvCxnSpPr>
        <xdr:cNvPr id="18" name="Connecteur droit avec flèche 17">
          <a:extLst>
            <a:ext uri="{FF2B5EF4-FFF2-40B4-BE49-F238E27FC236}">
              <a16:creationId xmlns="" xmlns:a16="http://schemas.microsoft.com/office/drawing/2014/main" id="{00000000-0008-0000-0100-000012000000}"/>
            </a:ext>
          </a:extLst>
        </xdr:cNvPr>
        <xdr:cNvCxnSpPr/>
      </xdr:nvCxnSpPr>
      <xdr:spPr>
        <a:xfrm flipH="1" flipV="1">
          <a:off x="8245929" y="7728857"/>
          <a:ext cx="1000126" cy="35378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591911</xdr:colOff>
      <xdr:row>48</xdr:row>
      <xdr:rowOff>122465</xdr:rowOff>
    </xdr:from>
    <xdr:to>
      <xdr:col>12</xdr:col>
      <xdr:colOff>115660</xdr:colOff>
      <xdr:row>48</xdr:row>
      <xdr:rowOff>136072</xdr:rowOff>
    </xdr:to>
    <xdr:cxnSp macro="">
      <xdr:nvCxnSpPr>
        <xdr:cNvPr id="25" name="Connecteur droit avec flèche 24">
          <a:extLst>
            <a:ext uri="{FF2B5EF4-FFF2-40B4-BE49-F238E27FC236}">
              <a16:creationId xmlns="" xmlns:a16="http://schemas.microsoft.com/office/drawing/2014/main" id="{00000000-0008-0000-0100-000019000000}"/>
            </a:ext>
          </a:extLst>
        </xdr:cNvPr>
        <xdr:cNvCxnSpPr/>
      </xdr:nvCxnSpPr>
      <xdr:spPr>
        <a:xfrm flipH="1" flipV="1">
          <a:off x="1353911" y="8402411"/>
          <a:ext cx="7905749" cy="1360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102054</xdr:colOff>
      <xdr:row>49</xdr:row>
      <xdr:rowOff>142875</xdr:rowOff>
    </xdr:from>
    <xdr:to>
      <xdr:col>12</xdr:col>
      <xdr:colOff>136072</xdr:colOff>
      <xdr:row>51</xdr:row>
      <xdr:rowOff>149679</xdr:rowOff>
    </xdr:to>
    <xdr:cxnSp macro="">
      <xdr:nvCxnSpPr>
        <xdr:cNvPr id="27" name="Connecteur droit avec flèche 26">
          <a:extLst>
            <a:ext uri="{FF2B5EF4-FFF2-40B4-BE49-F238E27FC236}">
              <a16:creationId xmlns="" xmlns:a16="http://schemas.microsoft.com/office/drawing/2014/main" id="{00000000-0008-0000-0100-00001B000000}"/>
            </a:ext>
          </a:extLst>
        </xdr:cNvPr>
        <xdr:cNvCxnSpPr/>
      </xdr:nvCxnSpPr>
      <xdr:spPr>
        <a:xfrm flipH="1" flipV="1">
          <a:off x="5436054" y="8613321"/>
          <a:ext cx="3844018" cy="387804"/>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251732</xdr:colOff>
      <xdr:row>54</xdr:row>
      <xdr:rowOff>47626</xdr:rowOff>
    </xdr:from>
    <xdr:to>
      <xdr:col>12</xdr:col>
      <xdr:colOff>20411</xdr:colOff>
      <xdr:row>57</xdr:row>
      <xdr:rowOff>136073</xdr:rowOff>
    </xdr:to>
    <xdr:cxnSp macro="">
      <xdr:nvCxnSpPr>
        <xdr:cNvPr id="29" name="Connecteur droit avec flèche 28">
          <a:extLst>
            <a:ext uri="{FF2B5EF4-FFF2-40B4-BE49-F238E27FC236}">
              <a16:creationId xmlns="" xmlns:a16="http://schemas.microsoft.com/office/drawing/2014/main" id="{00000000-0008-0000-0100-00001D000000}"/>
            </a:ext>
          </a:extLst>
        </xdr:cNvPr>
        <xdr:cNvCxnSpPr/>
      </xdr:nvCxnSpPr>
      <xdr:spPr>
        <a:xfrm flipH="1" flipV="1">
          <a:off x="7252607" y="9477376"/>
          <a:ext cx="2054679" cy="65994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0</xdr:colOff>
      <xdr:row>60</xdr:row>
      <xdr:rowOff>1</xdr:rowOff>
    </xdr:from>
    <xdr:to>
      <xdr:col>7</xdr:col>
      <xdr:colOff>40821</xdr:colOff>
      <xdr:row>61</xdr:row>
      <xdr:rowOff>129269</xdr:rowOff>
    </xdr:to>
    <xdr:sp macro="" textlink="">
      <xdr:nvSpPr>
        <xdr:cNvPr id="17" name="Rectangle 16">
          <a:extLst>
            <a:ext uri="{FF2B5EF4-FFF2-40B4-BE49-F238E27FC236}">
              <a16:creationId xmlns="" xmlns:a16="http://schemas.microsoft.com/office/drawing/2014/main" id="{00000000-0008-0000-0100-000017000000}"/>
            </a:ext>
          </a:extLst>
        </xdr:cNvPr>
        <xdr:cNvSpPr/>
      </xdr:nvSpPr>
      <xdr:spPr>
        <a:xfrm>
          <a:off x="3190875" y="10572751"/>
          <a:ext cx="2326821" cy="319768"/>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part</a:t>
          </a:r>
          <a:r>
            <a:rPr lang="fr-FR" sz="1100" baseline="0"/>
            <a:t> du cotraitant dans la tranche</a:t>
          </a:r>
          <a:endParaRPr lang="fr-FR" sz="1100"/>
        </a:p>
      </xdr:txBody>
    </xdr:sp>
    <xdr:clientData/>
  </xdr:twoCellAnchor>
  <xdr:twoCellAnchor>
    <xdr:from>
      <xdr:col>4</xdr:col>
      <xdr:colOff>435429</xdr:colOff>
      <xdr:row>53</xdr:row>
      <xdr:rowOff>74839</xdr:rowOff>
    </xdr:from>
    <xdr:to>
      <xdr:col>5</xdr:col>
      <xdr:colOff>129268</xdr:colOff>
      <xdr:row>59</xdr:row>
      <xdr:rowOff>170089</xdr:rowOff>
    </xdr:to>
    <xdr:cxnSp macro="">
      <xdr:nvCxnSpPr>
        <xdr:cNvPr id="19" name="Connecteur droit avec flèche 18">
          <a:extLst>
            <a:ext uri="{FF2B5EF4-FFF2-40B4-BE49-F238E27FC236}">
              <a16:creationId xmlns="" xmlns:a16="http://schemas.microsoft.com/office/drawing/2014/main" id="{00000000-0008-0000-0100-00001D000000}"/>
            </a:ext>
          </a:extLst>
        </xdr:cNvPr>
        <xdr:cNvCxnSpPr/>
      </xdr:nvCxnSpPr>
      <xdr:spPr>
        <a:xfrm flipH="1" flipV="1">
          <a:off x="3626304" y="9314089"/>
          <a:ext cx="455839" cy="1238250"/>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0</xdr:col>
      <xdr:colOff>0</xdr:colOff>
      <xdr:row>75</xdr:row>
      <xdr:rowOff>95249</xdr:rowOff>
    </xdr:from>
    <xdr:to>
      <xdr:col>13</xdr:col>
      <xdr:colOff>259140</xdr:colOff>
      <xdr:row>80</xdr:row>
      <xdr:rowOff>114118</xdr:rowOff>
    </xdr:to>
    <xdr:pic>
      <xdr:nvPicPr>
        <xdr:cNvPr id="7" name="Image 6"/>
        <xdr:cNvPicPr>
          <a:picLocks noChangeAspect="1"/>
        </xdr:cNvPicPr>
      </xdr:nvPicPr>
      <xdr:blipFill>
        <a:blip xmlns:r="http://schemas.openxmlformats.org/officeDocument/2006/relationships" r:embed="rId2"/>
        <a:stretch>
          <a:fillRect/>
        </a:stretch>
      </xdr:blipFill>
      <xdr:spPr>
        <a:xfrm>
          <a:off x="0" y="14668499"/>
          <a:ext cx="10308015" cy="971369"/>
        </a:xfrm>
        <a:prstGeom prst="rect">
          <a:avLst/>
        </a:prstGeom>
      </xdr:spPr>
    </xdr:pic>
    <xdr:clientData/>
  </xdr:twoCellAnchor>
  <xdr:twoCellAnchor editAs="oneCell">
    <xdr:from>
      <xdr:col>0</xdr:col>
      <xdr:colOff>1</xdr:colOff>
      <xdr:row>95</xdr:row>
      <xdr:rowOff>77932</xdr:rowOff>
    </xdr:from>
    <xdr:to>
      <xdr:col>13</xdr:col>
      <xdr:colOff>168050</xdr:colOff>
      <xdr:row>103</xdr:row>
      <xdr:rowOff>28381</xdr:rowOff>
    </xdr:to>
    <xdr:pic>
      <xdr:nvPicPr>
        <xdr:cNvPr id="8" name="Image 7"/>
        <xdr:cNvPicPr>
          <a:picLocks noChangeAspect="1"/>
        </xdr:cNvPicPr>
      </xdr:nvPicPr>
      <xdr:blipFill>
        <a:blip xmlns:r="http://schemas.openxmlformats.org/officeDocument/2006/relationships" r:embed="rId3"/>
        <a:stretch>
          <a:fillRect/>
        </a:stretch>
      </xdr:blipFill>
      <xdr:spPr>
        <a:xfrm>
          <a:off x="1" y="18625705"/>
          <a:ext cx="10212594" cy="1474449"/>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12</xdr:col>
      <xdr:colOff>238125</xdr:colOff>
      <xdr:row>0</xdr:row>
      <xdr:rowOff>571500</xdr:rowOff>
    </xdr:from>
    <xdr:to>
      <xdr:col>15</xdr:col>
      <xdr:colOff>238125</xdr:colOff>
      <xdr:row>4</xdr:row>
      <xdr:rowOff>285750</xdr:rowOff>
    </xdr:to>
    <xdr:sp macro="[0]!Lance_USF1" textlink="">
      <xdr:nvSpPr>
        <xdr:cNvPr id="2" name="Rectangle à coins arrondis 1"/>
        <xdr:cNvSpPr/>
      </xdr:nvSpPr>
      <xdr:spPr>
        <a:xfrm>
          <a:off x="76342875" y="571500"/>
          <a:ext cx="5619750" cy="39052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5400"/>
            <a:t>ENREGISTRER LE CERTIFICAT DE PAIEMENT</a:t>
          </a:r>
        </a:p>
      </xdr:txBody>
    </xdr:sp>
    <xdr:clientData fPrintsWithSheet="0"/>
  </xdr:twoCellAnchor>
  <xdr:twoCellAnchor>
    <xdr:from>
      <xdr:col>12</xdr:col>
      <xdr:colOff>476250</xdr:colOff>
      <xdr:row>5</xdr:row>
      <xdr:rowOff>142875</xdr:rowOff>
    </xdr:from>
    <xdr:to>
      <xdr:col>14</xdr:col>
      <xdr:colOff>619125</xdr:colOff>
      <xdr:row>9</xdr:row>
      <xdr:rowOff>190500</xdr:rowOff>
    </xdr:to>
    <xdr:sp macro="[0]!DGD" textlink="">
      <xdr:nvSpPr>
        <xdr:cNvPr id="4" name="Rectangle à coins arrondis 3"/>
        <xdr:cNvSpPr/>
      </xdr:nvSpPr>
      <xdr:spPr>
        <a:xfrm>
          <a:off x="79248000" y="5381625"/>
          <a:ext cx="5476875" cy="42386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600"/>
            <a:t>DGD</a:t>
          </a:r>
        </a:p>
      </xdr:txBody>
    </xdr:sp>
    <xdr:clientData fPrintsWithSheet="0"/>
  </xdr:twoCellAnchor>
  <xdr:twoCellAnchor>
    <xdr:from>
      <xdr:col>42</xdr:col>
      <xdr:colOff>381000</xdr:colOff>
      <xdr:row>5</xdr:row>
      <xdr:rowOff>95250</xdr:rowOff>
    </xdr:from>
    <xdr:to>
      <xdr:col>49</xdr:col>
      <xdr:colOff>523875</xdr:colOff>
      <xdr:row>9</xdr:row>
      <xdr:rowOff>142875</xdr:rowOff>
    </xdr:to>
    <xdr:sp macro="[0]!fermerDGD" textlink="">
      <xdr:nvSpPr>
        <xdr:cNvPr id="12" name="Rectangle à coins arrondis 11"/>
        <xdr:cNvSpPr/>
      </xdr:nvSpPr>
      <xdr:spPr>
        <a:xfrm>
          <a:off x="85248750" y="5334000"/>
          <a:ext cx="5476875" cy="42386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600"/>
            <a:t>Fermer</a:t>
          </a:r>
        </a:p>
        <a:p>
          <a:pPr algn="ctr"/>
          <a:r>
            <a:rPr lang="fr-FR" sz="9600"/>
            <a:t>DGD</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ARRAZIND/Bureau/NOUVEAU%20CP/CPP_vtravail_V6-1%20provioir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DONNEES"/>
      <sheetName val="CALCUL AVANCE TITULAIRE"/>
      <sheetName val="CALCUL AVANCE COTRAITANT"/>
      <sheetName val="CPP TITULAIRE-ST"/>
      <sheetName val="RECUP AVANCE TITULAIRE "/>
      <sheetName val="RESTITUTION AVANCE SUITE DC4"/>
      <sheetName val="CPP CO-TRAITANT-ST"/>
      <sheetName val="RECUP AVANCE O-TRAITANT"/>
      <sheetName val="ACTUALISATION"/>
      <sheetName val="REVISION"/>
      <sheetName val="RECAP CPP"/>
    </sheetNames>
    <sheetDataSet>
      <sheetData sheetId="0">
        <row r="2">
          <cell r="M2" t="str">
            <v>au Lycée "ÉDOUARD BRANLY"</v>
          </cell>
        </row>
        <row r="3">
          <cell r="M3" t="str">
            <v>au Lycée "LE VERGER"</v>
          </cell>
        </row>
        <row r="4">
          <cell r="M4" t="str">
            <v>au Lycée "MARCELIN BERTHELOT"</v>
          </cell>
        </row>
        <row r="5">
          <cell r="M5" t="str">
            <v>au Lycée "ANDRÉ THEURIET"</v>
          </cell>
        </row>
        <row r="6">
          <cell r="M6" t="str">
            <v>au Lycée "LES TERRES ROUGES"</v>
          </cell>
        </row>
        <row r="7">
          <cell r="M7" t="str">
            <v>au Lycée "PILOTE INNOVANT INTERNATIONAL"</v>
          </cell>
        </row>
        <row r="8">
          <cell r="M8" t="str">
            <v>au Lycée "GUY CHAUVET"</v>
          </cell>
        </row>
        <row r="9">
          <cell r="M9" t="str">
            <v>au Lycée "MARC GODRIE"</v>
          </cell>
        </row>
        <row r="10">
          <cell r="M10" t="str">
            <v>à l' EREA "ANNE FRANK"</v>
          </cell>
        </row>
        <row r="11">
          <cell r="M11" t="str">
            <v>au Lycée "JEAN-MARIE BOULOUX"</v>
          </cell>
        </row>
        <row r="12">
          <cell r="M12" t="str">
            <v>au Lycée "JEAN MOULIN"</v>
          </cell>
        </row>
        <row r="13">
          <cell r="M13" t="str">
            <v>au Lycée "RAOUL MORTIER"</v>
          </cell>
        </row>
        <row r="14">
          <cell r="M14" t="str">
            <v>au Lycée "ALIÉNOR D'AQUITAINE"</v>
          </cell>
        </row>
        <row r="15">
          <cell r="M15" t="str">
            <v>au Lycée "AUGUSTE PERRET"</v>
          </cell>
        </row>
        <row r="16">
          <cell r="M16" t="str">
            <v>au Lycée "CAMILLE GUÉRIN"</v>
          </cell>
        </row>
        <row r="17">
          <cell r="M17" t="str">
            <v>au Lycée "KYOTO"</v>
          </cell>
        </row>
        <row r="18">
          <cell r="M18" t="str">
            <v>au Lycée "LE BOIS D'AMOUR"</v>
          </cell>
        </row>
        <row r="19">
          <cell r="M19" t="str">
            <v>au Lycée "LE DOLMEN"</v>
          </cell>
        </row>
        <row r="20">
          <cell r="M20" t="str">
            <v>au Lycée "NELSON MANDELA"</v>
          </cell>
        </row>
        <row r="21">
          <cell r="M21" t="str">
            <v>au Lycée "RÉAUMUR"</v>
          </cell>
        </row>
        <row r="22">
          <cell r="M22" t="str">
            <v>au Lycée "VICTOR HUGO"</v>
          </cell>
        </row>
        <row r="23">
          <cell r="M23" t="str">
            <v>au Lycée "XAVIER BERNARD"</v>
          </cell>
        </row>
        <row r="24">
          <cell r="M24" t="str">
            <v>au Lycée "DANIÈLE MATHIRON"</v>
          </cell>
        </row>
        <row r="25">
          <cell r="M25" t="str">
            <v>au lycée "LÉONARD DE VINCI"</v>
          </cell>
        </row>
        <row r="26">
          <cell r="M26" t="str">
            <v>au lycée "LES SICAUDIÈRES"</v>
          </cell>
        </row>
        <row r="27">
          <cell r="M27" t="str">
            <v>au lycée "MAURICE GENEVOIX"/"SIMONE SIGNORET"</v>
          </cell>
        </row>
        <row r="28">
          <cell r="M28" t="str">
            <v>au lycée "JEAN-FRANCOIS CAIL"</v>
          </cell>
        </row>
        <row r="29">
          <cell r="M29" t="str">
            <v>au lycée "JACQUES BUJAULT"</v>
          </cell>
        </row>
        <row r="30">
          <cell r="M30" t="str">
            <v>au lycée "JOSEPH DESFONTAINES"</v>
          </cell>
        </row>
        <row r="31">
          <cell r="M31" t="str">
            <v>au lycée "GASTON BARRÉ"</v>
          </cell>
        </row>
        <row r="32">
          <cell r="M32" t="str">
            <v>au lycée "GASTON CHAISSAC"</v>
          </cell>
        </row>
        <row r="33">
          <cell r="M33" t="str">
            <v>au lycée "JEAN MACÉ"</v>
          </cell>
        </row>
        <row r="34">
          <cell r="M34" t="str">
            <v>au lycée "LA VENISE VERTE"</v>
          </cell>
        </row>
        <row r="35">
          <cell r="M35" t="str">
            <v>au lycée "PAUL GUERIN"</v>
          </cell>
        </row>
        <row r="36">
          <cell r="M36" t="str">
            <v>au lycée "THOMAS-JEAN MAIN"</v>
          </cell>
        </row>
        <row r="37">
          <cell r="M37" t="str">
            <v>au lycée "ERNEST PÉROCHON"</v>
          </cell>
        </row>
        <row r="38">
          <cell r="M38" t="str">
            <v>au lycée "LES GRIPPEAUX"</v>
          </cell>
        </row>
        <row r="39">
          <cell r="M39" t="str">
            <v>à l' EREA "FRANCOISE DOLTO"</v>
          </cell>
        </row>
        <row r="40">
          <cell r="M40" t="str">
            <v>au lycée "HAUT VAL DE SÈVRE"</v>
          </cell>
        </row>
        <row r="41">
          <cell r="M41" t="str">
            <v>au lycée "J.MOULIN"(79)</v>
          </cell>
        </row>
        <row r="42">
          <cell r="M42" t="str">
            <v>au Lycée "DE LA MER ET DU LITTORAL"</v>
          </cell>
        </row>
        <row r="43">
          <cell r="M43" t="str">
            <v>au Lycée "JEAN HYPPOLITE"</v>
          </cell>
        </row>
        <row r="44">
          <cell r="M44" t="str">
            <v>au Lycée "LE RENAUDIN"</v>
          </cell>
        </row>
        <row r="45">
          <cell r="M45" t="str">
            <v>au Lycée "JEAN DAUTET"</v>
          </cell>
        </row>
        <row r="46">
          <cell r="M46" t="str">
            <v>au Lycée "LÉONCE VIELJEUX"</v>
          </cell>
        </row>
        <row r="47">
          <cell r="M47" t="str">
            <v>au Lycée "HOTELIER DU PARC DE LA FRANCOPHONIE"</v>
          </cell>
        </row>
        <row r="48">
          <cell r="M48" t="str">
            <v>au Lycée "PIERRE DORIOLE"</v>
          </cell>
        </row>
        <row r="49">
          <cell r="M49" t="str">
            <v>au Lycée "RENÉ-JOSUÉ VALIN"</v>
          </cell>
        </row>
        <row r="50">
          <cell r="M50" t="str">
            <v>au Lycée "ROMPSAY"</v>
          </cell>
        </row>
        <row r="51">
          <cell r="M51" t="str">
            <v>au Lycée "ANTOINE DE SAINT EXUPÉRY"</v>
          </cell>
        </row>
        <row r="52">
          <cell r="M52" t="str">
            <v>au Lycée "EMILE COMBES"</v>
          </cell>
        </row>
        <row r="53">
          <cell r="M53" t="str">
            <v>au Lycée "GILLES JAMAIN"</v>
          </cell>
        </row>
        <row r="54">
          <cell r="M54" t="str">
            <v>au Lycée "MARCEL DASSAULT"</v>
          </cell>
        </row>
        <row r="55">
          <cell r="M55" t="str">
            <v>au Lycée "MAURICE MERLEAU PONTY"</v>
          </cell>
        </row>
        <row r="56">
          <cell r="M56" t="str">
            <v>au Lycée de "L'ATLANTIQUE"</v>
          </cell>
        </row>
        <row r="57">
          <cell r="M57" t="str">
            <v>au Lycée "CORDOUAN"</v>
          </cell>
        </row>
        <row r="58">
          <cell r="M58" t="str">
            <v>au Lycée "BELLEVUE"</v>
          </cell>
        </row>
        <row r="59">
          <cell r="M59" t="str">
            <v>au Lycée "BERNARD PALISSY"</v>
          </cell>
        </row>
        <row r="60">
          <cell r="M60" t="str">
            <v>au Lycée "LE PETIT CHADIGNAC"</v>
          </cell>
        </row>
        <row r="61">
          <cell r="M61" t="str">
            <v>à l' EREA "THÉODORE MONOD"</v>
          </cell>
        </row>
        <row r="62">
          <cell r="M62" t="str">
            <v>au Lycée "BLAISE PASCAL"</v>
          </cell>
        </row>
        <row r="63">
          <cell r="M63" t="str">
            <v>au Lycée "LOUIS-AUDOUIN DUBREUIL"</v>
          </cell>
        </row>
        <row r="64">
          <cell r="M64" t="str">
            <v>au Lycée "ENILIA-ENSMIC"</v>
          </cell>
        </row>
        <row r="65">
          <cell r="M65" t="str">
            <v>au Lycée "GEORGES DESCLAUDES"</v>
          </cell>
        </row>
        <row r="66">
          <cell r="M66" t="str">
            <v>au Lycée "MARITIME ET ACQUACOLE"</v>
          </cell>
        </row>
        <row r="67">
          <cell r="M67" t="str">
            <v>au Lycée "PAYS D'AUNIS"</v>
          </cell>
        </row>
        <row r="68">
          <cell r="M68" t="str">
            <v>au lycée "CHARLES-AUGUSTIN COULOMB"</v>
          </cell>
        </row>
        <row r="69">
          <cell r="M69" t="str">
            <v>au lycée "GUEZ DE BALZAC"</v>
          </cell>
        </row>
        <row r="70">
          <cell r="M70" t="str">
            <v>au lycée "DE L'IMAGE ET DU SON"</v>
          </cell>
        </row>
        <row r="71">
          <cell r="M71" t="str">
            <v>au lycée "JEAN ROSTAND"</v>
          </cell>
        </row>
        <row r="72">
          <cell r="M72" t="str">
            <v>au lycée "MARGUERITE DE VALOIS"</v>
          </cell>
        </row>
        <row r="73">
          <cell r="M73" t="str">
            <v>au lycée "DE SILLAC"</v>
          </cell>
        </row>
        <row r="74">
          <cell r="M74" t="str">
            <v>au lycée "ÉLIE VINET"</v>
          </cell>
        </row>
        <row r="75">
          <cell r="M75" t="str">
            <v>au lycée "FÉLIX GAILLARD"</v>
          </cell>
        </row>
        <row r="76">
          <cell r="M76" t="str">
            <v>au lycée "PIERRE-ANDRÉ CHABANNE"</v>
          </cell>
        </row>
        <row r="77">
          <cell r="M77" t="str">
            <v>au lycée "JEAN MONNET"</v>
          </cell>
        </row>
        <row r="78">
          <cell r="M78" t="str">
            <v>au lycée "LOUIS DELAGE"</v>
          </cell>
        </row>
        <row r="79">
          <cell r="M79" t="str">
            <v>au lycée "ÉMILE ROUX"</v>
          </cell>
        </row>
        <row r="80">
          <cell r="M80" t="str">
            <v>au lycée "L'OISELLERIE"</v>
          </cell>
        </row>
        <row r="81">
          <cell r="M81" t="str">
            <v>à l' EREA "LES CHIRONS"</v>
          </cell>
        </row>
        <row r="82">
          <cell r="M82" t="str">
            <v>au lycée "JEAN CAILLAUD"</v>
          </cell>
        </row>
        <row r="83">
          <cell r="M83" t="str">
            <v>au lycée "LOUISE MICHEL"</v>
          </cell>
        </row>
        <row r="84">
          <cell r="M84" t="str">
            <v>au lycée "JEAN-ALBERT GRÉGOIRE"</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ables/table1.xml><?xml version="1.0" encoding="utf-8"?>
<table xmlns="http://schemas.openxmlformats.org/spreadsheetml/2006/main" id="11" name="Tableau11" displayName="Tableau11" ref="D1:D85" totalsRowShown="0" headerRowDxfId="52" dataDxfId="51" tableBorderDxfId="50" headerRowCellStyle="Monétaire" dataCellStyle="Monétaire">
  <autoFilter ref="D1:D85"/>
  <sortState ref="D2:D85">
    <sortCondition ref="D1:D85"/>
  </sortState>
  <tableColumns count="1">
    <tableColumn id="1" name="nom" dataDxfId="49" dataCellStyle="Monétaire">
      <calculatedColumnFormula>B2&amp;" "&amp;E2</calculatedColumnFormula>
    </tableColumn>
  </tableColumns>
  <tableStyleInfo name="TableStyleLight9" showFirstColumn="0" showLastColumn="0" showRowStripes="1" showColumnStripes="0"/>
</table>
</file>

<file path=xl/tables/table2.xml><?xml version="1.0" encoding="utf-8"?>
<table xmlns="http://schemas.openxmlformats.org/spreadsheetml/2006/main" id="4" name="Tableau4" displayName="Tableau4" ref="B28:M140" totalsRowShown="0" headerRowDxfId="48" dataDxfId="46" headerRowBorderDxfId="47" tableBorderDxfId="45" totalsRowBorderDxfId="44">
  <autoFilter ref="B28:M140">
    <filterColumn colId="6">
      <customFilters>
        <customFilter operator="greaterThan" val="0"/>
      </customFilters>
    </filterColumn>
  </autoFilter>
  <tableColumns count="12">
    <tableColumn id="10" name="Colonne1" dataDxfId="43">
      <calculatedColumnFormula>Tableau4[[#This Row],[Tranche]]&amp;" "&amp;Tableau4[[#This Row],[type (titulaire / ST)]]</calculatedColumnFormula>
    </tableColumn>
    <tableColumn id="1" name="Tranche" dataDxfId="42">
      <calculatedColumnFormula>DONNEES!A224</calculatedColumnFormula>
    </tableColumn>
    <tableColumn id="2" name="type (titulaire / ST)" dataDxfId="41">
      <calculatedColumnFormula>DONNEES!C224</calculatedColumnFormula>
    </tableColumn>
    <tableColumn id="3" name="nom" dataDxfId="40">
      <calculatedColumnFormula>DONNEES!D224</calculatedColumnFormula>
    </tableColumn>
    <tableColumn id="4" name="montant HT" dataDxfId="39">
      <calculatedColumnFormula>DONNEES!E224</calculatedColumnFormula>
    </tableColumn>
    <tableColumn id="5" name=" montant HT" dataDxfId="38">
      <calculatedColumnFormula>SUM(C29+D29+E29+F29)</calculatedColumnFormula>
    </tableColumn>
    <tableColumn id="6" name="S HT" dataDxfId="37" dataCellStyle="Monétaire">
      <calculatedColumnFormula>F29+G29</calculatedColumnFormula>
    </tableColumn>
    <tableColumn id="7" name="montant HT2" dataDxfId="36" dataCellStyle="Monétaire"/>
    <tableColumn id="8" name=" montant HT3" dataDxfId="35" dataCellStyle="Monétaire"/>
    <tableColumn id="9" name=" montant HT4" dataDxfId="34"/>
    <tableColumn id="11" name=" montant HT5" dataDxfId="33">
      <calculatedColumnFormula>Tableau4[[#This Row],[montant HT2]]+AO29</calculatedColumnFormula>
    </tableColumn>
    <tableColumn id="12" name=" montant HT6" dataDxfId="32">
      <calculatedColumnFormula>Tableau4[[#This Row],[ montant HT3]]+AP29</calculatedColumnFormula>
    </tableColumn>
  </tableColumns>
  <tableStyleInfo name="TableStyleLight9" showFirstColumn="0" showLastColumn="0" showRowStripes="1" showColumnStripes="0"/>
</table>
</file>

<file path=xl/tables/table3.xml><?xml version="1.0" encoding="utf-8"?>
<table xmlns="http://schemas.openxmlformats.org/spreadsheetml/2006/main" id="3" name="Tableau3" displayName="Tableau3" ref="C11:F24" totalsRowShown="0" headerRowDxfId="31" dataDxfId="29" headerRowBorderDxfId="30" tableBorderDxfId="28">
  <autoFilter ref="C11:F24">
    <filterColumn colId="3">
      <customFilters>
        <customFilter operator="greaterThan" val="0"/>
      </customFilters>
    </filterColumn>
  </autoFilter>
  <tableColumns count="4">
    <tableColumn id="1" name="Taux de TVA" dataDxfId="27"/>
    <tableColumn id="2" name="20,0%" dataDxfId="26" dataCellStyle="Monétaire"/>
    <tableColumn id="3" name="10,0%" dataDxfId="25" dataCellStyle="Monétaire"/>
    <tableColumn id="4" name="total HT" dataDxfId="24" dataCellStyle="Monétaire"/>
  </tableColumns>
  <tableStyleInfo name="TableStyleLight10" showFirstColumn="0" showLastColumn="0" showRowStripes="1" showColumnStripes="0"/>
</table>
</file>

<file path=xl/tables/table4.xml><?xml version="1.0" encoding="utf-8"?>
<table xmlns="http://schemas.openxmlformats.org/spreadsheetml/2006/main" id="5" name="Tableau5" displayName="Tableau5" ref="H146:H332" totalsRowShown="0" headerRowDxfId="23" dataDxfId="22" tableBorderDxfId="21" dataCellStyle="Monétaire">
  <autoFilter ref="H146:H332">
    <filterColumn colId="0">
      <customFilters>
        <customFilter operator="greaterThan" val="0"/>
      </customFilters>
    </filterColumn>
  </autoFilter>
  <tableColumns count="1">
    <tableColumn id="1" name="total" dataDxfId="20" dataCellStyle="Monétaire"/>
  </tableColumns>
  <tableStyleInfo name="TableStyleLight10" showFirstColumn="0" showLastColumn="0" showRowStripes="1" showColumnStripes="0"/>
</table>
</file>

<file path=xl/tables/table5.xml><?xml version="1.0" encoding="utf-8"?>
<table xmlns="http://schemas.openxmlformats.org/spreadsheetml/2006/main" id="2" name="Tableau2" displayName="Tableau2" ref="E424:F466" totalsRowShown="0" headerRowDxfId="19" dataDxfId="18" tableBorderDxfId="17">
  <autoFilter ref="E424:F466">
    <filterColumn colId="0">
      <customFilters>
        <customFilter operator="greaterThan" val="0"/>
      </customFilters>
    </filterColumn>
  </autoFilter>
  <tableColumns count="2">
    <tableColumn id="1" name="Colonne1" dataDxfId="16"/>
    <tableColumn id="2" name="Colonne2" dataDxfId="15"/>
  </tableColumns>
  <tableStyleInfo name="TableStyleLight10" showFirstColumn="0" showLastColumn="0" showRowStripes="1" showColumnStripes="0"/>
</table>
</file>

<file path=xl/tables/table6.xml><?xml version="1.0" encoding="utf-8"?>
<table xmlns="http://schemas.openxmlformats.org/spreadsheetml/2006/main" id="7" name="Tableau7" displayName="Tableau7" ref="E469:E478" totalsRowShown="0" headerRowDxfId="14" dataDxfId="12" headerRowBorderDxfId="13" tableBorderDxfId="11" totalsRowBorderDxfId="10">
  <autoFilter ref="E469:E478">
    <filterColumn colId="0">
      <customFilters>
        <customFilter operator="greaterThan" val="0"/>
      </customFilters>
    </filterColumn>
  </autoFilter>
  <tableColumns count="1">
    <tableColumn id="1" name="Colonne1" dataDxfId="9"/>
  </tableColumns>
  <tableStyleInfo name="TableStyleLight10" showFirstColumn="0" showLastColumn="0" showRowStripes="1" showColumnStripes="0"/>
</table>
</file>

<file path=xl/tables/table7.xml><?xml version="1.0" encoding="utf-8"?>
<table xmlns="http://schemas.openxmlformats.org/spreadsheetml/2006/main" id="10" name="Tableau10" displayName="Tableau10" ref="J334:J421" totalsRowShown="0" headerRowDxfId="8" dataDxfId="7" headerRowCellStyle="Monétaire" dataCellStyle="Pourcentage">
  <autoFilter ref="J334:J421">
    <filterColumn colId="0">
      <customFilters>
        <customFilter operator="notEqual" val="0"/>
      </customFilters>
    </filterColumn>
  </autoFilter>
  <tableColumns count="1">
    <tableColumn id="1" name="Colonne1" dataDxfId="6" dataCellStyle="Pourcentage">
      <calculatedColumnFormula>H46</calculatedColumnFormula>
    </tableColumn>
  </tableColumns>
  <tableStyleInfo name="TableStyleLight10" showFirstColumn="0" showLastColumn="0" showRowStripes="1" showColumnStripes="0"/>
</table>
</file>

<file path=xl/tables/table8.xml><?xml version="1.0" encoding="utf-8"?>
<table xmlns="http://schemas.openxmlformats.org/spreadsheetml/2006/main" id="19" name="Tableau19" displayName="Tableau19" ref="L5:L49" totalsRowShown="0" headerRowDxfId="5" dataDxfId="4" headerRowCellStyle="Normal 2">
  <autoFilter ref="L5:L49">
    <filterColumn colId="0">
      <customFilters>
        <customFilter operator="greaterThan" val="0"/>
      </customFilters>
    </filterColumn>
  </autoFilter>
  <tableColumns count="1">
    <tableColumn id="1" name="filtre" dataDxfId="3"/>
  </tableColumns>
  <tableStyleInfo name="Style de tableau 1" showFirstColumn="0" showLastColumn="0" showRowStripes="1" showColumnStripes="0"/>
</table>
</file>

<file path=xl/tables/table9.xml><?xml version="1.0" encoding="utf-8"?>
<table xmlns="http://schemas.openxmlformats.org/spreadsheetml/2006/main" id="20" name="Tableau1921" displayName="Tableau1921" ref="L61:L105" totalsRowShown="0" headerRowDxfId="2" dataDxfId="1" headerRowCellStyle="Normal 2">
  <autoFilter ref="L61:L105">
    <filterColumn colId="0">
      <customFilters>
        <customFilter operator="greaterThan" val="0"/>
      </customFilters>
    </filterColumn>
  </autoFilter>
  <tableColumns count="1">
    <tableColumn id="1" name="filtre" dataDxfId="0"/>
  </tableColumns>
  <tableStyleInfo name="Style de tableau 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support.office.com/fr-fr/article/activer-ou-d%C3%A9sactiver-les-macros-dans-les-fichiers-office-12b036fd-d140-4e74-b45e-16fed1a7e5c6" TargetMode="External"/></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table" Target="../tables/table1.xml"/></Relationships>
</file>

<file path=xl/worksheets/_rels/sheet6.xml.rels><?xml version="1.0" encoding="UTF-8" standalone="yes"?>
<Relationships xmlns="http://schemas.openxmlformats.org/package/2006/relationships"><Relationship Id="rId8" Type="http://schemas.openxmlformats.org/officeDocument/2006/relationships/table" Target="../tables/table6.xml"/><Relationship Id="rId3" Type="http://schemas.openxmlformats.org/officeDocument/2006/relationships/vmlDrawing" Target="../drawings/vmlDrawing2.vml"/><Relationship Id="rId7" Type="http://schemas.openxmlformats.org/officeDocument/2006/relationships/table" Target="../tables/table5.xml"/><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table" Target="../tables/table4.xml"/><Relationship Id="rId5" Type="http://schemas.openxmlformats.org/officeDocument/2006/relationships/table" Target="../tables/table3.xml"/><Relationship Id="rId10" Type="http://schemas.openxmlformats.org/officeDocument/2006/relationships/comments" Target="../comments2.xml"/><Relationship Id="rId4" Type="http://schemas.openxmlformats.org/officeDocument/2006/relationships/table" Target="../tables/table2.xml"/><Relationship Id="rId9" Type="http://schemas.openxmlformats.org/officeDocument/2006/relationships/table" Target="../tables/table7.xml"/></Relationships>
</file>

<file path=xl/worksheets/_rels/sheet7.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table" Target="../tables/table8.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W128"/>
  <sheetViews>
    <sheetView topLeftCell="E1" workbookViewId="0">
      <selection activeCell="P10" sqref="P10"/>
    </sheetView>
  </sheetViews>
  <sheetFormatPr baseColWidth="10" defaultRowHeight="12.75" x14ac:dyDescent="0.2"/>
  <cols>
    <col min="1" max="9" width="11.42578125" style="1"/>
    <col min="10" max="10" width="2.7109375" style="4" bestFit="1" customWidth="1"/>
    <col min="11" max="11" width="5.28515625" style="4" bestFit="1" customWidth="1"/>
    <col min="12" max="12" width="11.42578125" style="4"/>
    <col min="13" max="13" width="22.7109375" style="4" customWidth="1"/>
    <col min="14" max="15" width="11.42578125" style="1"/>
    <col min="16" max="16" width="23.85546875" style="1" bestFit="1" customWidth="1"/>
    <col min="17" max="18" width="11.42578125" style="1"/>
    <col min="19" max="19" width="18.5703125" style="1" bestFit="1" customWidth="1"/>
    <col min="20" max="16384" width="11.42578125" style="1"/>
  </cols>
  <sheetData>
    <row r="1" spans="1:21" x14ac:dyDescent="0.2">
      <c r="A1" s="2">
        <v>0</v>
      </c>
      <c r="C1" s="1" t="s">
        <v>147</v>
      </c>
      <c r="D1" s="1" t="s">
        <v>247</v>
      </c>
      <c r="F1" s="1" t="s">
        <v>27</v>
      </c>
      <c r="G1" s="1">
        <v>2017</v>
      </c>
      <c r="H1" s="1" t="s">
        <v>174</v>
      </c>
      <c r="I1" s="1" t="s">
        <v>168</v>
      </c>
      <c r="J1" s="3"/>
      <c r="L1" s="5"/>
      <c r="M1" s="5"/>
      <c r="O1" s="1">
        <v>20</v>
      </c>
      <c r="P1" s="1" t="s">
        <v>155</v>
      </c>
      <c r="Q1" s="1" t="s">
        <v>184</v>
      </c>
      <c r="S1" s="1" t="s">
        <v>190</v>
      </c>
      <c r="U1" s="1">
        <v>0</v>
      </c>
    </row>
    <row r="2" spans="1:21" ht="21" x14ac:dyDescent="0.2">
      <c r="A2" s="2">
        <v>5.5E-2</v>
      </c>
      <c r="C2" s="1" t="s">
        <v>53</v>
      </c>
      <c r="D2" s="1" t="s">
        <v>39</v>
      </c>
      <c r="E2" s="1">
        <v>0</v>
      </c>
      <c r="F2" s="1" t="s">
        <v>28</v>
      </c>
      <c r="G2" s="1">
        <v>2018</v>
      </c>
      <c r="H2" s="1" t="s">
        <v>175</v>
      </c>
      <c r="I2" s="1" t="s">
        <v>167</v>
      </c>
      <c r="J2" s="3" t="s">
        <v>153</v>
      </c>
      <c r="K2" s="3" t="s">
        <v>59</v>
      </c>
      <c r="L2" s="6" t="s">
        <v>60</v>
      </c>
      <c r="M2" s="5" t="str">
        <f>J2&amp;" "&amp;K2&amp;" "&amp;L2</f>
        <v>au Lycée "ÉDOUARD BRANLY"</v>
      </c>
      <c r="O2" s="1">
        <v>25</v>
      </c>
      <c r="P2" s="1" t="s">
        <v>156</v>
      </c>
      <c r="Q2" s="1" t="s">
        <v>185</v>
      </c>
      <c r="S2" s="1" t="s">
        <v>191</v>
      </c>
      <c r="U2" s="1">
        <v>1</v>
      </c>
    </row>
    <row r="3" spans="1:21" x14ac:dyDescent="0.2">
      <c r="A3" s="2">
        <v>7.0000000000000007E-2</v>
      </c>
      <c r="D3" s="1" t="s">
        <v>40</v>
      </c>
      <c r="E3" s="1">
        <v>1</v>
      </c>
      <c r="F3" s="1" t="s">
        <v>29</v>
      </c>
      <c r="G3" s="1">
        <v>2019</v>
      </c>
      <c r="J3" s="3" t="s">
        <v>153</v>
      </c>
      <c r="K3" s="3" t="s">
        <v>59</v>
      </c>
      <c r="L3" s="5" t="s">
        <v>61</v>
      </c>
      <c r="M3" s="5" t="str">
        <f t="shared" ref="M3:M66" si="0">J3&amp;" "&amp;K3&amp;" "&amp;L3</f>
        <v>au Lycée "LE VERGER"</v>
      </c>
      <c r="O3" s="1">
        <v>30</v>
      </c>
      <c r="P3" s="1" t="s">
        <v>203</v>
      </c>
      <c r="Q3" s="1" t="s">
        <v>186</v>
      </c>
      <c r="S3" s="1" t="s">
        <v>192</v>
      </c>
      <c r="U3" s="1">
        <v>2</v>
      </c>
    </row>
    <row r="4" spans="1:21" ht="21" x14ac:dyDescent="0.2">
      <c r="A4" s="2">
        <v>0.1</v>
      </c>
      <c r="C4" s="1" t="s">
        <v>148</v>
      </c>
      <c r="D4" s="1" t="s">
        <v>42</v>
      </c>
      <c r="E4" s="1">
        <v>2</v>
      </c>
      <c r="F4" s="1" t="s">
        <v>30</v>
      </c>
      <c r="G4" s="1">
        <v>2020</v>
      </c>
      <c r="J4" s="3" t="s">
        <v>153</v>
      </c>
      <c r="K4" s="3" t="s">
        <v>59</v>
      </c>
      <c r="L4" s="6" t="s">
        <v>62</v>
      </c>
      <c r="M4" s="5" t="str">
        <f t="shared" si="0"/>
        <v>au Lycée "MARCELIN BERTHELOT"</v>
      </c>
      <c r="O4" s="1">
        <v>35</v>
      </c>
      <c r="P4" s="1" t="s">
        <v>204</v>
      </c>
      <c r="Q4" s="1" t="s">
        <v>187</v>
      </c>
      <c r="S4" s="1" t="s">
        <v>306</v>
      </c>
      <c r="U4" s="1">
        <v>3</v>
      </c>
    </row>
    <row r="5" spans="1:21" ht="21" x14ac:dyDescent="0.2">
      <c r="A5" s="2">
        <v>0.19600000000000001</v>
      </c>
      <c r="C5" s="1" t="s">
        <v>149</v>
      </c>
      <c r="D5" s="1" t="s">
        <v>43</v>
      </c>
      <c r="E5" s="1">
        <v>3</v>
      </c>
      <c r="F5" s="1" t="s">
        <v>31</v>
      </c>
      <c r="G5" s="1">
        <v>2021</v>
      </c>
      <c r="J5" s="3" t="s">
        <v>153</v>
      </c>
      <c r="K5" s="3" t="s">
        <v>59</v>
      </c>
      <c r="L5" s="6" t="s">
        <v>63</v>
      </c>
      <c r="M5" s="5" t="str">
        <f t="shared" si="0"/>
        <v>au Lycée "ANDRÉ THEURIET"</v>
      </c>
      <c r="P5" s="1" t="s">
        <v>157</v>
      </c>
      <c r="Q5" s="1" t="s">
        <v>188</v>
      </c>
      <c r="S5" s="1" t="s">
        <v>307</v>
      </c>
      <c r="U5" s="1">
        <v>4</v>
      </c>
    </row>
    <row r="6" spans="1:21" ht="21" x14ac:dyDescent="0.2">
      <c r="A6" s="2">
        <v>0.2</v>
      </c>
      <c r="E6" s="1">
        <v>4</v>
      </c>
      <c r="F6" s="1" t="s">
        <v>32</v>
      </c>
      <c r="G6" s="1">
        <v>2022</v>
      </c>
      <c r="J6" s="3" t="s">
        <v>153</v>
      </c>
      <c r="K6" s="3" t="s">
        <v>59</v>
      </c>
      <c r="L6" s="6" t="s">
        <v>64</v>
      </c>
      <c r="M6" s="5" t="str">
        <f t="shared" si="0"/>
        <v>au Lycée "LES TERRES ROUGES"</v>
      </c>
      <c r="P6" s="1" t="s">
        <v>158</v>
      </c>
      <c r="Q6" s="1" t="s">
        <v>305</v>
      </c>
      <c r="S6" s="1" t="s">
        <v>308</v>
      </c>
      <c r="U6" s="1">
        <v>5</v>
      </c>
    </row>
    <row r="7" spans="1:21" ht="42" x14ac:dyDescent="0.2">
      <c r="E7" s="1">
        <v>5</v>
      </c>
      <c r="F7" s="1" t="s">
        <v>33</v>
      </c>
      <c r="G7" s="1">
        <v>2023</v>
      </c>
      <c r="J7" s="3" t="s">
        <v>153</v>
      </c>
      <c r="K7" s="3" t="s">
        <v>59</v>
      </c>
      <c r="L7" s="6" t="s">
        <v>65</v>
      </c>
      <c r="M7" s="5" t="str">
        <f t="shared" si="0"/>
        <v>au Lycée "PILOTE INNOVANT INTERNATIONAL"</v>
      </c>
      <c r="P7" s="1" t="s">
        <v>205</v>
      </c>
      <c r="S7" s="1" t="s">
        <v>309</v>
      </c>
      <c r="U7" s="1">
        <v>6</v>
      </c>
    </row>
    <row r="8" spans="1:21" ht="21" x14ac:dyDescent="0.2">
      <c r="A8" s="1" t="s">
        <v>247</v>
      </c>
      <c r="E8" s="1">
        <v>6</v>
      </c>
      <c r="F8" s="1" t="s">
        <v>34</v>
      </c>
      <c r="G8" s="1">
        <v>2024</v>
      </c>
      <c r="J8" s="3" t="s">
        <v>153</v>
      </c>
      <c r="K8" s="3" t="s">
        <v>59</v>
      </c>
      <c r="L8" s="6" t="s">
        <v>66</v>
      </c>
      <c r="M8" s="5" t="str">
        <f t="shared" si="0"/>
        <v>au Lycée "GUY CHAUVET"</v>
      </c>
      <c r="P8" s="1" t="s">
        <v>643</v>
      </c>
      <c r="S8" s="1" t="s">
        <v>193</v>
      </c>
      <c r="U8" s="1">
        <v>7</v>
      </c>
    </row>
    <row r="9" spans="1:21" ht="21" x14ac:dyDescent="0.2">
      <c r="A9" s="1" t="s">
        <v>253</v>
      </c>
      <c r="E9" s="1">
        <v>7</v>
      </c>
      <c r="F9" s="1" t="s">
        <v>35</v>
      </c>
      <c r="J9" s="3" t="s">
        <v>153</v>
      </c>
      <c r="K9" s="3" t="s">
        <v>59</v>
      </c>
      <c r="L9" s="6" t="s">
        <v>67</v>
      </c>
      <c r="M9" s="5" t="str">
        <f t="shared" si="0"/>
        <v>au Lycée "MARC GODRIE"</v>
      </c>
      <c r="P9" s="1" t="s">
        <v>653</v>
      </c>
      <c r="U9" s="1">
        <v>8</v>
      </c>
    </row>
    <row r="10" spans="1:21" ht="21" x14ac:dyDescent="0.2">
      <c r="A10" s="1" t="s">
        <v>254</v>
      </c>
      <c r="E10" s="1">
        <v>8</v>
      </c>
      <c r="F10" s="1" t="s">
        <v>36</v>
      </c>
      <c r="J10" s="3" t="s">
        <v>154</v>
      </c>
      <c r="K10" s="3" t="s">
        <v>68</v>
      </c>
      <c r="L10" s="6" t="s">
        <v>69</v>
      </c>
      <c r="M10" s="5" t="str">
        <f t="shared" si="0"/>
        <v>à l' EREA "ANNE FRANK"</v>
      </c>
      <c r="U10" s="1">
        <v>9</v>
      </c>
    </row>
    <row r="11" spans="1:21" ht="21" x14ac:dyDescent="0.2">
      <c r="A11" s="1" t="s">
        <v>440</v>
      </c>
      <c r="E11" s="1">
        <v>9</v>
      </c>
      <c r="F11" s="1" t="s">
        <v>37</v>
      </c>
      <c r="J11" s="3" t="s">
        <v>153</v>
      </c>
      <c r="K11" s="3" t="s">
        <v>59</v>
      </c>
      <c r="L11" s="6" t="s">
        <v>70</v>
      </c>
      <c r="M11" s="5" t="str">
        <f t="shared" si="0"/>
        <v>au Lycée "JEAN-MARIE BOULOUX"</v>
      </c>
      <c r="P11" s="1" t="s">
        <v>161</v>
      </c>
      <c r="U11" s="1">
        <v>10</v>
      </c>
    </row>
    <row r="12" spans="1:21" ht="21" x14ac:dyDescent="0.2">
      <c r="A12" s="1" t="s">
        <v>441</v>
      </c>
      <c r="E12" s="1">
        <v>10</v>
      </c>
      <c r="F12" s="1" t="s">
        <v>38</v>
      </c>
      <c r="J12" s="3" t="s">
        <v>153</v>
      </c>
      <c r="K12" s="3" t="s">
        <v>59</v>
      </c>
      <c r="L12" s="6" t="s">
        <v>71</v>
      </c>
      <c r="M12" s="5" t="str">
        <f t="shared" si="0"/>
        <v>au Lycée "JEAN MOULIN"</v>
      </c>
      <c r="P12" s="1" t="s">
        <v>160</v>
      </c>
    </row>
    <row r="13" spans="1:21" ht="21" x14ac:dyDescent="0.2">
      <c r="E13" s="1">
        <v>11</v>
      </c>
      <c r="J13" s="3" t="s">
        <v>153</v>
      </c>
      <c r="K13" s="3" t="s">
        <v>59</v>
      </c>
      <c r="L13" s="6" t="s">
        <v>72</v>
      </c>
      <c r="M13" s="5" t="str">
        <f t="shared" si="0"/>
        <v>au Lycée "RAOUL MORTIER"</v>
      </c>
      <c r="P13" s="1" t="s">
        <v>303</v>
      </c>
      <c r="S13" s="1" t="s">
        <v>438</v>
      </c>
    </row>
    <row r="14" spans="1:21" ht="21" x14ac:dyDescent="0.2">
      <c r="A14" s="1" t="s">
        <v>49</v>
      </c>
      <c r="E14" s="1">
        <v>12</v>
      </c>
      <c r="J14" s="3" t="s">
        <v>153</v>
      </c>
      <c r="K14" s="3" t="s">
        <v>59</v>
      </c>
      <c r="L14" s="6" t="s">
        <v>73</v>
      </c>
      <c r="M14" s="5" t="str">
        <f t="shared" si="0"/>
        <v>au Lycée "ALIÉNOR D'AQUITAINE"</v>
      </c>
      <c r="S14" s="1" t="s">
        <v>436</v>
      </c>
    </row>
    <row r="15" spans="1:21" ht="21" x14ac:dyDescent="0.2">
      <c r="A15" s="1" t="s">
        <v>51</v>
      </c>
      <c r="E15" s="1">
        <v>13</v>
      </c>
      <c r="J15" s="3" t="s">
        <v>153</v>
      </c>
      <c r="K15" s="3" t="s">
        <v>59</v>
      </c>
      <c r="L15" s="5" t="s">
        <v>74</v>
      </c>
      <c r="M15" s="5" t="str">
        <f t="shared" si="0"/>
        <v>au Lycée "AUGUSTE PERRET"</v>
      </c>
      <c r="P15" s="1" t="s">
        <v>604</v>
      </c>
      <c r="S15" s="1" t="s">
        <v>437</v>
      </c>
    </row>
    <row r="16" spans="1:21" ht="21" x14ac:dyDescent="0.2">
      <c r="A16" s="1" t="s">
        <v>50</v>
      </c>
      <c r="E16" s="1">
        <v>14</v>
      </c>
      <c r="J16" s="3" t="s">
        <v>153</v>
      </c>
      <c r="K16" s="3" t="s">
        <v>59</v>
      </c>
      <c r="L16" s="6" t="s">
        <v>75</v>
      </c>
      <c r="M16" s="5" t="str">
        <f t="shared" si="0"/>
        <v>au Lycée "CAMILLE GUÉRIN"</v>
      </c>
      <c r="P16" s="1" t="s">
        <v>605</v>
      </c>
      <c r="S16" s="1" t="s">
        <v>439</v>
      </c>
    </row>
    <row r="17" spans="1:23" x14ac:dyDescent="0.2">
      <c r="E17" s="1">
        <v>15</v>
      </c>
      <c r="J17" s="3" t="s">
        <v>153</v>
      </c>
      <c r="K17" s="3" t="s">
        <v>59</v>
      </c>
      <c r="L17" s="5" t="s">
        <v>76</v>
      </c>
      <c r="M17" s="5" t="str">
        <f t="shared" si="0"/>
        <v>au Lycée "KYOTO"</v>
      </c>
    </row>
    <row r="18" spans="1:23" ht="21" x14ac:dyDescent="0.2">
      <c r="E18" s="1">
        <v>16</v>
      </c>
      <c r="J18" s="3" t="s">
        <v>153</v>
      </c>
      <c r="K18" s="3" t="s">
        <v>59</v>
      </c>
      <c r="L18" s="6" t="s">
        <v>77</v>
      </c>
      <c r="M18" s="5" t="str">
        <f t="shared" si="0"/>
        <v>au Lycée "LE BOIS D'AMOUR"</v>
      </c>
    </row>
    <row r="19" spans="1:23" x14ac:dyDescent="0.2">
      <c r="E19" s="1">
        <v>17</v>
      </c>
      <c r="J19" s="3" t="s">
        <v>153</v>
      </c>
      <c r="K19" s="3" t="s">
        <v>59</v>
      </c>
      <c r="L19" s="6" t="s">
        <v>78</v>
      </c>
      <c r="M19" s="5" t="str">
        <f t="shared" si="0"/>
        <v>au Lycée "LE DOLMEN"</v>
      </c>
      <c r="T19" s="1" t="s">
        <v>645</v>
      </c>
      <c r="W19" s="1" t="s">
        <v>648</v>
      </c>
    </row>
    <row r="20" spans="1:23" ht="21" x14ac:dyDescent="0.2">
      <c r="A20" s="1" t="s">
        <v>255</v>
      </c>
      <c r="E20" s="1">
        <v>18</v>
      </c>
      <c r="J20" s="3" t="s">
        <v>153</v>
      </c>
      <c r="K20" s="3" t="s">
        <v>59</v>
      </c>
      <c r="L20" s="6" t="s">
        <v>79</v>
      </c>
      <c r="M20" s="5" t="str">
        <f t="shared" si="0"/>
        <v>au Lycée "NELSON MANDELA"</v>
      </c>
      <c r="P20" s="1" t="s">
        <v>330</v>
      </c>
      <c r="T20" s="1" t="s">
        <v>644</v>
      </c>
      <c r="W20" s="1" t="s">
        <v>649</v>
      </c>
    </row>
    <row r="21" spans="1:23" x14ac:dyDescent="0.2">
      <c r="A21" s="1" t="s">
        <v>442</v>
      </c>
      <c r="E21" s="1">
        <v>19</v>
      </c>
      <c r="J21" s="3" t="s">
        <v>153</v>
      </c>
      <c r="K21" s="3" t="s">
        <v>59</v>
      </c>
      <c r="L21" s="6" t="s">
        <v>80</v>
      </c>
      <c r="M21" s="5" t="str">
        <f t="shared" si="0"/>
        <v>au Lycée "RÉAUMUR"</v>
      </c>
      <c r="P21" s="1" t="s">
        <v>455</v>
      </c>
      <c r="T21" s="1" t="s">
        <v>646</v>
      </c>
      <c r="W21" s="1" t="s">
        <v>650</v>
      </c>
    </row>
    <row r="22" spans="1:23" ht="21" x14ac:dyDescent="0.2">
      <c r="E22" s="1">
        <v>20</v>
      </c>
      <c r="J22" s="3" t="s">
        <v>153</v>
      </c>
      <c r="K22" s="3" t="s">
        <v>59</v>
      </c>
      <c r="L22" s="6" t="s">
        <v>81</v>
      </c>
      <c r="M22" s="5" t="str">
        <f t="shared" si="0"/>
        <v>au Lycée "VICTOR HUGO"</v>
      </c>
      <c r="P22" s="1" t="s">
        <v>331</v>
      </c>
      <c r="T22" s="1" t="s">
        <v>647</v>
      </c>
      <c r="W22" s="1" t="s">
        <v>651</v>
      </c>
    </row>
    <row r="23" spans="1:23" ht="21" x14ac:dyDescent="0.2">
      <c r="A23" s="1" t="s">
        <v>247</v>
      </c>
      <c r="E23" s="1">
        <v>21</v>
      </c>
      <c r="J23" s="3" t="s">
        <v>153</v>
      </c>
      <c r="K23" s="3" t="s">
        <v>59</v>
      </c>
      <c r="L23" s="5" t="s">
        <v>82</v>
      </c>
      <c r="M23" s="5" t="str">
        <f t="shared" si="0"/>
        <v>au Lycée "XAVIER BERNARD"</v>
      </c>
      <c r="P23" s="1" t="s">
        <v>456</v>
      </c>
      <c r="W23" s="1" t="s">
        <v>652</v>
      </c>
    </row>
    <row r="24" spans="1:23" ht="21" x14ac:dyDescent="0.2">
      <c r="A24" s="1" t="s">
        <v>256</v>
      </c>
      <c r="E24" s="1">
        <v>22</v>
      </c>
      <c r="J24" s="3" t="s">
        <v>153</v>
      </c>
      <c r="K24" s="3" t="s">
        <v>59</v>
      </c>
      <c r="L24" s="6" t="s">
        <v>83</v>
      </c>
      <c r="M24" s="5" t="str">
        <f t="shared" si="0"/>
        <v>au Lycée "DANIÈLE MATHIRON"</v>
      </c>
      <c r="P24" s="1" t="s">
        <v>332</v>
      </c>
    </row>
    <row r="25" spans="1:23" ht="21" x14ac:dyDescent="0.2">
      <c r="A25" s="1" t="s">
        <v>257</v>
      </c>
      <c r="E25" s="1">
        <v>23</v>
      </c>
      <c r="J25" s="3" t="s">
        <v>153</v>
      </c>
      <c r="K25" s="3" t="s">
        <v>84</v>
      </c>
      <c r="L25" s="6" t="s">
        <v>85</v>
      </c>
      <c r="M25" s="5" t="str">
        <f t="shared" si="0"/>
        <v>au lycée "LÉONARD DE VINCI"</v>
      </c>
      <c r="P25" s="1" t="s">
        <v>457</v>
      </c>
    </row>
    <row r="26" spans="1:23" ht="21" x14ac:dyDescent="0.2">
      <c r="A26" s="1" t="s">
        <v>443</v>
      </c>
      <c r="E26" s="1">
        <v>24</v>
      </c>
      <c r="J26" s="3" t="s">
        <v>153</v>
      </c>
      <c r="K26" s="3" t="s">
        <v>84</v>
      </c>
      <c r="L26" s="6" t="s">
        <v>86</v>
      </c>
      <c r="M26" s="5" t="str">
        <f t="shared" si="0"/>
        <v>au lycée "LES SICAUDIÈRES"</v>
      </c>
      <c r="P26" s="1" t="s">
        <v>333</v>
      </c>
    </row>
    <row r="27" spans="1:23" ht="42" x14ac:dyDescent="0.2">
      <c r="A27" s="1" t="s">
        <v>444</v>
      </c>
      <c r="E27" s="1">
        <v>25</v>
      </c>
      <c r="J27" s="3" t="s">
        <v>153</v>
      </c>
      <c r="K27" s="3" t="s">
        <v>84</v>
      </c>
      <c r="L27" s="6" t="s">
        <v>87</v>
      </c>
      <c r="M27" s="5" t="str">
        <f t="shared" si="0"/>
        <v>au lycée "MAURICE GENEVOIX"/"SIMONE SIGNORET"</v>
      </c>
      <c r="P27" s="1" t="s">
        <v>458</v>
      </c>
    </row>
    <row r="28" spans="1:23" ht="31.5" x14ac:dyDescent="0.2">
      <c r="A28" s="1" t="s">
        <v>258</v>
      </c>
      <c r="E28" s="1">
        <v>26</v>
      </c>
      <c r="J28" s="3" t="s">
        <v>153</v>
      </c>
      <c r="K28" s="3" t="s">
        <v>84</v>
      </c>
      <c r="L28" s="6" t="s">
        <v>88</v>
      </c>
      <c r="M28" s="5" t="str">
        <f t="shared" si="0"/>
        <v>au lycée "JEAN-FRANCOIS CAIL"</v>
      </c>
      <c r="P28" s="1" t="s">
        <v>334</v>
      </c>
    </row>
    <row r="29" spans="1:23" ht="21" x14ac:dyDescent="0.2">
      <c r="A29" s="1" t="s">
        <v>247</v>
      </c>
      <c r="E29" s="1">
        <v>27</v>
      </c>
      <c r="J29" s="3" t="s">
        <v>153</v>
      </c>
      <c r="K29" s="3" t="s">
        <v>84</v>
      </c>
      <c r="L29" s="6" t="s">
        <v>89</v>
      </c>
      <c r="M29" s="5" t="str">
        <f t="shared" si="0"/>
        <v>au lycée "JACQUES BUJAULT"</v>
      </c>
      <c r="P29" s="1" t="s">
        <v>459</v>
      </c>
    </row>
    <row r="30" spans="1:23" ht="31.5" x14ac:dyDescent="0.2">
      <c r="A30" s="1" t="s">
        <v>259</v>
      </c>
      <c r="E30" s="1">
        <v>28</v>
      </c>
      <c r="J30" s="3" t="s">
        <v>153</v>
      </c>
      <c r="K30" s="3" t="s">
        <v>84</v>
      </c>
      <c r="L30" s="6" t="s">
        <v>90</v>
      </c>
      <c r="M30" s="5" t="str">
        <f t="shared" si="0"/>
        <v>au lycée "JOSEPH DESFONTAINES"</v>
      </c>
      <c r="P30" s="1" t="s">
        <v>335</v>
      </c>
    </row>
    <row r="31" spans="1:23" ht="21" x14ac:dyDescent="0.2">
      <c r="A31" s="1" t="s">
        <v>260</v>
      </c>
      <c r="E31" s="1">
        <v>29</v>
      </c>
      <c r="J31" s="3" t="s">
        <v>153</v>
      </c>
      <c r="K31" s="3" t="s">
        <v>84</v>
      </c>
      <c r="L31" s="5" t="s">
        <v>91</v>
      </c>
      <c r="M31" s="5" t="str">
        <f t="shared" si="0"/>
        <v>au lycée "GASTON BARRÉ"</v>
      </c>
      <c r="P31" s="1" t="s">
        <v>460</v>
      </c>
    </row>
    <row r="32" spans="1:23" ht="21" x14ac:dyDescent="0.2">
      <c r="A32" s="1" t="s">
        <v>445</v>
      </c>
      <c r="E32" s="1">
        <v>30</v>
      </c>
      <c r="J32" s="3" t="s">
        <v>153</v>
      </c>
      <c r="K32" s="3" t="s">
        <v>84</v>
      </c>
      <c r="L32" s="5" t="s">
        <v>92</v>
      </c>
      <c r="M32" s="5" t="str">
        <f t="shared" si="0"/>
        <v>au lycée "GASTON CHAISSAC"</v>
      </c>
    </row>
    <row r="33" spans="1:17" x14ac:dyDescent="0.2">
      <c r="A33" s="1" t="s">
        <v>446</v>
      </c>
      <c r="E33" s="8" t="s">
        <v>145</v>
      </c>
      <c r="J33" s="3" t="s">
        <v>153</v>
      </c>
      <c r="K33" s="3" t="s">
        <v>84</v>
      </c>
      <c r="L33" s="6" t="s">
        <v>93</v>
      </c>
      <c r="M33" s="5" t="str">
        <f t="shared" si="0"/>
        <v>au lycée "JEAN MACÉ"</v>
      </c>
    </row>
    <row r="34" spans="1:17" ht="21" x14ac:dyDescent="0.2">
      <c r="A34" s="1" t="s">
        <v>261</v>
      </c>
      <c r="E34" s="1" t="s">
        <v>249</v>
      </c>
      <c r="J34" s="3" t="s">
        <v>153</v>
      </c>
      <c r="K34" s="3" t="s">
        <v>84</v>
      </c>
      <c r="L34" s="6" t="s">
        <v>94</v>
      </c>
      <c r="M34" s="5" t="str">
        <f t="shared" si="0"/>
        <v>au lycée "LA VENISE VERTE"</v>
      </c>
    </row>
    <row r="35" spans="1:17" ht="21" x14ac:dyDescent="0.2">
      <c r="A35" s="1" t="s">
        <v>247</v>
      </c>
      <c r="E35" s="1" t="s">
        <v>268</v>
      </c>
      <c r="J35" s="3" t="s">
        <v>153</v>
      </c>
      <c r="K35" s="3" t="s">
        <v>84</v>
      </c>
      <c r="L35" s="6" t="s">
        <v>95</v>
      </c>
      <c r="M35" s="5" t="str">
        <f t="shared" si="0"/>
        <v>au lycée "PAUL GUERIN"</v>
      </c>
      <c r="P35" s="1" t="s">
        <v>485</v>
      </c>
    </row>
    <row r="36" spans="1:17" ht="21" x14ac:dyDescent="0.2">
      <c r="A36" s="1" t="s">
        <v>262</v>
      </c>
      <c r="E36" s="1" t="s">
        <v>265</v>
      </c>
      <c r="J36" s="3" t="s">
        <v>153</v>
      </c>
      <c r="K36" s="3" t="s">
        <v>84</v>
      </c>
      <c r="L36" s="6" t="s">
        <v>96</v>
      </c>
      <c r="M36" s="5" t="str">
        <f t="shared" si="0"/>
        <v>au lycée "THOMAS-JEAN MAIN"</v>
      </c>
      <c r="P36" s="1" t="s">
        <v>486</v>
      </c>
    </row>
    <row r="37" spans="1:17" ht="21" x14ac:dyDescent="0.2">
      <c r="A37" s="1" t="s">
        <v>263</v>
      </c>
      <c r="E37" s="1" t="s">
        <v>266</v>
      </c>
      <c r="J37" s="3" t="s">
        <v>153</v>
      </c>
      <c r="K37" s="3" t="s">
        <v>84</v>
      </c>
      <c r="L37" s="6" t="s">
        <v>97</v>
      </c>
      <c r="M37" s="5" t="str">
        <f t="shared" si="0"/>
        <v>au lycée "ERNEST PÉROCHON"</v>
      </c>
      <c r="P37" s="1" t="s">
        <v>487</v>
      </c>
    </row>
    <row r="38" spans="1:17" ht="21" x14ac:dyDescent="0.2">
      <c r="A38" s="1" t="s">
        <v>447</v>
      </c>
      <c r="E38" s="1" t="s">
        <v>267</v>
      </c>
      <c r="J38" s="3" t="s">
        <v>153</v>
      </c>
      <c r="K38" s="3" t="s">
        <v>84</v>
      </c>
      <c r="L38" s="6" t="s">
        <v>98</v>
      </c>
      <c r="M38" s="5" t="str">
        <f t="shared" si="0"/>
        <v>au lycée "LES GRIPPEAUX"</v>
      </c>
    </row>
    <row r="39" spans="1:17" ht="21" x14ac:dyDescent="0.2">
      <c r="A39" s="1" t="s">
        <v>450</v>
      </c>
      <c r="E39" s="1" t="s">
        <v>296</v>
      </c>
      <c r="J39" s="3" t="s">
        <v>154</v>
      </c>
      <c r="K39" s="3" t="s">
        <v>68</v>
      </c>
      <c r="L39" s="5" t="s">
        <v>99</v>
      </c>
      <c r="M39" s="5" t="str">
        <f t="shared" si="0"/>
        <v>à l' EREA "FRANCOISE DOLTO"</v>
      </c>
    </row>
    <row r="40" spans="1:17" ht="21" x14ac:dyDescent="0.2">
      <c r="E40" s="1" t="s">
        <v>297</v>
      </c>
      <c r="J40" s="3" t="s">
        <v>153</v>
      </c>
      <c r="K40" s="3" t="s">
        <v>84</v>
      </c>
      <c r="L40" s="6" t="s">
        <v>100</v>
      </c>
      <c r="M40" s="5" t="str">
        <f t="shared" si="0"/>
        <v>au lycée "HAUT VAL DE SÈVRE"</v>
      </c>
    </row>
    <row r="41" spans="1:17" ht="21" x14ac:dyDescent="0.2">
      <c r="A41" s="1" t="s">
        <v>287</v>
      </c>
      <c r="E41" s="1" t="s">
        <v>298</v>
      </c>
      <c r="J41" s="3" t="s">
        <v>153</v>
      </c>
      <c r="K41" s="3" t="s">
        <v>84</v>
      </c>
      <c r="L41" s="6" t="s">
        <v>101</v>
      </c>
      <c r="M41" s="5" t="str">
        <f t="shared" si="0"/>
        <v>au lycée "J.MOULIN"(79)</v>
      </c>
      <c r="P41" s="1">
        <v>0.125</v>
      </c>
      <c r="Q41" s="1" t="s">
        <v>247</v>
      </c>
    </row>
    <row r="42" spans="1:17" ht="21" x14ac:dyDescent="0.2">
      <c r="A42" s="1" t="s">
        <v>288</v>
      </c>
      <c r="J42" s="3" t="s">
        <v>153</v>
      </c>
      <c r="K42" s="3" t="s">
        <v>59</v>
      </c>
      <c r="L42" s="6" t="s">
        <v>102</v>
      </c>
      <c r="M42" s="5" t="str">
        <f t="shared" si="0"/>
        <v>au Lycée "DE LA MER ET DU LITTORAL"</v>
      </c>
      <c r="P42" s="1">
        <v>0.15</v>
      </c>
      <c r="Q42" s="1" t="s">
        <v>250</v>
      </c>
    </row>
    <row r="43" spans="1:17" ht="21" x14ac:dyDescent="0.2">
      <c r="A43" s="1" t="s">
        <v>448</v>
      </c>
      <c r="J43" s="3" t="s">
        <v>153</v>
      </c>
      <c r="K43" s="3" t="s">
        <v>59</v>
      </c>
      <c r="L43" s="6" t="s">
        <v>103</v>
      </c>
      <c r="M43" s="5" t="str">
        <f t="shared" si="0"/>
        <v>au Lycée "JEAN HYPPOLITE"</v>
      </c>
      <c r="Q43" s="1" t="s">
        <v>44</v>
      </c>
    </row>
    <row r="44" spans="1:17" ht="21" x14ac:dyDescent="0.2">
      <c r="A44" s="1" t="s">
        <v>449</v>
      </c>
      <c r="J44" s="3" t="s">
        <v>153</v>
      </c>
      <c r="K44" s="3" t="s">
        <v>59</v>
      </c>
      <c r="L44" s="6" t="s">
        <v>104</v>
      </c>
      <c r="M44" s="5" t="str">
        <f t="shared" si="0"/>
        <v>au Lycée "LE RENAUDIN"</v>
      </c>
    </row>
    <row r="45" spans="1:17" ht="21" x14ac:dyDescent="0.2">
      <c r="J45" s="3" t="s">
        <v>153</v>
      </c>
      <c r="K45" s="3" t="s">
        <v>59</v>
      </c>
      <c r="L45" s="6" t="s">
        <v>105</v>
      </c>
      <c r="M45" s="5" t="str">
        <f t="shared" si="0"/>
        <v>au Lycée "JEAN DAUTET"</v>
      </c>
    </row>
    <row r="46" spans="1:17" ht="21" x14ac:dyDescent="0.2">
      <c r="A46" s="1" t="s">
        <v>289</v>
      </c>
      <c r="J46" s="3" t="s">
        <v>153</v>
      </c>
      <c r="K46" s="3" t="s">
        <v>59</v>
      </c>
      <c r="L46" s="6" t="s">
        <v>106</v>
      </c>
      <c r="M46" s="5" t="str">
        <f t="shared" si="0"/>
        <v>au Lycée "LÉONCE VIELJEUX"</v>
      </c>
    </row>
    <row r="47" spans="1:17" ht="42" x14ac:dyDescent="0.2">
      <c r="A47" s="1" t="s">
        <v>290</v>
      </c>
      <c r="J47" s="3" t="s">
        <v>153</v>
      </c>
      <c r="K47" s="3" t="s">
        <v>59</v>
      </c>
      <c r="L47" s="5" t="s">
        <v>107</v>
      </c>
      <c r="M47" s="5" t="str">
        <f t="shared" si="0"/>
        <v>au Lycée "HOTELIER DU PARC DE LA FRANCOPHONIE"</v>
      </c>
    </row>
    <row r="48" spans="1:17" ht="21" x14ac:dyDescent="0.2">
      <c r="A48" s="1" t="s">
        <v>451</v>
      </c>
      <c r="J48" s="3" t="s">
        <v>153</v>
      </c>
      <c r="K48" s="3" t="s">
        <v>59</v>
      </c>
      <c r="L48" s="6" t="s">
        <v>108</v>
      </c>
      <c r="M48" s="5" t="str">
        <f t="shared" si="0"/>
        <v>au Lycée "PIERRE DORIOLE"</v>
      </c>
    </row>
    <row r="49" spans="1:13" ht="21" x14ac:dyDescent="0.2">
      <c r="A49" s="1" t="s">
        <v>452</v>
      </c>
      <c r="J49" s="3" t="s">
        <v>153</v>
      </c>
      <c r="K49" s="3" t="s">
        <v>59</v>
      </c>
      <c r="L49" s="6" t="s">
        <v>109</v>
      </c>
      <c r="M49" s="5" t="str">
        <f t="shared" si="0"/>
        <v>au Lycée "RENÉ-JOSUÉ VALIN"</v>
      </c>
    </row>
    <row r="50" spans="1:13" x14ac:dyDescent="0.2">
      <c r="J50" s="3" t="s">
        <v>153</v>
      </c>
      <c r="K50" s="3" t="s">
        <v>59</v>
      </c>
      <c r="L50" s="6" t="s">
        <v>110</v>
      </c>
      <c r="M50" s="5" t="str">
        <f t="shared" si="0"/>
        <v>au Lycée "ROMPSAY"</v>
      </c>
    </row>
    <row r="51" spans="1:13" ht="31.5" x14ac:dyDescent="0.2">
      <c r="A51" s="1" t="s">
        <v>291</v>
      </c>
      <c r="J51" s="3" t="s">
        <v>153</v>
      </c>
      <c r="K51" s="3" t="s">
        <v>59</v>
      </c>
      <c r="L51" s="6" t="s">
        <v>111</v>
      </c>
      <c r="M51" s="5" t="str">
        <f t="shared" si="0"/>
        <v>au Lycée "ANTOINE DE SAINT EXUPÉRY"</v>
      </c>
    </row>
    <row r="52" spans="1:13" ht="21" x14ac:dyDescent="0.2">
      <c r="A52" s="1" t="s">
        <v>292</v>
      </c>
      <c r="J52" s="3" t="s">
        <v>153</v>
      </c>
      <c r="K52" s="3" t="s">
        <v>59</v>
      </c>
      <c r="L52" s="6" t="s">
        <v>112</v>
      </c>
      <c r="M52" s="5" t="str">
        <f t="shared" si="0"/>
        <v>au Lycée "EMILE COMBES"</v>
      </c>
    </row>
    <row r="53" spans="1:13" ht="21" x14ac:dyDescent="0.2">
      <c r="A53" s="1" t="s">
        <v>453</v>
      </c>
      <c r="J53" s="3" t="s">
        <v>153</v>
      </c>
      <c r="K53" s="3" t="s">
        <v>59</v>
      </c>
      <c r="L53" s="6" t="s">
        <v>113</v>
      </c>
      <c r="M53" s="5" t="str">
        <f t="shared" si="0"/>
        <v>au Lycée "GILLES JAMAIN"</v>
      </c>
    </row>
    <row r="54" spans="1:13" ht="21" x14ac:dyDescent="0.2">
      <c r="A54" s="1" t="s">
        <v>454</v>
      </c>
      <c r="J54" s="3" t="s">
        <v>153</v>
      </c>
      <c r="K54" s="3" t="s">
        <v>59</v>
      </c>
      <c r="L54" s="6" t="s">
        <v>114</v>
      </c>
      <c r="M54" s="5" t="str">
        <f t="shared" si="0"/>
        <v>au Lycée "MARCEL DASSAULT"</v>
      </c>
    </row>
    <row r="55" spans="1:13" ht="31.5" x14ac:dyDescent="0.2">
      <c r="J55" s="3" t="s">
        <v>153</v>
      </c>
      <c r="K55" s="3" t="s">
        <v>59</v>
      </c>
      <c r="L55" s="6" t="s">
        <v>115</v>
      </c>
      <c r="M55" s="5" t="str">
        <f t="shared" si="0"/>
        <v>au Lycée "MAURICE MERLEAU PONTY"</v>
      </c>
    </row>
    <row r="56" spans="1:13" ht="31.5" x14ac:dyDescent="0.2">
      <c r="A56" s="1" t="s">
        <v>294</v>
      </c>
      <c r="J56" s="3" t="s">
        <v>153</v>
      </c>
      <c r="K56" s="3" t="s">
        <v>59</v>
      </c>
      <c r="L56" s="5" t="s">
        <v>116</v>
      </c>
      <c r="M56" s="5" t="str">
        <f t="shared" si="0"/>
        <v>au Lycée de "L'ATLANTIQUE"</v>
      </c>
    </row>
    <row r="57" spans="1:13" x14ac:dyDescent="0.2">
      <c r="A57" s="1" t="s">
        <v>295</v>
      </c>
      <c r="J57" s="3" t="s">
        <v>153</v>
      </c>
      <c r="K57" s="3" t="s">
        <v>59</v>
      </c>
      <c r="L57" s="6" t="s">
        <v>117</v>
      </c>
      <c r="M57" s="5" t="str">
        <f t="shared" si="0"/>
        <v>au Lycée "CORDOUAN"</v>
      </c>
    </row>
    <row r="58" spans="1:13" x14ac:dyDescent="0.2">
      <c r="A58" s="1" t="s">
        <v>461</v>
      </c>
      <c r="J58" s="3" t="s">
        <v>153</v>
      </c>
      <c r="K58" s="3" t="s">
        <v>59</v>
      </c>
      <c r="L58" s="6" t="s">
        <v>118</v>
      </c>
      <c r="M58" s="5" t="str">
        <f t="shared" si="0"/>
        <v>au Lycée "BELLEVUE"</v>
      </c>
    </row>
    <row r="59" spans="1:13" ht="21" x14ac:dyDescent="0.2">
      <c r="A59" s="1" t="s">
        <v>462</v>
      </c>
      <c r="J59" s="3" t="s">
        <v>153</v>
      </c>
      <c r="K59" s="3" t="s">
        <v>59</v>
      </c>
      <c r="L59" s="6" t="s">
        <v>119</v>
      </c>
      <c r="M59" s="5" t="str">
        <f t="shared" si="0"/>
        <v>au Lycée "BERNARD PALISSY"</v>
      </c>
    </row>
    <row r="60" spans="1:13" ht="21" x14ac:dyDescent="0.2">
      <c r="J60" s="3" t="s">
        <v>153</v>
      </c>
      <c r="K60" s="3" t="s">
        <v>59</v>
      </c>
      <c r="L60" s="6" t="s">
        <v>120</v>
      </c>
      <c r="M60" s="5" t="str">
        <f t="shared" si="0"/>
        <v>au Lycée "LE PETIT CHADIGNAC"</v>
      </c>
    </row>
    <row r="61" spans="1:13" ht="21" x14ac:dyDescent="0.2">
      <c r="J61" s="3" t="s">
        <v>154</v>
      </c>
      <c r="K61" s="3" t="s">
        <v>68</v>
      </c>
      <c r="L61" s="5" t="s">
        <v>121</v>
      </c>
      <c r="M61" s="5" t="str">
        <f t="shared" si="0"/>
        <v>à l' EREA "THÉODORE MONOD"</v>
      </c>
    </row>
    <row r="62" spans="1:13" ht="22.5" x14ac:dyDescent="0.2">
      <c r="J62" s="3" t="s">
        <v>153</v>
      </c>
      <c r="K62" s="3" t="s">
        <v>59</v>
      </c>
      <c r="L62" s="7" t="s">
        <v>122</v>
      </c>
      <c r="M62" s="5" t="str">
        <f t="shared" si="0"/>
        <v>au Lycée "BLAISE PASCAL"</v>
      </c>
    </row>
    <row r="63" spans="1:13" ht="31.5" x14ac:dyDescent="0.2">
      <c r="J63" s="3" t="s">
        <v>153</v>
      </c>
      <c r="K63" s="3" t="s">
        <v>59</v>
      </c>
      <c r="L63" s="6" t="s">
        <v>123</v>
      </c>
      <c r="M63" s="5" t="str">
        <f t="shared" si="0"/>
        <v>au Lycée "LOUIS-AUDOUIN DUBREUIL"</v>
      </c>
    </row>
    <row r="64" spans="1:13" ht="21" x14ac:dyDescent="0.2">
      <c r="J64" s="3" t="s">
        <v>153</v>
      </c>
      <c r="K64" s="3" t="s">
        <v>59</v>
      </c>
      <c r="L64" s="5" t="s">
        <v>124</v>
      </c>
      <c r="M64" s="5" t="str">
        <f t="shared" si="0"/>
        <v>au Lycée "ENILIA-ENSMIC"</v>
      </c>
    </row>
    <row r="65" spans="10:13" ht="21" x14ac:dyDescent="0.2">
      <c r="J65" s="3" t="s">
        <v>153</v>
      </c>
      <c r="K65" s="3" t="s">
        <v>59</v>
      </c>
      <c r="L65" s="5" t="s">
        <v>125</v>
      </c>
      <c r="M65" s="5" t="str">
        <f t="shared" si="0"/>
        <v>au Lycée "GEORGES DESCLAUDES"</v>
      </c>
    </row>
    <row r="66" spans="10:13" ht="21" x14ac:dyDescent="0.2">
      <c r="J66" s="3" t="s">
        <v>153</v>
      </c>
      <c r="K66" s="3" t="s">
        <v>59</v>
      </c>
      <c r="L66" s="5" t="s">
        <v>126</v>
      </c>
      <c r="M66" s="5" t="str">
        <f t="shared" si="0"/>
        <v>au Lycée "MARITIME ET ACQUACOLE"</v>
      </c>
    </row>
    <row r="67" spans="10:13" ht="21" x14ac:dyDescent="0.2">
      <c r="J67" s="3" t="s">
        <v>153</v>
      </c>
      <c r="K67" s="3" t="s">
        <v>59</v>
      </c>
      <c r="L67" s="5" t="s">
        <v>127</v>
      </c>
      <c r="M67" s="5" t="str">
        <f t="shared" ref="M67:M128" si="1">J67&amp;" "&amp;K67&amp;" "&amp;L67</f>
        <v>au Lycée "PAYS D'AUNIS"</v>
      </c>
    </row>
    <row r="68" spans="10:13" ht="31.5" x14ac:dyDescent="0.2">
      <c r="J68" s="3" t="s">
        <v>153</v>
      </c>
      <c r="K68" s="3" t="s">
        <v>84</v>
      </c>
      <c r="L68" s="6" t="s">
        <v>128</v>
      </c>
      <c r="M68" s="5" t="str">
        <f t="shared" si="1"/>
        <v>au lycée "CHARLES-AUGUSTIN COULOMB"</v>
      </c>
    </row>
    <row r="69" spans="10:13" ht="21" x14ac:dyDescent="0.2">
      <c r="J69" s="3" t="s">
        <v>153</v>
      </c>
      <c r="K69" s="3" t="s">
        <v>84</v>
      </c>
      <c r="L69" s="6" t="s">
        <v>129</v>
      </c>
      <c r="M69" s="5" t="str">
        <f t="shared" si="1"/>
        <v>au lycée "GUEZ DE BALZAC"</v>
      </c>
    </row>
    <row r="70" spans="10:13" ht="21" x14ac:dyDescent="0.2">
      <c r="J70" s="3" t="s">
        <v>153</v>
      </c>
      <c r="K70" s="3" t="s">
        <v>84</v>
      </c>
      <c r="L70" s="6" t="s">
        <v>130</v>
      </c>
      <c r="M70" s="5" t="str">
        <f t="shared" si="1"/>
        <v>au lycée "DE L'IMAGE ET DU SON"</v>
      </c>
    </row>
    <row r="71" spans="10:13" ht="21" x14ac:dyDescent="0.2">
      <c r="J71" s="3" t="s">
        <v>153</v>
      </c>
      <c r="K71" s="3" t="s">
        <v>84</v>
      </c>
      <c r="L71" s="6" t="s">
        <v>131</v>
      </c>
      <c r="M71" s="5" t="str">
        <f t="shared" si="1"/>
        <v>au lycée "JEAN ROSTAND"</v>
      </c>
    </row>
    <row r="72" spans="10:13" ht="21" x14ac:dyDescent="0.2">
      <c r="J72" s="3" t="s">
        <v>153</v>
      </c>
      <c r="K72" s="3" t="s">
        <v>84</v>
      </c>
      <c r="L72" s="6" t="s">
        <v>132</v>
      </c>
      <c r="M72" s="5" t="str">
        <f t="shared" si="1"/>
        <v>au lycée "MARGUERITE DE VALOIS"</v>
      </c>
    </row>
    <row r="73" spans="10:13" x14ac:dyDescent="0.2">
      <c r="J73" s="3" t="s">
        <v>153</v>
      </c>
      <c r="K73" s="3" t="s">
        <v>84</v>
      </c>
      <c r="L73" s="6" t="s">
        <v>133</v>
      </c>
      <c r="M73" s="5" t="str">
        <f t="shared" si="1"/>
        <v>au lycée "DE SILLAC"</v>
      </c>
    </row>
    <row r="74" spans="10:13" x14ac:dyDescent="0.2">
      <c r="J74" s="3" t="s">
        <v>153</v>
      </c>
      <c r="K74" s="3" t="s">
        <v>84</v>
      </c>
      <c r="L74" s="6" t="s">
        <v>134</v>
      </c>
      <c r="M74" s="5" t="str">
        <f t="shared" si="1"/>
        <v>au lycée "ÉLIE VINET"</v>
      </c>
    </row>
    <row r="75" spans="10:13" ht="21" x14ac:dyDescent="0.2">
      <c r="J75" s="3" t="s">
        <v>153</v>
      </c>
      <c r="K75" s="3" t="s">
        <v>84</v>
      </c>
      <c r="L75" s="6" t="s">
        <v>135</v>
      </c>
      <c r="M75" s="5" t="str">
        <f t="shared" si="1"/>
        <v>au lycée "FÉLIX GAILLARD"</v>
      </c>
    </row>
    <row r="76" spans="10:13" ht="31.5" x14ac:dyDescent="0.2">
      <c r="J76" s="3" t="s">
        <v>153</v>
      </c>
      <c r="K76" s="3" t="s">
        <v>84</v>
      </c>
      <c r="L76" s="6" t="s">
        <v>136</v>
      </c>
      <c r="M76" s="5" t="str">
        <f t="shared" si="1"/>
        <v>au lycée "PIERRE-ANDRÉ CHABANNE"</v>
      </c>
    </row>
    <row r="77" spans="10:13" ht="21" x14ac:dyDescent="0.2">
      <c r="J77" s="3" t="s">
        <v>153</v>
      </c>
      <c r="K77" s="3" t="s">
        <v>84</v>
      </c>
      <c r="L77" s="6" t="s">
        <v>137</v>
      </c>
      <c r="M77" s="5" t="str">
        <f t="shared" si="1"/>
        <v>au lycée "JEAN MONNET"</v>
      </c>
    </row>
    <row r="78" spans="10:13" ht="21" x14ac:dyDescent="0.2">
      <c r="J78" s="3" t="s">
        <v>153</v>
      </c>
      <c r="K78" s="3" t="s">
        <v>84</v>
      </c>
      <c r="L78" s="6" t="s">
        <v>138</v>
      </c>
      <c r="M78" s="5" t="str">
        <f t="shared" si="1"/>
        <v>au lycée "LOUIS DELAGE"</v>
      </c>
    </row>
    <row r="79" spans="10:13" x14ac:dyDescent="0.2">
      <c r="J79" s="3" t="s">
        <v>153</v>
      </c>
      <c r="K79" s="3" t="s">
        <v>84</v>
      </c>
      <c r="L79" s="6" t="s">
        <v>139</v>
      </c>
      <c r="M79" s="5" t="str">
        <f t="shared" si="1"/>
        <v>au lycée "ÉMILE ROUX"</v>
      </c>
    </row>
    <row r="80" spans="10:13" x14ac:dyDescent="0.2">
      <c r="J80" s="3" t="s">
        <v>153</v>
      </c>
      <c r="K80" s="3" t="s">
        <v>84</v>
      </c>
      <c r="L80" s="6" t="s">
        <v>140</v>
      </c>
      <c r="M80" s="5" t="str">
        <f t="shared" si="1"/>
        <v>au lycée "L'OISELLERIE"</v>
      </c>
    </row>
    <row r="81" spans="10:13" ht="21" x14ac:dyDescent="0.2">
      <c r="J81" s="3" t="s">
        <v>154</v>
      </c>
      <c r="K81" s="3" t="s">
        <v>68</v>
      </c>
      <c r="L81" s="5" t="s">
        <v>141</v>
      </c>
      <c r="M81" s="5" t="str">
        <f t="shared" si="1"/>
        <v>à l' EREA "LES CHIRONS"</v>
      </c>
    </row>
    <row r="82" spans="10:13" ht="21" x14ac:dyDescent="0.2">
      <c r="J82" s="3" t="s">
        <v>153</v>
      </c>
      <c r="K82" s="3" t="s">
        <v>84</v>
      </c>
      <c r="L82" s="6" t="s">
        <v>142</v>
      </c>
      <c r="M82" s="5" t="str">
        <f t="shared" si="1"/>
        <v>au lycée "JEAN CAILLAUD"</v>
      </c>
    </row>
    <row r="83" spans="10:13" ht="21" x14ac:dyDescent="0.2">
      <c r="J83" s="3" t="s">
        <v>153</v>
      </c>
      <c r="K83" s="3" t="s">
        <v>84</v>
      </c>
      <c r="L83" s="6" t="s">
        <v>143</v>
      </c>
      <c r="M83" s="5" t="str">
        <f t="shared" si="1"/>
        <v>au lycée "LOUISE MICHEL"</v>
      </c>
    </row>
    <row r="84" spans="10:13" ht="31.5" x14ac:dyDescent="0.2">
      <c r="J84" s="3" t="s">
        <v>153</v>
      </c>
      <c r="K84" s="3" t="s">
        <v>84</v>
      </c>
      <c r="L84" s="6" t="s">
        <v>144</v>
      </c>
      <c r="M84" s="5" t="str">
        <f t="shared" si="1"/>
        <v>au lycée "JEAN-ALBERT GRÉGOIRE"</v>
      </c>
    </row>
    <row r="85" spans="10:13" x14ac:dyDescent="0.2">
      <c r="J85" s="3" t="s">
        <v>153</v>
      </c>
      <c r="K85" s="3" t="s">
        <v>84</v>
      </c>
      <c r="L85" s="4" t="s">
        <v>206</v>
      </c>
      <c r="M85" s="4" t="str">
        <f t="shared" si="1"/>
        <v>au lycée "D'ARSONVAL"</v>
      </c>
    </row>
    <row r="86" spans="10:13" x14ac:dyDescent="0.2">
      <c r="J86" s="3" t="s">
        <v>153</v>
      </c>
      <c r="K86" s="3" t="s">
        <v>84</v>
      </c>
      <c r="L86" s="4" t="s">
        <v>207</v>
      </c>
      <c r="M86" s="4" t="str">
        <f t="shared" si="1"/>
        <v>au lycée "MARCEL BARBENCEYS"</v>
      </c>
    </row>
    <row r="87" spans="10:13" x14ac:dyDescent="0.2">
      <c r="J87" s="3" t="s">
        <v>153</v>
      </c>
      <c r="K87" s="3" t="s">
        <v>84</v>
      </c>
      <c r="L87" s="4" t="s">
        <v>208</v>
      </c>
      <c r="M87" s="4" t="str">
        <f t="shared" si="1"/>
        <v>au lycée "BORT ARTENSE"</v>
      </c>
    </row>
    <row r="88" spans="10:13" x14ac:dyDescent="0.2">
      <c r="J88" s="3" t="s">
        <v>153</v>
      </c>
      <c r="K88" s="3" t="s">
        <v>84</v>
      </c>
      <c r="L88" s="4" t="s">
        <v>209</v>
      </c>
      <c r="M88" s="4" t="str">
        <f t="shared" si="1"/>
        <v>au lycée "GEORGES CABANIS"</v>
      </c>
    </row>
    <row r="89" spans="10:13" x14ac:dyDescent="0.2">
      <c r="J89" s="3" t="s">
        <v>153</v>
      </c>
      <c r="K89" s="3" t="s">
        <v>84</v>
      </c>
      <c r="L89" s="4" t="s">
        <v>210</v>
      </c>
      <c r="M89" s="4" t="str">
        <f t="shared" si="1"/>
        <v>au lycée "PIERRE CARAMINOT"</v>
      </c>
    </row>
    <row r="90" spans="10:13" x14ac:dyDescent="0.2">
      <c r="J90" s="3" t="s">
        <v>153</v>
      </c>
      <c r="K90" s="3" t="s">
        <v>84</v>
      </c>
      <c r="L90" s="4" t="s">
        <v>211</v>
      </c>
      <c r="M90" s="4" t="str">
        <f t="shared" si="1"/>
        <v>au lycée "RENE CASSIN"</v>
      </c>
    </row>
    <row r="91" spans="10:13" x14ac:dyDescent="0.2">
      <c r="J91" s="3" t="s">
        <v>153</v>
      </c>
      <c r="K91" s="3" t="s">
        <v>84</v>
      </c>
      <c r="L91" s="4" t="s">
        <v>212</v>
      </c>
      <c r="M91" s="4" t="str">
        <f t="shared" si="1"/>
        <v>au lycée "DANTON"</v>
      </c>
    </row>
    <row r="92" spans="10:13" x14ac:dyDescent="0.2">
      <c r="J92" s="3" t="s">
        <v>153</v>
      </c>
      <c r="K92" s="3" t="s">
        <v>84</v>
      </c>
      <c r="L92" s="4" t="s">
        <v>213</v>
      </c>
      <c r="M92" s="4" t="str">
        <f t="shared" si="1"/>
        <v>au lycée "LAVOISIER"</v>
      </c>
    </row>
    <row r="93" spans="10:13" x14ac:dyDescent="0.2">
      <c r="J93" s="3" t="s">
        <v>153</v>
      </c>
      <c r="K93" s="3" t="s">
        <v>84</v>
      </c>
      <c r="L93" s="4" t="s">
        <v>214</v>
      </c>
      <c r="M93" s="4" t="str">
        <f t="shared" si="1"/>
        <v>au lycée "DES MILLES SOURCES"</v>
      </c>
    </row>
    <row r="94" spans="10:13" x14ac:dyDescent="0.2">
      <c r="J94" s="3" t="s">
        <v>153</v>
      </c>
      <c r="K94" s="3" t="s">
        <v>84</v>
      </c>
      <c r="L94" s="4" t="s">
        <v>215</v>
      </c>
      <c r="M94" s="4" t="str">
        <f t="shared" si="1"/>
        <v>au lycée "EDMOND PERRIER"</v>
      </c>
    </row>
    <row r="95" spans="10:13" x14ac:dyDescent="0.2">
      <c r="J95" s="3" t="s">
        <v>153</v>
      </c>
      <c r="K95" s="3" t="s">
        <v>84</v>
      </c>
      <c r="L95" s="4" t="s">
        <v>216</v>
      </c>
      <c r="M95" s="4" t="str">
        <f t="shared" si="1"/>
        <v>au lycée "BERNART DE VENTADOUR"</v>
      </c>
    </row>
    <row r="96" spans="10:13" x14ac:dyDescent="0.2">
      <c r="J96" s="3" t="s">
        <v>153</v>
      </c>
      <c r="K96" s="3" t="s">
        <v>84</v>
      </c>
      <c r="L96" s="4" t="s">
        <v>217</v>
      </c>
      <c r="M96" s="4" t="str">
        <f t="shared" si="1"/>
        <v>au lycée "BRIVE-VOUTEZAC"</v>
      </c>
    </row>
    <row r="97" spans="10:13" x14ac:dyDescent="0.2">
      <c r="J97" s="3" t="s">
        <v>153</v>
      </c>
      <c r="K97" s="3" t="s">
        <v>84</v>
      </c>
      <c r="L97" s="4" t="s">
        <v>218</v>
      </c>
      <c r="M97" s="4" t="str">
        <f t="shared" si="1"/>
        <v>au lycée "DE HAUTE CORREZE"</v>
      </c>
    </row>
    <row r="98" spans="10:13" x14ac:dyDescent="0.2">
      <c r="J98" s="3" t="s">
        <v>153</v>
      </c>
      <c r="K98" s="3" t="s">
        <v>84</v>
      </c>
      <c r="L98" s="4" t="s">
        <v>219</v>
      </c>
      <c r="M98" s="4" t="str">
        <f t="shared" si="1"/>
        <v>au lycée "EDGARD PISANI"</v>
      </c>
    </row>
    <row r="99" spans="10:13" x14ac:dyDescent="0.2">
      <c r="J99" s="3" t="s">
        <v>153</v>
      </c>
      <c r="K99" s="3" t="s">
        <v>84</v>
      </c>
      <c r="L99" s="4" t="s">
        <v>220</v>
      </c>
      <c r="M99" s="4" t="str">
        <f t="shared" si="1"/>
        <v>au lycée "PIERRE BOURDAN"</v>
      </c>
    </row>
    <row r="100" spans="10:13" x14ac:dyDescent="0.2">
      <c r="J100" s="3" t="s">
        <v>153</v>
      </c>
      <c r="K100" s="3" t="s">
        <v>84</v>
      </c>
      <c r="L100" s="4" t="s">
        <v>221</v>
      </c>
      <c r="M100" s="4" t="str">
        <f t="shared" si="1"/>
        <v>au lycée "JEAN FAVARD"</v>
      </c>
    </row>
    <row r="101" spans="10:13" x14ac:dyDescent="0.2">
      <c r="J101" s="3" t="s">
        <v>153</v>
      </c>
      <c r="K101" s="3" t="s">
        <v>84</v>
      </c>
      <c r="L101" s="4" t="s">
        <v>222</v>
      </c>
      <c r="M101" s="4" t="str">
        <f t="shared" si="1"/>
        <v>au lycée "DES METIERS ET DU BATIMENT DE FELLETIN"</v>
      </c>
    </row>
    <row r="102" spans="10:13" x14ac:dyDescent="0.2">
      <c r="J102" s="3" t="s">
        <v>153</v>
      </c>
      <c r="K102" s="3" t="s">
        <v>84</v>
      </c>
      <c r="L102" s="4" t="s">
        <v>223</v>
      </c>
      <c r="M102" s="4" t="str">
        <f t="shared" si="1"/>
        <v>au lycée "DELHPINE GAY"</v>
      </c>
    </row>
    <row r="103" spans="10:13" x14ac:dyDescent="0.2">
      <c r="J103" s="3" t="s">
        <v>153</v>
      </c>
      <c r="K103" s="3" t="s">
        <v>84</v>
      </c>
      <c r="L103" s="4" t="s">
        <v>224</v>
      </c>
      <c r="M103" s="4" t="str">
        <f t="shared" si="1"/>
        <v>au lycée "EUGENE JAMOT"</v>
      </c>
    </row>
    <row r="104" spans="10:13" x14ac:dyDescent="0.2">
      <c r="J104" s="3" t="s">
        <v>153</v>
      </c>
      <c r="K104" s="3" t="s">
        <v>84</v>
      </c>
      <c r="L104" s="4" t="s">
        <v>225</v>
      </c>
      <c r="M104" s="4" t="str">
        <f t="shared" si="1"/>
        <v>au lycée "JEAN JAURES"</v>
      </c>
    </row>
    <row r="105" spans="10:13" x14ac:dyDescent="0.2">
      <c r="J105" s="3" t="s">
        <v>153</v>
      </c>
      <c r="K105" s="3" t="s">
        <v>84</v>
      </c>
      <c r="L105" s="4" t="s">
        <v>226</v>
      </c>
      <c r="M105" s="4" t="str">
        <f t="shared" si="1"/>
        <v>au lycée "RAYMOND LOEWY"</v>
      </c>
    </row>
    <row r="106" spans="10:13" x14ac:dyDescent="0.2">
      <c r="J106" s="3" t="s">
        <v>153</v>
      </c>
      <c r="K106" s="3" t="s">
        <v>84</v>
      </c>
      <c r="L106" s="4" t="s">
        <v>227</v>
      </c>
      <c r="M106" s="4" t="str">
        <f t="shared" si="1"/>
        <v>au lycée "GASTON ROUSSILAT"</v>
      </c>
    </row>
    <row r="107" spans="10:13" x14ac:dyDescent="0.2">
      <c r="J107" s="3" t="s">
        <v>153</v>
      </c>
      <c r="K107" s="3" t="s">
        <v>84</v>
      </c>
      <c r="L107" s="4" t="s">
        <v>228</v>
      </c>
      <c r="M107" s="4" t="str">
        <f t="shared" si="1"/>
        <v>au lycée "D'AHUN"</v>
      </c>
    </row>
    <row r="108" spans="10:13" x14ac:dyDescent="0.2">
      <c r="J108" s="3" t="s">
        <v>153</v>
      </c>
      <c r="K108" s="3" t="s">
        <v>84</v>
      </c>
      <c r="L108" s="4" t="s">
        <v>229</v>
      </c>
      <c r="M108" s="4" t="str">
        <f t="shared" si="1"/>
        <v>au lycée "MARYSE BASTIE"</v>
      </c>
    </row>
    <row r="109" spans="10:13" x14ac:dyDescent="0.2">
      <c r="J109" s="3" t="s">
        <v>153</v>
      </c>
      <c r="K109" s="3" t="s">
        <v>84</v>
      </c>
      <c r="L109" s="4" t="s">
        <v>230</v>
      </c>
      <c r="M109" s="4" t="str">
        <f t="shared" si="1"/>
        <v>au lycée "BAPTISTE DARNET"</v>
      </c>
    </row>
    <row r="110" spans="10:13" x14ac:dyDescent="0.2">
      <c r="J110" s="3" t="s">
        <v>153</v>
      </c>
      <c r="K110" s="3" t="s">
        <v>84</v>
      </c>
      <c r="L110" s="4" t="s">
        <v>231</v>
      </c>
      <c r="M110" s="4" t="str">
        <f t="shared" si="1"/>
        <v>au lycée "DAUTRY"</v>
      </c>
    </row>
    <row r="111" spans="10:13" x14ac:dyDescent="0.2">
      <c r="J111" s="3" t="s">
        <v>153</v>
      </c>
      <c r="K111" s="3" t="s">
        <v>84</v>
      </c>
      <c r="L111" s="4" t="s">
        <v>232</v>
      </c>
      <c r="M111" s="4" t="str">
        <f t="shared" si="1"/>
        <v>au lycée "PAUL EUARD"</v>
      </c>
    </row>
    <row r="112" spans="10:13" x14ac:dyDescent="0.2">
      <c r="J112" s="3" t="s">
        <v>153</v>
      </c>
      <c r="K112" s="3" t="s">
        <v>84</v>
      </c>
      <c r="L112" s="4" t="s">
        <v>233</v>
      </c>
      <c r="M112" s="4" t="str">
        <f t="shared" si="1"/>
        <v>au lycée "GAY LUSSAC"</v>
      </c>
    </row>
    <row r="113" spans="10:13" x14ac:dyDescent="0.2">
      <c r="J113" s="3" t="s">
        <v>153</v>
      </c>
      <c r="K113" s="3" t="s">
        <v>84</v>
      </c>
      <c r="L113" s="4" t="s">
        <v>234</v>
      </c>
      <c r="M113" s="4" t="str">
        <f t="shared" si="1"/>
        <v>au lycée "JEAN GIRAUOUX"</v>
      </c>
    </row>
    <row r="114" spans="10:13" x14ac:dyDescent="0.2">
      <c r="J114" s="3" t="s">
        <v>153</v>
      </c>
      <c r="K114" s="3" t="s">
        <v>84</v>
      </c>
      <c r="L114" s="4" t="s">
        <v>235</v>
      </c>
      <c r="M114" s="4" t="str">
        <f t="shared" si="1"/>
        <v>au lycée "LEONARD LIMOSIN"</v>
      </c>
    </row>
    <row r="115" spans="10:13" x14ac:dyDescent="0.2">
      <c r="J115" s="3" t="s">
        <v>153</v>
      </c>
      <c r="K115" s="3" t="s">
        <v>84</v>
      </c>
      <c r="L115" s="4" t="s">
        <v>236</v>
      </c>
      <c r="M115" s="4" t="str">
        <f t="shared" si="1"/>
        <v>au lycée "LE MAS JAMBOST"</v>
      </c>
    </row>
    <row r="116" spans="10:13" x14ac:dyDescent="0.2">
      <c r="J116" s="3" t="s">
        <v>153</v>
      </c>
      <c r="K116" s="3" t="s">
        <v>84</v>
      </c>
      <c r="L116" s="4" t="s">
        <v>137</v>
      </c>
      <c r="M116" s="4" t="str">
        <f t="shared" si="1"/>
        <v>au lycée "JEAN MONNET"</v>
      </c>
    </row>
    <row r="117" spans="10:13" x14ac:dyDescent="0.2">
      <c r="J117" s="3" t="s">
        <v>153</v>
      </c>
      <c r="K117" s="3" t="s">
        <v>84</v>
      </c>
      <c r="L117" s="4" t="s">
        <v>237</v>
      </c>
      <c r="M117" s="4" t="str">
        <f t="shared" si="1"/>
        <v>au lycée "MARTIN NADAUD"</v>
      </c>
    </row>
    <row r="118" spans="10:13" x14ac:dyDescent="0.2">
      <c r="J118" s="3" t="s">
        <v>153</v>
      </c>
      <c r="K118" s="3" t="s">
        <v>84</v>
      </c>
      <c r="L118" s="4" t="s">
        <v>238</v>
      </c>
      <c r="M118" s="4" t="str">
        <f t="shared" si="1"/>
        <v>au lycée "MARCEL PAGNOL"</v>
      </c>
    </row>
    <row r="119" spans="10:13" x14ac:dyDescent="0.2">
      <c r="J119" s="3" t="s">
        <v>153</v>
      </c>
      <c r="K119" s="3" t="s">
        <v>84</v>
      </c>
      <c r="L119" s="4" t="s">
        <v>119</v>
      </c>
      <c r="M119" s="4" t="str">
        <f t="shared" si="1"/>
        <v>au lycée "BERNARD PALISSY"</v>
      </c>
    </row>
    <row r="120" spans="10:13" x14ac:dyDescent="0.2">
      <c r="J120" s="3" t="s">
        <v>153</v>
      </c>
      <c r="K120" s="3" t="s">
        <v>84</v>
      </c>
      <c r="L120" s="4" t="s">
        <v>239</v>
      </c>
      <c r="M120" s="4" t="str">
        <f t="shared" si="1"/>
        <v>au lycée "AUGUSTE RENOIR"</v>
      </c>
    </row>
    <row r="121" spans="10:13" x14ac:dyDescent="0.2">
      <c r="J121" s="3" t="s">
        <v>153</v>
      </c>
      <c r="K121" s="3" t="s">
        <v>84</v>
      </c>
      <c r="L121" s="4" t="s">
        <v>111</v>
      </c>
      <c r="M121" s="4" t="str">
        <f t="shared" si="1"/>
        <v>au lycée "ANTOINE DE SAINT EXUPÉRY"</v>
      </c>
    </row>
    <row r="122" spans="10:13" x14ac:dyDescent="0.2">
      <c r="J122" s="3" t="s">
        <v>153</v>
      </c>
      <c r="K122" s="3" t="s">
        <v>84</v>
      </c>
      <c r="L122" s="4" t="s">
        <v>240</v>
      </c>
      <c r="M122" s="4" t="str">
        <f t="shared" si="1"/>
        <v>au lycée "GEORGES SAND"</v>
      </c>
    </row>
    <row r="123" spans="10:13" x14ac:dyDescent="0.2">
      <c r="J123" s="3" t="s">
        <v>153</v>
      </c>
      <c r="K123" s="3" t="s">
        <v>84</v>
      </c>
      <c r="L123" s="4" t="s">
        <v>241</v>
      </c>
      <c r="M123" s="4" t="str">
        <f t="shared" si="1"/>
        <v>au lycée "TURGOT"</v>
      </c>
    </row>
    <row r="124" spans="10:13" x14ac:dyDescent="0.2">
      <c r="J124" s="3" t="s">
        <v>153</v>
      </c>
      <c r="K124" s="3" t="s">
        <v>84</v>
      </c>
      <c r="L124" s="4" t="s">
        <v>242</v>
      </c>
      <c r="M124" s="4" t="str">
        <f t="shared" si="1"/>
        <v>au lycée "EDOUARD VAILLANT"</v>
      </c>
    </row>
    <row r="125" spans="10:13" x14ac:dyDescent="0.2">
      <c r="J125" s="3" t="s">
        <v>153</v>
      </c>
      <c r="K125" s="3" t="s">
        <v>84</v>
      </c>
      <c r="L125" s="4" t="s">
        <v>243</v>
      </c>
      <c r="M125" s="4" t="str">
        <f t="shared" si="1"/>
        <v>au lycée "SUZANNE VALANDON"</v>
      </c>
    </row>
    <row r="126" spans="10:13" x14ac:dyDescent="0.2">
      <c r="J126" s="3" t="s">
        <v>153</v>
      </c>
      <c r="K126" s="3" t="s">
        <v>84</v>
      </c>
      <c r="L126" s="4" t="s">
        <v>244</v>
      </c>
      <c r="M126" s="4" t="str">
        <f t="shared" si="1"/>
        <v>au lycée "DE SAINT YRIEZIX DE LA PERCHE"</v>
      </c>
    </row>
    <row r="127" spans="10:13" x14ac:dyDescent="0.2">
      <c r="J127" s="3" t="s">
        <v>153</v>
      </c>
      <c r="K127" s="3" t="s">
        <v>84</v>
      </c>
      <c r="L127" s="4" t="s">
        <v>245</v>
      </c>
      <c r="M127" s="4" t="str">
        <f t="shared" si="1"/>
        <v>au lycée "DE LIMOGES ET DU NORD HAUTE VIENNE" (MAGNAC LAVAL")</v>
      </c>
    </row>
    <row r="128" spans="10:13" x14ac:dyDescent="0.2">
      <c r="J128" s="3" t="s">
        <v>153</v>
      </c>
      <c r="K128" s="3" t="s">
        <v>84</v>
      </c>
      <c r="L128" s="4" t="s">
        <v>246</v>
      </c>
      <c r="M128" s="4" t="str">
        <f t="shared" si="1"/>
        <v>au lycée "DE LIMOGES ET DU NORD HAUTE VIENNE" (LES VASEIX")</v>
      </c>
    </row>
  </sheetData>
  <sheetProtection algorithmName="SHA-512" hashValue="M+eZOWiC+y5HGBWhd2uAxrdOBLTQMZlCL1TNHAGFTnEj6Jk0dYXT2/EF+HXSTkkbbWMBhpLPQ7Frr1Ij7U+kDA==" saltValue="nW7OM+7CnGvStDet2nYbEA==" spinCount="100000" sheet="1" objects="1" scenarios="1"/>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E148:H368"/>
  <sheetViews>
    <sheetView showGridLines="0" workbookViewId="0">
      <selection activeCell="E9" sqref="E9"/>
    </sheetView>
  </sheetViews>
  <sheetFormatPr baseColWidth="10" defaultRowHeight="15" x14ac:dyDescent="0.25"/>
  <sheetData>
    <row r="148" spans="6:7" x14ac:dyDescent="0.25">
      <c r="F148">
        <v>0</v>
      </c>
      <c r="G148">
        <v>0</v>
      </c>
    </row>
    <row r="149" spans="6:7" x14ac:dyDescent="0.25">
      <c r="F149">
        <v>0</v>
      </c>
      <c r="G149">
        <v>0</v>
      </c>
    </row>
    <row r="150" spans="6:7" x14ac:dyDescent="0.25">
      <c r="F150">
        <v>0</v>
      </c>
      <c r="G150">
        <v>0</v>
      </c>
    </row>
    <row r="151" spans="6:7" x14ac:dyDescent="0.25">
      <c r="F151">
        <v>0</v>
      </c>
      <c r="G151">
        <v>0</v>
      </c>
    </row>
    <row r="152" spans="6:7" x14ac:dyDescent="0.25">
      <c r="F152">
        <v>0</v>
      </c>
      <c r="G152">
        <v>0</v>
      </c>
    </row>
    <row r="153" spans="6:7" x14ac:dyDescent="0.25">
      <c r="F153">
        <v>0</v>
      </c>
      <c r="G153">
        <v>0</v>
      </c>
    </row>
    <row r="154" spans="6:7" x14ac:dyDescent="0.25">
      <c r="F154">
        <v>0</v>
      </c>
      <c r="G154">
        <v>0</v>
      </c>
    </row>
    <row r="155" spans="6:7" x14ac:dyDescent="0.25">
      <c r="F155">
        <v>0</v>
      </c>
      <c r="G155">
        <v>0</v>
      </c>
    </row>
    <row r="156" spans="6:7" x14ac:dyDescent="0.25">
      <c r="F156">
        <v>0</v>
      </c>
      <c r="G156">
        <v>0</v>
      </c>
    </row>
    <row r="157" spans="6:7" x14ac:dyDescent="0.25">
      <c r="F157">
        <v>0</v>
      </c>
      <c r="G157">
        <v>0</v>
      </c>
    </row>
    <row r="160" spans="6:7" x14ac:dyDescent="0.25">
      <c r="F160">
        <v>0</v>
      </c>
      <c r="G160">
        <v>0</v>
      </c>
    </row>
    <row r="170" spans="6:7" x14ac:dyDescent="0.25">
      <c r="F170">
        <v>0</v>
      </c>
      <c r="G170">
        <v>0</v>
      </c>
    </row>
    <row r="171" spans="6:7" x14ac:dyDescent="0.25">
      <c r="F171">
        <v>0</v>
      </c>
      <c r="G171">
        <v>0</v>
      </c>
    </row>
    <row r="172" spans="6:7" x14ac:dyDescent="0.25">
      <c r="F172">
        <v>0</v>
      </c>
      <c r="G172">
        <v>0</v>
      </c>
    </row>
    <row r="173" spans="6:7" x14ac:dyDescent="0.25">
      <c r="F173">
        <v>0</v>
      </c>
      <c r="G173">
        <v>0</v>
      </c>
    </row>
    <row r="174" spans="6:7" x14ac:dyDescent="0.25">
      <c r="F174">
        <v>0</v>
      </c>
      <c r="G174">
        <v>0</v>
      </c>
    </row>
    <row r="175" spans="6:7" x14ac:dyDescent="0.25">
      <c r="F175">
        <v>0</v>
      </c>
      <c r="G175">
        <v>0</v>
      </c>
    </row>
    <row r="176" spans="6:7" x14ac:dyDescent="0.25">
      <c r="F176">
        <v>0</v>
      </c>
      <c r="G176">
        <v>0</v>
      </c>
    </row>
    <row r="177" spans="6:7" x14ac:dyDescent="0.25">
      <c r="F177">
        <v>0</v>
      </c>
      <c r="G177">
        <v>0</v>
      </c>
    </row>
    <row r="178" spans="6:7" x14ac:dyDescent="0.25">
      <c r="F178">
        <v>0</v>
      </c>
      <c r="G178">
        <v>0</v>
      </c>
    </row>
    <row r="179" spans="6:7" x14ac:dyDescent="0.25">
      <c r="F179">
        <v>0</v>
      </c>
      <c r="G179">
        <v>0</v>
      </c>
    </row>
    <row r="182" spans="6:7" x14ac:dyDescent="0.25">
      <c r="F182">
        <v>0</v>
      </c>
      <c r="G182">
        <v>0</v>
      </c>
    </row>
    <row r="207" spans="7:7" x14ac:dyDescent="0.25">
      <c r="G207">
        <v>0</v>
      </c>
    </row>
    <row r="208" spans="7:7" x14ac:dyDescent="0.25">
      <c r="G208">
        <v>0</v>
      </c>
    </row>
    <row r="242" spans="7:7" x14ac:dyDescent="0.25">
      <c r="G242">
        <v>0</v>
      </c>
    </row>
    <row r="243" spans="7:7" x14ac:dyDescent="0.25">
      <c r="G243">
        <v>0</v>
      </c>
    </row>
    <row r="249" spans="7:7" x14ac:dyDescent="0.25">
      <c r="G249">
        <v>0</v>
      </c>
    </row>
    <row r="250" spans="7:7" x14ac:dyDescent="0.25">
      <c r="G250">
        <v>0</v>
      </c>
    </row>
    <row r="365" spans="5:8" x14ac:dyDescent="0.25">
      <c r="E365">
        <v>38750</v>
      </c>
      <c r="H365">
        <v>3600</v>
      </c>
    </row>
    <row r="366" spans="5:8" x14ac:dyDescent="0.25">
      <c r="E366">
        <v>38750</v>
      </c>
      <c r="H366">
        <v>3600</v>
      </c>
    </row>
    <row r="367" spans="5:8" x14ac:dyDescent="0.25">
      <c r="E367">
        <v>38750</v>
      </c>
      <c r="H367">
        <v>3600</v>
      </c>
    </row>
    <row r="368" spans="5:8" x14ac:dyDescent="0.25">
      <c r="E368">
        <v>38750</v>
      </c>
      <c r="H368">
        <v>3600</v>
      </c>
    </row>
  </sheetData>
  <sheetProtection algorithmName="SHA-512" hashValue="KLc5YSb1Z+U3hEU7764fLry1vAxedwb6rADZiNTYieDVMrEPBvlJtgSI6qaTc61Ks3mPanZBK7HTOHr1ODWg+A==" saltValue="K5a2yY8CKkoZtB9LiNgneQ==" spinCount="100000" sheet="1" objects="1" scenarios="1"/>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7030A0"/>
  </sheetPr>
  <dimension ref="A1:N113"/>
  <sheetViews>
    <sheetView tabSelected="1" zoomScale="110" zoomScaleNormal="110" workbookViewId="0">
      <selection activeCell="I64" sqref="I64"/>
    </sheetView>
  </sheetViews>
  <sheetFormatPr baseColWidth="10" defaultRowHeight="15" x14ac:dyDescent="0.25"/>
  <cols>
    <col min="1" max="1" width="11.42578125" style="71"/>
    <col min="2" max="2" width="13" style="71" customWidth="1"/>
    <col min="3" max="3" width="12" style="71" customWidth="1"/>
    <col min="4" max="16384" width="11.42578125" style="71"/>
  </cols>
  <sheetData>
    <row r="1" spans="1:11" x14ac:dyDescent="0.25">
      <c r="A1" s="470" t="s">
        <v>270</v>
      </c>
      <c r="B1" s="470"/>
      <c r="C1" s="470"/>
      <c r="D1" s="470"/>
      <c r="E1" s="470"/>
      <c r="F1" s="470"/>
      <c r="G1" s="470"/>
      <c r="H1" s="470"/>
      <c r="I1" s="470"/>
      <c r="J1" s="470"/>
      <c r="K1" s="470"/>
    </row>
    <row r="3" spans="1:11" x14ac:dyDescent="0.25">
      <c r="A3" s="71" t="s">
        <v>271</v>
      </c>
    </row>
    <row r="4" spans="1:11" x14ac:dyDescent="0.25">
      <c r="A4" s="125" t="s">
        <v>272</v>
      </c>
    </row>
    <row r="6" spans="1:11" x14ac:dyDescent="0.25">
      <c r="A6" s="71" t="s">
        <v>273</v>
      </c>
    </row>
    <row r="7" spans="1:11" x14ac:dyDescent="0.25">
      <c r="A7" s="71" t="s">
        <v>274</v>
      </c>
    </row>
    <row r="8" spans="1:11" x14ac:dyDescent="0.25">
      <c r="A8" s="71" t="s">
        <v>275</v>
      </c>
    </row>
    <row r="9" spans="1:11" x14ac:dyDescent="0.25">
      <c r="A9" s="71" t="s">
        <v>276</v>
      </c>
    </row>
    <row r="10" spans="1:11" ht="18.75" x14ac:dyDescent="0.25">
      <c r="B10" s="391" t="s">
        <v>278</v>
      </c>
      <c r="C10" s="100"/>
      <c r="D10" s="391" t="s">
        <v>277</v>
      </c>
    </row>
    <row r="11" spans="1:11" ht="18.75" x14ac:dyDescent="0.25">
      <c r="B11" s="391" t="s">
        <v>278</v>
      </c>
      <c r="C11" s="14"/>
      <c r="D11" s="391" t="s">
        <v>279</v>
      </c>
    </row>
    <row r="13" spans="1:11" x14ac:dyDescent="0.25">
      <c r="A13" s="71" t="s">
        <v>537</v>
      </c>
    </row>
    <row r="15" spans="1:11" x14ac:dyDescent="0.25">
      <c r="A15" s="71" t="s">
        <v>565</v>
      </c>
    </row>
    <row r="16" spans="1:11" x14ac:dyDescent="0.25">
      <c r="A16" s="71" t="s">
        <v>566</v>
      </c>
    </row>
    <row r="19" spans="1:3" x14ac:dyDescent="0.25">
      <c r="A19" s="126" t="s">
        <v>538</v>
      </c>
      <c r="B19" s="126"/>
      <c r="C19" s="126"/>
    </row>
    <row r="21" spans="1:3" x14ac:dyDescent="0.25">
      <c r="A21" s="71" t="s">
        <v>539</v>
      </c>
    </row>
    <row r="22" spans="1:3" x14ac:dyDescent="0.25">
      <c r="A22" s="71" t="s">
        <v>540</v>
      </c>
    </row>
    <row r="23" spans="1:3" x14ac:dyDescent="0.25">
      <c r="A23" s="71" t="s">
        <v>541</v>
      </c>
    </row>
    <row r="24" spans="1:3" x14ac:dyDescent="0.25">
      <c r="A24" s="71" t="s">
        <v>543</v>
      </c>
      <c r="B24" s="71" t="s">
        <v>542</v>
      </c>
    </row>
    <row r="25" spans="1:3" x14ac:dyDescent="0.25">
      <c r="A25" s="71" t="s">
        <v>544</v>
      </c>
      <c r="B25" s="71" t="s">
        <v>545</v>
      </c>
    </row>
    <row r="26" spans="1:3" x14ac:dyDescent="0.25">
      <c r="B26" s="71" t="s">
        <v>546</v>
      </c>
    </row>
    <row r="27" spans="1:3" x14ac:dyDescent="0.25">
      <c r="A27" s="71" t="s">
        <v>547</v>
      </c>
      <c r="B27" s="71" t="s">
        <v>548</v>
      </c>
    </row>
    <row r="28" spans="1:3" x14ac:dyDescent="0.25">
      <c r="A28" s="71" t="s">
        <v>550</v>
      </c>
      <c r="B28" s="71" t="s">
        <v>549</v>
      </c>
    </row>
    <row r="29" spans="1:3" x14ac:dyDescent="0.25">
      <c r="A29" s="71" t="s">
        <v>551</v>
      </c>
      <c r="B29" s="71" t="s">
        <v>552</v>
      </c>
    </row>
    <row r="30" spans="1:3" x14ac:dyDescent="0.25">
      <c r="A30" s="71" t="s">
        <v>553</v>
      </c>
      <c r="C30" s="71" t="s">
        <v>554</v>
      </c>
    </row>
    <row r="32" spans="1:3" x14ac:dyDescent="0.25">
      <c r="A32" s="71" t="s">
        <v>555</v>
      </c>
    </row>
    <row r="33" spans="1:1" x14ac:dyDescent="0.25">
      <c r="A33" s="71" t="s">
        <v>557</v>
      </c>
    </row>
    <row r="34" spans="1:1" x14ac:dyDescent="0.25">
      <c r="A34" s="71" t="s">
        <v>556</v>
      </c>
    </row>
    <row r="35" spans="1:1" x14ac:dyDescent="0.25">
      <c r="A35" s="71" t="s">
        <v>558</v>
      </c>
    </row>
    <row r="36" spans="1:1" x14ac:dyDescent="0.25">
      <c r="A36" s="71" t="s">
        <v>559</v>
      </c>
    </row>
    <row r="38" spans="1:1" x14ac:dyDescent="0.25">
      <c r="A38" s="71" t="s">
        <v>560</v>
      </c>
    </row>
    <row r="39" spans="1:1" x14ac:dyDescent="0.25">
      <c r="A39" s="71" t="s">
        <v>561</v>
      </c>
    </row>
    <row r="40" spans="1:1" x14ac:dyDescent="0.25">
      <c r="A40" s="71" t="s">
        <v>562</v>
      </c>
    </row>
    <row r="43" spans="1:1" x14ac:dyDescent="0.25">
      <c r="A43" s="71" t="s">
        <v>280</v>
      </c>
    </row>
    <row r="65" spans="1:1" x14ac:dyDescent="0.25">
      <c r="A65" s="392" t="s">
        <v>563</v>
      </c>
    </row>
    <row r="66" spans="1:1" x14ac:dyDescent="0.25">
      <c r="A66" s="71" t="s">
        <v>564</v>
      </c>
    </row>
    <row r="67" spans="1:1" x14ac:dyDescent="0.25">
      <c r="A67" s="71" t="s">
        <v>568</v>
      </c>
    </row>
    <row r="68" spans="1:1" x14ac:dyDescent="0.25">
      <c r="A68" s="71" t="s">
        <v>567</v>
      </c>
    </row>
    <row r="69" spans="1:1" x14ac:dyDescent="0.25">
      <c r="A69" s="71" t="s">
        <v>569</v>
      </c>
    </row>
    <row r="70" spans="1:1" x14ac:dyDescent="0.25">
      <c r="A70" s="71" t="s">
        <v>570</v>
      </c>
    </row>
    <row r="71" spans="1:1" x14ac:dyDescent="0.25">
      <c r="A71" s="71" t="s">
        <v>571</v>
      </c>
    </row>
    <row r="73" spans="1:1" x14ac:dyDescent="0.25">
      <c r="A73" s="392" t="s">
        <v>572</v>
      </c>
    </row>
    <row r="74" spans="1:1" x14ac:dyDescent="0.25">
      <c r="A74" s="71" t="s">
        <v>573</v>
      </c>
    </row>
    <row r="75" spans="1:1" x14ac:dyDescent="0.25">
      <c r="A75" s="71" t="s">
        <v>574</v>
      </c>
    </row>
    <row r="82" spans="1:14" x14ac:dyDescent="0.25">
      <c r="A82" s="392" t="s">
        <v>575</v>
      </c>
    </row>
    <row r="83" spans="1:14" x14ac:dyDescent="0.25">
      <c r="A83" s="71" t="s">
        <v>576</v>
      </c>
    </row>
    <row r="84" spans="1:14" ht="30.75" customHeight="1" x14ac:dyDescent="0.25">
      <c r="A84" s="471" t="s">
        <v>577</v>
      </c>
      <c r="B84" s="471"/>
      <c r="C84" s="471"/>
      <c r="D84" s="471"/>
      <c r="E84" s="471"/>
      <c r="F84" s="471"/>
      <c r="G84" s="471"/>
      <c r="H84" s="471"/>
      <c r="I84" s="471"/>
      <c r="J84" s="471"/>
      <c r="K84" s="471"/>
      <c r="L84" s="471"/>
      <c r="M84" s="471"/>
      <c r="N84" s="471"/>
    </row>
    <row r="85" spans="1:14" ht="26.25" customHeight="1" x14ac:dyDescent="0.25">
      <c r="A85" s="471" t="s">
        <v>578</v>
      </c>
      <c r="B85" s="471"/>
      <c r="C85" s="471"/>
      <c r="D85" s="471"/>
      <c r="E85" s="471"/>
      <c r="F85" s="471"/>
      <c r="G85" s="471"/>
      <c r="H85" s="471"/>
      <c r="I85" s="471"/>
      <c r="J85" s="471"/>
      <c r="K85" s="471"/>
      <c r="L85" s="471"/>
      <c r="M85" s="471"/>
    </row>
    <row r="87" spans="1:14" x14ac:dyDescent="0.25">
      <c r="A87" s="392" t="s">
        <v>579</v>
      </c>
    </row>
    <row r="88" spans="1:14" x14ac:dyDescent="0.25">
      <c r="A88" s="71" t="s">
        <v>580</v>
      </c>
    </row>
    <row r="89" spans="1:14" x14ac:dyDescent="0.25">
      <c r="A89" s="71" t="s">
        <v>581</v>
      </c>
    </row>
    <row r="90" spans="1:14" x14ac:dyDescent="0.25">
      <c r="A90" s="472" t="s">
        <v>582</v>
      </c>
      <c r="B90" s="472"/>
      <c r="C90" s="472"/>
      <c r="D90" s="472"/>
      <c r="E90" s="472"/>
      <c r="F90" s="472"/>
      <c r="G90" s="472"/>
      <c r="H90" s="472"/>
      <c r="I90" s="472"/>
      <c r="J90" s="472"/>
      <c r="K90" s="472"/>
      <c r="L90" s="472"/>
      <c r="M90" s="472"/>
    </row>
    <row r="91" spans="1:14" x14ac:dyDescent="0.25">
      <c r="A91" s="472"/>
      <c r="B91" s="472"/>
      <c r="C91" s="472"/>
      <c r="D91" s="472"/>
      <c r="E91" s="472"/>
      <c r="F91" s="472"/>
      <c r="G91" s="472"/>
      <c r="H91" s="472"/>
      <c r="I91" s="472"/>
      <c r="J91" s="472"/>
      <c r="K91" s="472"/>
      <c r="L91" s="472"/>
      <c r="M91" s="472"/>
    </row>
    <row r="93" spans="1:14" x14ac:dyDescent="0.25">
      <c r="A93" s="392" t="s">
        <v>583</v>
      </c>
    </row>
    <row r="94" spans="1:14" x14ac:dyDescent="0.25">
      <c r="A94" s="71" t="s">
        <v>584</v>
      </c>
    </row>
    <row r="95" spans="1:14" x14ac:dyDescent="0.25">
      <c r="A95" s="71" t="s">
        <v>585</v>
      </c>
    </row>
    <row r="105" spans="1:1" x14ac:dyDescent="0.25">
      <c r="A105" s="71" t="s">
        <v>586</v>
      </c>
    </row>
    <row r="106" spans="1:1" x14ac:dyDescent="0.25">
      <c r="A106" s="71" t="s">
        <v>587</v>
      </c>
    </row>
    <row r="107" spans="1:1" x14ac:dyDescent="0.25">
      <c r="A107" s="71" t="s">
        <v>588</v>
      </c>
    </row>
    <row r="109" spans="1:1" x14ac:dyDescent="0.25">
      <c r="A109" s="392" t="s">
        <v>589</v>
      </c>
    </row>
    <row r="110" spans="1:1" x14ac:dyDescent="0.25">
      <c r="A110" s="71" t="s">
        <v>590</v>
      </c>
    </row>
    <row r="111" spans="1:1" x14ac:dyDescent="0.25">
      <c r="A111" s="71" t="s">
        <v>591</v>
      </c>
    </row>
    <row r="112" spans="1:1" x14ac:dyDescent="0.25">
      <c r="A112" s="71" t="s">
        <v>592</v>
      </c>
    </row>
    <row r="113" spans="1:1" x14ac:dyDescent="0.25">
      <c r="A113" s="71" t="s">
        <v>593</v>
      </c>
    </row>
  </sheetData>
  <sheetProtection algorithmName="SHA-512" hashValue="uPYQ+EuMYkPy72+O/OSEpG6Sei1AEfbrOVOheozcQuzn8j35e2VeLnEv2Rc+5J1M+VAeqoiPGkTSd+ZxJmUCTw==" saltValue="kkTNh7iZ6L9hv90DCUbTmw==" spinCount="100000" sheet="1" objects="1" scenarios="1"/>
  <mergeCells count="4">
    <mergeCell ref="A1:K1"/>
    <mergeCell ref="A84:N84"/>
    <mergeCell ref="A85:M85"/>
    <mergeCell ref="A90:M91"/>
  </mergeCells>
  <hyperlinks>
    <hyperlink ref="A4" r:id="rId1"/>
  </hyperlinks>
  <pageMargins left="0.7" right="0.7" top="0.75" bottom="0.75" header="0.3" footer="0.3"/>
  <pageSetup paperSize="9" scale="47" orientation="portrait" r:id="rId2"/>
  <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Y337"/>
  <sheetViews>
    <sheetView zoomScale="80" zoomScaleNormal="80" workbookViewId="0">
      <selection activeCell="I20" sqref="I20"/>
    </sheetView>
  </sheetViews>
  <sheetFormatPr baseColWidth="10" defaultRowHeight="18.75" outlineLevelRow="1" outlineLevelCol="1" x14ac:dyDescent="0.3"/>
  <cols>
    <col min="1" max="1" width="6.85546875" customWidth="1"/>
    <col min="2" max="2" width="41.5703125" customWidth="1"/>
    <col min="3" max="3" width="27.140625" customWidth="1"/>
    <col min="4" max="4" width="39.140625" hidden="1" customWidth="1"/>
    <col min="5" max="5" width="25.140625" customWidth="1"/>
    <col min="6" max="6" width="24.140625" customWidth="1"/>
    <col min="7" max="7" width="28.42578125" bestFit="1" customWidth="1"/>
    <col min="8" max="8" width="38.5703125" bestFit="1" customWidth="1"/>
    <col min="9" max="9" width="26.28515625" customWidth="1"/>
    <col min="10" max="10" width="48.7109375" style="25" bestFit="1" customWidth="1"/>
    <col min="11" max="11" width="21.7109375" style="25" bestFit="1" customWidth="1"/>
    <col min="12" max="12" width="21.7109375" style="25" hidden="1" customWidth="1" outlineLevel="1"/>
    <col min="13" max="13" width="21.7109375" hidden="1" customWidth="1" outlineLevel="1"/>
    <col min="14" max="14" width="17.85546875" hidden="1" customWidth="1" outlineLevel="1"/>
    <col min="15" max="15" width="36" hidden="1" customWidth="1" outlineLevel="1"/>
    <col min="16" max="16" width="17.85546875" hidden="1" customWidth="1" outlineLevel="1"/>
    <col min="17" max="19" width="16.42578125" hidden="1" customWidth="1" outlineLevel="1"/>
    <col min="20" max="21" width="11.42578125" hidden="1" customWidth="1" outlineLevel="1"/>
    <col min="22" max="22" width="11.42578125" collapsed="1"/>
    <col min="24" max="24" width="43.5703125" bestFit="1" customWidth="1"/>
    <col min="25" max="25" width="28.7109375" customWidth="1"/>
    <col min="26" max="26" width="11.140625" bestFit="1" customWidth="1"/>
    <col min="27" max="29" width="19.85546875" bestFit="1" customWidth="1"/>
    <col min="30" max="30" width="43.5703125" bestFit="1" customWidth="1"/>
    <col min="31" max="31" width="28.7109375" customWidth="1"/>
    <col min="32" max="32" width="14.28515625" bestFit="1" customWidth="1"/>
    <col min="34" max="35" width="19.85546875" bestFit="1" customWidth="1"/>
  </cols>
  <sheetData>
    <row r="1" spans="1:25" x14ac:dyDescent="0.3">
      <c r="A1" s="25"/>
      <c r="B1" s="10" t="s">
        <v>152</v>
      </c>
      <c r="C1" s="100" t="s">
        <v>155</v>
      </c>
      <c r="D1" s="91"/>
      <c r="E1" s="162" t="s">
        <v>434</v>
      </c>
      <c r="F1" s="525"/>
      <c r="G1" s="525"/>
      <c r="H1" s="90"/>
      <c r="I1" s="25"/>
      <c r="M1" s="9"/>
      <c r="N1" s="9"/>
      <c r="O1" s="9"/>
      <c r="P1" s="9"/>
      <c r="Q1" s="9"/>
      <c r="R1" s="9"/>
      <c r="S1" s="9"/>
      <c r="W1" t="str">
        <f>"SUIVI_"&amp;"M"&amp;C7</f>
        <v>SUIVI_M2018P001T01036</v>
      </c>
      <c r="X1" t="str">
        <f>"M"&amp;C7&amp;"_"&amp;"PV"&amp;"_"&amp;'CPP TITULAIRE-ST'!F1</f>
        <v>M2018P001T01036_PV_4</v>
      </c>
    </row>
    <row r="2" spans="1:25" s="9" customFormat="1" ht="18" customHeight="1" x14ac:dyDescent="0.3">
      <c r="A2" s="25"/>
      <c r="B2" s="10" t="s">
        <v>55</v>
      </c>
      <c r="C2" s="486" t="s">
        <v>656</v>
      </c>
      <c r="D2" s="487"/>
      <c r="E2" s="487"/>
      <c r="F2" s="487"/>
      <c r="G2" s="487"/>
      <c r="H2" s="90"/>
      <c r="I2" s="25"/>
      <c r="J2" s="25"/>
      <c r="K2" s="25"/>
      <c r="L2" s="25"/>
      <c r="M2" s="478" t="s">
        <v>310</v>
      </c>
      <c r="N2" s="478"/>
      <c r="O2" s="478"/>
      <c r="P2" s="478"/>
      <c r="Q2" s="478"/>
      <c r="R2" s="478"/>
      <c r="S2" s="478"/>
      <c r="Y2" s="154"/>
    </row>
    <row r="3" spans="1:25" s="9" customFormat="1" ht="18" customHeight="1" x14ac:dyDescent="0.3">
      <c r="A3" s="25"/>
      <c r="B3" s="10" t="s">
        <v>2</v>
      </c>
      <c r="C3" s="488" t="s">
        <v>657</v>
      </c>
      <c r="D3" s="489"/>
      <c r="E3" s="489"/>
      <c r="F3" s="489"/>
      <c r="G3" s="489"/>
      <c r="H3" s="90"/>
      <c r="I3" s="25"/>
      <c r="J3" s="25"/>
      <c r="K3" s="25"/>
      <c r="L3" s="25"/>
      <c r="M3" s="10"/>
      <c r="N3" s="479" t="s">
        <v>1</v>
      </c>
      <c r="O3" s="479"/>
      <c r="P3" s="479"/>
      <c r="Q3" s="480" t="s">
        <v>179</v>
      </c>
      <c r="R3" s="480"/>
      <c r="S3" s="480"/>
    </row>
    <row r="4" spans="1:25" s="9" customFormat="1" ht="18" customHeight="1" x14ac:dyDescent="0.3">
      <c r="A4" s="25"/>
      <c r="B4" s="10" t="s">
        <v>181</v>
      </c>
      <c r="C4" s="488" t="s">
        <v>658</v>
      </c>
      <c r="D4" s="489"/>
      <c r="E4" s="489"/>
      <c r="F4" s="489"/>
      <c r="G4" s="489"/>
      <c r="H4" s="90"/>
      <c r="I4" s="25"/>
      <c r="J4" s="25"/>
      <c r="K4" s="25"/>
      <c r="L4" s="25"/>
      <c r="M4" s="144"/>
      <c r="N4" s="142">
        <f>E40</f>
        <v>0.1</v>
      </c>
      <c r="O4" s="142">
        <f>F40</f>
        <v>0.2</v>
      </c>
      <c r="P4" s="142" t="s">
        <v>299</v>
      </c>
      <c r="Q4" s="142">
        <f>E51</f>
        <v>0.1</v>
      </c>
      <c r="R4" s="142">
        <f>F51</f>
        <v>0.2</v>
      </c>
      <c r="S4" s="143" t="s">
        <v>299</v>
      </c>
    </row>
    <row r="5" spans="1:25" s="9" customFormat="1" ht="18" customHeight="1" x14ac:dyDescent="0.3">
      <c r="A5" s="25"/>
      <c r="B5" s="10" t="s">
        <v>3</v>
      </c>
      <c r="C5" s="490" t="s">
        <v>662</v>
      </c>
      <c r="D5" s="490"/>
      <c r="E5" s="490"/>
      <c r="F5" s="490"/>
      <c r="G5" s="490"/>
      <c r="H5" s="25"/>
      <c r="I5" s="25"/>
      <c r="K5" s="25"/>
      <c r="L5" s="25"/>
      <c r="M5" s="144" t="s">
        <v>264</v>
      </c>
      <c r="N5" s="141">
        <f>IF(F38="OUI",E41-SUMIF($I$42:$I$47,"OUI",($G$42:$G$47)),0)</f>
        <v>355062.7</v>
      </c>
      <c r="O5" s="141">
        <f>IF(F38="OUI",F41-SUMIF($I$42:$I$47,"OUI",($H$42:$H$47)),0)</f>
        <v>133346.85</v>
      </c>
      <c r="P5" s="141">
        <f>N5+O5</f>
        <v>488409.55000000005</v>
      </c>
      <c r="Q5" s="141">
        <f>IF(F49="OUI",E52-SUMIF($I$53:$I$58,"OUI",($G$53:$G$58)),0)</f>
        <v>0</v>
      </c>
      <c r="R5" s="141">
        <f>IF(F49="OUI",F52-SUMIF($I$53:$I$58,"OUI",($H$53:$H$58)),0)</f>
        <v>0</v>
      </c>
      <c r="S5" s="141">
        <f>Q5+R5</f>
        <v>0</v>
      </c>
    </row>
    <row r="6" spans="1:25" s="9" customFormat="1" ht="18" customHeight="1" x14ac:dyDescent="0.3">
      <c r="B6" s="10" t="s">
        <v>534</v>
      </c>
      <c r="C6" s="490"/>
      <c r="D6" s="490"/>
      <c r="E6" s="490"/>
      <c r="F6" s="490"/>
      <c r="G6" s="490"/>
      <c r="H6" s="25"/>
      <c r="I6" s="25"/>
      <c r="J6" s="25"/>
      <c r="K6" s="25"/>
      <c r="L6" s="25"/>
      <c r="M6" s="144" t="s">
        <v>265</v>
      </c>
      <c r="N6" s="141">
        <f>IF(F61="OUI",E64-SUMIF($I$65:$I$70,"OUI",($G$65:$G$70)),0)</f>
        <v>0</v>
      </c>
      <c r="O6" s="141">
        <f>IF(F61="OUI",F64-SUMIF($I$65:$I$70,"OUI",($H$65:$H$70)),0)</f>
        <v>0</v>
      </c>
      <c r="P6" s="141">
        <f t="shared" ref="P6:P12" si="0">N6+O6</f>
        <v>0</v>
      </c>
      <c r="Q6" s="141">
        <f>IF(F72="OUI",E75-SUMIF($I$76:$I$81,"OUI",($G$76:$G$81)),0)</f>
        <v>0</v>
      </c>
      <c r="R6" s="141">
        <f>IF(F72="OUI",F75-SUMIF($I$76:$I$81,"OUI",($H$76:$H$81)),0)</f>
        <v>0</v>
      </c>
      <c r="S6" s="141">
        <f t="shared" ref="S6:S12" si="1">Q6+R6</f>
        <v>0</v>
      </c>
    </row>
    <row r="7" spans="1:25" s="9" customFormat="1" ht="18" customHeight="1" x14ac:dyDescent="0.3">
      <c r="A7" s="25"/>
      <c r="B7" s="10" t="s">
        <v>4</v>
      </c>
      <c r="C7" s="490" t="s">
        <v>659</v>
      </c>
      <c r="D7" s="490"/>
      <c r="E7" s="490"/>
      <c r="F7" s="490"/>
      <c r="G7" s="490"/>
      <c r="H7" s="25"/>
      <c r="I7" s="25"/>
      <c r="J7" s="25"/>
      <c r="K7" s="25"/>
      <c r="L7" s="25"/>
      <c r="M7" s="144" t="s">
        <v>266</v>
      </c>
      <c r="N7" s="141">
        <f>IF(F84="OUI",E87-SUMIF($I$88:$I$93,"OUI",($G$88:$G$93)),0)</f>
        <v>0</v>
      </c>
      <c r="O7" s="141">
        <f>IF(F84="OUI",F87-SUMIF($I$88:$I$93,"OUI",($H$88:$H$93)),0)</f>
        <v>0</v>
      </c>
      <c r="P7" s="141">
        <f t="shared" si="0"/>
        <v>0</v>
      </c>
      <c r="Q7" s="141">
        <f>IF(F95="OUI",E98-SUMIF($I$99:$I$104,"OUI",($G$99:$G$104)),0)</f>
        <v>0</v>
      </c>
      <c r="R7" s="141">
        <f>IF(F95="OUI",F98-SUMIF($I$99:$I$104,"OUI",($H$99:$H$104)),0)</f>
        <v>0</v>
      </c>
      <c r="S7" s="141">
        <f t="shared" si="1"/>
        <v>0</v>
      </c>
    </row>
    <row r="8" spans="1:25" s="9" customFormat="1" ht="18" customHeight="1" x14ac:dyDescent="0.3">
      <c r="A8" s="25"/>
      <c r="B8" s="10" t="s">
        <v>435</v>
      </c>
      <c r="C8" s="491"/>
      <c r="D8" s="491"/>
      <c r="E8" s="491"/>
      <c r="F8" s="491"/>
      <c r="G8" s="491"/>
      <c r="H8" s="25"/>
      <c r="I8" s="25"/>
      <c r="J8" s="25"/>
      <c r="K8" s="25"/>
      <c r="L8" s="25"/>
      <c r="M8" s="144" t="s">
        <v>267</v>
      </c>
      <c r="N8" s="141">
        <f>IF(F107="OUI",E110-SUMIF($I$111:$I$116,"OUI",($G$111:$G$116)),0)</f>
        <v>0</v>
      </c>
      <c r="O8" s="141">
        <f>IF(F107="OUI",F110-SUMIF($I$111:$I$116,"OUI",($H$111:$H$116)),0)</f>
        <v>0</v>
      </c>
      <c r="P8" s="141">
        <f t="shared" si="0"/>
        <v>0</v>
      </c>
      <c r="Q8" s="141">
        <f>IF(F118="OUI",E121-SUMIF($I$122:$I$127,"OUI",($G$122:$G$127)),0)</f>
        <v>0</v>
      </c>
      <c r="R8" s="141">
        <f>IF(F118="OUI",F121-SUMIF($I$122:$I$127,"OUI",($H$122:$H$127)),0)</f>
        <v>0</v>
      </c>
      <c r="S8" s="141">
        <f t="shared" si="1"/>
        <v>0</v>
      </c>
    </row>
    <row r="9" spans="1:25" s="9" customFormat="1" ht="18" customHeight="1" x14ac:dyDescent="0.3">
      <c r="A9" s="25"/>
      <c r="B9" s="25"/>
      <c r="C9" s="25"/>
      <c r="D9" s="17"/>
      <c r="E9" s="17"/>
      <c r="F9" s="17"/>
      <c r="G9" s="25"/>
      <c r="H9" s="25"/>
      <c r="I9" s="25"/>
      <c r="J9" s="25"/>
      <c r="K9" s="25"/>
      <c r="L9" s="25"/>
      <c r="M9" s="144" t="s">
        <v>296</v>
      </c>
      <c r="N9" s="141">
        <f>IF(F130="OUI",E133-SUMIF($I$134:$I$139,"OUI",($G$134:$G$139)),0)</f>
        <v>0</v>
      </c>
      <c r="O9" s="141">
        <f>IF(F130="OUI",F133-SUMIF($I$134:$I$139,"OUI",($H$134:$H$139)),0)</f>
        <v>0</v>
      </c>
      <c r="P9" s="141">
        <f t="shared" si="0"/>
        <v>0</v>
      </c>
      <c r="Q9" s="141">
        <f>IF(F141="OUI",E144-SUMIF($I$145:$I$150,"OUI",($G$145:$G$150)),0)</f>
        <v>0</v>
      </c>
      <c r="R9" s="141">
        <f>IF(F141="OUI",F144-SUMIF($I$145:$I$150,"OUI",($H$145:$H$150)),0)</f>
        <v>0</v>
      </c>
      <c r="S9" s="141">
        <f t="shared" si="1"/>
        <v>0</v>
      </c>
    </row>
    <row r="10" spans="1:25" s="9" customFormat="1" ht="18" customHeight="1" x14ac:dyDescent="0.3">
      <c r="A10" s="25"/>
      <c r="B10" s="72" t="s">
        <v>479</v>
      </c>
      <c r="C10" s="111">
        <v>13</v>
      </c>
      <c r="D10" s="17"/>
      <c r="E10" s="24" t="s">
        <v>182</v>
      </c>
      <c r="F10" s="24" t="s">
        <v>183</v>
      </c>
      <c r="G10" s="25"/>
      <c r="H10" s="25"/>
      <c r="I10" s="25"/>
      <c r="J10" s="25"/>
      <c r="K10" s="25"/>
      <c r="L10" s="25"/>
      <c r="M10" s="144" t="s">
        <v>297</v>
      </c>
      <c r="N10" s="141">
        <f>IF(F153="OUI",E156-SUMIF($I$157:$I$162,"OUI",($G$157:$G$162)),0)</f>
        <v>0</v>
      </c>
      <c r="O10" s="141">
        <f>IF(F153="OUI",F156-SUMIF($I$157:$I$162,"OUI",($H$157:$H$162)),0)</f>
        <v>0</v>
      </c>
      <c r="P10" s="141">
        <f t="shared" si="0"/>
        <v>0</v>
      </c>
      <c r="Q10" s="141">
        <f>IF(F164="OUI",E167-SUMIF($I$168:$I$173,"OUI",($G$168:$G$173)),0)</f>
        <v>0</v>
      </c>
      <c r="R10" s="141">
        <f>IF(F164="OUI",F167-SUMIF($I$168:$I$173,"OUI",($H$168:$H$173)),0)</f>
        <v>0</v>
      </c>
      <c r="S10" s="141">
        <f t="shared" si="1"/>
        <v>0</v>
      </c>
    </row>
    <row r="11" spans="1:25" s="9" customFormat="1" ht="18" customHeight="1" x14ac:dyDescent="0.3">
      <c r="A11" s="25"/>
      <c r="B11" s="72" t="str">
        <f>IF(C10&lt;=2,"PAS D'AVANCE POSSIBLE SUR LA TF","AVANCE")</f>
        <v>AVANCE</v>
      </c>
      <c r="C11" s="99" t="s">
        <v>174</v>
      </c>
      <c r="D11" s="75"/>
      <c r="E11" s="318"/>
      <c r="F11" s="318"/>
      <c r="G11" s="25"/>
      <c r="H11" s="25"/>
      <c r="I11" s="25"/>
      <c r="J11" s="25"/>
      <c r="K11" s="25"/>
      <c r="L11" s="25"/>
      <c r="M11" s="144" t="s">
        <v>298</v>
      </c>
      <c r="N11" s="141">
        <f>IF(F176="OUI",E179-SUMIF($I$180:$I$185,"OUI",($G$180:$G$185)),0)</f>
        <v>0</v>
      </c>
      <c r="O11" s="141">
        <f>IF(F176="OUI",F179-SUMIF($I$180:$I$185,"OUI",($H$180:$H$185)),0)</f>
        <v>0</v>
      </c>
      <c r="P11" s="141">
        <f t="shared" si="0"/>
        <v>0</v>
      </c>
      <c r="Q11" s="141">
        <f>IF(F187="OUI",E190-SUMIF($I$191:$I$196,"OUI",($G$191:$G$196)),0)</f>
        <v>0</v>
      </c>
      <c r="R11" s="141">
        <f>IF(F187="OUI",F190-SUMIF($I$191:$I$196,"OUI",($H$191:$H$196)),0)</f>
        <v>0</v>
      </c>
      <c r="S11" s="141">
        <f t="shared" si="1"/>
        <v>0</v>
      </c>
    </row>
    <row r="12" spans="1:25" s="9" customFormat="1" ht="18" customHeight="1" x14ac:dyDescent="0.3">
      <c r="A12" s="25"/>
      <c r="B12" s="72" t="s">
        <v>269</v>
      </c>
      <c r="C12" s="99" t="s">
        <v>161</v>
      </c>
      <c r="D12" s="75"/>
      <c r="E12" s="505"/>
      <c r="F12" s="506"/>
      <c r="G12" s="506"/>
      <c r="H12" s="506"/>
      <c r="I12" s="507"/>
      <c r="J12" s="25"/>
      <c r="K12" s="25"/>
      <c r="L12" s="25"/>
      <c r="M12" s="144" t="s">
        <v>299</v>
      </c>
      <c r="N12" s="141">
        <f>SUM(N5:N11)</f>
        <v>355062.7</v>
      </c>
      <c r="O12" s="141">
        <f>SUM(O5:O11)</f>
        <v>133346.85</v>
      </c>
      <c r="P12" s="141">
        <f t="shared" si="0"/>
        <v>488409.55000000005</v>
      </c>
      <c r="Q12" s="141">
        <f>SUM(Q5:Q11)</f>
        <v>0</v>
      </c>
      <c r="R12" s="141">
        <f>SUM(R5:R11)</f>
        <v>0</v>
      </c>
      <c r="S12" s="141">
        <f t="shared" si="1"/>
        <v>0</v>
      </c>
    </row>
    <row r="13" spans="1:25" s="9" customFormat="1" ht="38.25" customHeight="1" x14ac:dyDescent="0.3">
      <c r="A13" s="25"/>
      <c r="B13" s="139" t="str">
        <f>IF(C12="REVISION","ELEMENTS DE REVISION",IF(C12="ACTUALISATION","ELEMENTS POUR ACTUALISATION",""))</f>
        <v>ELEMENTS DE REVISION</v>
      </c>
      <c r="C13" s="82" t="str">
        <f>IF(C12="REVISION","Mois M0  format mm/aa",IF(C12="ACTUALISATION","Mois M0  format mm/aa"," "))</f>
        <v>Mois M0  format mm/aa</v>
      </c>
      <c r="D13" s="73"/>
      <c r="E13" s="92">
        <v>43191</v>
      </c>
      <c r="F13" s="135" t="str">
        <f>IF(C12="REVISION","indice de révison",IF(C12="ACTUALISATION","indice d'actualisation"," "))</f>
        <v>indice de révison</v>
      </c>
      <c r="G13" s="112" t="s">
        <v>660</v>
      </c>
      <c r="H13" s="135" t="str">
        <f>IF(C12="REVISION","part fixe","")</f>
        <v>part fixe</v>
      </c>
      <c r="I13" s="99">
        <v>0.15</v>
      </c>
      <c r="J13" s="25"/>
      <c r="K13" s="25"/>
      <c r="L13" s="25"/>
    </row>
    <row r="14" spans="1:25" s="9" customFormat="1" ht="18" customHeight="1" x14ac:dyDescent="0.3">
      <c r="A14" s="25"/>
      <c r="B14" s="25"/>
      <c r="C14" s="401" t="s">
        <v>603</v>
      </c>
      <c r="D14" s="25"/>
      <c r="E14" s="400" t="s">
        <v>605</v>
      </c>
      <c r="F14" s="21" t="str">
        <f>IF(C12="REVISION","indice du Mo",IF(C12="ACTUALISATION","indice du Mo"," "))</f>
        <v>indice du Mo</v>
      </c>
      <c r="G14" s="113">
        <v>109.9</v>
      </c>
      <c r="H14" s="21" t="str">
        <f>IF(C12="REVISION","part variable","")</f>
        <v>part variable</v>
      </c>
      <c r="I14" s="175">
        <f>IF(I13=0.125,0.875,IF(I13=0.15,0.85,""))</f>
        <v>0.85</v>
      </c>
      <c r="J14" s="25"/>
      <c r="K14" s="25"/>
      <c r="L14" s="25"/>
      <c r="N14" s="481" t="str">
        <f>N3</f>
        <v>Titulaire</v>
      </c>
      <c r="O14" s="481"/>
      <c r="P14" s="481" t="s">
        <v>179</v>
      </c>
      <c r="Q14" s="481"/>
      <c r="R14" t="s">
        <v>594</v>
      </c>
      <c r="S14" t="s">
        <v>595</v>
      </c>
    </row>
    <row r="15" spans="1:25" s="9" customFormat="1" ht="18" customHeight="1" x14ac:dyDescent="0.3">
      <c r="A15" s="25"/>
      <c r="B15" s="25"/>
      <c r="C15" s="25"/>
      <c r="D15" s="25"/>
      <c r="E15" s="25"/>
      <c r="F15" s="25"/>
      <c r="G15" s="25"/>
      <c r="H15" s="25"/>
      <c r="I15" s="25"/>
      <c r="J15" s="25"/>
      <c r="K15" s="25"/>
      <c r="L15" s="25"/>
      <c r="M15"/>
      <c r="N15" s="146">
        <f>N4</f>
        <v>0.1</v>
      </c>
      <c r="O15" s="146">
        <f>O4</f>
        <v>0.2</v>
      </c>
      <c r="P15" s="146">
        <f>Q4</f>
        <v>0.1</v>
      </c>
      <c r="Q15" s="146">
        <f>R4</f>
        <v>0.2</v>
      </c>
      <c r="R15"/>
      <c r="S15"/>
    </row>
    <row r="16" spans="1:25" s="9" customFormat="1" ht="18" customHeight="1" x14ac:dyDescent="0.3">
      <c r="A16" s="25"/>
      <c r="B16" s="495" t="s">
        <v>342</v>
      </c>
      <c r="C16" s="495"/>
      <c r="D16" s="495"/>
      <c r="E16" s="495"/>
      <c r="F16" s="495"/>
      <c r="G16" s="25"/>
      <c r="H16" s="25"/>
      <c r="I16" s="25"/>
      <c r="J16" s="25"/>
      <c r="K16" s="25"/>
      <c r="L16" s="25"/>
      <c r="M16" s="145" t="s">
        <v>264</v>
      </c>
      <c r="N16" s="147">
        <f>IF($F$38="OUI",G41,"")</f>
        <v>355062.7</v>
      </c>
      <c r="O16" s="147">
        <f>IF($F$38="OUI",H41,"")</f>
        <v>133346.85</v>
      </c>
      <c r="P16" s="147" t="str">
        <f>IF($F$49="OUI",G52,"")</f>
        <v/>
      </c>
      <c r="Q16" s="147" t="str">
        <f>IF($F$49="OUI",H52,"")</f>
        <v/>
      </c>
      <c r="R16" s="148">
        <f>N16+O16</f>
        <v>488409.55000000005</v>
      </c>
      <c r="S16" s="148" t="e">
        <f>P16+Q16</f>
        <v>#VALUE!</v>
      </c>
    </row>
    <row r="17" spans="1:19" s="9" customFormat="1" ht="18" customHeight="1" x14ac:dyDescent="0.3">
      <c r="A17" s="25"/>
      <c r="B17" s="10" t="s">
        <v>7</v>
      </c>
      <c r="C17" s="98">
        <v>0.1</v>
      </c>
      <c r="D17" s="12"/>
      <c r="E17" s="98">
        <v>0.2</v>
      </c>
      <c r="F17" s="13" t="s">
        <v>48</v>
      </c>
      <c r="G17" s="163" t="s">
        <v>475</v>
      </c>
      <c r="I17" s="25"/>
      <c r="J17" s="25"/>
      <c r="K17" s="25"/>
      <c r="L17" s="25"/>
      <c r="M17" s="145" t="s">
        <v>265</v>
      </c>
      <c r="N17" s="147" t="str">
        <f>IF($F$61="OUI",G64,"")</f>
        <v/>
      </c>
      <c r="O17" s="147" t="str">
        <f>IF($F$61="OUI",H64,"")</f>
        <v/>
      </c>
      <c r="P17" s="147" t="str">
        <f>IF($F$72="OUI",G75,"")</f>
        <v/>
      </c>
      <c r="Q17" s="147" t="str">
        <f>IF($F$72="OUI",H75,"")</f>
        <v/>
      </c>
      <c r="R17" s="148" t="e">
        <f t="shared" ref="R17:R22" si="2">N17+O17</f>
        <v>#VALUE!</v>
      </c>
      <c r="S17" s="148" t="e">
        <f t="shared" ref="S17:S22" si="3">P17+Q17</f>
        <v>#VALUE!</v>
      </c>
    </row>
    <row r="18" spans="1:19" s="9" customFormat="1" ht="18" customHeight="1" x14ac:dyDescent="0.3">
      <c r="A18" s="25"/>
      <c r="B18" s="10" t="s">
        <v>8</v>
      </c>
      <c r="C18" s="124">
        <v>355062.7</v>
      </c>
      <c r="D18" s="93"/>
      <c r="E18" s="93">
        <v>133346.85</v>
      </c>
      <c r="F18" s="14">
        <f t="shared" ref="F18:F27" si="4">C18+E18</f>
        <v>488409.55000000005</v>
      </c>
      <c r="G18" s="164">
        <v>43486</v>
      </c>
      <c r="H18" s="174" t="s">
        <v>480</v>
      </c>
      <c r="I18" s="25"/>
      <c r="J18" s="25"/>
      <c r="K18" s="25"/>
      <c r="L18" s="25"/>
      <c r="M18" s="145" t="s">
        <v>266</v>
      </c>
      <c r="N18" s="147" t="str">
        <f>IF($F$84="OUI",G87,"")</f>
        <v/>
      </c>
      <c r="O18" s="147" t="str">
        <f>IF($F$84="OUI",H87,"")</f>
        <v/>
      </c>
      <c r="P18" s="147" t="str">
        <f>IF($F$95="OUI",G98,"")</f>
        <v/>
      </c>
      <c r="Q18" s="147" t="str">
        <f>IF($F$95="OUI",H98,"")</f>
        <v/>
      </c>
      <c r="R18" s="148" t="e">
        <f t="shared" si="2"/>
        <v>#VALUE!</v>
      </c>
      <c r="S18" s="148" t="e">
        <f t="shared" si="3"/>
        <v>#VALUE!</v>
      </c>
    </row>
    <row r="19" spans="1:19" s="9" customFormat="1" ht="18" customHeight="1" x14ac:dyDescent="0.3">
      <c r="A19" s="25"/>
      <c r="B19" s="10" t="s">
        <v>9</v>
      </c>
      <c r="C19" s="93"/>
      <c r="D19" s="93"/>
      <c r="E19" s="93"/>
      <c r="F19" s="14">
        <f t="shared" si="4"/>
        <v>0</v>
      </c>
      <c r="G19" s="164"/>
      <c r="H19" s="303"/>
      <c r="I19" s="25"/>
      <c r="J19" s="25"/>
      <c r="K19" s="25"/>
      <c r="L19" s="25"/>
      <c r="M19" s="145" t="s">
        <v>267</v>
      </c>
      <c r="N19" s="147" t="str">
        <f>IF($F$107="OUI",G110,"")</f>
        <v/>
      </c>
      <c r="O19" s="147" t="str">
        <f>IF($F$107="OUI",H110,"")</f>
        <v/>
      </c>
      <c r="P19" s="147" t="str">
        <f>IF($F$118="OUI",G121,"")</f>
        <v/>
      </c>
      <c r="Q19" s="147" t="str">
        <f>IF($F$118="OUI",H121,"")</f>
        <v/>
      </c>
      <c r="R19" s="148" t="e">
        <f t="shared" si="2"/>
        <v>#VALUE!</v>
      </c>
      <c r="S19" s="148" t="e">
        <f t="shared" si="3"/>
        <v>#VALUE!</v>
      </c>
    </row>
    <row r="20" spans="1:19" s="9" customFormat="1" ht="18" customHeight="1" x14ac:dyDescent="0.3">
      <c r="A20" s="25"/>
      <c r="B20" s="10" t="s">
        <v>10</v>
      </c>
      <c r="C20" s="93"/>
      <c r="D20" s="93"/>
      <c r="E20" s="93"/>
      <c r="F20" s="14">
        <f t="shared" si="4"/>
        <v>0</v>
      </c>
      <c r="G20" s="164"/>
      <c r="H20" s="303"/>
      <c r="I20" s="25"/>
      <c r="J20" s="25"/>
      <c r="K20" s="25"/>
      <c r="L20" s="25"/>
      <c r="M20" s="145" t="s">
        <v>296</v>
      </c>
      <c r="N20" s="147" t="str">
        <f>IF($F$130="OUI",G133,"")</f>
        <v/>
      </c>
      <c r="O20" s="147" t="str">
        <f>IF($F$130="OUI",H133,"")</f>
        <v/>
      </c>
      <c r="P20" s="147" t="str">
        <f>IF($F$141="OUI",G144,"")</f>
        <v/>
      </c>
      <c r="Q20" s="147" t="str">
        <f>IF($F$141="OUI",H144,"")</f>
        <v/>
      </c>
      <c r="R20" s="148" t="e">
        <f t="shared" si="2"/>
        <v>#VALUE!</v>
      </c>
      <c r="S20" s="148" t="e">
        <f t="shared" si="3"/>
        <v>#VALUE!</v>
      </c>
    </row>
    <row r="21" spans="1:19" s="9" customFormat="1" ht="18" customHeight="1" x14ac:dyDescent="0.3">
      <c r="A21" s="25"/>
      <c r="B21" s="10" t="s">
        <v>11</v>
      </c>
      <c r="C21" s="93"/>
      <c r="D21" s="93"/>
      <c r="E21" s="93"/>
      <c r="F21" s="14">
        <f t="shared" si="4"/>
        <v>0</v>
      </c>
      <c r="G21" s="164"/>
      <c r="H21" s="303"/>
      <c r="I21" s="25"/>
      <c r="J21" s="25"/>
      <c r="K21" s="25"/>
      <c r="L21" s="25"/>
      <c r="M21" s="145" t="s">
        <v>297</v>
      </c>
      <c r="N21" s="147" t="str">
        <f>IF($F$153="OUI",G156,"")</f>
        <v/>
      </c>
      <c r="O21" s="147" t="str">
        <f>IF($F$153="OUI",H156,"")</f>
        <v/>
      </c>
      <c r="P21" s="147" t="str">
        <f>IF($F$164="OUI",G167,"")</f>
        <v/>
      </c>
      <c r="Q21" s="147" t="str">
        <f>IF($F$164="OUI",H167,"")</f>
        <v/>
      </c>
      <c r="R21" s="148" t="e">
        <f t="shared" si="2"/>
        <v>#VALUE!</v>
      </c>
      <c r="S21" s="148" t="e">
        <f t="shared" si="3"/>
        <v>#VALUE!</v>
      </c>
    </row>
    <row r="22" spans="1:19" s="9" customFormat="1" ht="18" customHeight="1" x14ac:dyDescent="0.3">
      <c r="A22" s="25"/>
      <c r="B22" s="10" t="s">
        <v>283</v>
      </c>
      <c r="C22" s="93"/>
      <c r="D22" s="93"/>
      <c r="E22" s="93"/>
      <c r="F22" s="14">
        <f t="shared" si="4"/>
        <v>0</v>
      </c>
      <c r="G22" s="164"/>
      <c r="H22" s="303"/>
      <c r="I22" s="25"/>
      <c r="J22" s="25"/>
      <c r="K22" s="25"/>
      <c r="L22" s="25"/>
      <c r="M22" s="145" t="s">
        <v>298</v>
      </c>
      <c r="N22" s="147" t="str">
        <f>IF($F$176="OUI",G179,"")</f>
        <v/>
      </c>
      <c r="O22" s="147" t="str">
        <f>IF($F$176="OUI",H179,"")</f>
        <v/>
      </c>
      <c r="P22" s="147" t="str">
        <f>IF($F$187="OUI",G190,"")</f>
        <v/>
      </c>
      <c r="Q22" s="147" t="str">
        <f>IF($F$187="OUI",H190,"")</f>
        <v/>
      </c>
      <c r="R22" s="148" t="e">
        <f t="shared" si="2"/>
        <v>#VALUE!</v>
      </c>
      <c r="S22" s="148" t="e">
        <f t="shared" si="3"/>
        <v>#VALUE!</v>
      </c>
    </row>
    <row r="23" spans="1:19" s="9" customFormat="1" ht="18" customHeight="1" x14ac:dyDescent="0.3">
      <c r="A23" s="25"/>
      <c r="B23" s="10" t="s">
        <v>284</v>
      </c>
      <c r="C23" s="93"/>
      <c r="D23" s="93"/>
      <c r="E23" s="93"/>
      <c r="F23" s="14">
        <f t="shared" si="4"/>
        <v>0</v>
      </c>
      <c r="G23" s="164"/>
      <c r="H23" s="303"/>
      <c r="I23" s="25"/>
      <c r="J23" s="25"/>
      <c r="K23" s="25"/>
      <c r="L23" s="25"/>
      <c r="M23" s="482" t="s">
        <v>311</v>
      </c>
      <c r="N23" s="482"/>
      <c r="O23" s="482"/>
      <c r="P23" s="482"/>
      <c r="Q23" s="482"/>
      <c r="R23"/>
      <c r="S23"/>
    </row>
    <row r="24" spans="1:19" s="9" customFormat="1" ht="18" customHeight="1" x14ac:dyDescent="0.3">
      <c r="A24" s="25"/>
      <c r="B24" s="10" t="s">
        <v>285</v>
      </c>
      <c r="C24" s="93"/>
      <c r="D24" s="93"/>
      <c r="E24" s="93"/>
      <c r="F24" s="14">
        <f t="shared" si="4"/>
        <v>0</v>
      </c>
      <c r="G24" s="164"/>
      <c r="H24" s="303"/>
      <c r="I24" s="25"/>
      <c r="J24" s="25"/>
      <c r="K24" s="25"/>
      <c r="L24" s="25"/>
      <c r="M24" s="483"/>
      <c r="N24" s="483"/>
      <c r="O24" s="483"/>
      <c r="P24" s="483"/>
      <c r="Q24" s="483"/>
      <c r="R24"/>
      <c r="S24"/>
    </row>
    <row r="25" spans="1:19" s="9" customFormat="1" ht="18" customHeight="1" x14ac:dyDescent="0.3">
      <c r="A25" s="25"/>
      <c r="B25" s="10" t="s">
        <v>12</v>
      </c>
      <c r="C25" s="93">
        <v>23740</v>
      </c>
      <c r="D25" s="93"/>
      <c r="E25" s="93"/>
      <c r="F25" s="14">
        <f t="shared" si="4"/>
        <v>23740</v>
      </c>
      <c r="G25" s="123" t="str">
        <f>IF(AND(F25&gt;0,F25&lt;25000),"OUI",IF(F25&gt;=25000,"AVANCE"))</f>
        <v>OUI</v>
      </c>
      <c r="H25" s="25"/>
      <c r="I25" s="25"/>
      <c r="J25" s="25"/>
      <c r="K25" s="25"/>
      <c r="L25" s="25"/>
      <c r="M25"/>
      <c r="N25"/>
      <c r="O25"/>
      <c r="P25"/>
      <c r="Q25"/>
      <c r="R25"/>
      <c r="S25"/>
    </row>
    <row r="26" spans="1:19" s="9" customFormat="1" ht="18" customHeight="1" x14ac:dyDescent="0.3">
      <c r="A26" s="25"/>
      <c r="B26" s="10" t="s">
        <v>56</v>
      </c>
      <c r="C26" s="93"/>
      <c r="D26" s="93"/>
      <c r="E26" s="93"/>
      <c r="F26" s="14">
        <f t="shared" si="4"/>
        <v>0</v>
      </c>
      <c r="G26" s="123" t="str">
        <f>IF(F25&gt;0,"OUI")</f>
        <v>OUI</v>
      </c>
      <c r="H26" s="25"/>
      <c r="I26" s="25"/>
      <c r="J26" s="25"/>
      <c r="K26" s="25"/>
      <c r="L26" s="25"/>
      <c r="N26" s="481" t="str">
        <f>N14</f>
        <v>Titulaire</v>
      </c>
      <c r="O26" s="481"/>
      <c r="P26" s="481" t="str">
        <f>P14</f>
        <v>Cotraitant</v>
      </c>
      <c r="Q26" s="481"/>
      <c r="R26"/>
      <c r="S26"/>
    </row>
    <row r="27" spans="1:19" s="9" customFormat="1" ht="18" customHeight="1" x14ac:dyDescent="0.3">
      <c r="A27" s="25"/>
      <c r="B27" s="15" t="s">
        <v>13</v>
      </c>
      <c r="C27" s="16">
        <f>SUM(C18:C25)-C26</f>
        <v>378802.7</v>
      </c>
      <c r="D27" s="16"/>
      <c r="E27" s="16">
        <f>SUM(E18:E25)-E26</f>
        <v>133346.85</v>
      </c>
      <c r="F27" s="14">
        <f t="shared" si="4"/>
        <v>512149.55000000005</v>
      </c>
      <c r="G27" s="25"/>
      <c r="H27" s="25"/>
      <c r="I27" s="25"/>
      <c r="J27" s="25"/>
      <c r="K27" s="25"/>
      <c r="L27" s="25"/>
      <c r="M27"/>
      <c r="N27" s="146">
        <f>N15</f>
        <v>0.1</v>
      </c>
      <c r="O27" s="146">
        <f>O15</f>
        <v>0.2</v>
      </c>
      <c r="P27" s="146">
        <f>P15</f>
        <v>0.1</v>
      </c>
      <c r="Q27" s="146">
        <f>Q15</f>
        <v>0.2</v>
      </c>
      <c r="R27" t="s">
        <v>607</v>
      </c>
      <c r="S27" t="s">
        <v>608</v>
      </c>
    </row>
    <row r="28" spans="1:19" s="9" customFormat="1" ht="18" customHeight="1" x14ac:dyDescent="0.3">
      <c r="A28" s="25"/>
      <c r="B28" s="15" t="s">
        <v>14</v>
      </c>
      <c r="C28" s="16">
        <f>C27*C17</f>
        <v>37880.270000000004</v>
      </c>
      <c r="D28" s="16"/>
      <c r="E28" s="16">
        <f>E27*E17</f>
        <v>26669.370000000003</v>
      </c>
      <c r="F28" s="25"/>
      <c r="G28" s="25"/>
      <c r="H28" s="25"/>
      <c r="I28" s="25"/>
      <c r="J28" s="25"/>
      <c r="K28" s="25"/>
      <c r="L28" s="25"/>
      <c r="M28" s="145" t="s">
        <v>264</v>
      </c>
      <c r="N28" s="147">
        <f>E41+SUMIF($B$203:$B$209,"Tranche Ferme",G203:G209)</f>
        <v>378802.7</v>
      </c>
      <c r="O28" s="147">
        <f>F41+SUMIF($B$203:$B$209,"Tranche Ferme",H203:H209)</f>
        <v>133346.85</v>
      </c>
      <c r="P28" s="147">
        <f>E52+SUMIF($B$215:$B$221,"Tranche Ferme",$G$215:$G$221)</f>
        <v>0</v>
      </c>
      <c r="Q28" s="147">
        <f>F52+SUMIF($B$215:$B$221,"Tranche Ferme",$H$215:$H$221)</f>
        <v>0</v>
      </c>
      <c r="R28" s="148">
        <f>N28+O28</f>
        <v>512149.55000000005</v>
      </c>
      <c r="S28" s="148">
        <f>P28+Q28</f>
        <v>0</v>
      </c>
    </row>
    <row r="29" spans="1:19" s="9" customFormat="1" ht="18" customHeight="1" x14ac:dyDescent="0.3">
      <c r="A29" s="25"/>
      <c r="B29" s="15" t="s">
        <v>15</v>
      </c>
      <c r="C29" s="16">
        <f>C27+C28</f>
        <v>416682.97000000003</v>
      </c>
      <c r="D29" s="16"/>
      <c r="E29" s="16">
        <f>E27+E28</f>
        <v>160016.22</v>
      </c>
      <c r="F29" s="25"/>
      <c r="G29" s="25"/>
      <c r="H29" s="25"/>
      <c r="I29" s="25"/>
      <c r="J29" s="25"/>
      <c r="K29" s="25"/>
      <c r="L29" s="25"/>
      <c r="M29" s="145" t="s">
        <v>265</v>
      </c>
      <c r="N29" s="147">
        <f>E64+SUMIF($B$203:$B$209,"Tranche Optionnelle 1",G203:G209)</f>
        <v>0</v>
      </c>
      <c r="O29" s="147">
        <f>F64+SUMIF($B$203:$B$209,"Tranche Optionnelle 1",$H$203:$H$209)</f>
        <v>0</v>
      </c>
      <c r="P29" s="147">
        <f>E75+SUMIF($B$215:$B$221,"Tranche Optionnelle 1",$G$215:$G$221)</f>
        <v>0</v>
      </c>
      <c r="Q29" s="147">
        <f>F75+SUMIF($B$215:$B$221,"Tranche Optionnelle 1",$H$215:$H$221)</f>
        <v>0</v>
      </c>
      <c r="R29" s="148">
        <f t="shared" ref="R29:R34" si="5">N29+O29</f>
        <v>0</v>
      </c>
      <c r="S29" s="148">
        <f t="shared" ref="S29:S34" si="6">P29+Q29</f>
        <v>0</v>
      </c>
    </row>
    <row r="30" spans="1:19" s="9" customFormat="1" ht="18" customHeight="1" x14ac:dyDescent="0.3">
      <c r="A30" s="25"/>
      <c r="B30" s="15" t="s">
        <v>16</v>
      </c>
      <c r="C30" s="496">
        <f>C29+E29</f>
        <v>576699.19000000006</v>
      </c>
      <c r="D30" s="496"/>
      <c r="E30" s="496"/>
      <c r="F30" s="25"/>
      <c r="G30" s="25"/>
      <c r="H30" s="25"/>
      <c r="I30" s="25"/>
      <c r="J30" s="25"/>
      <c r="K30" s="25"/>
      <c r="L30" s="25"/>
      <c r="M30" s="145" t="s">
        <v>266</v>
      </c>
      <c r="N30" s="147">
        <f>E87+SUMIF($B$203:$B$209,"Tranche Optionnelle 2",$G$203:$G$209)</f>
        <v>0</v>
      </c>
      <c r="O30" s="147">
        <f>F87+SUMIF($B$203:$B$209,"Tranche Optionnelle 2",$H$203:$H$209)</f>
        <v>0</v>
      </c>
      <c r="P30" s="147">
        <f>E98+SUMIF($B$215:$B$221,"Tranche Optionnelle 2",$G$215:$G$221)</f>
        <v>0</v>
      </c>
      <c r="Q30" s="147">
        <f>F98+SUMIF($B$215:$B$221,"Tranche Optionnelle 2",$H$215:$H$221)</f>
        <v>0</v>
      </c>
      <c r="R30" s="148">
        <f t="shared" si="5"/>
        <v>0</v>
      </c>
      <c r="S30" s="148">
        <f t="shared" si="6"/>
        <v>0</v>
      </c>
    </row>
    <row r="31" spans="1:19" s="9" customFormat="1" ht="18" customHeight="1" x14ac:dyDescent="0.3">
      <c r="A31" s="25"/>
      <c r="B31" s="74"/>
      <c r="C31" s="22"/>
      <c r="D31" s="22"/>
      <c r="E31" s="22"/>
      <c r="F31" s="25"/>
      <c r="G31" s="25"/>
      <c r="H31" s="25"/>
      <c r="I31" s="25"/>
      <c r="J31" s="25"/>
      <c r="K31" s="25"/>
      <c r="L31" s="25"/>
      <c r="M31" s="145" t="s">
        <v>267</v>
      </c>
      <c r="N31" s="147">
        <f>E110+SUMIF($B$203:$B$209,"Tranche Optionnelle 3",$G$203:$G$209)</f>
        <v>0</v>
      </c>
      <c r="O31" s="147">
        <f>F110+SUMIF($B$203:$B$209,"Tranche Optionnelle 3",$H$203:$H$209)</f>
        <v>0</v>
      </c>
      <c r="P31" s="147">
        <f>E121+SUMIF($B$215:$B$221,"Tranche Optionnelle 3",$G$215:$G$221)</f>
        <v>0</v>
      </c>
      <c r="Q31" s="147">
        <f>F121+SUMIF($B$215:$B$221,"Tranche Optionnelle 3",$H$215:$H$221)</f>
        <v>0</v>
      </c>
      <c r="R31" s="148">
        <f t="shared" si="5"/>
        <v>0</v>
      </c>
      <c r="S31" s="148">
        <f t="shared" si="6"/>
        <v>0</v>
      </c>
    </row>
    <row r="32" spans="1:19" s="9" customFormat="1" ht="18" customHeight="1" x14ac:dyDescent="0.3">
      <c r="A32" s="25"/>
      <c r="B32" s="499" t="s">
        <v>25</v>
      </c>
      <c r="C32" s="499" t="s">
        <v>26</v>
      </c>
      <c r="D32" s="499"/>
      <c r="E32" s="499"/>
      <c r="F32" s="129" t="s">
        <v>189</v>
      </c>
      <c r="G32" s="130" t="s">
        <v>189</v>
      </c>
      <c r="H32" s="136" t="s">
        <v>159</v>
      </c>
      <c r="I32" s="136" t="s">
        <v>159</v>
      </c>
      <c r="J32" s="25"/>
      <c r="K32" s="25"/>
      <c r="L32" s="25"/>
      <c r="M32" s="145" t="s">
        <v>296</v>
      </c>
      <c r="N32" s="147">
        <f>E133+SUMIF($B$203:$B$209,"Tranche Optionnelle 4",$G$203:$G$209)</f>
        <v>0</v>
      </c>
      <c r="O32" s="147">
        <f>F133+SUMIF($B$203:$B$209,"Tranche Optionnelle 4",$H$203:$H$209)</f>
        <v>0</v>
      </c>
      <c r="P32" s="147">
        <f>E144+SUMIF($B$215:$B$221,"Tranche Optionnelle 4",$G$215:$G$221)</f>
        <v>0</v>
      </c>
      <c r="Q32" s="147">
        <f>F144+SUMIF($B$215:$B$221,"Tranche Optionnelle 4",$H$215:$H$221)</f>
        <v>0</v>
      </c>
      <c r="R32" s="148">
        <f t="shared" si="5"/>
        <v>0</v>
      </c>
      <c r="S32" s="148">
        <f t="shared" si="6"/>
        <v>0</v>
      </c>
    </row>
    <row r="33" spans="1:19" s="9" customFormat="1" ht="24" customHeight="1" x14ac:dyDescent="0.3">
      <c r="A33" s="25"/>
      <c r="B33" s="499"/>
      <c r="C33" s="499"/>
      <c r="D33" s="499"/>
      <c r="E33" s="499"/>
      <c r="F33" s="133">
        <f>C17</f>
        <v>0.1</v>
      </c>
      <c r="G33" s="134">
        <f>E17</f>
        <v>0.2</v>
      </c>
      <c r="H33" s="137" t="str">
        <f>"TVA"&amp;" "&amp;$C$17*100&amp;"%"</f>
        <v>TVA 10%</v>
      </c>
      <c r="I33" s="137" t="str">
        <f>"TVA"&amp;" "&amp;$E$17*100&amp;"%"</f>
        <v>TVA 20%</v>
      </c>
      <c r="J33" s="25"/>
      <c r="K33" s="25"/>
      <c r="L33" s="25"/>
      <c r="M33" s="145" t="s">
        <v>297</v>
      </c>
      <c r="N33" s="147">
        <f>E156+SUMIF($B$203:$B$209,"Tranche Optionnelle 5",$G$203:$G$209)</f>
        <v>0</v>
      </c>
      <c r="O33" s="147">
        <f>F156+SUMIF($B$203:$B$209,"Tranche Optionnelle 5",$H$203:$H$209)</f>
        <v>0</v>
      </c>
      <c r="P33" s="147">
        <f>E167+SUMIF($B$215:$B$221,"Tranche Optionnelle 5",$G$215:$G$221)</f>
        <v>0</v>
      </c>
      <c r="Q33" s="147">
        <f>F167+SUMIF($B$215:$B$221,"Tranche Optionnelle 5",$H$215:$H$221)</f>
        <v>0</v>
      </c>
      <c r="R33" s="148">
        <f t="shared" si="5"/>
        <v>0</v>
      </c>
      <c r="S33" s="148">
        <f t="shared" si="6"/>
        <v>0</v>
      </c>
    </row>
    <row r="34" spans="1:19" s="9" customFormat="1" ht="18" customHeight="1" x14ac:dyDescent="0.3">
      <c r="A34" s="25"/>
      <c r="B34" s="80" t="s">
        <v>1</v>
      </c>
      <c r="C34" s="497" t="str">
        <f>C5</f>
        <v>toto</v>
      </c>
      <c r="D34" s="497"/>
      <c r="E34" s="497"/>
      <c r="F34" s="16">
        <f>SUMIF($B$41:$B$221,"Titulaire_",($E$41:$E$221))</f>
        <v>355062.7</v>
      </c>
      <c r="G34" s="16">
        <f>SUMIF($B$41:$B$221,"Titulaire_",($F$41:$F$221))</f>
        <v>133346.85</v>
      </c>
      <c r="H34" s="119">
        <f>SUMIF($B$41:$B$221,"Titulaire_",($G$41:$G$221))</f>
        <v>355062.7</v>
      </c>
      <c r="I34" s="120">
        <f>SUMIF($B$41:$B$221,"Titulaire_",($H$41:$H$221))</f>
        <v>133346.85</v>
      </c>
      <c r="J34" s="25"/>
      <c r="K34" s="25"/>
      <c r="L34" s="25"/>
      <c r="M34" s="145" t="s">
        <v>298</v>
      </c>
      <c r="N34" s="147">
        <f>E179+SUMIF($B$203:$B$209,"Tranche Optionnelle 6",$G$203:$G$209)</f>
        <v>0</v>
      </c>
      <c r="O34" s="147">
        <f>F179+SUMIF($B$203:$B$209,"Tranche Optionnelle 6",$H$203:$H$209)</f>
        <v>0</v>
      </c>
      <c r="P34" s="147">
        <f>E190+SUMIF($B$215:$B$221,"Tranche Optionnelle 6",$G$215:$G$221)</f>
        <v>0</v>
      </c>
      <c r="Q34" s="147">
        <f>F190+SUMIF($B$215:$B$221,"Tranche Optionnelle 6",$H$215:$H$221)</f>
        <v>0</v>
      </c>
      <c r="R34" s="148">
        <f t="shared" si="5"/>
        <v>0</v>
      </c>
      <c r="S34" s="148">
        <f t="shared" si="6"/>
        <v>0</v>
      </c>
    </row>
    <row r="35" spans="1:19" s="9" customFormat="1" ht="18" customHeight="1" x14ac:dyDescent="0.3">
      <c r="A35" s="25"/>
      <c r="B35" s="80" t="s">
        <v>282</v>
      </c>
      <c r="C35" s="497">
        <f>C6</f>
        <v>0</v>
      </c>
      <c r="D35" s="497"/>
      <c r="E35" s="497"/>
      <c r="F35" s="131">
        <f>SUMIF($B$41:$B$221,"Cotraitant_1",($E$41:$E$221))</f>
        <v>0</v>
      </c>
      <c r="G35" s="131">
        <f>SUMIF($B$41:$B$221,"Cotraitant_1",($F$41:$F$221))</f>
        <v>0</v>
      </c>
      <c r="H35" s="119">
        <f>SUMIF($B$41:$B$221,"Cotraitant_1",($G$41:$G$221))</f>
        <v>0</v>
      </c>
      <c r="I35" s="120">
        <f>SUMIF($B$41:$B$221,"Cotraitant_1",($H$41:$H$221))</f>
        <v>0</v>
      </c>
      <c r="J35" s="25"/>
      <c r="K35" s="25"/>
      <c r="L35" s="25"/>
      <c r="M35" s="484" t="s">
        <v>314</v>
      </c>
      <c r="N35" s="484"/>
      <c r="O35" s="484"/>
      <c r="P35" s="484"/>
      <c r="Q35" s="484"/>
      <c r="R35"/>
      <c r="S35"/>
    </row>
    <row r="36" spans="1:19" s="9" customFormat="1" ht="18" customHeight="1" x14ac:dyDescent="0.3">
      <c r="A36" s="25"/>
      <c r="B36" s="25"/>
      <c r="C36" s="25"/>
      <c r="D36" s="25"/>
      <c r="E36" s="25"/>
      <c r="F36" s="25"/>
      <c r="G36" s="25"/>
      <c r="H36" s="25"/>
      <c r="I36" s="25"/>
      <c r="J36" s="25"/>
      <c r="K36" s="25"/>
      <c r="L36" s="25"/>
      <c r="M36" s="485"/>
      <c r="N36" s="485"/>
      <c r="O36" s="485"/>
      <c r="P36" s="485"/>
      <c r="Q36" s="485"/>
      <c r="R36"/>
      <c r="S36"/>
    </row>
    <row r="37" spans="1:19" s="9" customFormat="1" ht="18" customHeight="1" x14ac:dyDescent="0.3">
      <c r="A37" s="25"/>
      <c r="B37" s="69" t="s">
        <v>24</v>
      </c>
      <c r="C37" s="13" t="s">
        <v>194</v>
      </c>
      <c r="D37" s="81"/>
      <c r="E37" s="11" t="s">
        <v>195</v>
      </c>
      <c r="F37" s="109" t="s">
        <v>202</v>
      </c>
      <c r="G37" s="473" t="s">
        <v>251</v>
      </c>
      <c r="H37" s="473"/>
      <c r="I37" s="473" t="s">
        <v>252</v>
      </c>
      <c r="J37" s="473"/>
      <c r="K37" s="25"/>
      <c r="L37" s="25"/>
      <c r="M37" s="10"/>
      <c r="N37" s="481" t="s">
        <v>1</v>
      </c>
      <c r="O37" s="481"/>
      <c r="P37" s="481" t="s">
        <v>179</v>
      </c>
      <c r="Q37" s="481"/>
      <c r="R37" s="10"/>
      <c r="S37" s="10"/>
    </row>
    <row r="38" spans="1:19" s="9" customFormat="1" ht="18" customHeight="1" thickBot="1" x14ac:dyDescent="0.35">
      <c r="A38" s="500" t="s">
        <v>514</v>
      </c>
      <c r="B38" s="500"/>
      <c r="C38" s="18">
        <f>F18</f>
        <v>488409.55000000005</v>
      </c>
      <c r="D38" s="23"/>
      <c r="E38" s="18">
        <f>C38-(E41+F41+E52+F52)</f>
        <v>0</v>
      </c>
      <c r="F38" s="140" t="s">
        <v>174</v>
      </c>
      <c r="G38" s="504" t="s">
        <v>254</v>
      </c>
      <c r="H38" s="504"/>
      <c r="I38" s="474"/>
      <c r="J38" s="474"/>
      <c r="K38" s="25"/>
      <c r="L38" s="25"/>
      <c r="M38" s="10"/>
      <c r="N38" s="449">
        <f>C17</f>
        <v>0.1</v>
      </c>
      <c r="O38" s="449">
        <f>E17</f>
        <v>0.2</v>
      </c>
      <c r="P38" s="449">
        <f>C17</f>
        <v>0.1</v>
      </c>
      <c r="Q38" s="449">
        <f>E17</f>
        <v>0.2</v>
      </c>
      <c r="R38" s="10"/>
      <c r="S38" s="10"/>
    </row>
    <row r="39" spans="1:19" s="9" customFormat="1" ht="18" customHeight="1" x14ac:dyDescent="0.3">
      <c r="A39" s="501" t="s">
        <v>178</v>
      </c>
      <c r="B39" s="498" t="s">
        <v>25</v>
      </c>
      <c r="C39" s="499" t="s">
        <v>26</v>
      </c>
      <c r="D39" s="76"/>
      <c r="E39" s="129" t="s">
        <v>176</v>
      </c>
      <c r="F39" s="130" t="str">
        <f>E39</f>
        <v>Montant intial TVA</v>
      </c>
      <c r="G39" s="116" t="s">
        <v>159</v>
      </c>
      <c r="H39" s="117" t="s">
        <v>159</v>
      </c>
      <c r="I39" s="475" t="s">
        <v>304</v>
      </c>
      <c r="J39" s="25"/>
      <c r="K39" s="25"/>
      <c r="L39" s="25"/>
      <c r="M39" s="10" t="s">
        <v>264</v>
      </c>
      <c r="N39" s="141">
        <f>G41</f>
        <v>355062.7</v>
      </c>
      <c r="O39" s="141">
        <f>H41</f>
        <v>133346.85</v>
      </c>
      <c r="P39" s="141">
        <f>G52</f>
        <v>0</v>
      </c>
      <c r="Q39" s="141">
        <f>H52</f>
        <v>0</v>
      </c>
      <c r="R39" s="450">
        <f>N39+O39</f>
        <v>488409.55000000005</v>
      </c>
      <c r="S39" s="450">
        <f>P39+Q39</f>
        <v>0</v>
      </c>
    </row>
    <row r="40" spans="1:19" s="9" customFormat="1" ht="18" customHeight="1" x14ac:dyDescent="0.3">
      <c r="A40" s="502"/>
      <c r="B40" s="498"/>
      <c r="C40" s="499"/>
      <c r="D40" s="77"/>
      <c r="E40" s="127">
        <f>$C$17</f>
        <v>0.1</v>
      </c>
      <c r="F40" s="128">
        <f>$E$17</f>
        <v>0.2</v>
      </c>
      <c r="G40" s="66" t="str">
        <f>"TVA"&amp;" "&amp;$C$17*100&amp;"%"</f>
        <v>TVA 10%</v>
      </c>
      <c r="H40" s="66" t="str">
        <f>"TVA"&amp;" "&amp;$E$17*100&amp;"%"</f>
        <v>TVA 20%</v>
      </c>
      <c r="I40" s="476"/>
      <c r="J40" s="25"/>
      <c r="K40" s="25"/>
      <c r="L40" s="25"/>
      <c r="M40" s="10" t="s">
        <v>265</v>
      </c>
      <c r="N40" s="141">
        <f>G64</f>
        <v>0</v>
      </c>
      <c r="O40" s="141">
        <f>H64</f>
        <v>0</v>
      </c>
      <c r="P40" s="141">
        <f>G75</f>
        <v>0</v>
      </c>
      <c r="Q40" s="141">
        <f>H75</f>
        <v>0</v>
      </c>
      <c r="R40" s="450">
        <f t="shared" ref="R40:R45" si="7">N40+O40</f>
        <v>0</v>
      </c>
      <c r="S40" s="450">
        <f t="shared" ref="S40:S45" si="8">P40+Q40</f>
        <v>0</v>
      </c>
    </row>
    <row r="41" spans="1:19" s="9" customFormat="1" ht="18" customHeight="1" thickBot="1" x14ac:dyDescent="0.35">
      <c r="A41" s="502"/>
      <c r="B41" s="70" t="s">
        <v>535</v>
      </c>
      <c r="C41" s="20" t="str">
        <f>$C$5</f>
        <v>toto</v>
      </c>
      <c r="D41" s="78"/>
      <c r="E41" s="26">
        <f>C18-E52</f>
        <v>355062.7</v>
      </c>
      <c r="F41" s="62">
        <f>E18-F52</f>
        <v>133346.85</v>
      </c>
      <c r="G41" s="67">
        <f>E41-SUM(G42:G47)</f>
        <v>355062.7</v>
      </c>
      <c r="H41" s="118">
        <f>F41-SUM(H42:H47)</f>
        <v>133346.85</v>
      </c>
      <c r="I41" s="477"/>
      <c r="J41" s="25"/>
      <c r="K41" s="25"/>
      <c r="L41" s="25"/>
      <c r="M41" s="10" t="s">
        <v>266</v>
      </c>
      <c r="N41" s="141">
        <f>G87</f>
        <v>0</v>
      </c>
      <c r="O41" s="141">
        <f>H87</f>
        <v>0</v>
      </c>
      <c r="P41" s="141">
        <f>G98</f>
        <v>0</v>
      </c>
      <c r="Q41" s="141">
        <f>H98</f>
        <v>0</v>
      </c>
      <c r="R41" s="450">
        <f t="shared" si="7"/>
        <v>0</v>
      </c>
      <c r="S41" s="450">
        <f t="shared" si="8"/>
        <v>0</v>
      </c>
    </row>
    <row r="42" spans="1:19" s="9" customFormat="1" ht="18" customHeight="1" x14ac:dyDescent="0.3">
      <c r="A42" s="502"/>
      <c r="B42" s="97"/>
      <c r="C42" s="94"/>
      <c r="D42" s="79" t="str">
        <f t="shared" ref="D42:D47" si="9">B42&amp;" "&amp;C42&amp;" "&amp;"("&amp;$B$41&amp;")"</f>
        <v xml:space="preserve">  (Titulaire_)</v>
      </c>
      <c r="E42" s="27"/>
      <c r="F42" s="492" t="s">
        <v>177</v>
      </c>
      <c r="G42" s="95"/>
      <c r="H42" s="95"/>
      <c r="I42" s="121"/>
      <c r="J42" s="25"/>
      <c r="K42" s="25" t="s">
        <v>343</v>
      </c>
      <c r="L42" s="25"/>
      <c r="M42" s="10" t="s">
        <v>267</v>
      </c>
      <c r="N42" s="141">
        <f>G110</f>
        <v>0</v>
      </c>
      <c r="O42" s="141">
        <f>H110</f>
        <v>0</v>
      </c>
      <c r="P42" s="141">
        <f>G121</f>
        <v>0</v>
      </c>
      <c r="Q42" s="141">
        <f>H121</f>
        <v>0</v>
      </c>
      <c r="R42" s="450">
        <f t="shared" si="7"/>
        <v>0</v>
      </c>
      <c r="S42" s="450">
        <f t="shared" si="8"/>
        <v>0</v>
      </c>
    </row>
    <row r="43" spans="1:19" s="9" customFormat="1" ht="18" customHeight="1" x14ac:dyDescent="0.3">
      <c r="A43" s="502"/>
      <c r="B43" s="97"/>
      <c r="C43" s="94"/>
      <c r="D43" s="79" t="str">
        <f t="shared" si="9"/>
        <v xml:space="preserve">  (Titulaire_)</v>
      </c>
      <c r="E43" s="28"/>
      <c r="F43" s="493"/>
      <c r="G43" s="95"/>
      <c r="H43" s="96"/>
      <c r="I43" s="121"/>
      <c r="J43" s="25"/>
      <c r="K43" s="25"/>
      <c r="L43" s="25"/>
      <c r="M43" s="10" t="s">
        <v>296</v>
      </c>
      <c r="N43" s="141">
        <f>G133</f>
        <v>0</v>
      </c>
      <c r="O43" s="141">
        <f>H133</f>
        <v>0</v>
      </c>
      <c r="P43" s="141">
        <f>G144</f>
        <v>0</v>
      </c>
      <c r="Q43" s="141">
        <f>H144</f>
        <v>0</v>
      </c>
      <c r="R43" s="450">
        <f t="shared" si="7"/>
        <v>0</v>
      </c>
      <c r="S43" s="450">
        <f t="shared" si="8"/>
        <v>0</v>
      </c>
    </row>
    <row r="44" spans="1:19" s="9" customFormat="1" ht="18" customHeight="1" x14ac:dyDescent="0.3">
      <c r="A44" s="502"/>
      <c r="B44" s="97"/>
      <c r="C44" s="94"/>
      <c r="D44" s="79" t="str">
        <f t="shared" si="9"/>
        <v xml:space="preserve">  (Titulaire_)</v>
      </c>
      <c r="E44" s="28"/>
      <c r="F44" s="493"/>
      <c r="G44" s="95"/>
      <c r="H44" s="96"/>
      <c r="I44" s="121"/>
      <c r="J44" s="25"/>
      <c r="K44" s="25"/>
      <c r="L44" s="25"/>
      <c r="M44" s="10" t="s">
        <v>297</v>
      </c>
      <c r="N44" s="141">
        <f>G156</f>
        <v>0</v>
      </c>
      <c r="O44" s="141">
        <f>H156</f>
        <v>0</v>
      </c>
      <c r="P44" s="141">
        <f>G167</f>
        <v>0</v>
      </c>
      <c r="Q44" s="141">
        <f>H167</f>
        <v>0</v>
      </c>
      <c r="R44" s="450">
        <f t="shared" si="7"/>
        <v>0</v>
      </c>
      <c r="S44" s="450">
        <f t="shared" si="8"/>
        <v>0</v>
      </c>
    </row>
    <row r="45" spans="1:19" s="9" customFormat="1" ht="18" customHeight="1" x14ac:dyDescent="0.3">
      <c r="A45" s="502"/>
      <c r="B45" s="97"/>
      <c r="C45" s="94"/>
      <c r="D45" s="79" t="str">
        <f t="shared" si="9"/>
        <v xml:space="preserve">  (Titulaire_)</v>
      </c>
      <c r="E45" s="28"/>
      <c r="F45" s="493"/>
      <c r="G45" s="95"/>
      <c r="H45" s="96"/>
      <c r="I45" s="121"/>
      <c r="J45" s="25"/>
      <c r="K45" s="25"/>
      <c r="L45" s="25"/>
      <c r="M45" s="10" t="s">
        <v>298</v>
      </c>
      <c r="N45" s="141">
        <f>G179</f>
        <v>0</v>
      </c>
      <c r="O45" s="141">
        <f>H179</f>
        <v>0</v>
      </c>
      <c r="P45" s="141">
        <f>G190</f>
        <v>0</v>
      </c>
      <c r="Q45" s="141">
        <f>H190</f>
        <v>0</v>
      </c>
      <c r="R45" s="450">
        <f t="shared" si="7"/>
        <v>0</v>
      </c>
      <c r="S45" s="450">
        <f t="shared" si="8"/>
        <v>0</v>
      </c>
    </row>
    <row r="46" spans="1:19" s="9" customFormat="1" ht="18" customHeight="1" x14ac:dyDescent="0.3">
      <c r="A46" s="502"/>
      <c r="B46" s="97"/>
      <c r="C46" s="94"/>
      <c r="D46" s="79" t="str">
        <f t="shared" si="9"/>
        <v xml:space="preserve">  (Titulaire_)</v>
      </c>
      <c r="E46" s="28"/>
      <c r="F46" s="493"/>
      <c r="G46" s="95"/>
      <c r="H46" s="96"/>
      <c r="I46" s="121"/>
      <c r="J46" s="25"/>
      <c r="K46" s="25"/>
      <c r="L46" s="25"/>
      <c r="M46" s="485" t="s">
        <v>606</v>
      </c>
      <c r="N46" s="485"/>
      <c r="O46" s="485"/>
      <c r="P46" s="485"/>
      <c r="Q46" s="485"/>
    </row>
    <row r="47" spans="1:19" s="9" customFormat="1" ht="18" customHeight="1" thickBot="1" x14ac:dyDescent="0.35">
      <c r="A47" s="503"/>
      <c r="B47" s="97"/>
      <c r="C47" s="94"/>
      <c r="D47" s="153" t="str">
        <f t="shared" si="9"/>
        <v xml:space="preserve">  (Titulaire_)</v>
      </c>
      <c r="E47" s="29"/>
      <c r="F47" s="494"/>
      <c r="G47" s="95"/>
      <c r="H47" s="96"/>
      <c r="I47" s="121"/>
      <c r="J47" s="25"/>
      <c r="K47" s="25"/>
      <c r="L47" s="25"/>
    </row>
    <row r="48" spans="1:19" s="9" customFormat="1" ht="18" customHeight="1" x14ac:dyDescent="0.3">
      <c r="A48" s="514"/>
      <c r="B48" s="515"/>
      <c r="C48" s="515"/>
      <c r="D48" s="515"/>
      <c r="E48" s="516"/>
      <c r="F48" s="109" t="s">
        <v>202</v>
      </c>
      <c r="G48" s="473" t="s">
        <v>251</v>
      </c>
      <c r="H48" s="473"/>
      <c r="I48" s="473" t="s">
        <v>252</v>
      </c>
      <c r="J48" s="473"/>
      <c r="K48" s="25"/>
      <c r="L48" s="25"/>
    </row>
    <row r="49" spans="1:12" s="9" customFormat="1" ht="18" customHeight="1" thickBot="1" x14ac:dyDescent="0.35">
      <c r="A49" s="514"/>
      <c r="B49" s="515"/>
      <c r="C49" s="515"/>
      <c r="D49" s="515"/>
      <c r="E49" s="516"/>
      <c r="F49" s="140"/>
      <c r="G49" s="504"/>
      <c r="H49" s="504"/>
      <c r="I49" s="474"/>
      <c r="J49" s="474"/>
      <c r="K49" s="25"/>
      <c r="L49" s="25"/>
    </row>
    <row r="50" spans="1:12" s="9" customFormat="1" ht="18" customHeight="1" x14ac:dyDescent="0.3">
      <c r="A50" s="501" t="s">
        <v>178</v>
      </c>
      <c r="B50" s="498" t="s">
        <v>25</v>
      </c>
      <c r="C50" s="499" t="s">
        <v>26</v>
      </c>
      <c r="D50" s="76"/>
      <c r="E50" s="129" t="s">
        <v>176</v>
      </c>
      <c r="F50" s="130" t="str">
        <f>E50</f>
        <v>Montant intial TVA</v>
      </c>
      <c r="G50" s="64" t="s">
        <v>159</v>
      </c>
      <c r="H50" s="65" t="s">
        <v>159</v>
      </c>
      <c r="I50" s="475" t="s">
        <v>304</v>
      </c>
      <c r="J50" s="25"/>
      <c r="K50" s="25"/>
      <c r="L50" s="25"/>
    </row>
    <row r="51" spans="1:12" s="9" customFormat="1" ht="18" customHeight="1" x14ac:dyDescent="0.3">
      <c r="A51" s="502"/>
      <c r="B51" s="498"/>
      <c r="C51" s="499"/>
      <c r="D51" s="77"/>
      <c r="E51" s="127">
        <f>$C$17</f>
        <v>0.1</v>
      </c>
      <c r="F51" s="128">
        <f>$E$17</f>
        <v>0.2</v>
      </c>
      <c r="G51" s="66" t="str">
        <f>"TVA"&amp;" "&amp;$C$17*100&amp;"%"</f>
        <v>TVA 10%</v>
      </c>
      <c r="H51" s="66" t="str">
        <f>"TVA"&amp;" "&amp;$E$17*100&amp;"%"</f>
        <v>TVA 20%</v>
      </c>
      <c r="I51" s="476"/>
      <c r="J51" s="25"/>
      <c r="K51" s="25"/>
      <c r="L51" s="25"/>
    </row>
    <row r="52" spans="1:12" ht="19.5" thickBot="1" x14ac:dyDescent="0.35">
      <c r="A52" s="502"/>
      <c r="B52" s="70" t="str">
        <f>$B$6</f>
        <v>Cotraitant_1</v>
      </c>
      <c r="C52" s="20">
        <f>$C$6</f>
        <v>0</v>
      </c>
      <c r="D52" s="63"/>
      <c r="E52" s="104"/>
      <c r="F52" s="104"/>
      <c r="G52" s="67">
        <f>E52-SUM(G53:G58)</f>
        <v>0</v>
      </c>
      <c r="H52" s="68">
        <f>F52-SUM(H53:H58)</f>
        <v>0</v>
      </c>
      <c r="I52" s="477"/>
    </row>
    <row r="53" spans="1:12" x14ac:dyDescent="0.3">
      <c r="A53" s="502"/>
      <c r="B53" s="97"/>
      <c r="C53" s="94"/>
      <c r="D53" s="79" t="str">
        <f t="shared" ref="D53:D58" si="10">B53&amp;" "&amp;C53&amp;" "&amp;"("&amp;$B$52&amp;")"</f>
        <v xml:space="preserve">  (Cotraitant_1)</v>
      </c>
      <c r="E53" s="27"/>
      <c r="F53" s="492" t="s">
        <v>177</v>
      </c>
      <c r="G53" s="95"/>
      <c r="H53" s="95"/>
      <c r="I53" s="121"/>
    </row>
    <row r="54" spans="1:12" x14ac:dyDescent="0.3">
      <c r="A54" s="502"/>
      <c r="B54" s="97"/>
      <c r="C54" s="94"/>
      <c r="D54" s="79" t="str">
        <f t="shared" si="10"/>
        <v xml:space="preserve">  (Cotraitant_1)</v>
      </c>
      <c r="E54" s="28"/>
      <c r="F54" s="493"/>
      <c r="G54" s="96"/>
      <c r="H54" s="96"/>
      <c r="I54" s="121"/>
    </row>
    <row r="55" spans="1:12" x14ac:dyDescent="0.3">
      <c r="A55" s="502"/>
      <c r="B55" s="97"/>
      <c r="C55" s="94"/>
      <c r="D55" s="79" t="str">
        <f t="shared" si="10"/>
        <v xml:space="preserve">  (Cotraitant_1)</v>
      </c>
      <c r="E55" s="28"/>
      <c r="F55" s="493"/>
      <c r="G55" s="96"/>
      <c r="H55" s="96"/>
      <c r="I55" s="121"/>
    </row>
    <row r="56" spans="1:12" x14ac:dyDescent="0.3">
      <c r="A56" s="502"/>
      <c r="B56" s="97"/>
      <c r="C56" s="94"/>
      <c r="D56" s="79" t="str">
        <f t="shared" si="10"/>
        <v xml:space="preserve">  (Cotraitant_1)</v>
      </c>
      <c r="E56" s="28"/>
      <c r="F56" s="493"/>
      <c r="G56" s="96"/>
      <c r="H56" s="96"/>
      <c r="I56" s="121"/>
    </row>
    <row r="57" spans="1:12" x14ac:dyDescent="0.3">
      <c r="A57" s="502"/>
      <c r="B57" s="97"/>
      <c r="C57" s="94"/>
      <c r="D57" s="79" t="str">
        <f t="shared" si="10"/>
        <v xml:space="preserve">  (Cotraitant_1)</v>
      </c>
      <c r="E57" s="28"/>
      <c r="F57" s="493"/>
      <c r="G57" s="96"/>
      <c r="H57" s="96"/>
      <c r="I57" s="121"/>
    </row>
    <row r="58" spans="1:12" ht="19.5" thickBot="1" x14ac:dyDescent="0.35">
      <c r="A58" s="503"/>
      <c r="B58" s="97"/>
      <c r="C58" s="94"/>
      <c r="D58" s="153" t="str">
        <f t="shared" si="10"/>
        <v xml:space="preserve">  (Cotraitant_1)</v>
      </c>
      <c r="E58" s="29"/>
      <c r="F58" s="494"/>
      <c r="G58" s="96"/>
      <c r="H58" s="96"/>
      <c r="I58" s="121"/>
    </row>
    <row r="59" spans="1:12" x14ac:dyDescent="0.3">
      <c r="A59" s="25"/>
      <c r="B59" s="25"/>
      <c r="C59" s="25"/>
      <c r="D59" s="25"/>
      <c r="E59" s="25"/>
      <c r="F59" s="25"/>
      <c r="G59" s="25"/>
      <c r="H59" s="25"/>
      <c r="I59" s="25"/>
    </row>
    <row r="60" spans="1:12" x14ac:dyDescent="0.3">
      <c r="A60" s="25"/>
      <c r="B60" s="69" t="s">
        <v>24</v>
      </c>
      <c r="C60" s="13" t="s">
        <v>194</v>
      </c>
      <c r="D60" s="81"/>
      <c r="E60" s="85" t="s">
        <v>195</v>
      </c>
      <c r="F60" s="109" t="s">
        <v>202</v>
      </c>
      <c r="G60" s="473" t="s">
        <v>251</v>
      </c>
      <c r="H60" s="473"/>
      <c r="I60" s="473" t="s">
        <v>252</v>
      </c>
      <c r="J60" s="473"/>
    </row>
    <row r="61" spans="1:12" ht="19.5" thickBot="1" x14ac:dyDescent="0.35">
      <c r="A61" s="500" t="s">
        <v>515</v>
      </c>
      <c r="B61" s="500"/>
      <c r="C61" s="18">
        <f>F19</f>
        <v>0</v>
      </c>
      <c r="D61" s="23"/>
      <c r="E61" s="18">
        <f>C61-(E64+F64+E75+F75)</f>
        <v>0</v>
      </c>
      <c r="F61" s="138"/>
      <c r="G61" s="504"/>
      <c r="H61" s="504"/>
      <c r="I61" s="474"/>
      <c r="J61" s="474"/>
    </row>
    <row r="62" spans="1:12" ht="18.75" customHeight="1" x14ac:dyDescent="0.3">
      <c r="A62" s="501" t="str">
        <f>$A$61</f>
        <v>Tranche_OPTIONNELLE_1</v>
      </c>
      <c r="B62" s="498" t="s">
        <v>25</v>
      </c>
      <c r="C62" s="499" t="s">
        <v>26</v>
      </c>
      <c r="D62" s="76"/>
      <c r="E62" s="129" t="s">
        <v>176</v>
      </c>
      <c r="F62" s="130" t="str">
        <f>E62</f>
        <v>Montant intial TVA</v>
      </c>
      <c r="G62" s="116" t="s">
        <v>159</v>
      </c>
      <c r="H62" s="117" t="s">
        <v>159</v>
      </c>
      <c r="I62" s="475" t="s">
        <v>304</v>
      </c>
    </row>
    <row r="63" spans="1:12" x14ac:dyDescent="0.3">
      <c r="A63" s="502"/>
      <c r="B63" s="498"/>
      <c r="C63" s="499"/>
      <c r="D63" s="77"/>
      <c r="E63" s="127">
        <f>$C$17</f>
        <v>0.1</v>
      </c>
      <c r="F63" s="128">
        <f>$E$17</f>
        <v>0.2</v>
      </c>
      <c r="G63" s="66" t="str">
        <f>"TVA"&amp;" "&amp;$C$17*100&amp;"%"</f>
        <v>TVA 10%</v>
      </c>
      <c r="H63" s="66" t="str">
        <f>"TVA"&amp;" "&amp;$E$17*100&amp;"%"</f>
        <v>TVA 20%</v>
      </c>
      <c r="I63" s="476"/>
    </row>
    <row r="64" spans="1:12" ht="19.5" thickBot="1" x14ac:dyDescent="0.35">
      <c r="A64" s="502"/>
      <c r="B64" s="70" t="s">
        <v>1</v>
      </c>
      <c r="C64" s="132" t="str">
        <f>$C$5</f>
        <v>toto</v>
      </c>
      <c r="D64" s="78"/>
      <c r="E64" s="26">
        <f>C19-E75</f>
        <v>0</v>
      </c>
      <c r="F64" s="26">
        <f>E19-F75</f>
        <v>0</v>
      </c>
      <c r="G64" s="67">
        <f>E64-SUM(G65:G70)</f>
        <v>0</v>
      </c>
      <c r="H64" s="118">
        <f>F64-SUM(H65:H70)</f>
        <v>0</v>
      </c>
      <c r="I64" s="477"/>
    </row>
    <row r="65" spans="1:10" ht="18.75" customHeight="1" x14ac:dyDescent="0.3">
      <c r="A65" s="502"/>
      <c r="B65" s="97"/>
      <c r="C65" s="94"/>
      <c r="D65" s="79" t="str">
        <f t="shared" ref="D65:D70" si="11">B65&amp;" "&amp;C65&amp;" "&amp;"("&amp;$B$41&amp;")"</f>
        <v xml:space="preserve">  (Titulaire_)</v>
      </c>
      <c r="E65" s="27"/>
      <c r="F65" s="492" t="s">
        <v>177</v>
      </c>
      <c r="G65" s="95"/>
      <c r="H65" s="95"/>
      <c r="I65" s="121"/>
    </row>
    <row r="66" spans="1:10" x14ac:dyDescent="0.3">
      <c r="A66" s="502"/>
      <c r="B66" s="97"/>
      <c r="C66" s="94"/>
      <c r="D66" s="79" t="str">
        <f t="shared" si="11"/>
        <v xml:space="preserve">  (Titulaire_)</v>
      </c>
      <c r="E66" s="28"/>
      <c r="F66" s="493"/>
      <c r="G66" s="95"/>
      <c r="H66" s="96"/>
      <c r="I66" s="121"/>
    </row>
    <row r="67" spans="1:10" x14ac:dyDescent="0.3">
      <c r="A67" s="502"/>
      <c r="B67" s="97"/>
      <c r="C67" s="94"/>
      <c r="D67" s="79" t="str">
        <f t="shared" si="11"/>
        <v xml:space="preserve">  (Titulaire_)</v>
      </c>
      <c r="E67" s="28"/>
      <c r="F67" s="493"/>
      <c r="G67" s="95"/>
      <c r="H67" s="96"/>
      <c r="I67" s="121"/>
    </row>
    <row r="68" spans="1:10" x14ac:dyDescent="0.3">
      <c r="A68" s="502"/>
      <c r="B68" s="97"/>
      <c r="C68" s="94"/>
      <c r="D68" s="79" t="str">
        <f t="shared" si="11"/>
        <v xml:space="preserve">  (Titulaire_)</v>
      </c>
      <c r="E68" s="28"/>
      <c r="F68" s="493"/>
      <c r="G68" s="95"/>
      <c r="H68" s="96"/>
      <c r="I68" s="121"/>
    </row>
    <row r="69" spans="1:10" x14ac:dyDescent="0.3">
      <c r="A69" s="502"/>
      <c r="B69" s="97"/>
      <c r="C69" s="94"/>
      <c r="D69" s="79" t="str">
        <f t="shared" si="11"/>
        <v xml:space="preserve">  (Titulaire_)</v>
      </c>
      <c r="E69" s="28"/>
      <c r="F69" s="493"/>
      <c r="G69" s="95"/>
      <c r="H69" s="96"/>
      <c r="I69" s="121"/>
    </row>
    <row r="70" spans="1:10" ht="19.5" thickBot="1" x14ac:dyDescent="0.35">
      <c r="A70" s="503"/>
      <c r="B70" s="97"/>
      <c r="C70" s="94"/>
      <c r="D70" s="79" t="str">
        <f t="shared" si="11"/>
        <v xml:space="preserve">  (Titulaire_)</v>
      </c>
      <c r="E70" s="29"/>
      <c r="F70" s="494"/>
      <c r="G70" s="95"/>
      <c r="H70" s="96"/>
      <c r="I70" s="121"/>
    </row>
    <row r="71" spans="1:10" x14ac:dyDescent="0.3">
      <c r="A71" s="514"/>
      <c r="B71" s="515"/>
      <c r="C71" s="515"/>
      <c r="D71" s="515"/>
      <c r="E71" s="516"/>
      <c r="F71" s="109" t="s">
        <v>202</v>
      </c>
      <c r="G71" s="473" t="s">
        <v>251</v>
      </c>
      <c r="H71" s="473"/>
      <c r="I71" s="473" t="s">
        <v>252</v>
      </c>
      <c r="J71" s="473"/>
    </row>
    <row r="72" spans="1:10" ht="19.5" thickBot="1" x14ac:dyDescent="0.35">
      <c r="A72" s="514"/>
      <c r="B72" s="515"/>
      <c r="C72" s="515"/>
      <c r="D72" s="515"/>
      <c r="E72" s="516"/>
      <c r="F72" s="152"/>
      <c r="G72" s="504"/>
      <c r="H72" s="504"/>
      <c r="I72" s="474"/>
      <c r="J72" s="474"/>
    </row>
    <row r="73" spans="1:10" ht="18.75" customHeight="1" x14ac:dyDescent="0.3">
      <c r="A73" s="501" t="str">
        <f>$A$61</f>
        <v>Tranche_OPTIONNELLE_1</v>
      </c>
      <c r="B73" s="498" t="s">
        <v>25</v>
      </c>
      <c r="C73" s="499" t="s">
        <v>26</v>
      </c>
      <c r="D73" s="76"/>
      <c r="E73" s="129" t="s">
        <v>176</v>
      </c>
      <c r="F73" s="130" t="str">
        <f>E73</f>
        <v>Montant intial TVA</v>
      </c>
      <c r="G73" s="64" t="s">
        <v>159</v>
      </c>
      <c r="H73" s="65" t="s">
        <v>159</v>
      </c>
      <c r="I73" s="475" t="s">
        <v>304</v>
      </c>
    </row>
    <row r="74" spans="1:10" x14ac:dyDescent="0.3">
      <c r="A74" s="502"/>
      <c r="B74" s="498"/>
      <c r="C74" s="499"/>
      <c r="D74" s="77"/>
      <c r="E74" s="127">
        <f>$C$17</f>
        <v>0.1</v>
      </c>
      <c r="F74" s="128">
        <f>$E$17</f>
        <v>0.2</v>
      </c>
      <c r="G74" s="66" t="str">
        <f>"TVA"&amp;" "&amp;$C$17*100&amp;"%"</f>
        <v>TVA 10%</v>
      </c>
      <c r="H74" s="66" t="str">
        <f>"TVA"&amp;" "&amp;$E$17*100&amp;"%"</f>
        <v>TVA 20%</v>
      </c>
      <c r="I74" s="476"/>
    </row>
    <row r="75" spans="1:10" ht="19.5" thickBot="1" x14ac:dyDescent="0.35">
      <c r="A75" s="502"/>
      <c r="B75" s="70" t="str">
        <f>$B$6</f>
        <v>Cotraitant_1</v>
      </c>
      <c r="C75" s="132">
        <f>$C$6</f>
        <v>0</v>
      </c>
      <c r="D75" s="63"/>
      <c r="E75" s="104"/>
      <c r="F75" s="104"/>
      <c r="G75" s="67">
        <f>E75-SUM(G76:G81)</f>
        <v>0</v>
      </c>
      <c r="H75" s="68">
        <f>F75-SUM(H76:H81)</f>
        <v>0</v>
      </c>
      <c r="I75" s="477"/>
    </row>
    <row r="76" spans="1:10" ht="18.75" customHeight="1" x14ac:dyDescent="0.3">
      <c r="A76" s="502"/>
      <c r="B76" s="97"/>
      <c r="C76" s="94"/>
      <c r="D76" s="79" t="str">
        <f t="shared" ref="D76:D81" si="12">B76&amp;" "&amp;C76&amp;" "&amp;"("&amp;$B$52&amp;")"</f>
        <v xml:space="preserve">  (Cotraitant_1)</v>
      </c>
      <c r="E76" s="27"/>
      <c r="F76" s="492" t="s">
        <v>177</v>
      </c>
      <c r="G76" s="95"/>
      <c r="H76" s="95"/>
      <c r="I76" s="121"/>
    </row>
    <row r="77" spans="1:10" x14ac:dyDescent="0.3">
      <c r="A77" s="502"/>
      <c r="B77" s="97"/>
      <c r="C77" s="94"/>
      <c r="D77" s="79" t="str">
        <f t="shared" si="12"/>
        <v xml:space="preserve">  (Cotraitant_1)</v>
      </c>
      <c r="E77" s="28"/>
      <c r="F77" s="493"/>
      <c r="G77" s="96"/>
      <c r="H77" s="96"/>
      <c r="I77" s="121"/>
    </row>
    <row r="78" spans="1:10" x14ac:dyDescent="0.3">
      <c r="A78" s="502"/>
      <c r="B78" s="97"/>
      <c r="C78" s="94"/>
      <c r="D78" s="79" t="str">
        <f t="shared" si="12"/>
        <v xml:space="preserve">  (Cotraitant_1)</v>
      </c>
      <c r="E78" s="28"/>
      <c r="F78" s="493"/>
      <c r="G78" s="96"/>
      <c r="H78" s="96"/>
      <c r="I78" s="121"/>
    </row>
    <row r="79" spans="1:10" x14ac:dyDescent="0.3">
      <c r="A79" s="502"/>
      <c r="B79" s="97"/>
      <c r="C79" s="94"/>
      <c r="D79" s="79" t="str">
        <f t="shared" si="12"/>
        <v xml:space="preserve">  (Cotraitant_1)</v>
      </c>
      <c r="E79" s="28"/>
      <c r="F79" s="493"/>
      <c r="G79" s="96"/>
      <c r="H79" s="96"/>
      <c r="I79" s="121"/>
    </row>
    <row r="80" spans="1:10" x14ac:dyDescent="0.3">
      <c r="A80" s="502"/>
      <c r="B80" s="97"/>
      <c r="C80" s="94"/>
      <c r="D80" s="79" t="str">
        <f t="shared" si="12"/>
        <v xml:space="preserve">  (Cotraitant_1)</v>
      </c>
      <c r="E80" s="28"/>
      <c r="F80" s="493"/>
      <c r="G80" s="96"/>
      <c r="H80" s="96"/>
      <c r="I80" s="121"/>
    </row>
    <row r="81" spans="1:10" ht="19.5" thickBot="1" x14ac:dyDescent="0.35">
      <c r="A81" s="503"/>
      <c r="B81" s="97"/>
      <c r="C81" s="94"/>
      <c r="D81" s="79" t="str">
        <f t="shared" si="12"/>
        <v xml:space="preserve">  (Cotraitant_1)</v>
      </c>
      <c r="E81" s="29"/>
      <c r="F81" s="494"/>
      <c r="G81" s="96"/>
      <c r="H81" s="96"/>
      <c r="I81" s="121"/>
    </row>
    <row r="83" spans="1:10" x14ac:dyDescent="0.3">
      <c r="A83" s="25"/>
      <c r="B83" s="69" t="s">
        <v>24</v>
      </c>
      <c r="C83" s="13" t="s">
        <v>194</v>
      </c>
      <c r="D83" s="81"/>
      <c r="E83" s="85" t="s">
        <v>195</v>
      </c>
      <c r="F83" s="109" t="s">
        <v>202</v>
      </c>
      <c r="G83" s="473" t="s">
        <v>251</v>
      </c>
      <c r="H83" s="473"/>
      <c r="I83" s="473" t="s">
        <v>252</v>
      </c>
      <c r="J83" s="473"/>
    </row>
    <row r="84" spans="1:10" ht="19.5" thickBot="1" x14ac:dyDescent="0.35">
      <c r="A84" s="500" t="s">
        <v>516</v>
      </c>
      <c r="B84" s="500"/>
      <c r="C84" s="18">
        <f>F20</f>
        <v>0</v>
      </c>
      <c r="D84" s="23"/>
      <c r="E84" s="18">
        <f>C84-(E87+F87+E98+F98)</f>
        <v>0</v>
      </c>
      <c r="F84" s="110"/>
      <c r="G84" s="504"/>
      <c r="H84" s="504"/>
      <c r="I84" s="474"/>
      <c r="J84" s="474"/>
    </row>
    <row r="85" spans="1:10" ht="18.75" customHeight="1" x14ac:dyDescent="0.3">
      <c r="A85" s="501" t="str">
        <f>$A$84</f>
        <v>Tranche_OPTIONNELLE_2</v>
      </c>
      <c r="B85" s="498" t="s">
        <v>25</v>
      </c>
      <c r="C85" s="499" t="s">
        <v>26</v>
      </c>
      <c r="D85" s="76"/>
      <c r="E85" s="129" t="s">
        <v>176</v>
      </c>
      <c r="F85" s="130" t="str">
        <f>E85</f>
        <v>Montant intial TVA</v>
      </c>
      <c r="G85" s="116" t="s">
        <v>159</v>
      </c>
      <c r="H85" s="117" t="s">
        <v>159</v>
      </c>
      <c r="I85" s="475" t="s">
        <v>304</v>
      </c>
    </row>
    <row r="86" spans="1:10" x14ac:dyDescent="0.3">
      <c r="A86" s="502"/>
      <c r="B86" s="498"/>
      <c r="C86" s="499"/>
      <c r="D86" s="77"/>
      <c r="E86" s="127">
        <f>$C$17</f>
        <v>0.1</v>
      </c>
      <c r="F86" s="128">
        <f>$E$17</f>
        <v>0.2</v>
      </c>
      <c r="G86" s="66" t="str">
        <f>"TVA"&amp;" "&amp;$C$17*100&amp;"%"</f>
        <v>TVA 10%</v>
      </c>
      <c r="H86" s="66" t="str">
        <f>"TVA"&amp;" "&amp;$E$17*100&amp;"%"</f>
        <v>TVA 20%</v>
      </c>
      <c r="I86" s="476"/>
    </row>
    <row r="87" spans="1:10" ht="19.5" thickBot="1" x14ac:dyDescent="0.35">
      <c r="A87" s="502"/>
      <c r="B87" s="70" t="s">
        <v>1</v>
      </c>
      <c r="C87" s="132" t="str">
        <f>$C$5</f>
        <v>toto</v>
      </c>
      <c r="D87" s="78"/>
      <c r="E87" s="26">
        <f>C20-E98</f>
        <v>0</v>
      </c>
      <c r="F87" s="26">
        <f>E20-F98</f>
        <v>0</v>
      </c>
      <c r="G87" s="67">
        <f>E87-SUM(G88:G93)</f>
        <v>0</v>
      </c>
      <c r="H87" s="118">
        <f>F87-SUM(H88:H93)</f>
        <v>0</v>
      </c>
      <c r="I87" s="477"/>
    </row>
    <row r="88" spans="1:10" x14ac:dyDescent="0.3">
      <c r="A88" s="502"/>
      <c r="B88" s="97"/>
      <c r="C88" s="94"/>
      <c r="D88" s="79" t="str">
        <f t="shared" ref="D88:D93" si="13">B88&amp;" "&amp;C88&amp;" "&amp;"("&amp;$B$41&amp;")"</f>
        <v xml:space="preserve">  (Titulaire_)</v>
      </c>
      <c r="E88" s="27"/>
      <c r="F88" s="492" t="s">
        <v>177</v>
      </c>
      <c r="G88" s="95"/>
      <c r="H88" s="95"/>
      <c r="I88" s="121"/>
    </row>
    <row r="89" spans="1:10" x14ac:dyDescent="0.3">
      <c r="A89" s="502"/>
      <c r="B89" s="97"/>
      <c r="C89" s="94"/>
      <c r="D89" s="79" t="str">
        <f t="shared" si="13"/>
        <v xml:space="preserve">  (Titulaire_)</v>
      </c>
      <c r="E89" s="28"/>
      <c r="F89" s="493"/>
      <c r="G89" s="95"/>
      <c r="H89" s="96"/>
      <c r="I89" s="121"/>
    </row>
    <row r="90" spans="1:10" x14ac:dyDescent="0.3">
      <c r="A90" s="502"/>
      <c r="B90" s="97"/>
      <c r="C90" s="94"/>
      <c r="D90" s="79" t="str">
        <f t="shared" si="13"/>
        <v xml:space="preserve">  (Titulaire_)</v>
      </c>
      <c r="E90" s="28"/>
      <c r="F90" s="493"/>
      <c r="G90" s="95"/>
      <c r="H90" s="96"/>
      <c r="I90" s="121"/>
    </row>
    <row r="91" spans="1:10" x14ac:dyDescent="0.3">
      <c r="A91" s="502"/>
      <c r="B91" s="97"/>
      <c r="C91" s="94"/>
      <c r="D91" s="79" t="str">
        <f t="shared" si="13"/>
        <v xml:space="preserve">  (Titulaire_)</v>
      </c>
      <c r="E91" s="28"/>
      <c r="F91" s="493"/>
      <c r="G91" s="95"/>
      <c r="H91" s="96"/>
      <c r="I91" s="121"/>
    </row>
    <row r="92" spans="1:10" x14ac:dyDescent="0.3">
      <c r="A92" s="502"/>
      <c r="B92" s="97"/>
      <c r="C92" s="94"/>
      <c r="D92" s="79" t="str">
        <f t="shared" si="13"/>
        <v xml:space="preserve">  (Titulaire_)</v>
      </c>
      <c r="E92" s="28"/>
      <c r="F92" s="493"/>
      <c r="G92" s="95"/>
      <c r="H92" s="96"/>
      <c r="I92" s="121"/>
    </row>
    <row r="93" spans="1:10" ht="19.5" thickBot="1" x14ac:dyDescent="0.35">
      <c r="A93" s="503"/>
      <c r="B93" s="97"/>
      <c r="C93" s="94"/>
      <c r="D93" s="79" t="str">
        <f t="shared" si="13"/>
        <v xml:space="preserve">  (Titulaire_)</v>
      </c>
      <c r="E93" s="29"/>
      <c r="F93" s="494"/>
      <c r="G93" s="95"/>
      <c r="H93" s="96"/>
      <c r="I93" s="121"/>
    </row>
    <row r="94" spans="1:10" x14ac:dyDescent="0.3">
      <c r="A94" s="514"/>
      <c r="B94" s="515"/>
      <c r="C94" s="515"/>
      <c r="D94" s="515"/>
      <c r="E94" s="516"/>
      <c r="F94" s="109" t="s">
        <v>202</v>
      </c>
      <c r="G94" s="473" t="s">
        <v>251</v>
      </c>
      <c r="H94" s="473"/>
      <c r="I94" s="473" t="s">
        <v>252</v>
      </c>
      <c r="J94" s="473"/>
    </row>
    <row r="95" spans="1:10" ht="19.5" thickBot="1" x14ac:dyDescent="0.35">
      <c r="A95" s="514"/>
      <c r="B95" s="515"/>
      <c r="C95" s="515"/>
      <c r="D95" s="515"/>
      <c r="E95" s="516"/>
      <c r="F95" s="110"/>
      <c r="G95" s="504"/>
      <c r="H95" s="504"/>
      <c r="I95" s="474"/>
      <c r="J95" s="474"/>
    </row>
    <row r="96" spans="1:10" ht="18.75" customHeight="1" x14ac:dyDescent="0.3">
      <c r="A96" s="501" t="str">
        <f>$A$84</f>
        <v>Tranche_OPTIONNELLE_2</v>
      </c>
      <c r="B96" s="498" t="s">
        <v>25</v>
      </c>
      <c r="C96" s="499" t="s">
        <v>26</v>
      </c>
      <c r="D96" s="76"/>
      <c r="E96" s="129" t="s">
        <v>176</v>
      </c>
      <c r="F96" s="130" t="str">
        <f>E96</f>
        <v>Montant intial TVA</v>
      </c>
      <c r="G96" s="64" t="s">
        <v>159</v>
      </c>
      <c r="H96" s="65" t="s">
        <v>159</v>
      </c>
      <c r="I96" s="475" t="s">
        <v>304</v>
      </c>
    </row>
    <row r="97" spans="1:10" x14ac:dyDescent="0.3">
      <c r="A97" s="502"/>
      <c r="B97" s="498"/>
      <c r="C97" s="499"/>
      <c r="D97" s="77"/>
      <c r="E97" s="127">
        <f>$C$17</f>
        <v>0.1</v>
      </c>
      <c r="F97" s="128">
        <f>$E$17</f>
        <v>0.2</v>
      </c>
      <c r="G97" s="66" t="str">
        <f>"TVA"&amp;" "&amp;$C$17*100&amp;"%"</f>
        <v>TVA 10%</v>
      </c>
      <c r="H97" s="66" t="str">
        <f>"TVA"&amp;" "&amp;$E$17*100&amp;"%"</f>
        <v>TVA 20%</v>
      </c>
      <c r="I97" s="476"/>
    </row>
    <row r="98" spans="1:10" ht="19.5" thickBot="1" x14ac:dyDescent="0.35">
      <c r="A98" s="502"/>
      <c r="B98" s="70" t="str">
        <f>$B$6</f>
        <v>Cotraitant_1</v>
      </c>
      <c r="C98" s="132">
        <f>$C$6</f>
        <v>0</v>
      </c>
      <c r="D98" s="63"/>
      <c r="E98" s="104"/>
      <c r="F98" s="104"/>
      <c r="G98" s="67">
        <f>E98-SUM(G99:G104)</f>
        <v>0</v>
      </c>
      <c r="H98" s="68">
        <f>F98-SUM(H99:H104)</f>
        <v>0</v>
      </c>
      <c r="I98" s="477"/>
    </row>
    <row r="99" spans="1:10" x14ac:dyDescent="0.3">
      <c r="A99" s="502"/>
      <c r="B99" s="97"/>
      <c r="C99" s="94"/>
      <c r="D99" s="79" t="str">
        <f t="shared" ref="D99:D104" si="14">B99&amp;" "&amp;C99&amp;" "&amp;"("&amp;$B$52&amp;")"</f>
        <v xml:space="preserve">  (Cotraitant_1)</v>
      </c>
      <c r="E99" s="27"/>
      <c r="F99" s="492" t="s">
        <v>177</v>
      </c>
      <c r="G99" s="95"/>
      <c r="H99" s="95"/>
      <c r="I99" s="121"/>
    </row>
    <row r="100" spans="1:10" x14ac:dyDescent="0.3">
      <c r="A100" s="502"/>
      <c r="B100" s="97"/>
      <c r="C100" s="94"/>
      <c r="D100" s="79" t="str">
        <f t="shared" si="14"/>
        <v xml:space="preserve">  (Cotraitant_1)</v>
      </c>
      <c r="E100" s="28"/>
      <c r="F100" s="493"/>
      <c r="G100" s="96"/>
      <c r="H100" s="96"/>
      <c r="I100" s="121"/>
    </row>
    <row r="101" spans="1:10" x14ac:dyDescent="0.3">
      <c r="A101" s="502"/>
      <c r="B101" s="97"/>
      <c r="C101" s="94"/>
      <c r="D101" s="79" t="str">
        <f t="shared" si="14"/>
        <v xml:space="preserve">  (Cotraitant_1)</v>
      </c>
      <c r="E101" s="28"/>
      <c r="F101" s="493"/>
      <c r="G101" s="96"/>
      <c r="H101" s="96"/>
      <c r="I101" s="121"/>
    </row>
    <row r="102" spans="1:10" x14ac:dyDescent="0.3">
      <c r="A102" s="502"/>
      <c r="B102" s="97"/>
      <c r="C102" s="94"/>
      <c r="D102" s="79" t="str">
        <f t="shared" si="14"/>
        <v xml:space="preserve">  (Cotraitant_1)</v>
      </c>
      <c r="E102" s="28"/>
      <c r="F102" s="493"/>
      <c r="G102" s="96"/>
      <c r="H102" s="96"/>
      <c r="I102" s="121"/>
    </row>
    <row r="103" spans="1:10" x14ac:dyDescent="0.3">
      <c r="A103" s="502"/>
      <c r="B103" s="97"/>
      <c r="C103" s="94"/>
      <c r="D103" s="79" t="str">
        <f t="shared" si="14"/>
        <v xml:space="preserve">  (Cotraitant_1)</v>
      </c>
      <c r="E103" s="28"/>
      <c r="F103" s="493"/>
      <c r="G103" s="96"/>
      <c r="H103" s="96"/>
      <c r="I103" s="121"/>
    </row>
    <row r="104" spans="1:10" ht="19.5" thickBot="1" x14ac:dyDescent="0.35">
      <c r="A104" s="503"/>
      <c r="B104" s="97"/>
      <c r="C104" s="94"/>
      <c r="D104" s="79" t="str">
        <f t="shared" si="14"/>
        <v xml:space="preserve">  (Cotraitant_1)</v>
      </c>
      <c r="E104" s="29"/>
      <c r="F104" s="494"/>
      <c r="G104" s="96"/>
      <c r="H104" s="96"/>
      <c r="I104" s="121"/>
    </row>
    <row r="106" spans="1:10" x14ac:dyDescent="0.3">
      <c r="A106" s="25"/>
      <c r="B106" s="69" t="s">
        <v>24</v>
      </c>
      <c r="C106" s="13" t="s">
        <v>194</v>
      </c>
      <c r="D106" s="81"/>
      <c r="E106" s="85" t="s">
        <v>195</v>
      </c>
      <c r="F106" s="109" t="s">
        <v>202</v>
      </c>
      <c r="G106" s="473" t="s">
        <v>251</v>
      </c>
      <c r="H106" s="473"/>
      <c r="I106" s="473" t="s">
        <v>252</v>
      </c>
      <c r="J106" s="473"/>
    </row>
    <row r="107" spans="1:10" ht="19.5" thickBot="1" x14ac:dyDescent="0.35">
      <c r="A107" s="500" t="s">
        <v>517</v>
      </c>
      <c r="B107" s="500"/>
      <c r="C107" s="18">
        <f>F21</f>
        <v>0</v>
      </c>
      <c r="D107" s="23"/>
      <c r="E107" s="18">
        <f>C107-(E110+F110+E121+F121)</f>
        <v>0</v>
      </c>
      <c r="F107" s="110"/>
      <c r="G107" s="504"/>
      <c r="H107" s="504"/>
      <c r="I107" s="474"/>
      <c r="J107" s="474"/>
    </row>
    <row r="108" spans="1:10" ht="18.75" customHeight="1" x14ac:dyDescent="0.3">
      <c r="A108" s="501" t="str">
        <f>$A$107</f>
        <v>Tranche_OPTIONNELLE_3</v>
      </c>
      <c r="B108" s="498" t="s">
        <v>25</v>
      </c>
      <c r="C108" s="499" t="s">
        <v>26</v>
      </c>
      <c r="D108" s="76"/>
      <c r="E108" s="129" t="s">
        <v>176</v>
      </c>
      <c r="F108" s="130" t="str">
        <f>E108</f>
        <v>Montant intial TVA</v>
      </c>
      <c r="G108" s="116" t="s">
        <v>159</v>
      </c>
      <c r="H108" s="117" t="s">
        <v>159</v>
      </c>
      <c r="I108" s="475" t="s">
        <v>304</v>
      </c>
    </row>
    <row r="109" spans="1:10" x14ac:dyDescent="0.3">
      <c r="A109" s="502"/>
      <c r="B109" s="498"/>
      <c r="C109" s="499"/>
      <c r="D109" s="77"/>
      <c r="E109" s="127">
        <f>$C$17</f>
        <v>0.1</v>
      </c>
      <c r="F109" s="128">
        <f>$E$17</f>
        <v>0.2</v>
      </c>
      <c r="G109" s="66" t="str">
        <f>"TVA"&amp;" "&amp;$C$17*100&amp;"%"</f>
        <v>TVA 10%</v>
      </c>
      <c r="H109" s="66" t="str">
        <f>"TVA"&amp;" "&amp;$E$17*100&amp;"%"</f>
        <v>TVA 20%</v>
      </c>
      <c r="I109" s="476"/>
    </row>
    <row r="110" spans="1:10" ht="19.5" thickBot="1" x14ac:dyDescent="0.35">
      <c r="A110" s="502"/>
      <c r="B110" s="70" t="s">
        <v>1</v>
      </c>
      <c r="C110" s="132" t="str">
        <f>$C$5</f>
        <v>toto</v>
      </c>
      <c r="D110" s="78"/>
      <c r="E110" s="26">
        <f>C21-E121</f>
        <v>0</v>
      </c>
      <c r="F110" s="26">
        <f>E21-F121</f>
        <v>0</v>
      </c>
      <c r="G110" s="67">
        <f>E110-SUM(G111:G116)</f>
        <v>0</v>
      </c>
      <c r="H110" s="118">
        <f>F110-SUM(H111:H116)</f>
        <v>0</v>
      </c>
      <c r="I110" s="477"/>
    </row>
    <row r="111" spans="1:10" x14ac:dyDescent="0.3">
      <c r="A111" s="502"/>
      <c r="B111" s="97"/>
      <c r="C111" s="94"/>
      <c r="D111" s="79" t="str">
        <f t="shared" ref="D111:D116" si="15">B111&amp;" "&amp;C111&amp;" "&amp;"("&amp;$B$41&amp;")"</f>
        <v xml:space="preserve">  (Titulaire_)</v>
      </c>
      <c r="E111" s="27"/>
      <c r="F111" s="492" t="s">
        <v>177</v>
      </c>
      <c r="G111" s="95"/>
      <c r="H111" s="95"/>
      <c r="I111" s="121"/>
    </row>
    <row r="112" spans="1:10" x14ac:dyDescent="0.3">
      <c r="A112" s="502"/>
      <c r="B112" s="97"/>
      <c r="C112" s="94"/>
      <c r="D112" s="79" t="str">
        <f t="shared" si="15"/>
        <v xml:space="preserve">  (Titulaire_)</v>
      </c>
      <c r="E112" s="28"/>
      <c r="F112" s="493"/>
      <c r="G112" s="95"/>
      <c r="H112" s="96"/>
      <c r="I112" s="121"/>
    </row>
    <row r="113" spans="1:10" x14ac:dyDescent="0.3">
      <c r="A113" s="502"/>
      <c r="B113" s="97"/>
      <c r="C113" s="94"/>
      <c r="D113" s="79" t="str">
        <f t="shared" si="15"/>
        <v xml:space="preserve">  (Titulaire_)</v>
      </c>
      <c r="E113" s="28"/>
      <c r="F113" s="493"/>
      <c r="G113" s="95"/>
      <c r="H113" s="96"/>
      <c r="I113" s="121"/>
    </row>
    <row r="114" spans="1:10" x14ac:dyDescent="0.3">
      <c r="A114" s="502"/>
      <c r="B114" s="97"/>
      <c r="C114" s="94"/>
      <c r="D114" s="79" t="str">
        <f t="shared" si="15"/>
        <v xml:space="preserve">  (Titulaire_)</v>
      </c>
      <c r="E114" s="28"/>
      <c r="F114" s="493"/>
      <c r="G114" s="95"/>
      <c r="H114" s="96"/>
      <c r="I114" s="121"/>
    </row>
    <row r="115" spans="1:10" x14ac:dyDescent="0.3">
      <c r="A115" s="502"/>
      <c r="B115" s="97"/>
      <c r="C115" s="94"/>
      <c r="D115" s="79" t="str">
        <f t="shared" si="15"/>
        <v xml:space="preserve">  (Titulaire_)</v>
      </c>
      <c r="E115" s="28"/>
      <c r="F115" s="493"/>
      <c r="G115" s="95"/>
      <c r="H115" s="96"/>
      <c r="I115" s="121"/>
    </row>
    <row r="116" spans="1:10" ht="19.5" thickBot="1" x14ac:dyDescent="0.35">
      <c r="A116" s="503"/>
      <c r="B116" s="97"/>
      <c r="C116" s="94"/>
      <c r="D116" s="79" t="str">
        <f t="shared" si="15"/>
        <v xml:space="preserve">  (Titulaire_)</v>
      </c>
      <c r="E116" s="29"/>
      <c r="F116" s="494"/>
      <c r="G116" s="95"/>
      <c r="H116" s="96"/>
      <c r="I116" s="121"/>
    </row>
    <row r="117" spans="1:10" x14ac:dyDescent="0.3">
      <c r="A117" s="514"/>
      <c r="B117" s="515"/>
      <c r="C117" s="515"/>
      <c r="D117" s="515"/>
      <c r="E117" s="516"/>
      <c r="F117" s="109" t="s">
        <v>202</v>
      </c>
      <c r="G117" s="473" t="s">
        <v>251</v>
      </c>
      <c r="H117" s="473"/>
      <c r="I117" s="473" t="s">
        <v>252</v>
      </c>
      <c r="J117" s="473"/>
    </row>
    <row r="118" spans="1:10" ht="19.5" thickBot="1" x14ac:dyDescent="0.35">
      <c r="A118" s="514"/>
      <c r="B118" s="515"/>
      <c r="C118" s="515"/>
      <c r="D118" s="515"/>
      <c r="E118" s="516"/>
      <c r="F118" s="110"/>
      <c r="G118" s="504"/>
      <c r="H118" s="504"/>
      <c r="I118" s="474"/>
      <c r="J118" s="474"/>
    </row>
    <row r="119" spans="1:10" ht="18.75" customHeight="1" x14ac:dyDescent="0.3">
      <c r="A119" s="501" t="str">
        <f>$A$107</f>
        <v>Tranche_OPTIONNELLE_3</v>
      </c>
      <c r="B119" s="498" t="s">
        <v>25</v>
      </c>
      <c r="C119" s="499" t="s">
        <v>26</v>
      </c>
      <c r="D119" s="76"/>
      <c r="E119" s="129" t="s">
        <v>176</v>
      </c>
      <c r="F119" s="130" t="str">
        <f>E119</f>
        <v>Montant intial TVA</v>
      </c>
      <c r="G119" s="64" t="s">
        <v>159</v>
      </c>
      <c r="H119" s="65" t="s">
        <v>159</v>
      </c>
      <c r="I119" s="475" t="s">
        <v>304</v>
      </c>
    </row>
    <row r="120" spans="1:10" x14ac:dyDescent="0.3">
      <c r="A120" s="502"/>
      <c r="B120" s="498"/>
      <c r="C120" s="499"/>
      <c r="D120" s="77"/>
      <c r="E120" s="127">
        <f>$C$17</f>
        <v>0.1</v>
      </c>
      <c r="F120" s="128">
        <f>$E$17</f>
        <v>0.2</v>
      </c>
      <c r="G120" s="66" t="str">
        <f>"TVA"&amp;" "&amp;$C$17*100&amp;"%"</f>
        <v>TVA 10%</v>
      </c>
      <c r="H120" s="66" t="str">
        <f>"TVA"&amp;" "&amp;$E$17*100&amp;"%"</f>
        <v>TVA 20%</v>
      </c>
      <c r="I120" s="476"/>
    </row>
    <row r="121" spans="1:10" ht="19.5" thickBot="1" x14ac:dyDescent="0.35">
      <c r="A121" s="502"/>
      <c r="B121" s="70" t="str">
        <f>$B$6</f>
        <v>Cotraitant_1</v>
      </c>
      <c r="C121" s="132">
        <f>$C$6</f>
        <v>0</v>
      </c>
      <c r="D121" s="63"/>
      <c r="E121" s="104"/>
      <c r="F121" s="104"/>
      <c r="G121" s="67">
        <f>E121-SUM(G122:G127)</f>
        <v>0</v>
      </c>
      <c r="H121" s="68">
        <f>F121-SUM(H122:H127)</f>
        <v>0</v>
      </c>
      <c r="I121" s="477"/>
    </row>
    <row r="122" spans="1:10" x14ac:dyDescent="0.3">
      <c r="A122" s="502"/>
      <c r="B122" s="97"/>
      <c r="C122" s="94"/>
      <c r="D122" s="79" t="str">
        <f t="shared" ref="D122:D127" si="16">B122&amp;" "&amp;C122&amp;" "&amp;"("&amp;$B$52&amp;")"</f>
        <v xml:space="preserve">  (Cotraitant_1)</v>
      </c>
      <c r="E122" s="27"/>
      <c r="F122" s="492" t="s">
        <v>177</v>
      </c>
      <c r="G122" s="95"/>
      <c r="H122" s="95"/>
      <c r="I122" s="121"/>
    </row>
    <row r="123" spans="1:10" x14ac:dyDescent="0.3">
      <c r="A123" s="502"/>
      <c r="B123" s="97"/>
      <c r="C123" s="94"/>
      <c r="D123" s="79" t="str">
        <f t="shared" si="16"/>
        <v xml:space="preserve">  (Cotraitant_1)</v>
      </c>
      <c r="E123" s="28"/>
      <c r="F123" s="493"/>
      <c r="G123" s="96"/>
      <c r="H123" s="96"/>
      <c r="I123" s="121"/>
    </row>
    <row r="124" spans="1:10" x14ac:dyDescent="0.3">
      <c r="A124" s="502"/>
      <c r="B124" s="97"/>
      <c r="C124" s="94"/>
      <c r="D124" s="79" t="str">
        <f t="shared" si="16"/>
        <v xml:space="preserve">  (Cotraitant_1)</v>
      </c>
      <c r="E124" s="28"/>
      <c r="F124" s="493"/>
      <c r="G124" s="96"/>
      <c r="H124" s="96"/>
      <c r="I124" s="121"/>
    </row>
    <row r="125" spans="1:10" x14ac:dyDescent="0.3">
      <c r="A125" s="502"/>
      <c r="B125" s="97"/>
      <c r="C125" s="94"/>
      <c r="D125" s="79" t="str">
        <f t="shared" si="16"/>
        <v xml:space="preserve">  (Cotraitant_1)</v>
      </c>
      <c r="E125" s="28"/>
      <c r="F125" s="493"/>
      <c r="G125" s="96"/>
      <c r="H125" s="96"/>
      <c r="I125" s="121"/>
    </row>
    <row r="126" spans="1:10" x14ac:dyDescent="0.3">
      <c r="A126" s="502"/>
      <c r="B126" s="97"/>
      <c r="C126" s="94"/>
      <c r="D126" s="79" t="str">
        <f t="shared" si="16"/>
        <v xml:space="preserve">  (Cotraitant_1)</v>
      </c>
      <c r="E126" s="28"/>
      <c r="F126" s="493"/>
      <c r="G126" s="96"/>
      <c r="H126" s="96"/>
      <c r="I126" s="121"/>
    </row>
    <row r="127" spans="1:10" ht="19.5" thickBot="1" x14ac:dyDescent="0.35">
      <c r="A127" s="503"/>
      <c r="B127" s="97"/>
      <c r="C127" s="94"/>
      <c r="D127" s="79" t="str">
        <f t="shared" si="16"/>
        <v xml:space="preserve">  (Cotraitant_1)</v>
      </c>
      <c r="E127" s="29"/>
      <c r="F127" s="494"/>
      <c r="G127" s="96"/>
      <c r="H127" s="96"/>
      <c r="I127" s="121"/>
    </row>
    <row r="129" spans="1:10" x14ac:dyDescent="0.3">
      <c r="A129" s="25"/>
      <c r="B129" s="69" t="s">
        <v>24</v>
      </c>
      <c r="C129" s="13" t="s">
        <v>194</v>
      </c>
      <c r="D129" s="81"/>
      <c r="E129" s="85" t="s">
        <v>195</v>
      </c>
      <c r="F129" s="109" t="s">
        <v>202</v>
      </c>
      <c r="G129" s="473" t="s">
        <v>251</v>
      </c>
      <c r="H129" s="473"/>
      <c r="I129" s="473" t="s">
        <v>252</v>
      </c>
      <c r="J129" s="473"/>
    </row>
    <row r="130" spans="1:10" ht="19.5" thickBot="1" x14ac:dyDescent="0.35">
      <c r="A130" s="500" t="s">
        <v>518</v>
      </c>
      <c r="B130" s="500"/>
      <c r="C130" s="18">
        <f>F22</f>
        <v>0</v>
      </c>
      <c r="D130" s="23"/>
      <c r="E130" s="18">
        <f>C130-(E133+F133+E144+F144)</f>
        <v>0</v>
      </c>
      <c r="F130" s="110"/>
      <c r="G130" s="504"/>
      <c r="H130" s="504"/>
      <c r="I130" s="474"/>
      <c r="J130" s="474"/>
    </row>
    <row r="131" spans="1:10" ht="18.75" customHeight="1" x14ac:dyDescent="0.3">
      <c r="A131" s="501" t="str">
        <f>$A$130</f>
        <v>Tranche_OPTIONNELLE_4</v>
      </c>
      <c r="B131" s="498" t="s">
        <v>25</v>
      </c>
      <c r="C131" s="499" t="s">
        <v>26</v>
      </c>
      <c r="D131" s="76"/>
      <c r="E131" s="129" t="s">
        <v>176</v>
      </c>
      <c r="F131" s="130" t="str">
        <f>E131</f>
        <v>Montant intial TVA</v>
      </c>
      <c r="G131" s="116" t="s">
        <v>159</v>
      </c>
      <c r="H131" s="117" t="s">
        <v>159</v>
      </c>
      <c r="I131" s="475" t="s">
        <v>304</v>
      </c>
    </row>
    <row r="132" spans="1:10" x14ac:dyDescent="0.3">
      <c r="A132" s="502"/>
      <c r="B132" s="498"/>
      <c r="C132" s="499"/>
      <c r="D132" s="77"/>
      <c r="E132" s="127">
        <f>$C$17</f>
        <v>0.1</v>
      </c>
      <c r="F132" s="128">
        <f>$E$17</f>
        <v>0.2</v>
      </c>
      <c r="G132" s="66" t="str">
        <f>"TVA"&amp;" "&amp;$C$17*100&amp;"%"</f>
        <v>TVA 10%</v>
      </c>
      <c r="H132" s="66" t="str">
        <f>"TVA"&amp;" "&amp;$E$17*100&amp;"%"</f>
        <v>TVA 20%</v>
      </c>
      <c r="I132" s="476"/>
    </row>
    <row r="133" spans="1:10" ht="19.5" thickBot="1" x14ac:dyDescent="0.35">
      <c r="A133" s="502"/>
      <c r="B133" s="70" t="s">
        <v>1</v>
      </c>
      <c r="C133" s="132" t="str">
        <f>$C$5</f>
        <v>toto</v>
      </c>
      <c r="D133" s="78"/>
      <c r="E133" s="26">
        <f>C22-E144</f>
        <v>0</v>
      </c>
      <c r="F133" s="26">
        <f>E22-F144</f>
        <v>0</v>
      </c>
      <c r="G133" s="67">
        <f>E133-SUM(G134:G139)</f>
        <v>0</v>
      </c>
      <c r="H133" s="118">
        <f>F133-SUM(H134:H139)</f>
        <v>0</v>
      </c>
      <c r="I133" s="477"/>
    </row>
    <row r="134" spans="1:10" x14ac:dyDescent="0.3">
      <c r="A134" s="502"/>
      <c r="B134" s="97"/>
      <c r="C134" s="94"/>
      <c r="D134" s="79" t="str">
        <f t="shared" ref="D134:D139" si="17">B134&amp;" "&amp;C134&amp;" "&amp;"("&amp;$B$41&amp;")"</f>
        <v xml:space="preserve">  (Titulaire_)</v>
      </c>
      <c r="E134" s="27"/>
      <c r="F134" s="492" t="s">
        <v>177</v>
      </c>
      <c r="G134" s="95"/>
      <c r="H134" s="95"/>
      <c r="I134" s="121"/>
    </row>
    <row r="135" spans="1:10" x14ac:dyDescent="0.3">
      <c r="A135" s="502"/>
      <c r="B135" s="97"/>
      <c r="C135" s="94"/>
      <c r="D135" s="79" t="str">
        <f t="shared" si="17"/>
        <v xml:space="preserve">  (Titulaire_)</v>
      </c>
      <c r="E135" s="28"/>
      <c r="F135" s="493"/>
      <c r="G135" s="95"/>
      <c r="H135" s="96"/>
      <c r="I135" s="121"/>
    </row>
    <row r="136" spans="1:10" x14ac:dyDescent="0.3">
      <c r="A136" s="502"/>
      <c r="B136" s="97"/>
      <c r="C136" s="94"/>
      <c r="D136" s="79" t="str">
        <f t="shared" si="17"/>
        <v xml:space="preserve">  (Titulaire_)</v>
      </c>
      <c r="E136" s="28"/>
      <c r="F136" s="493"/>
      <c r="G136" s="95"/>
      <c r="H136" s="96"/>
      <c r="I136" s="121"/>
    </row>
    <row r="137" spans="1:10" x14ac:dyDescent="0.3">
      <c r="A137" s="502"/>
      <c r="B137" s="97"/>
      <c r="C137" s="94"/>
      <c r="D137" s="79" t="str">
        <f t="shared" si="17"/>
        <v xml:space="preserve">  (Titulaire_)</v>
      </c>
      <c r="E137" s="28"/>
      <c r="F137" s="493"/>
      <c r="G137" s="95"/>
      <c r="H137" s="96"/>
      <c r="I137" s="121"/>
    </row>
    <row r="138" spans="1:10" x14ac:dyDescent="0.3">
      <c r="A138" s="502"/>
      <c r="B138" s="97"/>
      <c r="C138" s="94"/>
      <c r="D138" s="79" t="str">
        <f t="shared" si="17"/>
        <v xml:space="preserve">  (Titulaire_)</v>
      </c>
      <c r="E138" s="28"/>
      <c r="F138" s="493"/>
      <c r="G138" s="95"/>
      <c r="H138" s="96"/>
      <c r="I138" s="121"/>
    </row>
    <row r="139" spans="1:10" ht="19.5" thickBot="1" x14ac:dyDescent="0.35">
      <c r="A139" s="503"/>
      <c r="B139" s="97"/>
      <c r="C139" s="94"/>
      <c r="D139" s="79" t="str">
        <f t="shared" si="17"/>
        <v xml:space="preserve">  (Titulaire_)</v>
      </c>
      <c r="E139" s="29"/>
      <c r="F139" s="494"/>
      <c r="G139" s="95"/>
      <c r="H139" s="96"/>
      <c r="I139" s="121"/>
    </row>
    <row r="140" spans="1:10" x14ac:dyDescent="0.3">
      <c r="A140" s="514"/>
      <c r="B140" s="515"/>
      <c r="C140" s="515"/>
      <c r="D140" s="515"/>
      <c r="E140" s="516"/>
      <c r="F140" s="109" t="s">
        <v>202</v>
      </c>
      <c r="G140" s="473" t="s">
        <v>251</v>
      </c>
      <c r="H140" s="473"/>
      <c r="I140" s="473" t="s">
        <v>252</v>
      </c>
      <c r="J140" s="473"/>
    </row>
    <row r="141" spans="1:10" ht="19.5" thickBot="1" x14ac:dyDescent="0.35">
      <c r="A141" s="514"/>
      <c r="B141" s="515"/>
      <c r="C141" s="515"/>
      <c r="D141" s="515"/>
      <c r="E141" s="516"/>
      <c r="F141" s="110"/>
      <c r="G141" s="504"/>
      <c r="H141" s="504"/>
      <c r="I141" s="474"/>
      <c r="J141" s="474"/>
    </row>
    <row r="142" spans="1:10" ht="18.75" customHeight="1" x14ac:dyDescent="0.3">
      <c r="A142" s="501" t="str">
        <f>$A$130</f>
        <v>Tranche_OPTIONNELLE_4</v>
      </c>
      <c r="B142" s="498" t="s">
        <v>25</v>
      </c>
      <c r="C142" s="499" t="s">
        <v>26</v>
      </c>
      <c r="D142" s="76"/>
      <c r="E142" s="129" t="s">
        <v>176</v>
      </c>
      <c r="F142" s="130" t="str">
        <f>E142</f>
        <v>Montant intial TVA</v>
      </c>
      <c r="G142" s="64" t="s">
        <v>159</v>
      </c>
      <c r="H142" s="65" t="s">
        <v>159</v>
      </c>
      <c r="I142" s="475" t="s">
        <v>304</v>
      </c>
    </row>
    <row r="143" spans="1:10" x14ac:dyDescent="0.3">
      <c r="A143" s="502"/>
      <c r="B143" s="498"/>
      <c r="C143" s="499"/>
      <c r="D143" s="77"/>
      <c r="E143" s="127">
        <f>$C$17</f>
        <v>0.1</v>
      </c>
      <c r="F143" s="128">
        <f>$E$17</f>
        <v>0.2</v>
      </c>
      <c r="G143" s="66" t="str">
        <f>"TVA"&amp;" "&amp;$C$17*100&amp;"%"</f>
        <v>TVA 10%</v>
      </c>
      <c r="H143" s="66" t="str">
        <f>"TVA"&amp;" "&amp;$E$17*100&amp;"%"</f>
        <v>TVA 20%</v>
      </c>
      <c r="I143" s="476"/>
    </row>
    <row r="144" spans="1:10" ht="19.5" thickBot="1" x14ac:dyDescent="0.35">
      <c r="A144" s="502"/>
      <c r="B144" s="70" t="str">
        <f>$B$6</f>
        <v>Cotraitant_1</v>
      </c>
      <c r="C144" s="132">
        <f>$C$6</f>
        <v>0</v>
      </c>
      <c r="D144" s="63"/>
      <c r="E144" s="104"/>
      <c r="F144" s="104"/>
      <c r="G144" s="67">
        <f>E144-SUM(G145:G150)</f>
        <v>0</v>
      </c>
      <c r="H144" s="68">
        <f>F144-SUM(H145:H150)</f>
        <v>0</v>
      </c>
      <c r="I144" s="477"/>
    </row>
    <row r="145" spans="1:10" x14ac:dyDescent="0.3">
      <c r="A145" s="502"/>
      <c r="B145" s="97"/>
      <c r="C145" s="94"/>
      <c r="D145" s="79" t="str">
        <f t="shared" ref="D145:D150" si="18">B145&amp;" "&amp;C145&amp;" "&amp;"("&amp;$B$52&amp;")"</f>
        <v xml:space="preserve">  (Cotraitant_1)</v>
      </c>
      <c r="E145" s="27"/>
      <c r="F145" s="492" t="s">
        <v>177</v>
      </c>
      <c r="G145" s="95"/>
      <c r="H145" s="95"/>
      <c r="I145" s="121"/>
    </row>
    <row r="146" spans="1:10" x14ac:dyDescent="0.3">
      <c r="A146" s="502"/>
      <c r="B146" s="97"/>
      <c r="C146" s="94"/>
      <c r="D146" s="79" t="str">
        <f t="shared" si="18"/>
        <v xml:space="preserve">  (Cotraitant_1)</v>
      </c>
      <c r="E146" s="28"/>
      <c r="F146" s="493"/>
      <c r="G146" s="96"/>
      <c r="H146" s="96"/>
      <c r="I146" s="121"/>
    </row>
    <row r="147" spans="1:10" x14ac:dyDescent="0.3">
      <c r="A147" s="502"/>
      <c r="B147" s="97"/>
      <c r="C147" s="94"/>
      <c r="D147" s="79" t="str">
        <f t="shared" si="18"/>
        <v xml:space="preserve">  (Cotraitant_1)</v>
      </c>
      <c r="E147" s="28"/>
      <c r="F147" s="493"/>
      <c r="G147" s="96"/>
      <c r="H147" s="96"/>
      <c r="I147" s="121"/>
    </row>
    <row r="148" spans="1:10" x14ac:dyDescent="0.3">
      <c r="A148" s="502"/>
      <c r="B148" s="97"/>
      <c r="C148" s="94"/>
      <c r="D148" s="79" t="str">
        <f t="shared" si="18"/>
        <v xml:space="preserve">  (Cotraitant_1)</v>
      </c>
      <c r="E148" s="28"/>
      <c r="F148" s="493"/>
      <c r="G148" s="96"/>
      <c r="H148" s="96"/>
      <c r="I148" s="121"/>
    </row>
    <row r="149" spans="1:10" x14ac:dyDescent="0.3">
      <c r="A149" s="502"/>
      <c r="B149" s="97"/>
      <c r="C149" s="94"/>
      <c r="D149" s="79" t="str">
        <f t="shared" si="18"/>
        <v xml:space="preserve">  (Cotraitant_1)</v>
      </c>
      <c r="E149" s="28"/>
      <c r="F149" s="493"/>
      <c r="G149" s="96"/>
      <c r="H149" s="96"/>
      <c r="I149" s="121"/>
    </row>
    <row r="150" spans="1:10" ht="19.5" thickBot="1" x14ac:dyDescent="0.35">
      <c r="A150" s="503"/>
      <c r="B150" s="97"/>
      <c r="C150" s="94"/>
      <c r="D150" s="79" t="str">
        <f t="shared" si="18"/>
        <v xml:space="preserve">  (Cotraitant_1)</v>
      </c>
      <c r="E150" s="29"/>
      <c r="F150" s="494"/>
      <c r="G150" s="96"/>
      <c r="H150" s="96"/>
      <c r="I150" s="121"/>
    </row>
    <row r="152" spans="1:10" x14ac:dyDescent="0.3">
      <c r="A152" s="25"/>
      <c r="B152" s="69" t="s">
        <v>24</v>
      </c>
      <c r="C152" s="13" t="s">
        <v>194</v>
      </c>
      <c r="D152" s="81"/>
      <c r="E152" s="85" t="s">
        <v>195</v>
      </c>
      <c r="F152" s="109" t="s">
        <v>202</v>
      </c>
      <c r="G152" s="473" t="s">
        <v>251</v>
      </c>
      <c r="H152" s="473"/>
      <c r="I152" s="473" t="s">
        <v>252</v>
      </c>
      <c r="J152" s="473"/>
    </row>
    <row r="153" spans="1:10" ht="19.5" thickBot="1" x14ac:dyDescent="0.35">
      <c r="A153" s="500" t="s">
        <v>519</v>
      </c>
      <c r="B153" s="500"/>
      <c r="C153" s="18">
        <f>F23</f>
        <v>0</v>
      </c>
      <c r="D153" s="23"/>
      <c r="E153" s="18">
        <f>C153-(E156+F156+E167+F167)</f>
        <v>0</v>
      </c>
      <c r="F153" s="110"/>
      <c r="G153" s="504"/>
      <c r="H153" s="504"/>
      <c r="I153" s="474"/>
      <c r="J153" s="474"/>
    </row>
    <row r="154" spans="1:10" ht="18.75" customHeight="1" x14ac:dyDescent="0.3">
      <c r="A154" s="501" t="str">
        <f>$A$153</f>
        <v>Tranche_OPTIONNELLE_5</v>
      </c>
      <c r="B154" s="498" t="s">
        <v>25</v>
      </c>
      <c r="C154" s="499" t="s">
        <v>26</v>
      </c>
      <c r="D154" s="76"/>
      <c r="E154" s="129" t="s">
        <v>176</v>
      </c>
      <c r="F154" s="130" t="str">
        <f>E154</f>
        <v>Montant intial TVA</v>
      </c>
      <c r="G154" s="116" t="s">
        <v>159</v>
      </c>
      <c r="H154" s="117" t="s">
        <v>159</v>
      </c>
      <c r="I154" s="475" t="s">
        <v>304</v>
      </c>
    </row>
    <row r="155" spans="1:10" x14ac:dyDescent="0.3">
      <c r="A155" s="502"/>
      <c r="B155" s="498"/>
      <c r="C155" s="499"/>
      <c r="D155" s="77"/>
      <c r="E155" s="127">
        <f>$C$17</f>
        <v>0.1</v>
      </c>
      <c r="F155" s="128">
        <f>$E$17</f>
        <v>0.2</v>
      </c>
      <c r="G155" s="66" t="str">
        <f>"TVA"&amp;" "&amp;$C$17*100&amp;"%"</f>
        <v>TVA 10%</v>
      </c>
      <c r="H155" s="66" t="str">
        <f>"TVA"&amp;" "&amp;$E$17*100&amp;"%"</f>
        <v>TVA 20%</v>
      </c>
      <c r="I155" s="476"/>
    </row>
    <row r="156" spans="1:10" ht="19.5" thickBot="1" x14ac:dyDescent="0.35">
      <c r="A156" s="502"/>
      <c r="B156" s="70" t="s">
        <v>1</v>
      </c>
      <c r="C156" s="132" t="str">
        <f>$C$5</f>
        <v>toto</v>
      </c>
      <c r="D156" s="78"/>
      <c r="E156" s="26">
        <f>C23-E167</f>
        <v>0</v>
      </c>
      <c r="F156" s="26">
        <f>E23-F167</f>
        <v>0</v>
      </c>
      <c r="G156" s="67">
        <f>E156-SUM(G157:G162)</f>
        <v>0</v>
      </c>
      <c r="H156" s="118">
        <f>F156-SUM(H157:H162)</f>
        <v>0</v>
      </c>
      <c r="I156" s="477"/>
    </row>
    <row r="157" spans="1:10" x14ac:dyDescent="0.3">
      <c r="A157" s="502"/>
      <c r="B157" s="97"/>
      <c r="C157" s="94"/>
      <c r="D157" s="79" t="str">
        <f t="shared" ref="D157:D162" si="19">B157&amp;" "&amp;C157&amp;" "&amp;"("&amp;$B$41&amp;")"</f>
        <v xml:space="preserve">  (Titulaire_)</v>
      </c>
      <c r="E157" s="27"/>
      <c r="F157" s="492" t="s">
        <v>177</v>
      </c>
      <c r="G157" s="95"/>
      <c r="H157" s="95"/>
      <c r="I157" s="121"/>
    </row>
    <row r="158" spans="1:10" x14ac:dyDescent="0.3">
      <c r="A158" s="502"/>
      <c r="B158" s="97"/>
      <c r="C158" s="94"/>
      <c r="D158" s="79" t="str">
        <f t="shared" si="19"/>
        <v xml:space="preserve">  (Titulaire_)</v>
      </c>
      <c r="E158" s="28"/>
      <c r="F158" s="493"/>
      <c r="G158" s="95"/>
      <c r="H158" s="96"/>
      <c r="I158" s="121"/>
    </row>
    <row r="159" spans="1:10" x14ac:dyDescent="0.3">
      <c r="A159" s="502"/>
      <c r="B159" s="97"/>
      <c r="C159" s="94"/>
      <c r="D159" s="79" t="str">
        <f t="shared" si="19"/>
        <v xml:space="preserve">  (Titulaire_)</v>
      </c>
      <c r="E159" s="28"/>
      <c r="F159" s="493"/>
      <c r="G159" s="95"/>
      <c r="H159" s="96"/>
      <c r="I159" s="121"/>
    </row>
    <row r="160" spans="1:10" x14ac:dyDescent="0.3">
      <c r="A160" s="502"/>
      <c r="B160" s="97"/>
      <c r="C160" s="94"/>
      <c r="D160" s="79" t="str">
        <f t="shared" si="19"/>
        <v xml:space="preserve">  (Titulaire_)</v>
      </c>
      <c r="E160" s="28"/>
      <c r="F160" s="493"/>
      <c r="G160" s="95"/>
      <c r="H160" s="96"/>
      <c r="I160" s="121"/>
    </row>
    <row r="161" spans="1:10" x14ac:dyDescent="0.3">
      <c r="A161" s="502"/>
      <c r="B161" s="97"/>
      <c r="C161" s="94"/>
      <c r="D161" s="79" t="str">
        <f t="shared" si="19"/>
        <v xml:space="preserve">  (Titulaire_)</v>
      </c>
      <c r="E161" s="28"/>
      <c r="F161" s="493"/>
      <c r="G161" s="95"/>
      <c r="H161" s="96"/>
      <c r="I161" s="121"/>
    </row>
    <row r="162" spans="1:10" ht="19.5" thickBot="1" x14ac:dyDescent="0.35">
      <c r="A162" s="503"/>
      <c r="B162" s="97"/>
      <c r="C162" s="94"/>
      <c r="D162" s="79" t="str">
        <f t="shared" si="19"/>
        <v xml:space="preserve">  (Titulaire_)</v>
      </c>
      <c r="E162" s="29"/>
      <c r="F162" s="494"/>
      <c r="G162" s="95"/>
      <c r="H162" s="96"/>
      <c r="I162" s="121"/>
    </row>
    <row r="163" spans="1:10" x14ac:dyDescent="0.3">
      <c r="A163" s="514"/>
      <c r="B163" s="515"/>
      <c r="C163" s="515"/>
      <c r="D163" s="515"/>
      <c r="E163" s="516"/>
      <c r="F163" s="109" t="s">
        <v>202</v>
      </c>
      <c r="G163" s="473" t="s">
        <v>251</v>
      </c>
      <c r="H163" s="473"/>
      <c r="I163" s="473" t="s">
        <v>252</v>
      </c>
      <c r="J163" s="473"/>
    </row>
    <row r="164" spans="1:10" ht="19.5" thickBot="1" x14ac:dyDescent="0.35">
      <c r="A164" s="514"/>
      <c r="B164" s="515"/>
      <c r="C164" s="515"/>
      <c r="D164" s="515"/>
      <c r="E164" s="516"/>
      <c r="F164" s="110"/>
      <c r="G164" s="504"/>
      <c r="H164" s="504"/>
      <c r="I164" s="474"/>
      <c r="J164" s="474"/>
    </row>
    <row r="165" spans="1:10" ht="18.75" customHeight="1" x14ac:dyDescent="0.3">
      <c r="A165" s="501" t="str">
        <f>$A$153</f>
        <v>Tranche_OPTIONNELLE_5</v>
      </c>
      <c r="B165" s="498" t="s">
        <v>25</v>
      </c>
      <c r="C165" s="499" t="s">
        <v>26</v>
      </c>
      <c r="D165" s="76"/>
      <c r="E165" s="129" t="s">
        <v>176</v>
      </c>
      <c r="F165" s="130" t="str">
        <f>E165</f>
        <v>Montant intial TVA</v>
      </c>
      <c r="G165" s="64" t="s">
        <v>159</v>
      </c>
      <c r="H165" s="65" t="s">
        <v>159</v>
      </c>
      <c r="I165" s="475" t="s">
        <v>304</v>
      </c>
    </row>
    <row r="166" spans="1:10" x14ac:dyDescent="0.3">
      <c r="A166" s="502"/>
      <c r="B166" s="498"/>
      <c r="C166" s="499"/>
      <c r="D166" s="77"/>
      <c r="E166" s="127">
        <f>$C$17</f>
        <v>0.1</v>
      </c>
      <c r="F166" s="128">
        <f>$E$17</f>
        <v>0.2</v>
      </c>
      <c r="G166" s="66" t="str">
        <f>"TVA"&amp;" "&amp;$C$17*100&amp;"%"</f>
        <v>TVA 10%</v>
      </c>
      <c r="H166" s="66" t="str">
        <f>"TVA"&amp;" "&amp;$E$17*100&amp;"%"</f>
        <v>TVA 20%</v>
      </c>
      <c r="I166" s="476"/>
    </row>
    <row r="167" spans="1:10" ht="19.5" thickBot="1" x14ac:dyDescent="0.35">
      <c r="A167" s="502"/>
      <c r="B167" s="70" t="str">
        <f>$B$6</f>
        <v>Cotraitant_1</v>
      </c>
      <c r="C167" s="132">
        <f>$C$6</f>
        <v>0</v>
      </c>
      <c r="D167" s="63"/>
      <c r="E167" s="104"/>
      <c r="F167" s="104"/>
      <c r="G167" s="67">
        <f>E167-SUM(G168:G173)</f>
        <v>0</v>
      </c>
      <c r="H167" s="68">
        <f>F167-SUM(H168:H173)</f>
        <v>0</v>
      </c>
      <c r="I167" s="477"/>
    </row>
    <row r="168" spans="1:10" x14ac:dyDescent="0.3">
      <c r="A168" s="502"/>
      <c r="B168" s="97"/>
      <c r="C168" s="94"/>
      <c r="D168" s="79" t="str">
        <f t="shared" ref="D168:D173" si="20">B168&amp;" "&amp;C168&amp;" "&amp;"("&amp;$B$52&amp;")"</f>
        <v xml:space="preserve">  (Cotraitant_1)</v>
      </c>
      <c r="E168" s="27"/>
      <c r="F168" s="492" t="s">
        <v>177</v>
      </c>
      <c r="G168" s="95"/>
      <c r="H168" s="95"/>
      <c r="I168" s="121"/>
    </row>
    <row r="169" spans="1:10" x14ac:dyDescent="0.3">
      <c r="A169" s="502"/>
      <c r="B169" s="97"/>
      <c r="C169" s="94"/>
      <c r="D169" s="79" t="str">
        <f t="shared" si="20"/>
        <v xml:space="preserve">  (Cotraitant_1)</v>
      </c>
      <c r="E169" s="28"/>
      <c r="F169" s="493"/>
      <c r="G169" s="96"/>
      <c r="H169" s="96"/>
      <c r="I169" s="121"/>
    </row>
    <row r="170" spans="1:10" x14ac:dyDescent="0.3">
      <c r="A170" s="502"/>
      <c r="B170" s="97"/>
      <c r="C170" s="94"/>
      <c r="D170" s="79" t="str">
        <f t="shared" si="20"/>
        <v xml:space="preserve">  (Cotraitant_1)</v>
      </c>
      <c r="E170" s="28"/>
      <c r="F170" s="493"/>
      <c r="G170" s="96"/>
      <c r="H170" s="96"/>
      <c r="I170" s="121"/>
    </row>
    <row r="171" spans="1:10" x14ac:dyDescent="0.3">
      <c r="A171" s="502"/>
      <c r="B171" s="97"/>
      <c r="C171" s="94"/>
      <c r="D171" s="79" t="str">
        <f t="shared" si="20"/>
        <v xml:space="preserve">  (Cotraitant_1)</v>
      </c>
      <c r="E171" s="28"/>
      <c r="F171" s="493"/>
      <c r="G171" s="96"/>
      <c r="H171" s="96"/>
      <c r="I171" s="121"/>
    </row>
    <row r="172" spans="1:10" x14ac:dyDescent="0.3">
      <c r="A172" s="502"/>
      <c r="B172" s="97"/>
      <c r="C172" s="94"/>
      <c r="D172" s="79" t="str">
        <f t="shared" si="20"/>
        <v xml:space="preserve">  (Cotraitant_1)</v>
      </c>
      <c r="E172" s="28"/>
      <c r="F172" s="493"/>
      <c r="G172" s="96"/>
      <c r="H172" s="96"/>
      <c r="I172" s="121"/>
    </row>
    <row r="173" spans="1:10" ht="19.5" thickBot="1" x14ac:dyDescent="0.35">
      <c r="A173" s="503"/>
      <c r="B173" s="97"/>
      <c r="C173" s="94"/>
      <c r="D173" s="79" t="str">
        <f t="shared" si="20"/>
        <v xml:space="preserve">  (Cotraitant_1)</v>
      </c>
      <c r="E173" s="29"/>
      <c r="F173" s="494"/>
      <c r="G173" s="96"/>
      <c r="H173" s="96"/>
      <c r="I173" s="121"/>
    </row>
    <row r="175" spans="1:10" x14ac:dyDescent="0.3">
      <c r="A175" s="25"/>
      <c r="B175" s="69" t="s">
        <v>24</v>
      </c>
      <c r="C175" s="13" t="s">
        <v>194</v>
      </c>
      <c r="D175" s="81"/>
      <c r="E175" s="85" t="s">
        <v>195</v>
      </c>
      <c r="F175" s="109" t="s">
        <v>202</v>
      </c>
      <c r="G175" s="473" t="s">
        <v>251</v>
      </c>
      <c r="H175" s="473"/>
      <c r="I175" s="473" t="s">
        <v>252</v>
      </c>
      <c r="J175" s="473"/>
    </row>
    <row r="176" spans="1:10" ht="19.5" thickBot="1" x14ac:dyDescent="0.35">
      <c r="A176" s="500" t="s">
        <v>520</v>
      </c>
      <c r="B176" s="500"/>
      <c r="C176" s="18">
        <f>F24</f>
        <v>0</v>
      </c>
      <c r="D176" s="23"/>
      <c r="E176" s="18">
        <f>C176-(E179+F179+E190+F190)</f>
        <v>0</v>
      </c>
      <c r="F176" s="110"/>
      <c r="G176" s="504"/>
      <c r="H176" s="504"/>
      <c r="I176" s="474"/>
      <c r="J176" s="474"/>
    </row>
    <row r="177" spans="1:10" ht="18.75" customHeight="1" x14ac:dyDescent="0.3">
      <c r="A177" s="501" t="str">
        <f>$A$176</f>
        <v>Tranche_OPTIONNELLE_6</v>
      </c>
      <c r="B177" s="498" t="s">
        <v>25</v>
      </c>
      <c r="C177" s="499" t="s">
        <v>26</v>
      </c>
      <c r="D177" s="76"/>
      <c r="E177" s="129" t="s">
        <v>176</v>
      </c>
      <c r="F177" s="130" t="str">
        <f>E177</f>
        <v>Montant intial TVA</v>
      </c>
      <c r="G177" s="116" t="s">
        <v>159</v>
      </c>
      <c r="H177" s="117" t="s">
        <v>159</v>
      </c>
      <c r="I177" s="475" t="s">
        <v>304</v>
      </c>
    </row>
    <row r="178" spans="1:10" x14ac:dyDescent="0.3">
      <c r="A178" s="502"/>
      <c r="B178" s="498"/>
      <c r="C178" s="499"/>
      <c r="D178" s="77"/>
      <c r="E178" s="127">
        <f>$C$17</f>
        <v>0.1</v>
      </c>
      <c r="F178" s="128">
        <f>$E$17</f>
        <v>0.2</v>
      </c>
      <c r="G178" s="66" t="str">
        <f>"TVA"&amp;" "&amp;$C$17*100&amp;"%"</f>
        <v>TVA 10%</v>
      </c>
      <c r="H178" s="66" t="str">
        <f>"TVA"&amp;" "&amp;$E$17*100&amp;"%"</f>
        <v>TVA 20%</v>
      </c>
      <c r="I178" s="476"/>
    </row>
    <row r="179" spans="1:10" ht="19.5" thickBot="1" x14ac:dyDescent="0.35">
      <c r="A179" s="502"/>
      <c r="B179" s="70" t="s">
        <v>1</v>
      </c>
      <c r="C179" s="132" t="str">
        <f>$C$5</f>
        <v>toto</v>
      </c>
      <c r="D179" s="78"/>
      <c r="E179" s="26">
        <f>C24-E190</f>
        <v>0</v>
      </c>
      <c r="F179" s="26">
        <f>E24-F190</f>
        <v>0</v>
      </c>
      <c r="G179" s="67">
        <f>E179-SUM(G180:G185)</f>
        <v>0</v>
      </c>
      <c r="H179" s="118">
        <f>F179-SUM(H180:H185)</f>
        <v>0</v>
      </c>
      <c r="I179" s="477"/>
    </row>
    <row r="180" spans="1:10" x14ac:dyDescent="0.3">
      <c r="A180" s="502"/>
      <c r="B180" s="97"/>
      <c r="C180" s="94"/>
      <c r="D180" s="79" t="str">
        <f t="shared" ref="D180:D185" si="21">B180&amp;" "&amp;C180&amp;" "&amp;"("&amp;$B$41&amp;")"</f>
        <v xml:space="preserve">  (Titulaire_)</v>
      </c>
      <c r="E180" s="27"/>
      <c r="F180" s="492" t="s">
        <v>177</v>
      </c>
      <c r="G180" s="95"/>
      <c r="H180" s="95"/>
      <c r="I180" s="121"/>
    </row>
    <row r="181" spans="1:10" x14ac:dyDescent="0.3">
      <c r="A181" s="502"/>
      <c r="B181" s="97"/>
      <c r="C181" s="94"/>
      <c r="D181" s="79" t="str">
        <f t="shared" si="21"/>
        <v xml:space="preserve">  (Titulaire_)</v>
      </c>
      <c r="E181" s="28"/>
      <c r="F181" s="493"/>
      <c r="G181" s="95"/>
      <c r="H181" s="96"/>
      <c r="I181" s="121"/>
    </row>
    <row r="182" spans="1:10" x14ac:dyDescent="0.3">
      <c r="A182" s="502"/>
      <c r="B182" s="97"/>
      <c r="C182" s="94"/>
      <c r="D182" s="79" t="str">
        <f t="shared" si="21"/>
        <v xml:space="preserve">  (Titulaire_)</v>
      </c>
      <c r="E182" s="28"/>
      <c r="F182" s="493"/>
      <c r="G182" s="95"/>
      <c r="H182" s="96"/>
      <c r="I182" s="121"/>
    </row>
    <row r="183" spans="1:10" x14ac:dyDescent="0.3">
      <c r="A183" s="502"/>
      <c r="B183" s="97"/>
      <c r="C183" s="94"/>
      <c r="D183" s="79" t="str">
        <f t="shared" si="21"/>
        <v xml:space="preserve">  (Titulaire_)</v>
      </c>
      <c r="E183" s="28"/>
      <c r="F183" s="493"/>
      <c r="G183" s="95"/>
      <c r="H183" s="96"/>
      <c r="I183" s="121"/>
    </row>
    <row r="184" spans="1:10" x14ac:dyDescent="0.3">
      <c r="A184" s="502"/>
      <c r="B184" s="97"/>
      <c r="C184" s="94"/>
      <c r="D184" s="79" t="str">
        <f t="shared" si="21"/>
        <v xml:space="preserve">  (Titulaire_)</v>
      </c>
      <c r="E184" s="28"/>
      <c r="F184" s="493"/>
      <c r="G184" s="95"/>
      <c r="H184" s="96"/>
      <c r="I184" s="121"/>
    </row>
    <row r="185" spans="1:10" ht="19.5" thickBot="1" x14ac:dyDescent="0.35">
      <c r="A185" s="503"/>
      <c r="B185" s="97"/>
      <c r="C185" s="94"/>
      <c r="D185" s="79" t="str">
        <f t="shared" si="21"/>
        <v xml:space="preserve">  (Titulaire_)</v>
      </c>
      <c r="E185" s="29"/>
      <c r="F185" s="494"/>
      <c r="G185" s="95"/>
      <c r="H185" s="96"/>
      <c r="I185" s="121"/>
    </row>
    <row r="186" spans="1:10" x14ac:dyDescent="0.3">
      <c r="A186" s="514"/>
      <c r="B186" s="515"/>
      <c r="C186" s="515"/>
      <c r="D186" s="515"/>
      <c r="E186" s="516"/>
      <c r="F186" s="109" t="s">
        <v>202</v>
      </c>
      <c r="G186" s="473" t="s">
        <v>251</v>
      </c>
      <c r="H186" s="473"/>
      <c r="I186" s="473" t="s">
        <v>252</v>
      </c>
      <c r="J186" s="473"/>
    </row>
    <row r="187" spans="1:10" ht="19.5" thickBot="1" x14ac:dyDescent="0.35">
      <c r="A187" s="514"/>
      <c r="B187" s="515"/>
      <c r="C187" s="515"/>
      <c r="D187" s="515"/>
      <c r="E187" s="516"/>
      <c r="F187" s="110"/>
      <c r="G187" s="504"/>
      <c r="H187" s="504"/>
      <c r="I187" s="474"/>
      <c r="J187" s="474"/>
    </row>
    <row r="188" spans="1:10" ht="18.75" customHeight="1" x14ac:dyDescent="0.3">
      <c r="A188" s="501" t="str">
        <f>$A$176</f>
        <v>Tranche_OPTIONNELLE_6</v>
      </c>
      <c r="B188" s="498" t="s">
        <v>25</v>
      </c>
      <c r="C188" s="499" t="s">
        <v>26</v>
      </c>
      <c r="D188" s="76"/>
      <c r="E188" s="129" t="s">
        <v>176</v>
      </c>
      <c r="F188" s="130" t="str">
        <f>E188</f>
        <v>Montant intial TVA</v>
      </c>
      <c r="G188" s="64" t="s">
        <v>159</v>
      </c>
      <c r="H188" s="65" t="s">
        <v>159</v>
      </c>
      <c r="I188" s="475" t="s">
        <v>304</v>
      </c>
    </row>
    <row r="189" spans="1:10" x14ac:dyDescent="0.3">
      <c r="A189" s="502"/>
      <c r="B189" s="498"/>
      <c r="C189" s="499"/>
      <c r="D189" s="77"/>
      <c r="E189" s="127">
        <f>$C$17</f>
        <v>0.1</v>
      </c>
      <c r="F189" s="128">
        <f>$E$17</f>
        <v>0.2</v>
      </c>
      <c r="G189" s="66" t="str">
        <f>"TVA"&amp;" "&amp;$C$17*100&amp;"%"</f>
        <v>TVA 10%</v>
      </c>
      <c r="H189" s="66" t="str">
        <f>"TVA"&amp;" "&amp;$E$17*100&amp;"%"</f>
        <v>TVA 20%</v>
      </c>
      <c r="I189" s="476"/>
    </row>
    <row r="190" spans="1:10" ht="19.5" thickBot="1" x14ac:dyDescent="0.35">
      <c r="A190" s="502"/>
      <c r="B190" s="70" t="str">
        <f>$B$6</f>
        <v>Cotraitant_1</v>
      </c>
      <c r="C190" s="132">
        <f>$C$6</f>
        <v>0</v>
      </c>
      <c r="D190" s="63"/>
      <c r="E190" s="104"/>
      <c r="F190" s="104"/>
      <c r="G190" s="67">
        <f>E190-SUM(G191:G196)</f>
        <v>0</v>
      </c>
      <c r="H190" s="68">
        <f>F190-SUM(H191:H196)</f>
        <v>0</v>
      </c>
      <c r="I190" s="477"/>
    </row>
    <row r="191" spans="1:10" x14ac:dyDescent="0.3">
      <c r="A191" s="502"/>
      <c r="B191" s="97"/>
      <c r="C191" s="94"/>
      <c r="D191" s="79" t="str">
        <f t="shared" ref="D191:D196" si="22">B191&amp;" "&amp;C191&amp;" "&amp;"("&amp;$B$52&amp;")"</f>
        <v xml:space="preserve">  (Cotraitant_1)</v>
      </c>
      <c r="E191" s="27"/>
      <c r="F191" s="492" t="s">
        <v>177</v>
      </c>
      <c r="G191" s="95"/>
      <c r="H191" s="95"/>
      <c r="I191" s="121"/>
    </row>
    <row r="192" spans="1:10" x14ac:dyDescent="0.3">
      <c r="A192" s="502"/>
      <c r="B192" s="97"/>
      <c r="C192" s="94"/>
      <c r="D192" s="79" t="str">
        <f t="shared" si="22"/>
        <v xml:space="preserve">  (Cotraitant_1)</v>
      </c>
      <c r="E192" s="28"/>
      <c r="F192" s="493"/>
      <c r="G192" s="96"/>
      <c r="H192" s="96"/>
      <c r="I192" s="121"/>
    </row>
    <row r="193" spans="1:9" x14ac:dyDescent="0.3">
      <c r="A193" s="502"/>
      <c r="B193" s="97"/>
      <c r="C193" s="94"/>
      <c r="D193" s="79" t="str">
        <f t="shared" si="22"/>
        <v xml:space="preserve">  (Cotraitant_1)</v>
      </c>
      <c r="E193" s="28"/>
      <c r="F193" s="493"/>
      <c r="G193" s="96"/>
      <c r="H193" s="96"/>
      <c r="I193" s="121"/>
    </row>
    <row r="194" spans="1:9" x14ac:dyDescent="0.3">
      <c r="A194" s="502"/>
      <c r="B194" s="97"/>
      <c r="C194" s="94"/>
      <c r="D194" s="79" t="str">
        <f t="shared" si="22"/>
        <v xml:space="preserve">  (Cotraitant_1)</v>
      </c>
      <c r="E194" s="28"/>
      <c r="F194" s="493"/>
      <c r="G194" s="96"/>
      <c r="H194" s="96"/>
      <c r="I194" s="121"/>
    </row>
    <row r="195" spans="1:9" x14ac:dyDescent="0.3">
      <c r="A195" s="502"/>
      <c r="B195" s="97"/>
      <c r="C195" s="94"/>
      <c r="D195" s="79" t="str">
        <f t="shared" si="22"/>
        <v xml:space="preserve">  (Cotraitant_1)</v>
      </c>
      <c r="E195" s="28"/>
      <c r="F195" s="493"/>
      <c r="G195" s="96"/>
      <c r="H195" s="96"/>
      <c r="I195" s="121"/>
    </row>
    <row r="196" spans="1:9" ht="19.5" thickBot="1" x14ac:dyDescent="0.35">
      <c r="A196" s="503"/>
      <c r="B196" s="97"/>
      <c r="C196" s="94"/>
      <c r="D196" s="79" t="str">
        <f t="shared" si="22"/>
        <v xml:space="preserve">  (Cotraitant_1)</v>
      </c>
      <c r="E196" s="29"/>
      <c r="F196" s="494"/>
      <c r="G196" s="96"/>
      <c r="H196" s="96"/>
      <c r="I196" s="121"/>
    </row>
    <row r="198" spans="1:9" x14ac:dyDescent="0.3">
      <c r="A198" s="25"/>
      <c r="B198" s="69" t="s">
        <v>24</v>
      </c>
      <c r="C198" s="13" t="s">
        <v>194</v>
      </c>
      <c r="D198" s="81"/>
      <c r="E198" s="85" t="s">
        <v>195</v>
      </c>
      <c r="F198" s="508" t="s">
        <v>293</v>
      </c>
      <c r="G198" s="509"/>
      <c r="H198" s="510"/>
      <c r="I198" s="25"/>
    </row>
    <row r="199" spans="1:9" ht="19.5" thickBot="1" x14ac:dyDescent="0.35">
      <c r="A199" s="500" t="s">
        <v>286</v>
      </c>
      <c r="B199" s="500"/>
      <c r="C199" s="18">
        <f>F25</f>
        <v>23740</v>
      </c>
      <c r="D199" s="23"/>
      <c r="E199" s="18">
        <f>C199-(E202+F202+E214+F214)</f>
        <v>23740</v>
      </c>
      <c r="F199" s="511" t="s">
        <v>295</v>
      </c>
      <c r="G199" s="512"/>
      <c r="H199" s="513"/>
      <c r="I199" s="25"/>
    </row>
    <row r="200" spans="1:9" ht="18.75" customHeight="1" x14ac:dyDescent="0.3">
      <c r="A200" s="501" t="str">
        <f>$A$199</f>
        <v>Avenants et OS</v>
      </c>
      <c r="B200" s="498" t="s">
        <v>25</v>
      </c>
      <c r="C200" s="499" t="s">
        <v>26</v>
      </c>
      <c r="D200" s="76"/>
      <c r="E200" s="519"/>
      <c r="F200" s="520"/>
      <c r="G200" s="136" t="s">
        <v>326</v>
      </c>
      <c r="H200" s="136" t="s">
        <v>326</v>
      </c>
      <c r="I200" s="25"/>
    </row>
    <row r="201" spans="1:9" x14ac:dyDescent="0.3">
      <c r="A201" s="502"/>
      <c r="B201" s="498"/>
      <c r="C201" s="499"/>
      <c r="D201" s="77"/>
      <c r="E201" s="521"/>
      <c r="F201" s="522"/>
      <c r="G201" s="157" t="str">
        <f>"TVA"&amp;" "&amp;$C$17*100&amp;"%"</f>
        <v>TVA 10%</v>
      </c>
      <c r="H201" s="157" t="str">
        <f>"TVA"&amp;" "&amp;$E$17*100&amp;"%"</f>
        <v>TVA 20%</v>
      </c>
      <c r="I201" s="25"/>
    </row>
    <row r="202" spans="1:9" x14ac:dyDescent="0.3">
      <c r="A202" s="502"/>
      <c r="B202" s="70" t="s">
        <v>1</v>
      </c>
      <c r="C202" s="132" t="str">
        <f>$C$5</f>
        <v>toto</v>
      </c>
      <c r="D202" s="78"/>
      <c r="E202" s="523"/>
      <c r="F202" s="524"/>
      <c r="G202" s="158">
        <f>SUM(G203:G209)</f>
        <v>23740</v>
      </c>
      <c r="H202" s="158">
        <f>SUM(H203:H209)</f>
        <v>0</v>
      </c>
      <c r="I202" s="25"/>
    </row>
    <row r="203" spans="1:9" x14ac:dyDescent="0.3">
      <c r="A203" s="502"/>
      <c r="B203" s="517" t="s">
        <v>190</v>
      </c>
      <c r="C203" s="518"/>
      <c r="D203" s="79" t="str">
        <f>B203&amp;" "&amp;C203&amp;" "&amp;"("&amp;$B$41&amp;")"</f>
        <v>Tranche Ferme  (Titulaire_)</v>
      </c>
      <c r="E203" s="27"/>
      <c r="F203" s="492"/>
      <c r="G203" s="95">
        <v>23740</v>
      </c>
      <c r="H203" s="95"/>
      <c r="I203" s="25"/>
    </row>
    <row r="204" spans="1:9" x14ac:dyDescent="0.3">
      <c r="A204" s="502"/>
      <c r="B204" s="517" t="s">
        <v>191</v>
      </c>
      <c r="C204" s="518"/>
      <c r="D204" s="79" t="str">
        <f>B204&amp;" "&amp;C204&amp;" "&amp;"("&amp;$B$41&amp;")"</f>
        <v>Tranche Optionnelle 1  (Titulaire_)</v>
      </c>
      <c r="E204" s="28"/>
      <c r="F204" s="493"/>
      <c r="G204" s="95"/>
      <c r="H204" s="96"/>
      <c r="I204" s="25"/>
    </row>
    <row r="205" spans="1:9" x14ac:dyDescent="0.3">
      <c r="A205" s="502"/>
      <c r="B205" s="517" t="s">
        <v>192</v>
      </c>
      <c r="C205" s="518"/>
      <c r="D205" s="79" t="str">
        <f>B205&amp;" "&amp;C205&amp;" "&amp;"("&amp;$B$41&amp;")"</f>
        <v>Tranche Optionnelle 2  (Titulaire_)</v>
      </c>
      <c r="E205" s="28"/>
      <c r="F205" s="493"/>
      <c r="G205" s="95"/>
      <c r="H205" s="96"/>
      <c r="I205" s="25"/>
    </row>
    <row r="206" spans="1:9" x14ac:dyDescent="0.3">
      <c r="A206" s="502"/>
      <c r="B206" s="517" t="s">
        <v>306</v>
      </c>
      <c r="C206" s="518"/>
      <c r="D206" s="79" t="str">
        <f>B206&amp;" "&amp;C206&amp;" "&amp;"("&amp;$B$41&amp;")"</f>
        <v>Tranche Optionnelle 3  (Titulaire_)</v>
      </c>
      <c r="E206" s="28"/>
      <c r="F206" s="493"/>
      <c r="G206" s="95"/>
      <c r="H206" s="96"/>
      <c r="I206" s="25"/>
    </row>
    <row r="207" spans="1:9" x14ac:dyDescent="0.3">
      <c r="A207" s="502"/>
      <c r="B207" s="517" t="s">
        <v>307</v>
      </c>
      <c r="C207" s="518"/>
      <c r="D207" s="79" t="str">
        <f>B207&amp;" "&amp;C207&amp;" "&amp;"("&amp;$B$41&amp;")"</f>
        <v>Tranche Optionnelle 4  (Titulaire_)</v>
      </c>
      <c r="E207" s="28"/>
      <c r="F207" s="493"/>
      <c r="G207" s="95"/>
      <c r="H207" s="96"/>
      <c r="I207" s="25"/>
    </row>
    <row r="208" spans="1:9" x14ac:dyDescent="0.3">
      <c r="A208" s="502"/>
      <c r="B208" s="517" t="s">
        <v>308</v>
      </c>
      <c r="C208" s="518"/>
      <c r="D208" s="156"/>
      <c r="E208" s="28"/>
      <c r="F208" s="493"/>
      <c r="G208" s="95"/>
      <c r="H208" s="96"/>
      <c r="I208" s="25"/>
    </row>
    <row r="209" spans="1:16" ht="19.5" thickBot="1" x14ac:dyDescent="0.35">
      <c r="A209" s="503"/>
      <c r="B209" s="517" t="s">
        <v>309</v>
      </c>
      <c r="C209" s="518"/>
      <c r="D209" s="79" t="str">
        <f>B209&amp;" "&amp;C209&amp;" "&amp;"("&amp;$B$41&amp;")"</f>
        <v>Tranche Optionnelle 6  (Titulaire_)</v>
      </c>
      <c r="E209" s="29"/>
      <c r="F209" s="494"/>
      <c r="G209" s="95"/>
      <c r="H209" s="96"/>
      <c r="I209" s="25"/>
    </row>
    <row r="210" spans="1:16" x14ac:dyDescent="0.3">
      <c r="A210" s="514"/>
      <c r="B210" s="515"/>
      <c r="C210" s="515"/>
      <c r="D210" s="515"/>
      <c r="E210" s="516"/>
      <c r="F210" s="508" t="s">
        <v>293</v>
      </c>
      <c r="G210" s="509"/>
      <c r="H210" s="510"/>
      <c r="I210" s="25"/>
    </row>
    <row r="211" spans="1:16" ht="19.5" thickBot="1" x14ac:dyDescent="0.35">
      <c r="A211" s="514"/>
      <c r="B211" s="515"/>
      <c r="C211" s="515"/>
      <c r="D211" s="515"/>
      <c r="E211" s="516"/>
      <c r="F211" s="511"/>
      <c r="G211" s="512"/>
      <c r="H211" s="513"/>
      <c r="I211" s="25"/>
    </row>
    <row r="212" spans="1:16" ht="18.75" customHeight="1" x14ac:dyDescent="0.3">
      <c r="A212" s="501" t="str">
        <f>$A$199</f>
        <v>Avenants et OS</v>
      </c>
      <c r="B212" s="498" t="s">
        <v>25</v>
      </c>
      <c r="C212" s="499" t="s">
        <v>26</v>
      </c>
      <c r="D212" s="76"/>
      <c r="E212" s="519"/>
      <c r="F212" s="520"/>
      <c r="G212" s="159" t="s">
        <v>312</v>
      </c>
      <c r="H212" s="136" t="s">
        <v>312</v>
      </c>
      <c r="I212" s="25"/>
    </row>
    <row r="213" spans="1:16" x14ac:dyDescent="0.3">
      <c r="A213" s="502"/>
      <c r="B213" s="498"/>
      <c r="C213" s="499"/>
      <c r="D213" s="77"/>
      <c r="E213" s="521"/>
      <c r="F213" s="522"/>
      <c r="G213" s="134" t="str">
        <f>"TVA"&amp;" "&amp;$C$17*100&amp;"%"</f>
        <v>TVA 10%</v>
      </c>
      <c r="H213" s="157" t="str">
        <f>"TVA"&amp;" "&amp;$E$17*100&amp;"%"</f>
        <v>TVA 20%</v>
      </c>
      <c r="I213" s="25"/>
    </row>
    <row r="214" spans="1:16" x14ac:dyDescent="0.3">
      <c r="A214" s="502"/>
      <c r="B214" s="70" t="str">
        <f>$B$6</f>
        <v>Cotraitant_1</v>
      </c>
      <c r="C214" s="132">
        <f>$C$6</f>
        <v>0</v>
      </c>
      <c r="D214" s="63"/>
      <c r="E214" s="523"/>
      <c r="F214" s="524"/>
      <c r="G214" s="160">
        <f>SUM(G215:G221)</f>
        <v>0</v>
      </c>
      <c r="H214" s="160">
        <f>SUM(H215:H221)</f>
        <v>0</v>
      </c>
      <c r="I214" s="25"/>
    </row>
    <row r="215" spans="1:16" x14ac:dyDescent="0.3">
      <c r="A215" s="502"/>
      <c r="B215" s="517" t="s">
        <v>190</v>
      </c>
      <c r="C215" s="518"/>
      <c r="D215" s="79" t="str">
        <f>B215&amp;" "&amp;C215&amp;" "&amp;"("&amp;$B$52&amp;")"</f>
        <v>Tranche Ferme  (Cotraitant_1)</v>
      </c>
      <c r="E215" s="27"/>
      <c r="F215" s="492"/>
      <c r="G215" s="95"/>
      <c r="H215" s="95"/>
      <c r="I215" s="25"/>
    </row>
    <row r="216" spans="1:16" x14ac:dyDescent="0.3">
      <c r="A216" s="502"/>
      <c r="B216" s="517" t="s">
        <v>191</v>
      </c>
      <c r="C216" s="518"/>
      <c r="D216" s="79" t="str">
        <f>B216&amp;" "&amp;C216&amp;" "&amp;"("&amp;$B$52&amp;")"</f>
        <v>Tranche Optionnelle 1  (Cotraitant_1)</v>
      </c>
      <c r="E216" s="28"/>
      <c r="F216" s="493"/>
      <c r="G216" s="96"/>
      <c r="H216" s="96"/>
      <c r="I216" s="25"/>
    </row>
    <row r="217" spans="1:16" x14ac:dyDescent="0.3">
      <c r="A217" s="502"/>
      <c r="B217" s="517" t="s">
        <v>192</v>
      </c>
      <c r="C217" s="518"/>
      <c r="D217" s="79" t="str">
        <f>B217&amp;" "&amp;C217&amp;" "&amp;"("&amp;$B$52&amp;")"</f>
        <v>Tranche Optionnelle 2  (Cotraitant_1)</v>
      </c>
      <c r="E217" s="28"/>
      <c r="F217" s="493"/>
      <c r="G217" s="96"/>
      <c r="H217" s="96"/>
      <c r="I217" s="25"/>
    </row>
    <row r="218" spans="1:16" x14ac:dyDescent="0.3">
      <c r="A218" s="502"/>
      <c r="B218" s="517" t="s">
        <v>306</v>
      </c>
      <c r="C218" s="518"/>
      <c r="D218" s="79" t="str">
        <f>B218&amp;" "&amp;C218&amp;" "&amp;"("&amp;$B$52&amp;")"</f>
        <v>Tranche Optionnelle 3  (Cotraitant_1)</v>
      </c>
      <c r="E218" s="28"/>
      <c r="F218" s="493"/>
      <c r="G218" s="96"/>
      <c r="H218" s="96"/>
      <c r="I218" s="25"/>
    </row>
    <row r="219" spans="1:16" x14ac:dyDescent="0.3">
      <c r="A219" s="502"/>
      <c r="B219" s="517" t="s">
        <v>307</v>
      </c>
      <c r="C219" s="518"/>
      <c r="D219" s="79" t="str">
        <f>B219&amp;" "&amp;C219&amp;" "&amp;"("&amp;$B$52&amp;")"</f>
        <v>Tranche Optionnelle 4  (Cotraitant_1)</v>
      </c>
      <c r="E219" s="28"/>
      <c r="F219" s="493"/>
      <c r="G219" s="96"/>
      <c r="H219" s="96"/>
      <c r="I219" s="25"/>
    </row>
    <row r="220" spans="1:16" x14ac:dyDescent="0.3">
      <c r="A220" s="502"/>
      <c r="B220" s="517" t="s">
        <v>308</v>
      </c>
      <c r="C220" s="518"/>
      <c r="D220" s="156"/>
      <c r="E220" s="28"/>
      <c r="F220" s="493"/>
      <c r="G220" s="96"/>
      <c r="H220" s="96"/>
      <c r="I220" s="25"/>
    </row>
    <row r="221" spans="1:16" ht="19.5" thickBot="1" x14ac:dyDescent="0.35">
      <c r="A221" s="503"/>
      <c r="B221" s="517" t="s">
        <v>309</v>
      </c>
      <c r="C221" s="518"/>
      <c r="D221" s="79" t="str">
        <f>B221&amp;" "&amp;C221&amp;" "&amp;"("&amp;$B$52&amp;")"</f>
        <v>Tranche Optionnelle 6  (Cotraitant_1)</v>
      </c>
      <c r="E221" s="29"/>
      <c r="F221" s="494"/>
      <c r="G221" s="96"/>
      <c r="H221" s="96"/>
      <c r="I221" s="25"/>
    </row>
    <row r="222" spans="1:16" hidden="1" outlineLevel="1" x14ac:dyDescent="0.3"/>
    <row r="223" spans="1:16" hidden="1" outlineLevel="1" x14ac:dyDescent="0.3">
      <c r="A223" s="10" t="s">
        <v>315</v>
      </c>
      <c r="B223" s="10" t="s">
        <v>316</v>
      </c>
      <c r="C223" s="10" t="s">
        <v>324</v>
      </c>
      <c r="D223" s="10" t="s">
        <v>52</v>
      </c>
      <c r="E223" s="10" t="str">
        <f>"montant HT"&amp;" "&amp;C17*100&amp;"%"</f>
        <v>montant HT 10%</v>
      </c>
      <c r="F223" s="149" t="str">
        <f>"montant HT"&amp;" "&amp;E17*100&amp;"%"</f>
        <v>montant HT 20%</v>
      </c>
      <c r="O223" t="str">
        <f>TRI!B2</f>
        <v>Titulaire_Tranche_FERME</v>
      </c>
      <c r="P223" t="s">
        <v>513</v>
      </c>
    </row>
    <row r="224" spans="1:16" hidden="1" outlineLevel="1" x14ac:dyDescent="0.3">
      <c r="A224" s="10" t="str">
        <f>A225</f>
        <v>Tranche_FERME</v>
      </c>
      <c r="B224" s="10" t="str">
        <f>B225</f>
        <v>toto</v>
      </c>
      <c r="C224" s="9" t="str">
        <f t="shared" ref="C224:C230" si="23">B41</f>
        <v>Titulaire_</v>
      </c>
      <c r="D224" s="9" t="str">
        <f>DONNEES!C5</f>
        <v>toto</v>
      </c>
      <c r="E224" s="154">
        <f t="shared" ref="E224:F230" si="24">G41</f>
        <v>355062.7</v>
      </c>
      <c r="F224" s="154">
        <f t="shared" si="24"/>
        <v>133346.85</v>
      </c>
      <c r="O224" t="str">
        <f>TRI!B8</f>
        <v>Titulaire_Tranche_OPTIONNELLE_1</v>
      </c>
      <c r="P224" t="s">
        <v>521</v>
      </c>
    </row>
    <row r="225" spans="1:16" hidden="1" outlineLevel="1" x14ac:dyDescent="0.3">
      <c r="A225" s="10" t="str">
        <f t="shared" ref="A225:A230" si="25">$A$38</f>
        <v>Tranche_FERME</v>
      </c>
      <c r="B225" s="10" t="str">
        <f t="shared" ref="B225:B230" si="26">$C$5</f>
        <v>toto</v>
      </c>
      <c r="C225" s="155">
        <f t="shared" si="23"/>
        <v>0</v>
      </c>
      <c r="D225" s="10">
        <f t="shared" ref="D225:D230" si="27">C42</f>
        <v>0</v>
      </c>
      <c r="E225" s="141">
        <f t="shared" si="24"/>
        <v>0</v>
      </c>
      <c r="F225" s="369">
        <f t="shared" si="24"/>
        <v>0</v>
      </c>
      <c r="O225" t="str">
        <f>TRI!B14</f>
        <v>Titulaire_Tranche_OPTIONNELLE_2</v>
      </c>
      <c r="P225" t="s">
        <v>522</v>
      </c>
    </row>
    <row r="226" spans="1:16" hidden="1" outlineLevel="1" x14ac:dyDescent="0.3">
      <c r="A226" s="10" t="str">
        <f t="shared" si="25"/>
        <v>Tranche_FERME</v>
      </c>
      <c r="B226" s="10" t="str">
        <f t="shared" si="26"/>
        <v>toto</v>
      </c>
      <c r="C226" s="10">
        <f t="shared" si="23"/>
        <v>0</v>
      </c>
      <c r="D226" s="10">
        <f t="shared" si="27"/>
        <v>0</v>
      </c>
      <c r="E226" s="141">
        <f t="shared" si="24"/>
        <v>0</v>
      </c>
      <c r="F226" s="369">
        <f t="shared" si="24"/>
        <v>0</v>
      </c>
      <c r="O226" t="str">
        <f>TRI!B20</f>
        <v>Titulaire_Tranche_OPTIONNELLE_3</v>
      </c>
      <c r="P226" t="s">
        <v>523</v>
      </c>
    </row>
    <row r="227" spans="1:16" hidden="1" outlineLevel="1" x14ac:dyDescent="0.3">
      <c r="A227" s="10" t="str">
        <f t="shared" si="25"/>
        <v>Tranche_FERME</v>
      </c>
      <c r="B227" s="10" t="str">
        <f t="shared" si="26"/>
        <v>toto</v>
      </c>
      <c r="C227" s="10">
        <f t="shared" si="23"/>
        <v>0</v>
      </c>
      <c r="D227" s="10">
        <f t="shared" si="27"/>
        <v>0</v>
      </c>
      <c r="E227" s="141">
        <f t="shared" si="24"/>
        <v>0</v>
      </c>
      <c r="F227" s="369">
        <f t="shared" si="24"/>
        <v>0</v>
      </c>
      <c r="O227" t="str">
        <f>TRI!B26</f>
        <v>Titulaire_Tranche_OPTIONNELLE_4</v>
      </c>
      <c r="P227" t="s">
        <v>524</v>
      </c>
    </row>
    <row r="228" spans="1:16" hidden="1" outlineLevel="1" x14ac:dyDescent="0.3">
      <c r="A228" s="10" t="str">
        <f t="shared" si="25"/>
        <v>Tranche_FERME</v>
      </c>
      <c r="B228" s="10" t="str">
        <f t="shared" si="26"/>
        <v>toto</v>
      </c>
      <c r="C228" s="10">
        <f t="shared" si="23"/>
        <v>0</v>
      </c>
      <c r="D228" s="10">
        <f t="shared" si="27"/>
        <v>0</v>
      </c>
      <c r="E228" s="141">
        <f t="shared" si="24"/>
        <v>0</v>
      </c>
      <c r="F228" s="369">
        <f t="shared" si="24"/>
        <v>0</v>
      </c>
      <c r="O228" t="str">
        <f>TRI!B32</f>
        <v>Titulaire_Tranche_OPTIONNELLE_5</v>
      </c>
      <c r="P228" t="s">
        <v>525</v>
      </c>
    </row>
    <row r="229" spans="1:16" hidden="1" outlineLevel="1" x14ac:dyDescent="0.3">
      <c r="A229" s="10" t="str">
        <f t="shared" si="25"/>
        <v>Tranche_FERME</v>
      </c>
      <c r="B229" s="10" t="str">
        <f t="shared" si="26"/>
        <v>toto</v>
      </c>
      <c r="C229" s="10">
        <f t="shared" si="23"/>
        <v>0</v>
      </c>
      <c r="D229" s="10">
        <f t="shared" si="27"/>
        <v>0</v>
      </c>
      <c r="E229" s="141">
        <f t="shared" si="24"/>
        <v>0</v>
      </c>
      <c r="F229" s="369">
        <f t="shared" si="24"/>
        <v>0</v>
      </c>
      <c r="O229" t="str">
        <f>TRI!B38</f>
        <v>Titulaire_Tranche_OPTIONNELLE_6</v>
      </c>
      <c r="P229" t="s">
        <v>526</v>
      </c>
    </row>
    <row r="230" spans="1:16" hidden="1" outlineLevel="1" x14ac:dyDescent="0.3">
      <c r="A230" s="10" t="str">
        <f t="shared" si="25"/>
        <v>Tranche_FERME</v>
      </c>
      <c r="B230" s="10" t="str">
        <f t="shared" si="26"/>
        <v>toto</v>
      </c>
      <c r="C230" s="10">
        <f t="shared" si="23"/>
        <v>0</v>
      </c>
      <c r="D230" s="10">
        <f t="shared" si="27"/>
        <v>0</v>
      </c>
      <c r="E230" s="141">
        <f t="shared" si="24"/>
        <v>0</v>
      </c>
      <c r="F230" s="369">
        <f t="shared" si="24"/>
        <v>0</v>
      </c>
      <c r="O230" t="str">
        <f>TRI!B44</f>
        <v>Cotraitant_1_Tranche_FERME</v>
      </c>
      <c r="P230" t="s">
        <v>527</v>
      </c>
    </row>
    <row r="231" spans="1:16" hidden="1" outlineLevel="1" x14ac:dyDescent="0.3">
      <c r="A231" s="9" t="str">
        <f>A232</f>
        <v>Tranche_OPTIONNELLE_1</v>
      </c>
      <c r="B231" s="9" t="str">
        <f>B232</f>
        <v>toto</v>
      </c>
      <c r="C231" s="9" t="str">
        <f>B64&amp;"_"</f>
        <v>Titulaire_</v>
      </c>
      <c r="D231" s="9" t="str">
        <f>DONNEES!C5</f>
        <v>toto</v>
      </c>
      <c r="E231" s="154">
        <f t="shared" ref="E231:F237" si="28">G64</f>
        <v>0</v>
      </c>
      <c r="F231" s="154">
        <f t="shared" si="28"/>
        <v>0</v>
      </c>
      <c r="O231" t="str">
        <f>TRI!B50</f>
        <v>Cotraitant_1_Tranche_OPTIONNELLE_1</v>
      </c>
      <c r="P231" t="s">
        <v>528</v>
      </c>
    </row>
    <row r="232" spans="1:16" hidden="1" outlineLevel="1" x14ac:dyDescent="0.3">
      <c r="A232" s="10" t="str">
        <f t="shared" ref="A232:A237" si="29">$A$61</f>
        <v>Tranche_OPTIONNELLE_1</v>
      </c>
      <c r="B232" s="10" t="str">
        <f t="shared" ref="B232:B237" si="30">$C$5</f>
        <v>toto</v>
      </c>
      <c r="C232" s="10">
        <f t="shared" ref="C232:D237" si="31">B65</f>
        <v>0</v>
      </c>
      <c r="D232" s="10">
        <f t="shared" si="31"/>
        <v>0</v>
      </c>
      <c r="E232" s="141">
        <f t="shared" si="28"/>
        <v>0</v>
      </c>
      <c r="F232" s="369">
        <f t="shared" si="28"/>
        <v>0</v>
      </c>
      <c r="O232" t="str">
        <f>TRI!B61</f>
        <v>Cotraitant_1_Tranche_OPTIONNELLE_2</v>
      </c>
      <c r="P232" t="s">
        <v>529</v>
      </c>
    </row>
    <row r="233" spans="1:16" hidden="1" outlineLevel="1" x14ac:dyDescent="0.3">
      <c r="A233" s="10" t="str">
        <f t="shared" si="29"/>
        <v>Tranche_OPTIONNELLE_1</v>
      </c>
      <c r="B233" s="10" t="str">
        <f t="shared" si="30"/>
        <v>toto</v>
      </c>
      <c r="C233" s="10">
        <f t="shared" si="31"/>
        <v>0</v>
      </c>
      <c r="D233" s="10">
        <f t="shared" si="31"/>
        <v>0</v>
      </c>
      <c r="E233" s="141">
        <f t="shared" si="28"/>
        <v>0</v>
      </c>
      <c r="F233" s="369">
        <f t="shared" si="28"/>
        <v>0</v>
      </c>
      <c r="O233" t="str">
        <f>TRI!B62</f>
        <v>Cotraitant_1_Tranche_OPTIONNELLE_3</v>
      </c>
      <c r="P233" t="s">
        <v>530</v>
      </c>
    </row>
    <row r="234" spans="1:16" hidden="1" outlineLevel="1" x14ac:dyDescent="0.3">
      <c r="A234" s="10" t="str">
        <f t="shared" si="29"/>
        <v>Tranche_OPTIONNELLE_1</v>
      </c>
      <c r="B234" s="10" t="str">
        <f t="shared" si="30"/>
        <v>toto</v>
      </c>
      <c r="C234" s="10">
        <f t="shared" si="31"/>
        <v>0</v>
      </c>
      <c r="D234" s="10">
        <f t="shared" si="31"/>
        <v>0</v>
      </c>
      <c r="E234" s="141">
        <f t="shared" si="28"/>
        <v>0</v>
      </c>
      <c r="F234" s="369">
        <f t="shared" si="28"/>
        <v>0</v>
      </c>
      <c r="O234" t="str">
        <f>TRI!B73</f>
        <v>Cotraitant_1_Tranche_OPTIONNELLE_4</v>
      </c>
      <c r="P234" t="s">
        <v>531</v>
      </c>
    </row>
    <row r="235" spans="1:16" hidden="1" outlineLevel="1" x14ac:dyDescent="0.3">
      <c r="A235" s="10" t="str">
        <f t="shared" si="29"/>
        <v>Tranche_OPTIONNELLE_1</v>
      </c>
      <c r="B235" s="10" t="str">
        <f t="shared" si="30"/>
        <v>toto</v>
      </c>
      <c r="C235" s="10">
        <f t="shared" si="31"/>
        <v>0</v>
      </c>
      <c r="D235" s="10">
        <f t="shared" si="31"/>
        <v>0</v>
      </c>
      <c r="E235" s="141">
        <f t="shared" si="28"/>
        <v>0</v>
      </c>
      <c r="F235" s="369">
        <f t="shared" si="28"/>
        <v>0</v>
      </c>
      <c r="O235" t="str">
        <f>TRI!B74</f>
        <v>Cotraitant_1_Tranche_OPTIONNELLE_5</v>
      </c>
      <c r="P235" t="s">
        <v>532</v>
      </c>
    </row>
    <row r="236" spans="1:16" hidden="1" outlineLevel="1" x14ac:dyDescent="0.3">
      <c r="A236" s="10" t="str">
        <f t="shared" si="29"/>
        <v>Tranche_OPTIONNELLE_1</v>
      </c>
      <c r="B236" s="10" t="str">
        <f t="shared" si="30"/>
        <v>toto</v>
      </c>
      <c r="C236" s="10">
        <f t="shared" si="31"/>
        <v>0</v>
      </c>
      <c r="D236" s="10">
        <f t="shared" si="31"/>
        <v>0</v>
      </c>
      <c r="E236" s="141">
        <f t="shared" si="28"/>
        <v>0</v>
      </c>
      <c r="F236" s="369">
        <f t="shared" si="28"/>
        <v>0</v>
      </c>
      <c r="O236" t="str">
        <f>TRI!B80</f>
        <v>Cotraitant_1_Tranche_OPTIONNELLE_6</v>
      </c>
      <c r="P236" t="s">
        <v>533</v>
      </c>
    </row>
    <row r="237" spans="1:16" hidden="1" outlineLevel="1" x14ac:dyDescent="0.3">
      <c r="A237" s="10" t="str">
        <f t="shared" si="29"/>
        <v>Tranche_OPTIONNELLE_1</v>
      </c>
      <c r="B237" s="10" t="str">
        <f t="shared" si="30"/>
        <v>toto</v>
      </c>
      <c r="C237" s="10">
        <f t="shared" si="31"/>
        <v>0</v>
      </c>
      <c r="D237" s="10">
        <f t="shared" si="31"/>
        <v>0</v>
      </c>
      <c r="E237" s="141">
        <f t="shared" si="28"/>
        <v>0</v>
      </c>
      <c r="F237" s="369">
        <f t="shared" si="28"/>
        <v>0</v>
      </c>
    </row>
    <row r="238" spans="1:16" hidden="1" outlineLevel="1" x14ac:dyDescent="0.3">
      <c r="A238" s="9" t="str">
        <f>A239</f>
        <v>Tranche_OPTIONNELLE_2</v>
      </c>
      <c r="B238" s="9" t="str">
        <f>B239</f>
        <v>toto</v>
      </c>
      <c r="C238" s="9" t="str">
        <f>B87&amp;"_"</f>
        <v>Titulaire_</v>
      </c>
      <c r="D238" s="9" t="str">
        <f>DONNEES!C5</f>
        <v>toto</v>
      </c>
      <c r="E238" s="154">
        <f>G87</f>
        <v>0</v>
      </c>
      <c r="F238" s="154">
        <f>H87</f>
        <v>0</v>
      </c>
    </row>
    <row r="239" spans="1:16" hidden="1" outlineLevel="1" x14ac:dyDescent="0.3">
      <c r="A239" s="10" t="str">
        <f t="shared" ref="A239:A244" si="32">$A$84</f>
        <v>Tranche_OPTIONNELLE_2</v>
      </c>
      <c r="B239" s="10" t="str">
        <f t="shared" ref="B239:B244" si="33">$C$5</f>
        <v>toto</v>
      </c>
      <c r="C239" s="10">
        <f t="shared" ref="C239:C244" si="34">B88</f>
        <v>0</v>
      </c>
      <c r="D239" s="10">
        <f t="shared" ref="D239:D244" si="35">C88</f>
        <v>0</v>
      </c>
      <c r="E239" s="141">
        <f t="shared" ref="E239:F244" si="36">G88</f>
        <v>0</v>
      </c>
      <c r="F239" s="369">
        <f t="shared" si="36"/>
        <v>0</v>
      </c>
    </row>
    <row r="240" spans="1:16" hidden="1" outlineLevel="1" x14ac:dyDescent="0.3">
      <c r="A240" s="10" t="str">
        <f t="shared" si="32"/>
        <v>Tranche_OPTIONNELLE_2</v>
      </c>
      <c r="B240" s="10" t="str">
        <f t="shared" si="33"/>
        <v>toto</v>
      </c>
      <c r="C240" s="10">
        <f t="shared" si="34"/>
        <v>0</v>
      </c>
      <c r="D240" s="10">
        <f t="shared" si="35"/>
        <v>0</v>
      </c>
      <c r="E240" s="141">
        <f t="shared" si="36"/>
        <v>0</v>
      </c>
      <c r="F240" s="369">
        <f t="shared" si="36"/>
        <v>0</v>
      </c>
    </row>
    <row r="241" spans="1:6" hidden="1" outlineLevel="1" x14ac:dyDescent="0.3">
      <c r="A241" s="10" t="str">
        <f t="shared" si="32"/>
        <v>Tranche_OPTIONNELLE_2</v>
      </c>
      <c r="B241" s="10" t="str">
        <f t="shared" si="33"/>
        <v>toto</v>
      </c>
      <c r="C241" s="10">
        <f t="shared" si="34"/>
        <v>0</v>
      </c>
      <c r="D241" s="10">
        <f t="shared" si="35"/>
        <v>0</v>
      </c>
      <c r="E241" s="141">
        <f t="shared" si="36"/>
        <v>0</v>
      </c>
      <c r="F241" s="369">
        <f t="shared" si="36"/>
        <v>0</v>
      </c>
    </row>
    <row r="242" spans="1:6" hidden="1" outlineLevel="1" x14ac:dyDescent="0.3">
      <c r="A242" s="10" t="str">
        <f t="shared" si="32"/>
        <v>Tranche_OPTIONNELLE_2</v>
      </c>
      <c r="B242" s="10" t="str">
        <f t="shared" si="33"/>
        <v>toto</v>
      </c>
      <c r="C242" s="10">
        <f t="shared" si="34"/>
        <v>0</v>
      </c>
      <c r="D242" s="10">
        <f t="shared" si="35"/>
        <v>0</v>
      </c>
      <c r="E242" s="141">
        <f t="shared" si="36"/>
        <v>0</v>
      </c>
      <c r="F242" s="369">
        <f t="shared" si="36"/>
        <v>0</v>
      </c>
    </row>
    <row r="243" spans="1:6" hidden="1" outlineLevel="1" x14ac:dyDescent="0.3">
      <c r="A243" s="10" t="str">
        <f t="shared" si="32"/>
        <v>Tranche_OPTIONNELLE_2</v>
      </c>
      <c r="B243" s="10" t="str">
        <f t="shared" si="33"/>
        <v>toto</v>
      </c>
      <c r="C243" s="10">
        <f t="shared" si="34"/>
        <v>0</v>
      </c>
      <c r="D243" s="10">
        <f t="shared" si="35"/>
        <v>0</v>
      </c>
      <c r="E243" s="141">
        <f t="shared" si="36"/>
        <v>0</v>
      </c>
      <c r="F243" s="369">
        <f t="shared" si="36"/>
        <v>0</v>
      </c>
    </row>
    <row r="244" spans="1:6" hidden="1" outlineLevel="1" x14ac:dyDescent="0.3">
      <c r="A244" s="10" t="str">
        <f t="shared" si="32"/>
        <v>Tranche_OPTIONNELLE_2</v>
      </c>
      <c r="B244" s="10" t="str">
        <f t="shared" si="33"/>
        <v>toto</v>
      </c>
      <c r="C244" s="10">
        <f t="shared" si="34"/>
        <v>0</v>
      </c>
      <c r="D244" s="10">
        <f t="shared" si="35"/>
        <v>0</v>
      </c>
      <c r="E244" s="141">
        <f t="shared" si="36"/>
        <v>0</v>
      </c>
      <c r="F244" s="369">
        <f t="shared" si="36"/>
        <v>0</v>
      </c>
    </row>
    <row r="245" spans="1:6" hidden="1" outlineLevel="1" x14ac:dyDescent="0.3">
      <c r="A245" s="151" t="str">
        <f>A246</f>
        <v>Tranche_OPTIONNELLE_3</v>
      </c>
      <c r="B245" s="151" t="str">
        <f>B246</f>
        <v>toto</v>
      </c>
      <c r="C245" s="151" t="str">
        <f>C238</f>
        <v>Titulaire_</v>
      </c>
      <c r="D245" s="148" t="str">
        <f>DONNEES!C5</f>
        <v>toto</v>
      </c>
      <c r="E245" s="148">
        <f>G110</f>
        <v>0</v>
      </c>
      <c r="F245" s="148">
        <f>H110</f>
        <v>0</v>
      </c>
    </row>
    <row r="246" spans="1:6" hidden="1" outlineLevel="1" x14ac:dyDescent="0.3">
      <c r="A246" s="10" t="str">
        <f t="shared" ref="A246:A251" si="37">$A$107</f>
        <v>Tranche_OPTIONNELLE_3</v>
      </c>
      <c r="B246" s="10" t="str">
        <f t="shared" ref="B246:B251" si="38">$C$5</f>
        <v>toto</v>
      </c>
      <c r="C246" s="10">
        <f t="shared" ref="C246:D251" si="39">B111</f>
        <v>0</v>
      </c>
      <c r="D246" s="10">
        <f t="shared" si="39"/>
        <v>0</v>
      </c>
      <c r="E246" s="141">
        <f t="shared" ref="E246:F251" si="40">G111</f>
        <v>0</v>
      </c>
      <c r="F246" s="369">
        <f t="shared" si="40"/>
        <v>0</v>
      </c>
    </row>
    <row r="247" spans="1:6" hidden="1" outlineLevel="1" x14ac:dyDescent="0.3">
      <c r="A247" s="10" t="str">
        <f t="shared" si="37"/>
        <v>Tranche_OPTIONNELLE_3</v>
      </c>
      <c r="B247" s="10" t="str">
        <f t="shared" si="38"/>
        <v>toto</v>
      </c>
      <c r="C247" s="10">
        <f t="shared" si="39"/>
        <v>0</v>
      </c>
      <c r="D247" s="10">
        <f t="shared" si="39"/>
        <v>0</v>
      </c>
      <c r="E247" s="141">
        <f t="shared" si="40"/>
        <v>0</v>
      </c>
      <c r="F247" s="369">
        <f t="shared" si="40"/>
        <v>0</v>
      </c>
    </row>
    <row r="248" spans="1:6" hidden="1" outlineLevel="1" x14ac:dyDescent="0.3">
      <c r="A248" s="10" t="str">
        <f t="shared" si="37"/>
        <v>Tranche_OPTIONNELLE_3</v>
      </c>
      <c r="B248" s="10" t="str">
        <f t="shared" si="38"/>
        <v>toto</v>
      </c>
      <c r="C248" s="10">
        <f t="shared" si="39"/>
        <v>0</v>
      </c>
      <c r="D248" s="10">
        <f t="shared" si="39"/>
        <v>0</v>
      </c>
      <c r="E248" s="141">
        <f t="shared" si="40"/>
        <v>0</v>
      </c>
      <c r="F248" s="369">
        <f t="shared" si="40"/>
        <v>0</v>
      </c>
    </row>
    <row r="249" spans="1:6" hidden="1" outlineLevel="1" x14ac:dyDescent="0.3">
      <c r="A249" s="10" t="str">
        <f t="shared" si="37"/>
        <v>Tranche_OPTIONNELLE_3</v>
      </c>
      <c r="B249" s="10" t="str">
        <f t="shared" si="38"/>
        <v>toto</v>
      </c>
      <c r="C249" s="10">
        <f t="shared" si="39"/>
        <v>0</v>
      </c>
      <c r="D249" s="10">
        <f t="shared" si="39"/>
        <v>0</v>
      </c>
      <c r="E249" s="141">
        <f t="shared" si="40"/>
        <v>0</v>
      </c>
      <c r="F249" s="369">
        <f t="shared" si="40"/>
        <v>0</v>
      </c>
    </row>
    <row r="250" spans="1:6" hidden="1" outlineLevel="1" x14ac:dyDescent="0.3">
      <c r="A250" s="10" t="str">
        <f t="shared" si="37"/>
        <v>Tranche_OPTIONNELLE_3</v>
      </c>
      <c r="B250" s="10" t="str">
        <f t="shared" si="38"/>
        <v>toto</v>
      </c>
      <c r="C250" s="10">
        <f t="shared" si="39"/>
        <v>0</v>
      </c>
      <c r="D250" s="10">
        <f t="shared" si="39"/>
        <v>0</v>
      </c>
      <c r="E250" s="141">
        <f t="shared" si="40"/>
        <v>0</v>
      </c>
      <c r="F250" s="369">
        <f t="shared" si="40"/>
        <v>0</v>
      </c>
    </row>
    <row r="251" spans="1:6" hidden="1" outlineLevel="1" x14ac:dyDescent="0.3">
      <c r="A251" s="10" t="str">
        <f t="shared" si="37"/>
        <v>Tranche_OPTIONNELLE_3</v>
      </c>
      <c r="B251" s="10" t="str">
        <f t="shared" si="38"/>
        <v>toto</v>
      </c>
      <c r="C251" s="10">
        <f t="shared" si="39"/>
        <v>0</v>
      </c>
      <c r="D251" s="10">
        <f t="shared" si="39"/>
        <v>0</v>
      </c>
      <c r="E251" s="141">
        <f t="shared" si="40"/>
        <v>0</v>
      </c>
      <c r="F251" s="369">
        <f t="shared" si="40"/>
        <v>0</v>
      </c>
    </row>
    <row r="252" spans="1:6" hidden="1" outlineLevel="1" x14ac:dyDescent="0.3">
      <c r="A252" s="151" t="str">
        <f>A253</f>
        <v>Tranche_OPTIONNELLE_4</v>
      </c>
      <c r="B252" s="151" t="str">
        <f>B253</f>
        <v>toto</v>
      </c>
      <c r="C252" s="151" t="str">
        <f>C245</f>
        <v>Titulaire_</v>
      </c>
      <c r="D252" s="148" t="str">
        <f>D245</f>
        <v>toto</v>
      </c>
      <c r="E252" s="148">
        <f>G133</f>
        <v>0</v>
      </c>
      <c r="F252" s="148">
        <f>H133</f>
        <v>0</v>
      </c>
    </row>
    <row r="253" spans="1:6" hidden="1" outlineLevel="1" x14ac:dyDescent="0.3">
      <c r="A253" s="10" t="str">
        <f t="shared" ref="A253:A258" si="41">$A$130</f>
        <v>Tranche_OPTIONNELLE_4</v>
      </c>
      <c r="B253" s="10" t="str">
        <f t="shared" ref="B253:B258" si="42">$C$5</f>
        <v>toto</v>
      </c>
      <c r="C253" s="10">
        <f t="shared" ref="C253:D258" si="43">B134</f>
        <v>0</v>
      </c>
      <c r="D253" s="10">
        <f t="shared" si="43"/>
        <v>0</v>
      </c>
      <c r="E253" s="141">
        <f t="shared" ref="E253:F258" si="44">G134</f>
        <v>0</v>
      </c>
      <c r="F253" s="369">
        <f t="shared" si="44"/>
        <v>0</v>
      </c>
    </row>
    <row r="254" spans="1:6" hidden="1" outlineLevel="1" x14ac:dyDescent="0.3">
      <c r="A254" s="10" t="str">
        <f t="shared" si="41"/>
        <v>Tranche_OPTIONNELLE_4</v>
      </c>
      <c r="B254" s="10" t="str">
        <f t="shared" si="42"/>
        <v>toto</v>
      </c>
      <c r="C254" s="10">
        <f t="shared" si="43"/>
        <v>0</v>
      </c>
      <c r="D254" s="10">
        <f t="shared" si="43"/>
        <v>0</v>
      </c>
      <c r="E254" s="141">
        <f t="shared" si="44"/>
        <v>0</v>
      </c>
      <c r="F254" s="369">
        <f t="shared" si="44"/>
        <v>0</v>
      </c>
    </row>
    <row r="255" spans="1:6" hidden="1" outlineLevel="1" x14ac:dyDescent="0.3">
      <c r="A255" s="10" t="str">
        <f t="shared" si="41"/>
        <v>Tranche_OPTIONNELLE_4</v>
      </c>
      <c r="B255" s="10" t="str">
        <f t="shared" si="42"/>
        <v>toto</v>
      </c>
      <c r="C255" s="10">
        <f t="shared" si="43"/>
        <v>0</v>
      </c>
      <c r="D255" s="10">
        <f t="shared" si="43"/>
        <v>0</v>
      </c>
      <c r="E255" s="141">
        <f t="shared" si="44"/>
        <v>0</v>
      </c>
      <c r="F255" s="369">
        <f t="shared" si="44"/>
        <v>0</v>
      </c>
    </row>
    <row r="256" spans="1:6" hidden="1" outlineLevel="1" x14ac:dyDescent="0.3">
      <c r="A256" s="10" t="str">
        <f t="shared" si="41"/>
        <v>Tranche_OPTIONNELLE_4</v>
      </c>
      <c r="B256" s="10" t="str">
        <f t="shared" si="42"/>
        <v>toto</v>
      </c>
      <c r="C256" s="10">
        <f t="shared" si="43"/>
        <v>0</v>
      </c>
      <c r="D256" s="10">
        <f t="shared" si="43"/>
        <v>0</v>
      </c>
      <c r="E256" s="141">
        <f t="shared" si="44"/>
        <v>0</v>
      </c>
      <c r="F256" s="369">
        <f t="shared" si="44"/>
        <v>0</v>
      </c>
    </row>
    <row r="257" spans="1:6" hidden="1" outlineLevel="1" x14ac:dyDescent="0.3">
      <c r="A257" s="10" t="str">
        <f t="shared" si="41"/>
        <v>Tranche_OPTIONNELLE_4</v>
      </c>
      <c r="B257" s="10" t="str">
        <f t="shared" si="42"/>
        <v>toto</v>
      </c>
      <c r="C257" s="10">
        <f t="shared" si="43"/>
        <v>0</v>
      </c>
      <c r="D257" s="10">
        <f t="shared" si="43"/>
        <v>0</v>
      </c>
      <c r="E257" s="141">
        <f t="shared" si="44"/>
        <v>0</v>
      </c>
      <c r="F257" s="369">
        <f t="shared" si="44"/>
        <v>0</v>
      </c>
    </row>
    <row r="258" spans="1:6" hidden="1" outlineLevel="1" x14ac:dyDescent="0.3">
      <c r="A258" s="10" t="str">
        <f t="shared" si="41"/>
        <v>Tranche_OPTIONNELLE_4</v>
      </c>
      <c r="B258" s="10" t="str">
        <f t="shared" si="42"/>
        <v>toto</v>
      </c>
      <c r="C258" s="10">
        <f t="shared" si="43"/>
        <v>0</v>
      </c>
      <c r="D258" s="10">
        <f t="shared" si="43"/>
        <v>0</v>
      </c>
      <c r="E258" s="141">
        <f t="shared" si="44"/>
        <v>0</v>
      </c>
      <c r="F258" s="369">
        <f t="shared" si="44"/>
        <v>0</v>
      </c>
    </row>
    <row r="259" spans="1:6" hidden="1" outlineLevel="1" x14ac:dyDescent="0.3">
      <c r="A259" s="151" t="str">
        <f>A260</f>
        <v>Tranche_OPTIONNELLE_5</v>
      </c>
      <c r="B259" s="151" t="str">
        <f>B260</f>
        <v>toto</v>
      </c>
      <c r="C259" s="151" t="str">
        <f>C252</f>
        <v>Titulaire_</v>
      </c>
      <c r="D259" s="148" t="str">
        <f>D252</f>
        <v>toto</v>
      </c>
      <c r="E259" s="148">
        <f>G156</f>
        <v>0</v>
      </c>
      <c r="F259" s="148">
        <f>H156</f>
        <v>0</v>
      </c>
    </row>
    <row r="260" spans="1:6" hidden="1" outlineLevel="1" x14ac:dyDescent="0.3">
      <c r="A260" s="149" t="str">
        <f t="shared" ref="A260:A265" si="45">$A$153</f>
        <v>Tranche_OPTIONNELLE_5</v>
      </c>
      <c r="B260" s="10" t="str">
        <f t="shared" ref="B260:B265" si="46">$C$5</f>
        <v>toto</v>
      </c>
      <c r="C260" s="10">
        <f t="shared" ref="C260:D265" si="47">B157</f>
        <v>0</v>
      </c>
      <c r="D260" s="10">
        <f t="shared" si="47"/>
        <v>0</v>
      </c>
      <c r="E260" s="141">
        <f t="shared" ref="E260:F265" si="48">G157</f>
        <v>0</v>
      </c>
      <c r="F260" s="369">
        <f t="shared" si="48"/>
        <v>0</v>
      </c>
    </row>
    <row r="261" spans="1:6" hidden="1" outlineLevel="1" x14ac:dyDescent="0.3">
      <c r="A261" s="149" t="str">
        <f t="shared" si="45"/>
        <v>Tranche_OPTIONNELLE_5</v>
      </c>
      <c r="B261" s="10" t="str">
        <f t="shared" si="46"/>
        <v>toto</v>
      </c>
      <c r="C261" s="10">
        <f t="shared" si="47"/>
        <v>0</v>
      </c>
      <c r="D261" s="10">
        <f t="shared" si="47"/>
        <v>0</v>
      </c>
      <c r="E261" s="141">
        <f t="shared" si="48"/>
        <v>0</v>
      </c>
      <c r="F261" s="369">
        <f t="shared" si="48"/>
        <v>0</v>
      </c>
    </row>
    <row r="262" spans="1:6" hidden="1" outlineLevel="1" x14ac:dyDescent="0.3">
      <c r="A262" s="149" t="str">
        <f t="shared" si="45"/>
        <v>Tranche_OPTIONNELLE_5</v>
      </c>
      <c r="B262" s="10" t="str">
        <f t="shared" si="46"/>
        <v>toto</v>
      </c>
      <c r="C262" s="10">
        <f t="shared" si="47"/>
        <v>0</v>
      </c>
      <c r="D262" s="10">
        <f t="shared" si="47"/>
        <v>0</v>
      </c>
      <c r="E262" s="141">
        <f t="shared" si="48"/>
        <v>0</v>
      </c>
      <c r="F262" s="369">
        <f t="shared" si="48"/>
        <v>0</v>
      </c>
    </row>
    <row r="263" spans="1:6" hidden="1" outlineLevel="1" x14ac:dyDescent="0.3">
      <c r="A263" s="149" t="str">
        <f t="shared" si="45"/>
        <v>Tranche_OPTIONNELLE_5</v>
      </c>
      <c r="B263" s="10" t="str">
        <f t="shared" si="46"/>
        <v>toto</v>
      </c>
      <c r="C263" s="10">
        <f t="shared" si="47"/>
        <v>0</v>
      </c>
      <c r="D263" s="10">
        <f t="shared" si="47"/>
        <v>0</v>
      </c>
      <c r="E263" s="141">
        <f t="shared" si="48"/>
        <v>0</v>
      </c>
      <c r="F263" s="369">
        <f t="shared" si="48"/>
        <v>0</v>
      </c>
    </row>
    <row r="264" spans="1:6" hidden="1" outlineLevel="1" x14ac:dyDescent="0.3">
      <c r="A264" s="149" t="str">
        <f t="shared" si="45"/>
        <v>Tranche_OPTIONNELLE_5</v>
      </c>
      <c r="B264" s="10" t="str">
        <f t="shared" si="46"/>
        <v>toto</v>
      </c>
      <c r="C264" s="10">
        <f t="shared" si="47"/>
        <v>0</v>
      </c>
      <c r="D264" s="10">
        <f t="shared" si="47"/>
        <v>0</v>
      </c>
      <c r="E264" s="141">
        <f t="shared" si="48"/>
        <v>0</v>
      </c>
      <c r="F264" s="369">
        <f t="shared" si="48"/>
        <v>0</v>
      </c>
    </row>
    <row r="265" spans="1:6" hidden="1" outlineLevel="1" x14ac:dyDescent="0.3">
      <c r="A265" s="149" t="str">
        <f t="shared" si="45"/>
        <v>Tranche_OPTIONNELLE_5</v>
      </c>
      <c r="B265" s="10" t="str">
        <f t="shared" si="46"/>
        <v>toto</v>
      </c>
      <c r="C265" s="10">
        <f t="shared" si="47"/>
        <v>0</v>
      </c>
      <c r="D265" s="10">
        <f t="shared" si="47"/>
        <v>0</v>
      </c>
      <c r="E265" s="141">
        <f t="shared" si="48"/>
        <v>0</v>
      </c>
      <c r="F265" s="369">
        <f t="shared" si="48"/>
        <v>0</v>
      </c>
    </row>
    <row r="266" spans="1:6" hidden="1" outlineLevel="1" x14ac:dyDescent="0.3">
      <c r="A266" s="150" t="str">
        <f>A267</f>
        <v>Tranche_OPTIONNELLE_6</v>
      </c>
      <c r="B266" s="151" t="str">
        <f>B267</f>
        <v>toto</v>
      </c>
      <c r="C266" s="151" t="str">
        <f>C259</f>
        <v>Titulaire_</v>
      </c>
      <c r="D266" s="148" t="str">
        <f>D259</f>
        <v>toto</v>
      </c>
      <c r="E266" s="148">
        <f>G179</f>
        <v>0</v>
      </c>
      <c r="F266" s="148">
        <f>H179</f>
        <v>0</v>
      </c>
    </row>
    <row r="267" spans="1:6" hidden="1" outlineLevel="1" x14ac:dyDescent="0.3">
      <c r="A267" s="149" t="str">
        <f t="shared" ref="A267:A272" si="49">$A$176</f>
        <v>Tranche_OPTIONNELLE_6</v>
      </c>
      <c r="B267" s="10" t="str">
        <f t="shared" ref="B267:B279" si="50">$C$5</f>
        <v>toto</v>
      </c>
      <c r="C267" s="10">
        <f t="shared" ref="C267:D272" si="51">B180</f>
        <v>0</v>
      </c>
      <c r="D267" s="10">
        <f t="shared" si="51"/>
        <v>0</v>
      </c>
      <c r="E267" s="141">
        <f t="shared" ref="E267:F272" si="52">G180</f>
        <v>0</v>
      </c>
      <c r="F267" s="369">
        <f t="shared" si="52"/>
        <v>0</v>
      </c>
    </row>
    <row r="268" spans="1:6" hidden="1" outlineLevel="1" x14ac:dyDescent="0.3">
      <c r="A268" s="149" t="str">
        <f t="shared" si="49"/>
        <v>Tranche_OPTIONNELLE_6</v>
      </c>
      <c r="B268" s="10" t="str">
        <f t="shared" si="50"/>
        <v>toto</v>
      </c>
      <c r="C268" s="10">
        <f t="shared" si="51"/>
        <v>0</v>
      </c>
      <c r="D268" s="10">
        <f t="shared" si="51"/>
        <v>0</v>
      </c>
      <c r="E268" s="141">
        <f t="shared" si="52"/>
        <v>0</v>
      </c>
      <c r="F268" s="369">
        <f t="shared" si="52"/>
        <v>0</v>
      </c>
    </row>
    <row r="269" spans="1:6" hidden="1" outlineLevel="1" x14ac:dyDescent="0.3">
      <c r="A269" s="149" t="str">
        <f t="shared" si="49"/>
        <v>Tranche_OPTIONNELLE_6</v>
      </c>
      <c r="B269" s="10" t="str">
        <f t="shared" si="50"/>
        <v>toto</v>
      </c>
      <c r="C269" s="10">
        <f t="shared" si="51"/>
        <v>0</v>
      </c>
      <c r="D269" s="10">
        <f t="shared" si="51"/>
        <v>0</v>
      </c>
      <c r="E269" s="141">
        <f t="shared" si="52"/>
        <v>0</v>
      </c>
      <c r="F269" s="369">
        <f t="shared" si="52"/>
        <v>0</v>
      </c>
    </row>
    <row r="270" spans="1:6" hidden="1" outlineLevel="1" x14ac:dyDescent="0.3">
      <c r="A270" s="149" t="str">
        <f t="shared" si="49"/>
        <v>Tranche_OPTIONNELLE_6</v>
      </c>
      <c r="B270" s="10" t="str">
        <f t="shared" si="50"/>
        <v>toto</v>
      </c>
      <c r="C270" s="10">
        <f t="shared" si="51"/>
        <v>0</v>
      </c>
      <c r="D270" s="10">
        <f t="shared" si="51"/>
        <v>0</v>
      </c>
      <c r="E270" s="141">
        <f t="shared" si="52"/>
        <v>0</v>
      </c>
      <c r="F270" s="369">
        <f t="shared" si="52"/>
        <v>0</v>
      </c>
    </row>
    <row r="271" spans="1:6" hidden="1" outlineLevel="1" x14ac:dyDescent="0.3">
      <c r="A271" s="149" t="str">
        <f t="shared" si="49"/>
        <v>Tranche_OPTIONNELLE_6</v>
      </c>
      <c r="B271" s="10" t="str">
        <f t="shared" si="50"/>
        <v>toto</v>
      </c>
      <c r="C271" s="10">
        <f t="shared" si="51"/>
        <v>0</v>
      </c>
      <c r="D271" s="10">
        <f t="shared" si="51"/>
        <v>0</v>
      </c>
      <c r="E271" s="141">
        <f t="shared" si="52"/>
        <v>0</v>
      </c>
      <c r="F271" s="369">
        <f t="shared" si="52"/>
        <v>0</v>
      </c>
    </row>
    <row r="272" spans="1:6" hidden="1" outlineLevel="1" x14ac:dyDescent="0.3">
      <c r="A272" s="149" t="str">
        <f t="shared" si="49"/>
        <v>Tranche_OPTIONNELLE_6</v>
      </c>
      <c r="B272" s="10" t="str">
        <f t="shared" si="50"/>
        <v>toto</v>
      </c>
      <c r="C272" s="10">
        <f t="shared" si="51"/>
        <v>0</v>
      </c>
      <c r="D272" s="10">
        <f t="shared" si="51"/>
        <v>0</v>
      </c>
      <c r="E272" s="141">
        <f t="shared" si="52"/>
        <v>0</v>
      </c>
      <c r="F272" s="369">
        <f t="shared" si="52"/>
        <v>0</v>
      </c>
    </row>
    <row r="273" spans="1:6" hidden="1" outlineLevel="1" x14ac:dyDescent="0.3">
      <c r="A273" s="19" t="str">
        <f t="shared" ref="A273:A279" si="53">$A$199&amp;" "&amp;B203</f>
        <v>Avenants et OS Tranche Ferme</v>
      </c>
      <c r="B273" s="10" t="str">
        <f t="shared" si="50"/>
        <v>toto</v>
      </c>
      <c r="C273" s="19" t="str">
        <f t="shared" ref="C273:C279" si="54">$C$266</f>
        <v>Titulaire_</v>
      </c>
      <c r="D273" s="161" t="str">
        <f t="shared" ref="D273:D279" si="55">$D$266</f>
        <v>toto</v>
      </c>
      <c r="E273" s="161">
        <f t="shared" ref="E273:F279" si="56">G203</f>
        <v>23740</v>
      </c>
      <c r="F273" s="370">
        <f t="shared" si="56"/>
        <v>0</v>
      </c>
    </row>
    <row r="274" spans="1:6" hidden="1" outlineLevel="1" x14ac:dyDescent="0.3">
      <c r="A274" s="19" t="str">
        <f t="shared" si="53"/>
        <v>Avenants et OS Tranche Optionnelle 1</v>
      </c>
      <c r="B274" s="10" t="str">
        <f t="shared" si="50"/>
        <v>toto</v>
      </c>
      <c r="C274" s="19" t="str">
        <f t="shared" si="54"/>
        <v>Titulaire_</v>
      </c>
      <c r="D274" s="161" t="str">
        <f t="shared" si="55"/>
        <v>toto</v>
      </c>
      <c r="E274" s="161">
        <f t="shared" si="56"/>
        <v>0</v>
      </c>
      <c r="F274" s="370">
        <f t="shared" si="56"/>
        <v>0</v>
      </c>
    </row>
    <row r="275" spans="1:6" hidden="1" outlineLevel="1" x14ac:dyDescent="0.3">
      <c r="A275" s="19" t="str">
        <f t="shared" si="53"/>
        <v>Avenants et OS Tranche Optionnelle 2</v>
      </c>
      <c r="B275" s="10" t="str">
        <f t="shared" si="50"/>
        <v>toto</v>
      </c>
      <c r="C275" s="19" t="str">
        <f t="shared" si="54"/>
        <v>Titulaire_</v>
      </c>
      <c r="D275" s="161" t="str">
        <f t="shared" si="55"/>
        <v>toto</v>
      </c>
      <c r="E275" s="161">
        <f t="shared" si="56"/>
        <v>0</v>
      </c>
      <c r="F275" s="370">
        <f t="shared" si="56"/>
        <v>0</v>
      </c>
    </row>
    <row r="276" spans="1:6" hidden="1" outlineLevel="1" x14ac:dyDescent="0.3">
      <c r="A276" s="19" t="str">
        <f t="shared" si="53"/>
        <v>Avenants et OS Tranche Optionnelle 3</v>
      </c>
      <c r="B276" s="10" t="str">
        <f t="shared" si="50"/>
        <v>toto</v>
      </c>
      <c r="C276" s="19" t="str">
        <f t="shared" si="54"/>
        <v>Titulaire_</v>
      </c>
      <c r="D276" s="161" t="str">
        <f t="shared" si="55"/>
        <v>toto</v>
      </c>
      <c r="E276" s="161">
        <f t="shared" si="56"/>
        <v>0</v>
      </c>
      <c r="F276" s="370">
        <f t="shared" si="56"/>
        <v>0</v>
      </c>
    </row>
    <row r="277" spans="1:6" hidden="1" outlineLevel="1" x14ac:dyDescent="0.3">
      <c r="A277" s="19" t="str">
        <f t="shared" si="53"/>
        <v>Avenants et OS Tranche Optionnelle 4</v>
      </c>
      <c r="B277" s="10" t="str">
        <f t="shared" si="50"/>
        <v>toto</v>
      </c>
      <c r="C277" s="19" t="str">
        <f t="shared" si="54"/>
        <v>Titulaire_</v>
      </c>
      <c r="D277" s="161" t="str">
        <f t="shared" si="55"/>
        <v>toto</v>
      </c>
      <c r="E277" s="161">
        <f t="shared" si="56"/>
        <v>0</v>
      </c>
      <c r="F277" s="370">
        <f t="shared" si="56"/>
        <v>0</v>
      </c>
    </row>
    <row r="278" spans="1:6" hidden="1" outlineLevel="1" x14ac:dyDescent="0.3">
      <c r="A278" s="19" t="str">
        <f t="shared" si="53"/>
        <v>Avenants et OS Tranche Optionnelle 5</v>
      </c>
      <c r="B278" s="10" t="str">
        <f t="shared" si="50"/>
        <v>toto</v>
      </c>
      <c r="C278" s="19" t="str">
        <f t="shared" si="54"/>
        <v>Titulaire_</v>
      </c>
      <c r="D278" s="161" t="str">
        <f t="shared" si="55"/>
        <v>toto</v>
      </c>
      <c r="E278" s="161">
        <f t="shared" si="56"/>
        <v>0</v>
      </c>
      <c r="F278" s="370">
        <f t="shared" si="56"/>
        <v>0</v>
      </c>
    </row>
    <row r="279" spans="1:6" hidden="1" outlineLevel="1" x14ac:dyDescent="0.3">
      <c r="A279" s="19" t="str">
        <f t="shared" si="53"/>
        <v>Avenants et OS Tranche Optionnelle 6</v>
      </c>
      <c r="B279" s="10" t="str">
        <f t="shared" si="50"/>
        <v>toto</v>
      </c>
      <c r="C279" s="19" t="str">
        <f t="shared" si="54"/>
        <v>Titulaire_</v>
      </c>
      <c r="D279" s="161" t="str">
        <f t="shared" si="55"/>
        <v>toto</v>
      </c>
      <c r="E279" s="161">
        <f t="shared" si="56"/>
        <v>0</v>
      </c>
      <c r="F279" s="370">
        <f t="shared" si="56"/>
        <v>0</v>
      </c>
    </row>
    <row r="280" spans="1:6" hidden="1" outlineLevel="1" x14ac:dyDescent="0.3">
      <c r="A280" s="9" t="str">
        <f>A281</f>
        <v>Tranche_FERME</v>
      </c>
      <c r="B280" s="10">
        <f t="shared" ref="B280:B311" si="57">$C$6</f>
        <v>0</v>
      </c>
      <c r="C280" s="9" t="str">
        <f t="shared" ref="C280:C286" si="58">B52</f>
        <v>Cotraitant_1</v>
      </c>
      <c r="D280" s="9">
        <f>DONNEES!C6</f>
        <v>0</v>
      </c>
      <c r="E280" s="154">
        <f t="shared" ref="E280:F286" si="59">G52</f>
        <v>0</v>
      </c>
      <c r="F280" s="154">
        <f t="shared" si="59"/>
        <v>0</v>
      </c>
    </row>
    <row r="281" spans="1:6" hidden="1" outlineLevel="1" x14ac:dyDescent="0.3">
      <c r="A281" s="10" t="str">
        <f t="shared" ref="A281:A286" si="60">$A$38</f>
        <v>Tranche_FERME</v>
      </c>
      <c r="B281" s="10">
        <f t="shared" si="57"/>
        <v>0</v>
      </c>
      <c r="C281" s="10">
        <f t="shared" si="58"/>
        <v>0</v>
      </c>
      <c r="D281" s="10">
        <f t="shared" ref="D281:D286" si="61">C53</f>
        <v>0</v>
      </c>
      <c r="E281" s="141">
        <f t="shared" si="59"/>
        <v>0</v>
      </c>
      <c r="F281" s="369">
        <f t="shared" si="59"/>
        <v>0</v>
      </c>
    </row>
    <row r="282" spans="1:6" hidden="1" outlineLevel="1" x14ac:dyDescent="0.3">
      <c r="A282" s="10" t="str">
        <f t="shared" si="60"/>
        <v>Tranche_FERME</v>
      </c>
      <c r="B282" s="10">
        <f t="shared" si="57"/>
        <v>0</v>
      </c>
      <c r="C282" s="10">
        <f t="shared" si="58"/>
        <v>0</v>
      </c>
      <c r="D282" s="10">
        <f t="shared" si="61"/>
        <v>0</v>
      </c>
      <c r="E282" s="141">
        <f t="shared" si="59"/>
        <v>0</v>
      </c>
      <c r="F282" s="369">
        <f t="shared" si="59"/>
        <v>0</v>
      </c>
    </row>
    <row r="283" spans="1:6" hidden="1" outlineLevel="1" x14ac:dyDescent="0.3">
      <c r="A283" s="10" t="str">
        <f t="shared" si="60"/>
        <v>Tranche_FERME</v>
      </c>
      <c r="B283" s="10">
        <f t="shared" si="57"/>
        <v>0</v>
      </c>
      <c r="C283" s="10">
        <f t="shared" si="58"/>
        <v>0</v>
      </c>
      <c r="D283" s="10">
        <f t="shared" si="61"/>
        <v>0</v>
      </c>
      <c r="E283" s="141">
        <f t="shared" si="59"/>
        <v>0</v>
      </c>
      <c r="F283" s="369">
        <f t="shared" si="59"/>
        <v>0</v>
      </c>
    </row>
    <row r="284" spans="1:6" hidden="1" outlineLevel="1" x14ac:dyDescent="0.3">
      <c r="A284" s="10" t="str">
        <f t="shared" si="60"/>
        <v>Tranche_FERME</v>
      </c>
      <c r="B284" s="10">
        <f t="shared" si="57"/>
        <v>0</v>
      </c>
      <c r="C284" s="10">
        <f t="shared" si="58"/>
        <v>0</v>
      </c>
      <c r="D284" s="10">
        <f t="shared" si="61"/>
        <v>0</v>
      </c>
      <c r="E284" s="141">
        <f t="shared" si="59"/>
        <v>0</v>
      </c>
      <c r="F284" s="369">
        <f t="shared" si="59"/>
        <v>0</v>
      </c>
    </row>
    <row r="285" spans="1:6" hidden="1" outlineLevel="1" x14ac:dyDescent="0.3">
      <c r="A285" s="10" t="str">
        <f t="shared" si="60"/>
        <v>Tranche_FERME</v>
      </c>
      <c r="B285" s="10">
        <f t="shared" si="57"/>
        <v>0</v>
      </c>
      <c r="C285" s="10">
        <f t="shared" si="58"/>
        <v>0</v>
      </c>
      <c r="D285" s="10">
        <f t="shared" si="61"/>
        <v>0</v>
      </c>
      <c r="E285" s="141">
        <f t="shared" si="59"/>
        <v>0</v>
      </c>
      <c r="F285" s="369">
        <f t="shared" si="59"/>
        <v>0</v>
      </c>
    </row>
    <row r="286" spans="1:6" hidden="1" outlineLevel="1" x14ac:dyDescent="0.3">
      <c r="A286" s="10" t="str">
        <f t="shared" si="60"/>
        <v>Tranche_FERME</v>
      </c>
      <c r="B286" s="10">
        <f t="shared" si="57"/>
        <v>0</v>
      </c>
      <c r="C286" s="10">
        <f t="shared" si="58"/>
        <v>0</v>
      </c>
      <c r="D286" s="10">
        <f t="shared" si="61"/>
        <v>0</v>
      </c>
      <c r="E286" s="141">
        <f t="shared" si="59"/>
        <v>0</v>
      </c>
      <c r="F286" s="369">
        <f t="shared" si="59"/>
        <v>0</v>
      </c>
    </row>
    <row r="287" spans="1:6" hidden="1" outlineLevel="1" x14ac:dyDescent="0.3">
      <c r="A287" s="9" t="str">
        <f t="shared" ref="A287:A293" si="62">$A$61</f>
        <v>Tranche_OPTIONNELLE_1</v>
      </c>
      <c r="B287" s="10">
        <f t="shared" si="57"/>
        <v>0</v>
      </c>
      <c r="C287" s="9" t="str">
        <f>C280</f>
        <v>Cotraitant_1</v>
      </c>
      <c r="D287" s="9">
        <f>D280</f>
        <v>0</v>
      </c>
      <c r="E287" s="154">
        <f t="shared" ref="E287:F293" si="63">G75</f>
        <v>0</v>
      </c>
      <c r="F287" s="154">
        <f t="shared" si="63"/>
        <v>0</v>
      </c>
    </row>
    <row r="288" spans="1:6" hidden="1" outlineLevel="1" x14ac:dyDescent="0.3">
      <c r="A288" s="10" t="str">
        <f t="shared" si="62"/>
        <v>Tranche_OPTIONNELLE_1</v>
      </c>
      <c r="B288" s="10">
        <f t="shared" si="57"/>
        <v>0</v>
      </c>
      <c r="C288" s="10">
        <f t="shared" ref="C288:D293" si="64">B76</f>
        <v>0</v>
      </c>
      <c r="D288" s="10">
        <f t="shared" si="64"/>
        <v>0</v>
      </c>
      <c r="E288" s="141">
        <f t="shared" si="63"/>
        <v>0</v>
      </c>
      <c r="F288" s="369">
        <f t="shared" si="63"/>
        <v>0</v>
      </c>
    </row>
    <row r="289" spans="1:6" hidden="1" outlineLevel="1" x14ac:dyDescent="0.3">
      <c r="A289" s="10" t="str">
        <f t="shared" si="62"/>
        <v>Tranche_OPTIONNELLE_1</v>
      </c>
      <c r="B289" s="10">
        <f t="shared" si="57"/>
        <v>0</v>
      </c>
      <c r="C289" s="10">
        <f t="shared" si="64"/>
        <v>0</v>
      </c>
      <c r="D289" s="10">
        <f t="shared" si="64"/>
        <v>0</v>
      </c>
      <c r="E289" s="141">
        <f t="shared" si="63"/>
        <v>0</v>
      </c>
      <c r="F289" s="369">
        <f t="shared" si="63"/>
        <v>0</v>
      </c>
    </row>
    <row r="290" spans="1:6" hidden="1" outlineLevel="1" x14ac:dyDescent="0.3">
      <c r="A290" s="10" t="str">
        <f t="shared" si="62"/>
        <v>Tranche_OPTIONNELLE_1</v>
      </c>
      <c r="B290" s="10">
        <f t="shared" si="57"/>
        <v>0</v>
      </c>
      <c r="C290" s="10">
        <f t="shared" si="64"/>
        <v>0</v>
      </c>
      <c r="D290" s="10">
        <f t="shared" si="64"/>
        <v>0</v>
      </c>
      <c r="E290" s="141">
        <f t="shared" si="63"/>
        <v>0</v>
      </c>
      <c r="F290" s="369">
        <f t="shared" si="63"/>
        <v>0</v>
      </c>
    </row>
    <row r="291" spans="1:6" hidden="1" outlineLevel="1" x14ac:dyDescent="0.3">
      <c r="A291" s="10" t="str">
        <f t="shared" si="62"/>
        <v>Tranche_OPTIONNELLE_1</v>
      </c>
      <c r="B291" s="10">
        <f t="shared" si="57"/>
        <v>0</v>
      </c>
      <c r="C291" s="10">
        <f t="shared" si="64"/>
        <v>0</v>
      </c>
      <c r="D291" s="10">
        <f t="shared" si="64"/>
        <v>0</v>
      </c>
      <c r="E291" s="141">
        <f t="shared" si="63"/>
        <v>0</v>
      </c>
      <c r="F291" s="369">
        <f t="shared" si="63"/>
        <v>0</v>
      </c>
    </row>
    <row r="292" spans="1:6" hidden="1" outlineLevel="1" x14ac:dyDescent="0.3">
      <c r="A292" s="10" t="str">
        <f t="shared" si="62"/>
        <v>Tranche_OPTIONNELLE_1</v>
      </c>
      <c r="B292" s="10">
        <f t="shared" si="57"/>
        <v>0</v>
      </c>
      <c r="C292" s="10">
        <f t="shared" si="64"/>
        <v>0</v>
      </c>
      <c r="D292" s="10">
        <f t="shared" si="64"/>
        <v>0</v>
      </c>
      <c r="E292" s="141">
        <f t="shared" si="63"/>
        <v>0</v>
      </c>
      <c r="F292" s="369">
        <f t="shared" si="63"/>
        <v>0</v>
      </c>
    </row>
    <row r="293" spans="1:6" hidden="1" outlineLevel="1" x14ac:dyDescent="0.3">
      <c r="A293" s="10" t="str">
        <f t="shared" si="62"/>
        <v>Tranche_OPTIONNELLE_1</v>
      </c>
      <c r="B293" s="10">
        <f t="shared" si="57"/>
        <v>0</v>
      </c>
      <c r="C293" s="10">
        <f t="shared" si="64"/>
        <v>0</v>
      </c>
      <c r="D293" s="10">
        <f t="shared" si="64"/>
        <v>0</v>
      </c>
      <c r="E293" s="141">
        <f t="shared" si="63"/>
        <v>0</v>
      </c>
      <c r="F293" s="369">
        <f t="shared" si="63"/>
        <v>0</v>
      </c>
    </row>
    <row r="294" spans="1:6" hidden="1" outlineLevel="1" x14ac:dyDescent="0.3">
      <c r="A294" s="9" t="str">
        <f t="shared" ref="A294:A300" si="65">$A$84</f>
        <v>Tranche_OPTIONNELLE_2</v>
      </c>
      <c r="B294" s="10">
        <f t="shared" si="57"/>
        <v>0</v>
      </c>
      <c r="C294" s="9" t="str">
        <f>C287</f>
        <v>Cotraitant_1</v>
      </c>
      <c r="D294" s="9">
        <f>D287</f>
        <v>0</v>
      </c>
      <c r="E294" s="154">
        <f t="shared" ref="E294:F300" si="66">G98</f>
        <v>0</v>
      </c>
      <c r="F294" s="154">
        <f t="shared" si="66"/>
        <v>0</v>
      </c>
    </row>
    <row r="295" spans="1:6" hidden="1" outlineLevel="1" x14ac:dyDescent="0.3">
      <c r="A295" s="10" t="str">
        <f t="shared" si="65"/>
        <v>Tranche_OPTIONNELLE_2</v>
      </c>
      <c r="B295" s="10">
        <f t="shared" si="57"/>
        <v>0</v>
      </c>
      <c r="C295" s="10">
        <f t="shared" ref="C295:D300" si="67">B99</f>
        <v>0</v>
      </c>
      <c r="D295" s="10">
        <f t="shared" si="67"/>
        <v>0</v>
      </c>
      <c r="E295" s="141">
        <f t="shared" si="66"/>
        <v>0</v>
      </c>
      <c r="F295" s="369">
        <f t="shared" si="66"/>
        <v>0</v>
      </c>
    </row>
    <row r="296" spans="1:6" hidden="1" outlineLevel="1" x14ac:dyDescent="0.3">
      <c r="A296" s="10" t="str">
        <f t="shared" si="65"/>
        <v>Tranche_OPTIONNELLE_2</v>
      </c>
      <c r="B296" s="10">
        <f t="shared" si="57"/>
        <v>0</v>
      </c>
      <c r="C296" s="10">
        <f t="shared" si="67"/>
        <v>0</v>
      </c>
      <c r="D296" s="10">
        <f t="shared" si="67"/>
        <v>0</v>
      </c>
      <c r="E296" s="141">
        <f t="shared" si="66"/>
        <v>0</v>
      </c>
      <c r="F296" s="369">
        <f t="shared" si="66"/>
        <v>0</v>
      </c>
    </row>
    <row r="297" spans="1:6" hidden="1" outlineLevel="1" x14ac:dyDescent="0.3">
      <c r="A297" s="10" t="str">
        <f t="shared" si="65"/>
        <v>Tranche_OPTIONNELLE_2</v>
      </c>
      <c r="B297" s="10">
        <f t="shared" si="57"/>
        <v>0</v>
      </c>
      <c r="C297" s="10">
        <f t="shared" si="67"/>
        <v>0</v>
      </c>
      <c r="D297" s="10">
        <f t="shared" si="67"/>
        <v>0</v>
      </c>
      <c r="E297" s="141">
        <f t="shared" si="66"/>
        <v>0</v>
      </c>
      <c r="F297" s="369">
        <f t="shared" si="66"/>
        <v>0</v>
      </c>
    </row>
    <row r="298" spans="1:6" hidden="1" outlineLevel="1" x14ac:dyDescent="0.3">
      <c r="A298" s="10" t="str">
        <f t="shared" si="65"/>
        <v>Tranche_OPTIONNELLE_2</v>
      </c>
      <c r="B298" s="10">
        <f t="shared" si="57"/>
        <v>0</v>
      </c>
      <c r="C298" s="10">
        <f t="shared" si="67"/>
        <v>0</v>
      </c>
      <c r="D298" s="10">
        <f t="shared" si="67"/>
        <v>0</v>
      </c>
      <c r="E298" s="141">
        <f t="shared" si="66"/>
        <v>0</v>
      </c>
      <c r="F298" s="369">
        <f t="shared" si="66"/>
        <v>0</v>
      </c>
    </row>
    <row r="299" spans="1:6" hidden="1" outlineLevel="1" x14ac:dyDescent="0.3">
      <c r="A299" s="10" t="str">
        <f t="shared" si="65"/>
        <v>Tranche_OPTIONNELLE_2</v>
      </c>
      <c r="B299" s="10">
        <f t="shared" si="57"/>
        <v>0</v>
      </c>
      <c r="C299" s="10">
        <f t="shared" si="67"/>
        <v>0</v>
      </c>
      <c r="D299" s="10">
        <f t="shared" si="67"/>
        <v>0</v>
      </c>
      <c r="E299" s="141">
        <f t="shared" si="66"/>
        <v>0</v>
      </c>
      <c r="F299" s="369">
        <f t="shared" si="66"/>
        <v>0</v>
      </c>
    </row>
    <row r="300" spans="1:6" hidden="1" outlineLevel="1" x14ac:dyDescent="0.3">
      <c r="A300" s="10" t="str">
        <f t="shared" si="65"/>
        <v>Tranche_OPTIONNELLE_2</v>
      </c>
      <c r="B300" s="10">
        <f t="shared" si="57"/>
        <v>0</v>
      </c>
      <c r="C300" s="10">
        <f t="shared" si="67"/>
        <v>0</v>
      </c>
      <c r="D300" s="10">
        <f t="shared" si="67"/>
        <v>0</v>
      </c>
      <c r="E300" s="141">
        <f t="shared" si="66"/>
        <v>0</v>
      </c>
      <c r="F300" s="369">
        <f t="shared" si="66"/>
        <v>0</v>
      </c>
    </row>
    <row r="301" spans="1:6" hidden="1" outlineLevel="1" x14ac:dyDescent="0.3">
      <c r="A301" s="10" t="str">
        <f t="shared" ref="A301:A307" si="68">$A$107</f>
        <v>Tranche_OPTIONNELLE_3</v>
      </c>
      <c r="B301" s="10">
        <f t="shared" si="57"/>
        <v>0</v>
      </c>
      <c r="C301" s="151" t="str">
        <f>C294</f>
        <v>Cotraitant_1</v>
      </c>
      <c r="D301" s="151">
        <f>D294</f>
        <v>0</v>
      </c>
      <c r="E301" s="148">
        <f t="shared" ref="E301:F307" si="69">G121</f>
        <v>0</v>
      </c>
      <c r="F301" s="148">
        <f t="shared" si="69"/>
        <v>0</v>
      </c>
    </row>
    <row r="302" spans="1:6" hidden="1" outlineLevel="1" x14ac:dyDescent="0.3">
      <c r="A302" s="10" t="str">
        <f t="shared" si="68"/>
        <v>Tranche_OPTIONNELLE_3</v>
      </c>
      <c r="B302" s="10">
        <f t="shared" si="57"/>
        <v>0</v>
      </c>
      <c r="C302" s="10">
        <f t="shared" ref="C302:D307" si="70">B122</f>
        <v>0</v>
      </c>
      <c r="D302" s="10">
        <f t="shared" si="70"/>
        <v>0</v>
      </c>
      <c r="E302" s="141">
        <f t="shared" si="69"/>
        <v>0</v>
      </c>
      <c r="F302" s="369">
        <f t="shared" si="69"/>
        <v>0</v>
      </c>
    </row>
    <row r="303" spans="1:6" hidden="1" outlineLevel="1" x14ac:dyDescent="0.3">
      <c r="A303" s="10" t="str">
        <f t="shared" si="68"/>
        <v>Tranche_OPTIONNELLE_3</v>
      </c>
      <c r="B303" s="10">
        <f t="shared" si="57"/>
        <v>0</v>
      </c>
      <c r="C303" s="10">
        <f t="shared" si="70"/>
        <v>0</v>
      </c>
      <c r="D303" s="10">
        <f t="shared" si="70"/>
        <v>0</v>
      </c>
      <c r="E303" s="141">
        <f t="shared" si="69"/>
        <v>0</v>
      </c>
      <c r="F303" s="369">
        <f t="shared" si="69"/>
        <v>0</v>
      </c>
    </row>
    <row r="304" spans="1:6" hidden="1" outlineLevel="1" x14ac:dyDescent="0.3">
      <c r="A304" s="10" t="str">
        <f t="shared" si="68"/>
        <v>Tranche_OPTIONNELLE_3</v>
      </c>
      <c r="B304" s="10">
        <f t="shared" si="57"/>
        <v>0</v>
      </c>
      <c r="C304" s="10">
        <f t="shared" si="70"/>
        <v>0</v>
      </c>
      <c r="D304" s="10">
        <f t="shared" si="70"/>
        <v>0</v>
      </c>
      <c r="E304" s="141">
        <f t="shared" si="69"/>
        <v>0</v>
      </c>
      <c r="F304" s="369">
        <f t="shared" si="69"/>
        <v>0</v>
      </c>
    </row>
    <row r="305" spans="1:9" hidden="1" outlineLevel="1" x14ac:dyDescent="0.3">
      <c r="A305" s="10" t="str">
        <f t="shared" si="68"/>
        <v>Tranche_OPTIONNELLE_3</v>
      </c>
      <c r="B305" s="10">
        <f t="shared" si="57"/>
        <v>0</v>
      </c>
      <c r="C305" s="10">
        <f t="shared" si="70"/>
        <v>0</v>
      </c>
      <c r="D305" s="10">
        <f t="shared" si="70"/>
        <v>0</v>
      </c>
      <c r="E305" s="141">
        <f t="shared" si="69"/>
        <v>0</v>
      </c>
      <c r="F305" s="369">
        <f t="shared" si="69"/>
        <v>0</v>
      </c>
    </row>
    <row r="306" spans="1:9" hidden="1" outlineLevel="1" x14ac:dyDescent="0.3">
      <c r="A306" s="10" t="str">
        <f t="shared" si="68"/>
        <v>Tranche_OPTIONNELLE_3</v>
      </c>
      <c r="B306" s="10">
        <f t="shared" si="57"/>
        <v>0</v>
      </c>
      <c r="C306" s="10">
        <f t="shared" si="70"/>
        <v>0</v>
      </c>
      <c r="D306" s="10">
        <f t="shared" si="70"/>
        <v>0</v>
      </c>
      <c r="E306" s="141">
        <f t="shared" si="69"/>
        <v>0</v>
      </c>
      <c r="F306" s="369">
        <f t="shared" si="69"/>
        <v>0</v>
      </c>
    </row>
    <row r="307" spans="1:9" hidden="1" outlineLevel="1" x14ac:dyDescent="0.3">
      <c r="A307" s="10" t="str">
        <f t="shared" si="68"/>
        <v>Tranche_OPTIONNELLE_3</v>
      </c>
      <c r="B307" s="10">
        <f t="shared" si="57"/>
        <v>0</v>
      </c>
      <c r="C307" s="10">
        <f t="shared" si="70"/>
        <v>0</v>
      </c>
      <c r="D307" s="10">
        <f t="shared" si="70"/>
        <v>0</v>
      </c>
      <c r="E307" s="141">
        <f t="shared" si="69"/>
        <v>0</v>
      </c>
      <c r="F307" s="369">
        <f t="shared" si="69"/>
        <v>0</v>
      </c>
    </row>
    <row r="308" spans="1:9" hidden="1" outlineLevel="1" x14ac:dyDescent="0.3">
      <c r="A308" s="10" t="str">
        <f t="shared" ref="A308:A314" si="71">$A$130</f>
        <v>Tranche_OPTIONNELLE_4</v>
      </c>
      <c r="B308" s="10">
        <f t="shared" si="57"/>
        <v>0</v>
      </c>
      <c r="C308" s="151" t="str">
        <f>C301</f>
        <v>Cotraitant_1</v>
      </c>
      <c r="D308" s="151">
        <f>D301</f>
        <v>0</v>
      </c>
      <c r="E308" s="148">
        <f t="shared" ref="E308:F314" si="72">G144</f>
        <v>0</v>
      </c>
      <c r="F308" s="148">
        <f t="shared" si="72"/>
        <v>0</v>
      </c>
      <c r="G308" s="371">
        <f t="shared" ref="G308:G318" si="73">B308</f>
        <v>0</v>
      </c>
      <c r="H308" s="25"/>
      <c r="I308" s="25"/>
    </row>
    <row r="309" spans="1:9" hidden="1" outlineLevel="1" x14ac:dyDescent="0.3">
      <c r="A309" s="10" t="str">
        <f t="shared" si="71"/>
        <v>Tranche_OPTIONNELLE_4</v>
      </c>
      <c r="B309" s="10">
        <f t="shared" si="57"/>
        <v>0</v>
      </c>
      <c r="C309" s="10">
        <f t="shared" ref="C309:D314" si="74">B145</f>
        <v>0</v>
      </c>
      <c r="D309" s="10">
        <f t="shared" si="74"/>
        <v>0</v>
      </c>
      <c r="E309" s="141">
        <f t="shared" si="72"/>
        <v>0</v>
      </c>
      <c r="F309" s="369">
        <f t="shared" si="72"/>
        <v>0</v>
      </c>
      <c r="G309" s="371">
        <f t="shared" si="73"/>
        <v>0</v>
      </c>
      <c r="H309" s="25"/>
      <c r="I309" s="25"/>
    </row>
    <row r="310" spans="1:9" hidden="1" outlineLevel="1" x14ac:dyDescent="0.3">
      <c r="A310" s="10" t="str">
        <f t="shared" si="71"/>
        <v>Tranche_OPTIONNELLE_4</v>
      </c>
      <c r="B310" s="10">
        <f t="shared" si="57"/>
        <v>0</v>
      </c>
      <c r="C310" s="10">
        <f t="shared" si="74"/>
        <v>0</v>
      </c>
      <c r="D310" s="10">
        <f t="shared" si="74"/>
        <v>0</v>
      </c>
      <c r="E310" s="141">
        <f t="shared" si="72"/>
        <v>0</v>
      </c>
      <c r="F310" s="369">
        <f t="shared" si="72"/>
        <v>0</v>
      </c>
      <c r="G310" s="371">
        <f t="shared" si="73"/>
        <v>0</v>
      </c>
      <c r="H310" s="25"/>
      <c r="I310" s="25"/>
    </row>
    <row r="311" spans="1:9" hidden="1" outlineLevel="1" x14ac:dyDescent="0.3">
      <c r="A311" s="10" t="str">
        <f t="shared" si="71"/>
        <v>Tranche_OPTIONNELLE_4</v>
      </c>
      <c r="B311" s="10">
        <f t="shared" si="57"/>
        <v>0</v>
      </c>
      <c r="C311" s="10">
        <f t="shared" si="74"/>
        <v>0</v>
      </c>
      <c r="D311" s="10">
        <f t="shared" si="74"/>
        <v>0</v>
      </c>
      <c r="E311" s="141">
        <f t="shared" si="72"/>
        <v>0</v>
      </c>
      <c r="F311" s="369">
        <f t="shared" si="72"/>
        <v>0</v>
      </c>
      <c r="G311" s="371">
        <f t="shared" si="73"/>
        <v>0</v>
      </c>
      <c r="H311" s="25"/>
      <c r="I311" s="25"/>
    </row>
    <row r="312" spans="1:9" hidden="1" outlineLevel="1" x14ac:dyDescent="0.3">
      <c r="A312" s="10" t="str">
        <f t="shared" si="71"/>
        <v>Tranche_OPTIONNELLE_4</v>
      </c>
      <c r="B312" s="10">
        <f t="shared" ref="B312:B335" si="75">$C$6</f>
        <v>0</v>
      </c>
      <c r="C312" s="10">
        <f t="shared" si="74"/>
        <v>0</v>
      </c>
      <c r="D312" s="10">
        <f t="shared" si="74"/>
        <v>0</v>
      </c>
      <c r="E312" s="141">
        <f t="shared" si="72"/>
        <v>0</v>
      </c>
      <c r="F312" s="369">
        <f t="shared" si="72"/>
        <v>0</v>
      </c>
      <c r="G312" s="371">
        <f t="shared" si="73"/>
        <v>0</v>
      </c>
      <c r="H312" s="25"/>
      <c r="I312" s="25"/>
    </row>
    <row r="313" spans="1:9" hidden="1" outlineLevel="1" x14ac:dyDescent="0.3">
      <c r="A313" s="10" t="str">
        <f t="shared" si="71"/>
        <v>Tranche_OPTIONNELLE_4</v>
      </c>
      <c r="B313" s="10">
        <f t="shared" si="75"/>
        <v>0</v>
      </c>
      <c r="C313" s="10">
        <f t="shared" si="74"/>
        <v>0</v>
      </c>
      <c r="D313" s="10">
        <f t="shared" si="74"/>
        <v>0</v>
      </c>
      <c r="E313" s="141">
        <f t="shared" si="72"/>
        <v>0</v>
      </c>
      <c r="F313" s="369">
        <f t="shared" si="72"/>
        <v>0</v>
      </c>
      <c r="G313" s="371">
        <f t="shared" si="73"/>
        <v>0</v>
      </c>
      <c r="H313" s="25"/>
      <c r="I313" s="25"/>
    </row>
    <row r="314" spans="1:9" hidden="1" outlineLevel="1" x14ac:dyDescent="0.3">
      <c r="A314" s="10" t="str">
        <f t="shared" si="71"/>
        <v>Tranche_OPTIONNELLE_4</v>
      </c>
      <c r="B314" s="10">
        <f t="shared" si="75"/>
        <v>0</v>
      </c>
      <c r="C314" s="10">
        <f t="shared" si="74"/>
        <v>0</v>
      </c>
      <c r="D314" s="10">
        <f t="shared" si="74"/>
        <v>0</v>
      </c>
      <c r="E314" s="141">
        <f t="shared" si="72"/>
        <v>0</v>
      </c>
      <c r="F314" s="369">
        <f t="shared" si="72"/>
        <v>0</v>
      </c>
      <c r="G314" s="371">
        <f t="shared" si="73"/>
        <v>0</v>
      </c>
      <c r="H314" s="25"/>
      <c r="I314" s="25"/>
    </row>
    <row r="315" spans="1:9" hidden="1" outlineLevel="1" x14ac:dyDescent="0.3">
      <c r="A315" s="10" t="str">
        <f t="shared" ref="A315:A321" si="76">$A$153</f>
        <v>Tranche_OPTIONNELLE_5</v>
      </c>
      <c r="B315" s="10">
        <f t="shared" si="75"/>
        <v>0</v>
      </c>
      <c r="C315" s="151" t="str">
        <f>C308</f>
        <v>Cotraitant_1</v>
      </c>
      <c r="D315" s="151">
        <f>D308</f>
        <v>0</v>
      </c>
      <c r="E315" s="148">
        <f t="shared" ref="E315:F321" si="77">G167</f>
        <v>0</v>
      </c>
      <c r="F315" s="148">
        <f t="shared" si="77"/>
        <v>0</v>
      </c>
      <c r="G315" s="371">
        <f t="shared" si="73"/>
        <v>0</v>
      </c>
      <c r="H315" s="25"/>
      <c r="I315" s="25"/>
    </row>
    <row r="316" spans="1:9" hidden="1" outlineLevel="1" x14ac:dyDescent="0.3">
      <c r="A316" s="10" t="str">
        <f t="shared" si="76"/>
        <v>Tranche_OPTIONNELLE_5</v>
      </c>
      <c r="B316" s="10">
        <f t="shared" si="75"/>
        <v>0</v>
      </c>
      <c r="C316" s="10">
        <f t="shared" ref="C316:D321" si="78">B168</f>
        <v>0</v>
      </c>
      <c r="D316" s="10">
        <f t="shared" si="78"/>
        <v>0</v>
      </c>
      <c r="E316" s="141">
        <f t="shared" si="77"/>
        <v>0</v>
      </c>
      <c r="F316" s="369">
        <f t="shared" si="77"/>
        <v>0</v>
      </c>
      <c r="G316" s="371">
        <f t="shared" si="73"/>
        <v>0</v>
      </c>
      <c r="H316" s="25"/>
      <c r="I316" s="25"/>
    </row>
    <row r="317" spans="1:9" hidden="1" outlineLevel="1" x14ac:dyDescent="0.3">
      <c r="A317" s="10" t="str">
        <f t="shared" si="76"/>
        <v>Tranche_OPTIONNELLE_5</v>
      </c>
      <c r="B317" s="10">
        <f t="shared" si="75"/>
        <v>0</v>
      </c>
      <c r="C317" s="10">
        <f t="shared" si="78"/>
        <v>0</v>
      </c>
      <c r="D317" s="10">
        <f t="shared" si="78"/>
        <v>0</v>
      </c>
      <c r="E317" s="141">
        <f t="shared" si="77"/>
        <v>0</v>
      </c>
      <c r="F317" s="369">
        <f t="shared" si="77"/>
        <v>0</v>
      </c>
      <c r="G317" s="371">
        <f t="shared" si="73"/>
        <v>0</v>
      </c>
      <c r="H317" s="25"/>
      <c r="I317" s="25"/>
    </row>
    <row r="318" spans="1:9" hidden="1" outlineLevel="1" x14ac:dyDescent="0.3">
      <c r="A318" s="10" t="str">
        <f t="shared" si="76"/>
        <v>Tranche_OPTIONNELLE_5</v>
      </c>
      <c r="B318" s="10">
        <f t="shared" si="75"/>
        <v>0</v>
      </c>
      <c r="C318" s="10">
        <f t="shared" si="78"/>
        <v>0</v>
      </c>
      <c r="D318" s="10">
        <f t="shared" si="78"/>
        <v>0</v>
      </c>
      <c r="E318" s="141">
        <f t="shared" si="77"/>
        <v>0</v>
      </c>
      <c r="F318" s="369">
        <f t="shared" si="77"/>
        <v>0</v>
      </c>
      <c r="G318" s="371">
        <f t="shared" si="73"/>
        <v>0</v>
      </c>
      <c r="H318" s="25"/>
      <c r="I318" s="25"/>
    </row>
    <row r="319" spans="1:9" hidden="1" outlineLevel="1" x14ac:dyDescent="0.3">
      <c r="A319" s="10" t="str">
        <f t="shared" si="76"/>
        <v>Tranche_OPTIONNELLE_5</v>
      </c>
      <c r="B319" s="10">
        <f t="shared" si="75"/>
        <v>0</v>
      </c>
      <c r="C319" s="10">
        <f t="shared" si="78"/>
        <v>0</v>
      </c>
      <c r="D319" s="10">
        <f t="shared" si="78"/>
        <v>0</v>
      </c>
      <c r="E319" s="141">
        <f t="shared" si="77"/>
        <v>0</v>
      </c>
      <c r="F319" s="369">
        <f t="shared" si="77"/>
        <v>0</v>
      </c>
      <c r="G319" s="371">
        <f t="shared" ref="G319:G335" si="79">B319</f>
        <v>0</v>
      </c>
      <c r="H319" s="25"/>
      <c r="I319" s="25"/>
    </row>
    <row r="320" spans="1:9" hidden="1" outlineLevel="1" x14ac:dyDescent="0.3">
      <c r="A320" s="10" t="str">
        <f t="shared" si="76"/>
        <v>Tranche_OPTIONNELLE_5</v>
      </c>
      <c r="B320" s="10">
        <f t="shared" si="75"/>
        <v>0</v>
      </c>
      <c r="C320" s="10">
        <f t="shared" si="78"/>
        <v>0</v>
      </c>
      <c r="D320" s="10">
        <f t="shared" si="78"/>
        <v>0</v>
      </c>
      <c r="E320" s="141">
        <f t="shared" si="77"/>
        <v>0</v>
      </c>
      <c r="F320" s="369">
        <f t="shared" si="77"/>
        <v>0</v>
      </c>
      <c r="G320" s="371">
        <f t="shared" si="79"/>
        <v>0</v>
      </c>
      <c r="H320" s="25"/>
      <c r="I320" s="25"/>
    </row>
    <row r="321" spans="1:9" hidden="1" outlineLevel="1" x14ac:dyDescent="0.3">
      <c r="A321" s="10" t="str">
        <f t="shared" si="76"/>
        <v>Tranche_OPTIONNELLE_5</v>
      </c>
      <c r="B321" s="10">
        <f t="shared" si="75"/>
        <v>0</v>
      </c>
      <c r="C321" s="10">
        <f t="shared" si="78"/>
        <v>0</v>
      </c>
      <c r="D321" s="10">
        <f t="shared" si="78"/>
        <v>0</v>
      </c>
      <c r="E321" s="141">
        <f t="shared" si="77"/>
        <v>0</v>
      </c>
      <c r="F321" s="369">
        <f t="shared" si="77"/>
        <v>0</v>
      </c>
      <c r="G321" s="371">
        <f t="shared" si="79"/>
        <v>0</v>
      </c>
      <c r="H321" s="25"/>
      <c r="I321" s="25"/>
    </row>
    <row r="322" spans="1:9" hidden="1" outlineLevel="1" x14ac:dyDescent="0.3">
      <c r="A322" s="10" t="str">
        <f t="shared" ref="A322:A328" si="80">$A$176</f>
        <v>Tranche_OPTIONNELLE_6</v>
      </c>
      <c r="B322" s="10">
        <f t="shared" si="75"/>
        <v>0</v>
      </c>
      <c r="C322" s="151" t="str">
        <f>C315</f>
        <v>Cotraitant_1</v>
      </c>
      <c r="D322" s="151">
        <f>D315</f>
        <v>0</v>
      </c>
      <c r="E322" s="148">
        <f t="shared" ref="E322:F328" si="81">G190</f>
        <v>0</v>
      </c>
      <c r="F322" s="148">
        <f t="shared" si="81"/>
        <v>0</v>
      </c>
      <c r="G322" s="371">
        <f t="shared" si="79"/>
        <v>0</v>
      </c>
      <c r="H322" s="25"/>
      <c r="I322" s="25"/>
    </row>
    <row r="323" spans="1:9" hidden="1" outlineLevel="1" x14ac:dyDescent="0.3">
      <c r="A323" s="10" t="str">
        <f t="shared" si="80"/>
        <v>Tranche_OPTIONNELLE_6</v>
      </c>
      <c r="B323" s="10">
        <f t="shared" si="75"/>
        <v>0</v>
      </c>
      <c r="C323" s="10">
        <f t="shared" ref="C323:D328" si="82">B191</f>
        <v>0</v>
      </c>
      <c r="D323" s="10">
        <f t="shared" si="82"/>
        <v>0</v>
      </c>
      <c r="E323" s="141">
        <f t="shared" si="81"/>
        <v>0</v>
      </c>
      <c r="F323" s="369">
        <f t="shared" si="81"/>
        <v>0</v>
      </c>
      <c r="G323" s="371">
        <f t="shared" si="79"/>
        <v>0</v>
      </c>
      <c r="H323" s="25"/>
      <c r="I323" s="25"/>
    </row>
    <row r="324" spans="1:9" hidden="1" outlineLevel="1" x14ac:dyDescent="0.3">
      <c r="A324" s="10" t="str">
        <f t="shared" si="80"/>
        <v>Tranche_OPTIONNELLE_6</v>
      </c>
      <c r="B324" s="10">
        <f t="shared" si="75"/>
        <v>0</v>
      </c>
      <c r="C324" s="10">
        <f t="shared" si="82"/>
        <v>0</v>
      </c>
      <c r="D324" s="10">
        <f t="shared" si="82"/>
        <v>0</v>
      </c>
      <c r="E324" s="141">
        <f t="shared" si="81"/>
        <v>0</v>
      </c>
      <c r="F324" s="369">
        <f t="shared" si="81"/>
        <v>0</v>
      </c>
      <c r="G324" s="371">
        <f t="shared" si="79"/>
        <v>0</v>
      </c>
      <c r="H324" s="25"/>
      <c r="I324" s="25"/>
    </row>
    <row r="325" spans="1:9" hidden="1" outlineLevel="1" x14ac:dyDescent="0.3">
      <c r="A325" s="10" t="str">
        <f t="shared" si="80"/>
        <v>Tranche_OPTIONNELLE_6</v>
      </c>
      <c r="B325" s="10">
        <f t="shared" si="75"/>
        <v>0</v>
      </c>
      <c r="C325" s="10">
        <f t="shared" si="82"/>
        <v>0</v>
      </c>
      <c r="D325" s="10">
        <f t="shared" si="82"/>
        <v>0</v>
      </c>
      <c r="E325" s="141">
        <f t="shared" si="81"/>
        <v>0</v>
      </c>
      <c r="F325" s="369">
        <f t="shared" si="81"/>
        <v>0</v>
      </c>
      <c r="G325" s="371">
        <f t="shared" si="79"/>
        <v>0</v>
      </c>
      <c r="H325" s="25"/>
      <c r="I325" s="25"/>
    </row>
    <row r="326" spans="1:9" hidden="1" outlineLevel="1" x14ac:dyDescent="0.3">
      <c r="A326" s="10" t="str">
        <f t="shared" si="80"/>
        <v>Tranche_OPTIONNELLE_6</v>
      </c>
      <c r="B326" s="10">
        <f t="shared" si="75"/>
        <v>0</v>
      </c>
      <c r="C326" s="10">
        <f t="shared" si="82"/>
        <v>0</v>
      </c>
      <c r="D326" s="10">
        <f t="shared" si="82"/>
        <v>0</v>
      </c>
      <c r="E326" s="141">
        <f t="shared" si="81"/>
        <v>0</v>
      </c>
      <c r="F326" s="369">
        <f t="shared" si="81"/>
        <v>0</v>
      </c>
      <c r="G326" s="371">
        <f t="shared" si="79"/>
        <v>0</v>
      </c>
      <c r="H326" s="25"/>
      <c r="I326" s="25"/>
    </row>
    <row r="327" spans="1:9" hidden="1" outlineLevel="1" x14ac:dyDescent="0.3">
      <c r="A327" s="10" t="str">
        <f t="shared" si="80"/>
        <v>Tranche_OPTIONNELLE_6</v>
      </c>
      <c r="B327" s="10">
        <f t="shared" si="75"/>
        <v>0</v>
      </c>
      <c r="C327" s="10">
        <f t="shared" si="82"/>
        <v>0</v>
      </c>
      <c r="D327" s="10">
        <f t="shared" si="82"/>
        <v>0</v>
      </c>
      <c r="E327" s="141">
        <f t="shared" si="81"/>
        <v>0</v>
      </c>
      <c r="F327" s="369">
        <f t="shared" si="81"/>
        <v>0</v>
      </c>
      <c r="G327" s="371">
        <f t="shared" si="79"/>
        <v>0</v>
      </c>
      <c r="H327" s="25"/>
      <c r="I327" s="25"/>
    </row>
    <row r="328" spans="1:9" hidden="1" outlineLevel="1" x14ac:dyDescent="0.3">
      <c r="A328" s="10" t="str">
        <f t="shared" si="80"/>
        <v>Tranche_OPTIONNELLE_6</v>
      </c>
      <c r="B328" s="10">
        <f t="shared" si="75"/>
        <v>0</v>
      </c>
      <c r="C328" s="10">
        <f t="shared" si="82"/>
        <v>0</v>
      </c>
      <c r="D328" s="10">
        <f t="shared" si="82"/>
        <v>0</v>
      </c>
      <c r="E328" s="141">
        <f t="shared" si="81"/>
        <v>0</v>
      </c>
      <c r="F328" s="369">
        <f t="shared" si="81"/>
        <v>0</v>
      </c>
      <c r="G328" s="371">
        <f t="shared" si="79"/>
        <v>0</v>
      </c>
      <c r="H328" s="25"/>
      <c r="I328" s="25"/>
    </row>
    <row r="329" spans="1:9" hidden="1" outlineLevel="1" x14ac:dyDescent="0.3">
      <c r="A329" s="10" t="str">
        <f t="shared" ref="A329:A335" si="83">$A$199&amp;" "&amp;B215</f>
        <v>Avenants et OS Tranche Ferme</v>
      </c>
      <c r="B329" s="10">
        <f t="shared" si="75"/>
        <v>0</v>
      </c>
      <c r="C329" s="19" t="str">
        <f t="shared" ref="C329:C335" si="84">$C$322</f>
        <v>Cotraitant_1</v>
      </c>
      <c r="D329" s="19">
        <f t="shared" ref="D329:D335" si="85">$D$322</f>
        <v>0</v>
      </c>
      <c r="E329" s="161">
        <f t="shared" ref="E329:F335" si="86">G215</f>
        <v>0</v>
      </c>
      <c r="F329" s="370">
        <f t="shared" si="86"/>
        <v>0</v>
      </c>
      <c r="G329" s="371">
        <f t="shared" si="79"/>
        <v>0</v>
      </c>
      <c r="H329" s="25"/>
      <c r="I329" s="25"/>
    </row>
    <row r="330" spans="1:9" hidden="1" outlineLevel="1" x14ac:dyDescent="0.3">
      <c r="A330" s="10" t="str">
        <f t="shared" si="83"/>
        <v>Avenants et OS Tranche Optionnelle 1</v>
      </c>
      <c r="B330" s="10">
        <f t="shared" si="75"/>
        <v>0</v>
      </c>
      <c r="C330" s="19" t="str">
        <f t="shared" si="84"/>
        <v>Cotraitant_1</v>
      </c>
      <c r="D330" s="19">
        <f t="shared" si="85"/>
        <v>0</v>
      </c>
      <c r="E330" s="161">
        <f t="shared" si="86"/>
        <v>0</v>
      </c>
      <c r="F330" s="370">
        <f t="shared" si="86"/>
        <v>0</v>
      </c>
      <c r="G330" s="371">
        <f t="shared" si="79"/>
        <v>0</v>
      </c>
      <c r="H330" s="25"/>
      <c r="I330" s="25"/>
    </row>
    <row r="331" spans="1:9" hidden="1" outlineLevel="1" x14ac:dyDescent="0.3">
      <c r="A331" s="10" t="str">
        <f t="shared" si="83"/>
        <v>Avenants et OS Tranche Optionnelle 2</v>
      </c>
      <c r="B331" s="10">
        <f t="shared" si="75"/>
        <v>0</v>
      </c>
      <c r="C331" s="19" t="str">
        <f t="shared" si="84"/>
        <v>Cotraitant_1</v>
      </c>
      <c r="D331" s="19">
        <f t="shared" si="85"/>
        <v>0</v>
      </c>
      <c r="E331" s="161">
        <f t="shared" si="86"/>
        <v>0</v>
      </c>
      <c r="F331" s="370">
        <f t="shared" si="86"/>
        <v>0</v>
      </c>
      <c r="G331" s="371">
        <f t="shared" si="79"/>
        <v>0</v>
      </c>
      <c r="H331" s="25"/>
      <c r="I331" s="25"/>
    </row>
    <row r="332" spans="1:9" hidden="1" outlineLevel="1" x14ac:dyDescent="0.3">
      <c r="A332" s="10" t="str">
        <f t="shared" si="83"/>
        <v>Avenants et OS Tranche Optionnelle 3</v>
      </c>
      <c r="B332" s="10">
        <f t="shared" si="75"/>
        <v>0</v>
      </c>
      <c r="C332" s="19" t="str">
        <f t="shared" si="84"/>
        <v>Cotraitant_1</v>
      </c>
      <c r="D332" s="19">
        <f t="shared" si="85"/>
        <v>0</v>
      </c>
      <c r="E332" s="161">
        <f t="shared" si="86"/>
        <v>0</v>
      </c>
      <c r="F332" s="370">
        <f t="shared" si="86"/>
        <v>0</v>
      </c>
      <c r="G332" s="371">
        <f t="shared" si="79"/>
        <v>0</v>
      </c>
      <c r="H332" s="25"/>
      <c r="I332" s="25"/>
    </row>
    <row r="333" spans="1:9" hidden="1" outlineLevel="1" x14ac:dyDescent="0.3">
      <c r="A333" s="10" t="str">
        <f t="shared" si="83"/>
        <v>Avenants et OS Tranche Optionnelle 4</v>
      </c>
      <c r="B333" s="10">
        <f t="shared" si="75"/>
        <v>0</v>
      </c>
      <c r="C333" s="19" t="str">
        <f t="shared" si="84"/>
        <v>Cotraitant_1</v>
      </c>
      <c r="D333" s="19">
        <f t="shared" si="85"/>
        <v>0</v>
      </c>
      <c r="E333" s="161">
        <f t="shared" si="86"/>
        <v>0</v>
      </c>
      <c r="F333" s="370">
        <f t="shared" si="86"/>
        <v>0</v>
      </c>
      <c r="G333" s="371">
        <f t="shared" si="79"/>
        <v>0</v>
      </c>
      <c r="H333" s="25"/>
      <c r="I333" s="25"/>
    </row>
    <row r="334" spans="1:9" hidden="1" outlineLevel="1" x14ac:dyDescent="0.3">
      <c r="A334" s="10" t="str">
        <f t="shared" si="83"/>
        <v>Avenants et OS Tranche Optionnelle 5</v>
      </c>
      <c r="B334" s="10">
        <f t="shared" si="75"/>
        <v>0</v>
      </c>
      <c r="C334" s="19" t="str">
        <f t="shared" si="84"/>
        <v>Cotraitant_1</v>
      </c>
      <c r="D334" s="19">
        <f t="shared" si="85"/>
        <v>0</v>
      </c>
      <c r="E334" s="161">
        <f t="shared" si="86"/>
        <v>0</v>
      </c>
      <c r="F334" s="370">
        <f t="shared" si="86"/>
        <v>0</v>
      </c>
      <c r="G334" s="371">
        <f t="shared" si="79"/>
        <v>0</v>
      </c>
      <c r="H334" s="25"/>
      <c r="I334" s="25"/>
    </row>
    <row r="335" spans="1:9" hidden="1" outlineLevel="1" x14ac:dyDescent="0.3">
      <c r="A335" s="10" t="str">
        <f t="shared" si="83"/>
        <v>Avenants et OS Tranche Optionnelle 6</v>
      </c>
      <c r="B335" s="10">
        <f t="shared" si="75"/>
        <v>0</v>
      </c>
      <c r="C335" s="19" t="str">
        <f t="shared" si="84"/>
        <v>Cotraitant_1</v>
      </c>
      <c r="D335" s="19">
        <f t="shared" si="85"/>
        <v>0</v>
      </c>
      <c r="E335" s="161">
        <f t="shared" si="86"/>
        <v>0</v>
      </c>
      <c r="F335" s="370">
        <f t="shared" si="86"/>
        <v>0</v>
      </c>
      <c r="G335" s="371">
        <f t="shared" si="79"/>
        <v>0</v>
      </c>
    </row>
    <row r="336" spans="1:9" hidden="1" outlineLevel="1" x14ac:dyDescent="0.3"/>
    <row r="337" collapsed="1" x14ac:dyDescent="0.3"/>
  </sheetData>
  <sheetProtection algorithmName="SHA-512" hashValue="ZfigYbf+okSOlthI4mDnO2ytCuci9r99IoGnqmlfrbfmjqlo+TFalhw5G0vpxzq4U8uY9i/5ren4No28Ic2mLQ==" saltValue="0ynV5TmRIopvcqDXDtiz3Q==" spinCount="100000" sheet="1" objects="1" scenarios="1"/>
  <dataConsolidate link="1"/>
  <mergeCells count="197">
    <mergeCell ref="F1:G1"/>
    <mergeCell ref="A177:A185"/>
    <mergeCell ref="B177:B178"/>
    <mergeCell ref="F210:H210"/>
    <mergeCell ref="F211:H211"/>
    <mergeCell ref="A210:E211"/>
    <mergeCell ref="I163:J163"/>
    <mergeCell ref="G164:H164"/>
    <mergeCell ref="I164:J164"/>
    <mergeCell ref="A163:E164"/>
    <mergeCell ref="G186:H186"/>
    <mergeCell ref="I186:J186"/>
    <mergeCell ref="G187:H187"/>
    <mergeCell ref="I187:J187"/>
    <mergeCell ref="A186:E187"/>
    <mergeCell ref="E200:F202"/>
    <mergeCell ref="C177:C178"/>
    <mergeCell ref="I177:I179"/>
    <mergeCell ref="F180:F185"/>
    <mergeCell ref="G175:H175"/>
    <mergeCell ref="I175:J175"/>
    <mergeCell ref="A176:B176"/>
    <mergeCell ref="G176:H176"/>
    <mergeCell ref="I176:J176"/>
    <mergeCell ref="A165:A173"/>
    <mergeCell ref="A154:A162"/>
    <mergeCell ref="B154:B155"/>
    <mergeCell ref="E212:F214"/>
    <mergeCell ref="G48:H48"/>
    <mergeCell ref="I48:J48"/>
    <mergeCell ref="G49:H49"/>
    <mergeCell ref="I49:J49"/>
    <mergeCell ref="G71:H71"/>
    <mergeCell ref="I71:J71"/>
    <mergeCell ref="G72:H72"/>
    <mergeCell ref="I72:J72"/>
    <mergeCell ref="A48:E49"/>
    <mergeCell ref="A71:E72"/>
    <mergeCell ref="G94:H94"/>
    <mergeCell ref="I94:J94"/>
    <mergeCell ref="G95:H95"/>
    <mergeCell ref="I95:J95"/>
    <mergeCell ref="A94:E95"/>
    <mergeCell ref="G117:H117"/>
    <mergeCell ref="I117:J117"/>
    <mergeCell ref="G118:H118"/>
    <mergeCell ref="I118:J118"/>
    <mergeCell ref="I188:I190"/>
    <mergeCell ref="F191:F196"/>
    <mergeCell ref="B165:B166"/>
    <mergeCell ref="C165:C166"/>
    <mergeCell ref="I165:I167"/>
    <mergeCell ref="F168:F173"/>
    <mergeCell ref="A212:A221"/>
    <mergeCell ref="B212:B213"/>
    <mergeCell ref="C212:C213"/>
    <mergeCell ref="F215:F221"/>
    <mergeCell ref="A200:A209"/>
    <mergeCell ref="B200:B201"/>
    <mergeCell ref="C200:C201"/>
    <mergeCell ref="B217:C217"/>
    <mergeCell ref="B218:C218"/>
    <mergeCell ref="B219:C219"/>
    <mergeCell ref="B221:C221"/>
    <mergeCell ref="B208:C208"/>
    <mergeCell ref="B220:C220"/>
    <mergeCell ref="B203:C203"/>
    <mergeCell ref="B204:C204"/>
    <mergeCell ref="B205:C205"/>
    <mergeCell ref="B206:C206"/>
    <mergeCell ref="B207:C207"/>
    <mergeCell ref="B209:C209"/>
    <mergeCell ref="B215:C215"/>
    <mergeCell ref="B216:C216"/>
    <mergeCell ref="F203:F209"/>
    <mergeCell ref="I131:I133"/>
    <mergeCell ref="F134:F139"/>
    <mergeCell ref="G129:H129"/>
    <mergeCell ref="I129:J129"/>
    <mergeCell ref="A130:B130"/>
    <mergeCell ref="G130:H130"/>
    <mergeCell ref="I130:J130"/>
    <mergeCell ref="C154:C155"/>
    <mergeCell ref="I154:I156"/>
    <mergeCell ref="G152:H152"/>
    <mergeCell ref="I152:J152"/>
    <mergeCell ref="A153:B153"/>
    <mergeCell ref="G153:H153"/>
    <mergeCell ref="I153:J153"/>
    <mergeCell ref="A142:A150"/>
    <mergeCell ref="B142:B143"/>
    <mergeCell ref="C142:C143"/>
    <mergeCell ref="I142:I144"/>
    <mergeCell ref="F145:F150"/>
    <mergeCell ref="G140:H140"/>
    <mergeCell ref="I140:J140"/>
    <mergeCell ref="G141:H141"/>
    <mergeCell ref="I141:J141"/>
    <mergeCell ref="A140:E141"/>
    <mergeCell ref="I119:I121"/>
    <mergeCell ref="F122:F127"/>
    <mergeCell ref="C96:C97"/>
    <mergeCell ref="I96:I98"/>
    <mergeCell ref="F99:F104"/>
    <mergeCell ref="A85:A93"/>
    <mergeCell ref="B85:B86"/>
    <mergeCell ref="C85:C86"/>
    <mergeCell ref="I85:I87"/>
    <mergeCell ref="F88:F93"/>
    <mergeCell ref="A108:A116"/>
    <mergeCell ref="B108:B109"/>
    <mergeCell ref="C108:C109"/>
    <mergeCell ref="I108:I110"/>
    <mergeCell ref="F111:F116"/>
    <mergeCell ref="G106:H106"/>
    <mergeCell ref="I106:J106"/>
    <mergeCell ref="A107:B107"/>
    <mergeCell ref="G107:H107"/>
    <mergeCell ref="I107:J107"/>
    <mergeCell ref="A117:E118"/>
    <mergeCell ref="G60:H60"/>
    <mergeCell ref="G61:H61"/>
    <mergeCell ref="A199:B199"/>
    <mergeCell ref="A50:A58"/>
    <mergeCell ref="A62:A70"/>
    <mergeCell ref="B62:B63"/>
    <mergeCell ref="C62:C63"/>
    <mergeCell ref="F65:F70"/>
    <mergeCell ref="G83:H83"/>
    <mergeCell ref="A96:A104"/>
    <mergeCell ref="B96:B97"/>
    <mergeCell ref="A119:A127"/>
    <mergeCell ref="B119:B120"/>
    <mergeCell ref="C119:C120"/>
    <mergeCell ref="A131:A139"/>
    <mergeCell ref="B131:B132"/>
    <mergeCell ref="C131:C132"/>
    <mergeCell ref="F157:F162"/>
    <mergeCell ref="A188:A196"/>
    <mergeCell ref="B188:B189"/>
    <mergeCell ref="C188:C189"/>
    <mergeCell ref="G163:H163"/>
    <mergeCell ref="F198:H198"/>
    <mergeCell ref="F199:H199"/>
    <mergeCell ref="I83:J83"/>
    <mergeCell ref="A84:B84"/>
    <mergeCell ref="G84:H84"/>
    <mergeCell ref="I84:J84"/>
    <mergeCell ref="A61:B61"/>
    <mergeCell ref="I61:J61"/>
    <mergeCell ref="A73:A81"/>
    <mergeCell ref="B73:B74"/>
    <mergeCell ref="C73:C74"/>
    <mergeCell ref="I73:I75"/>
    <mergeCell ref="F76:F81"/>
    <mergeCell ref="C2:G2"/>
    <mergeCell ref="C3:G3"/>
    <mergeCell ref="C5:G5"/>
    <mergeCell ref="C7:G7"/>
    <mergeCell ref="C8:G8"/>
    <mergeCell ref="C6:G6"/>
    <mergeCell ref="C4:G4"/>
    <mergeCell ref="F53:F58"/>
    <mergeCell ref="B16:F16"/>
    <mergeCell ref="C30:E30"/>
    <mergeCell ref="F42:F47"/>
    <mergeCell ref="C34:E34"/>
    <mergeCell ref="C35:E35"/>
    <mergeCell ref="B50:B51"/>
    <mergeCell ref="C32:E33"/>
    <mergeCell ref="C50:C51"/>
    <mergeCell ref="B32:B33"/>
    <mergeCell ref="A38:B38"/>
    <mergeCell ref="B39:B40"/>
    <mergeCell ref="C39:C40"/>
    <mergeCell ref="A39:A47"/>
    <mergeCell ref="G37:H37"/>
    <mergeCell ref="G38:H38"/>
    <mergeCell ref="E12:I12"/>
    <mergeCell ref="I37:J37"/>
    <mergeCell ref="I38:J38"/>
    <mergeCell ref="I39:I41"/>
    <mergeCell ref="M2:S2"/>
    <mergeCell ref="I50:I52"/>
    <mergeCell ref="I62:I64"/>
    <mergeCell ref="I60:J60"/>
    <mergeCell ref="N3:P3"/>
    <mergeCell ref="Q3:S3"/>
    <mergeCell ref="N14:O14"/>
    <mergeCell ref="P14:Q14"/>
    <mergeCell ref="M23:Q24"/>
    <mergeCell ref="N26:O26"/>
    <mergeCell ref="P26:Q26"/>
    <mergeCell ref="M35:Q36"/>
    <mergeCell ref="N37:O37"/>
    <mergeCell ref="P37:Q37"/>
    <mergeCell ref="M46:Q46"/>
  </mergeCells>
  <dataValidations count="5">
    <dataValidation type="decimal" operator="greaterThanOrEqual" allowBlank="1" showInputMessage="1" showErrorMessage="1" sqref="G215:H221 G53:H58 G42:H47 G76:H81 G65:H70 G99:H104 G88:H93 G122:H127 G111:H116 G145:H150 G134:H139 G168:H173 G157:H162 G191:H196 G180:H185 G203:H209">
      <formula1>0</formula1>
    </dataValidation>
    <dataValidation type="list" allowBlank="1" showInputMessage="1" showErrorMessage="1" sqref="C2:D2">
      <formula1>INDIRECT(C1)</formula1>
    </dataValidation>
    <dataValidation type="decimal" allowBlank="1" showErrorMessage="1" errorTitle="Erreur de saisie" error="le montant renseigné est erronné._x000a_Saisissez les montants de la manière suivante 200 ou 200,00" sqref="C18:E18 C26:E26">
      <formula1>0.01</formula1>
      <formula2>9.99999999999999E+48</formula2>
    </dataValidation>
    <dataValidation type="decimal" allowBlank="1" showInputMessage="1" showErrorMessage="1" errorTitle="Erreur de saisie" error="le montant renseigné est erronné._x000a_Saisissez les montants de la manière suivante 200 ou 200,00" promptTitle="Information" prompt="Avant de saisir, assurez vous que l'OS d'affermissement a bien été signé et notifé. N'oubliez pas de le transmettre à la Région. " sqref="C19:E25">
      <formula1>0.01</formula1>
      <formula2>9.99999999999999E+48</formula2>
    </dataValidation>
    <dataValidation type="list" allowBlank="1" showInputMessage="1" showErrorMessage="1" sqref="E14">
      <formula1>FORUMULEREV</formula1>
    </dataValidation>
  </dataValidations>
  <pageMargins left="0.7" right="0.7" top="0.75" bottom="0.75" header="0.3" footer="0.3"/>
  <pageSetup paperSize="9" scale="38" orientation="portrait" r:id="rId1"/>
  <legacyDrawing r:id="rId2"/>
  <extLst>
    <ext xmlns:x14="http://schemas.microsoft.com/office/spreadsheetml/2009/9/main" uri="{CCE6A557-97BC-4b89-ADB6-D9C93CAAB3DF}">
      <x14:dataValidations xmlns:xm="http://schemas.microsoft.com/office/excel/2006/main" count="45">
        <x14:dataValidation type="list" allowBlank="1" showInputMessage="1" showErrorMessage="1">
          <x14:formula1>
            <xm:f>LISTES!$H$1:$H$2</xm:f>
          </x14:formula1>
          <xm:sqref>F38 D11:D13 F187 F61 F84 F107 F130 F153 F176 F49 F72 F95 F118 F141 F164</xm:sqref>
        </x14:dataValidation>
        <x14:dataValidation type="list" allowBlank="1" showInputMessage="1" showErrorMessage="1">
          <x14:formula1>
            <xm:f>LISTES!$Q$1:$Q$6</xm:f>
          </x14:formula1>
          <xm:sqref>E11:F11</xm:sqref>
        </x14:dataValidation>
        <x14:dataValidation type="list" allowBlank="1" showInputMessage="1" showErrorMessage="1">
          <x14:formula1>
            <xm:f>LISTES!$A$1:$A$6</xm:f>
          </x14:formula1>
          <xm:sqref>C17:E17</xm:sqref>
        </x14:dataValidation>
        <x14:dataValidation type="list" allowBlank="1" showInputMessage="1" showErrorMessage="1">
          <x14:formula1>
            <xm:f>LISTES!$C$3:$C$5</xm:f>
          </x14:formula1>
          <xm:sqref>B191:B196 B53:B58 B42:B47 B76:B81 B65:B70 B99:B104 B88:B93 B122:B127 B111:B116 B145:B150 B134:B139 B168:B173 B157:B162 B180:B185</xm:sqref>
        </x14:dataValidation>
        <x14:dataValidation type="list" allowBlank="1" showInputMessage="1" showErrorMessage="1">
          <x14:formula1>
            <xm:f>LISTES!$P$1:$P$9</xm:f>
          </x14:formula1>
          <xm:sqref>C1</xm:sqref>
        </x14:dataValidation>
        <x14:dataValidation type="list" allowBlank="1" showInputMessage="1" showErrorMessage="1">
          <x14:formula1>
            <xm:f>LISTES!$P$1:$P$6</xm:f>
          </x14:formula1>
          <xm:sqref>D1</xm:sqref>
        </x14:dataValidation>
        <x14:dataValidation type="list" allowBlank="1" showInputMessage="1" showErrorMessage="1">
          <x14:formula1>
            <xm:f>LISTES!$A$8:$A$12</xm:f>
          </x14:formula1>
          <xm:sqref>D14</xm:sqref>
        </x14:dataValidation>
        <x14:dataValidation type="list" allowBlank="1" showInputMessage="1" showErrorMessage="1">
          <x14:formula1>
            <xm:f>LISTES!$A$9:$A$10</xm:f>
          </x14:formula1>
          <xm:sqref>G49:H49</xm:sqref>
        </x14:dataValidation>
        <x14:dataValidation type="list" allowBlank="1" showInputMessage="1" showErrorMessage="1">
          <x14:formula1>
            <xm:f>LISTES!$A$20:$A$20</xm:f>
          </x14:formula1>
          <xm:sqref>I49:J49</xm:sqref>
        </x14:dataValidation>
        <x14:dataValidation type="list" allowBlank="1" showInputMessage="1" showErrorMessage="1">
          <x14:formula1>
            <xm:f>LISTES!$H$1:$H$1</xm:f>
          </x14:formula1>
          <xm:sqref>I215:I221 I53:I58 I42:I47 I76:I81 I65:I70 I99:I104 I88:I93 I122:I127 I111:I116 I145:I150 I134:I139 I168:I173 I157:I162 I191:I196 I203:I211 I180:I185</xm:sqref>
        </x14:dataValidation>
        <x14:dataValidation type="list" allowBlank="1" showInputMessage="1" showErrorMessage="1">
          <x14:formula1>
            <xm:f>LISTES!$A$24:$A$25</xm:f>
          </x14:formula1>
          <xm:sqref>G72:H72</xm:sqref>
        </x14:dataValidation>
        <x14:dataValidation type="list" allowBlank="1" showInputMessage="1" showErrorMessage="1">
          <x14:formula1>
            <xm:f>LISTES!$A$30:$A$31</xm:f>
          </x14:formula1>
          <xm:sqref>G95:H95</xm:sqref>
        </x14:dataValidation>
        <x14:dataValidation type="list" allowBlank="1" showInputMessage="1" showErrorMessage="1">
          <x14:formula1>
            <xm:f>LISTES!$A$36:$A$37</xm:f>
          </x14:formula1>
          <xm:sqref>G118:H118</xm:sqref>
        </x14:dataValidation>
        <x14:dataValidation type="list" allowBlank="1" showInputMessage="1" showErrorMessage="1">
          <x14:formula1>
            <xm:f>LISTES!$A$41:$A$42</xm:f>
          </x14:formula1>
          <xm:sqref>G141:H141</xm:sqref>
        </x14:dataValidation>
        <x14:dataValidation type="list" allowBlank="1" showInputMessage="1" showErrorMessage="1">
          <x14:formula1>
            <xm:f>LISTES!$A$46:$A$47</xm:f>
          </x14:formula1>
          <xm:sqref>G164:H164</xm:sqref>
        </x14:dataValidation>
        <x14:dataValidation type="list" allowBlank="1" showInputMessage="1" showErrorMessage="1">
          <x14:formula1>
            <xm:f>LISTES!$A$51:$A$52</xm:f>
          </x14:formula1>
          <xm:sqref>G187:H187</xm:sqref>
        </x14:dataValidation>
        <x14:dataValidation type="list" allowBlank="1" showInputMessage="1" showErrorMessage="1">
          <x14:formula1>
            <xm:f>LISTES!$A$56:$A$57</xm:f>
          </x14:formula1>
          <xm:sqref>F211</xm:sqref>
        </x14:dataValidation>
        <x14:dataValidation type="list" allowBlank="1" showInputMessage="1" showErrorMessage="1">
          <x14:formula1>
            <xm:f>LISTES!$U$1:$U$7</xm:f>
          </x14:formula1>
          <xm:sqref>I7</xm:sqref>
        </x14:dataValidation>
        <x14:dataValidation type="list" allowBlank="1" showInputMessage="1" showErrorMessage="1">
          <x14:formula1>
            <xm:f>LISTES!$P$20:$P$21</xm:f>
          </x14:formula1>
          <xm:sqref>I61:J61</xm:sqref>
        </x14:dataValidation>
        <x14:dataValidation type="list" allowBlank="1" showInputMessage="1" showErrorMessage="1">
          <x14:formula1>
            <xm:f>LISTES!$S$12:$S$16</xm:f>
          </x14:formula1>
          <xm:sqref>C8:G8</xm:sqref>
        </x14:dataValidation>
        <x14:dataValidation type="list" allowBlank="1" showInputMessage="1" showErrorMessage="1">
          <x14:formula1>
            <xm:f>LISTES!$A$9:$A$12</xm:f>
          </x14:formula1>
          <xm:sqref>G38:H38</xm:sqref>
        </x14:dataValidation>
        <x14:dataValidation type="list" allowBlank="1" showInputMessage="1" showErrorMessage="1">
          <x14:formula1>
            <xm:f>LISTES!$A$20:$A$21</xm:f>
          </x14:formula1>
          <xm:sqref>I38:J38</xm:sqref>
        </x14:dataValidation>
        <x14:dataValidation type="list" allowBlank="1" showInputMessage="1" showErrorMessage="1">
          <x14:formula1>
            <xm:f>LISTES!$A$24:$A$27</xm:f>
          </x14:formula1>
          <xm:sqref>G61:H61</xm:sqref>
        </x14:dataValidation>
        <x14:dataValidation type="list" allowBlank="1" showInputMessage="1" showErrorMessage="1">
          <x14:formula1>
            <xm:f>LISTES!$A$28</xm:f>
          </x14:formula1>
          <xm:sqref>I72:J72</xm:sqref>
        </x14:dataValidation>
        <x14:dataValidation type="list" allowBlank="1" showInputMessage="1" showErrorMessage="1">
          <x14:formula1>
            <xm:f>LISTES!$A$30:$A$33</xm:f>
          </x14:formula1>
          <xm:sqref>G84:H84</xm:sqref>
        </x14:dataValidation>
        <x14:dataValidation type="list" allowBlank="1" showInputMessage="1" showErrorMessage="1">
          <x14:formula1>
            <xm:f>LISTES!$A$36:$A$39</xm:f>
          </x14:formula1>
          <xm:sqref>G107:H107</xm:sqref>
        </x14:dataValidation>
        <x14:dataValidation type="list" allowBlank="1" showInputMessage="1" showErrorMessage="1">
          <x14:formula1>
            <xm:f>LISTES!$A$41:$A$44</xm:f>
          </x14:formula1>
          <xm:sqref>G130:H130</xm:sqref>
        </x14:dataValidation>
        <x14:dataValidation type="list" allowBlank="1" showInputMessage="1" showErrorMessage="1">
          <x14:formula1>
            <xm:f>LISTES!$A$46:$A$49</xm:f>
          </x14:formula1>
          <xm:sqref>G153:H153</xm:sqref>
        </x14:dataValidation>
        <x14:dataValidation type="list" allowBlank="1" showInputMessage="1" showErrorMessage="1">
          <x14:formula1>
            <xm:f>LISTES!$A$51:$A$54</xm:f>
          </x14:formula1>
          <xm:sqref>G176:H176</xm:sqref>
        </x14:dataValidation>
        <x14:dataValidation type="list" allowBlank="1" showInputMessage="1" showErrorMessage="1">
          <x14:formula1>
            <xm:f>LISTES!$P$24</xm:f>
          </x14:formula1>
          <xm:sqref>I118:J118</xm:sqref>
        </x14:dataValidation>
        <x14:dataValidation type="list" allowBlank="1" showInputMessage="1" showErrorMessage="1">
          <x14:formula1>
            <xm:f>LISTES!$P$24:$P$25</xm:f>
          </x14:formula1>
          <xm:sqref>I107:J107</xm:sqref>
        </x14:dataValidation>
        <x14:dataValidation type="list" allowBlank="1" showInputMessage="1" showErrorMessage="1">
          <x14:formula1>
            <xm:f>LISTES!$P$22:$P$23</xm:f>
          </x14:formula1>
          <xm:sqref>I84:J84</xm:sqref>
        </x14:dataValidation>
        <x14:dataValidation type="list" allowBlank="1" showInputMessage="1" showErrorMessage="1">
          <x14:formula1>
            <xm:f>LISTES!$P$22</xm:f>
          </x14:formula1>
          <xm:sqref>I95:J95</xm:sqref>
        </x14:dataValidation>
        <x14:dataValidation type="list" allowBlank="1" showInputMessage="1" showErrorMessage="1">
          <x14:formula1>
            <xm:f>LISTES!$P$26</xm:f>
          </x14:formula1>
          <xm:sqref>I141:J141</xm:sqref>
        </x14:dataValidation>
        <x14:dataValidation type="list" allowBlank="1" showInputMessage="1" showErrorMessage="1">
          <x14:formula1>
            <xm:f>LISTES!$P$26:$P$27</xm:f>
          </x14:formula1>
          <xm:sqref>I130:J130</xm:sqref>
        </x14:dataValidation>
        <x14:dataValidation type="list" allowBlank="1" showInputMessage="1" showErrorMessage="1">
          <x14:formula1>
            <xm:f>LISTES!$P$28</xm:f>
          </x14:formula1>
          <xm:sqref>I164:J164</xm:sqref>
        </x14:dataValidation>
        <x14:dataValidation type="list" allowBlank="1" showInputMessage="1" showErrorMessage="1">
          <x14:formula1>
            <xm:f>LISTES!$P$28:$P$29</xm:f>
          </x14:formula1>
          <xm:sqref>I153:J153</xm:sqref>
        </x14:dataValidation>
        <x14:dataValidation type="list" allowBlank="1" showInputMessage="1" showErrorMessage="1">
          <x14:formula1>
            <xm:f>LISTES!$P$30</xm:f>
          </x14:formula1>
          <xm:sqref>I187:J187</xm:sqref>
        </x14:dataValidation>
        <x14:dataValidation type="list" allowBlank="1" showInputMessage="1" showErrorMessage="1">
          <x14:formula1>
            <xm:f>LISTES!$P$30:$P$31</xm:f>
          </x14:formula1>
          <xm:sqref>I176:J176</xm:sqref>
        </x14:dataValidation>
        <x14:dataValidation type="list" allowBlank="1" showInputMessage="1" showErrorMessage="1">
          <x14:formula1>
            <xm:f>LISTES!$A$56:$A$59</xm:f>
          </x14:formula1>
          <xm:sqref>F199:H199</xm:sqref>
        </x14:dataValidation>
        <x14:dataValidation type="list" allowBlank="1" showInputMessage="1" showErrorMessage="1">
          <x14:formula1>
            <xm:f>LISTES!$P$40:$P$42</xm:f>
          </x14:formula1>
          <xm:sqref>I13</xm:sqref>
        </x14:dataValidation>
        <x14:dataValidation type="list" allowBlank="1" showInputMessage="1" showErrorMessage="1">
          <x14:formula1>
            <xm:f>IF(C10&gt;2,LISTES!$H$1:$H$2)</xm:f>
          </x14:formula1>
          <xm:sqref>C11</xm:sqref>
        </x14:dataValidation>
        <x14:dataValidation type="list" allowBlank="1" showInputMessage="1" showErrorMessage="1">
          <x14:formula1>
            <xm:f>IF($C$12="REVISION",LISTES!$P$34:$P$37)</xm:f>
          </x14:formula1>
          <xm:sqref>E12:I12</xm:sqref>
        </x14:dataValidation>
        <x14:dataValidation type="list" allowBlank="1" showInputMessage="1" showErrorMessage="1">
          <x14:formula1>
            <xm:f>LISTES!$E$3:$E$26</xm:f>
          </x14:formula1>
          <xm:sqref>H19:H24</xm:sqref>
        </x14:dataValidation>
        <x14:dataValidation type="list" allowBlank="1" showInputMessage="1" showErrorMessage="1">
          <x14:formula1>
            <xm:f>LISTES!$P$11:$P$13</xm:f>
          </x14:formula1>
          <xm:sqref>C12</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G85"/>
  <sheetViews>
    <sheetView topLeftCell="A61" workbookViewId="0">
      <selection activeCell="E80" sqref="E80:E85"/>
    </sheetView>
  </sheetViews>
  <sheetFormatPr baseColWidth="10" defaultRowHeight="15" x14ac:dyDescent="0.25"/>
  <cols>
    <col min="1" max="1" width="19.5703125" bestFit="1" customWidth="1"/>
    <col min="2" max="2" width="35.5703125" bestFit="1" customWidth="1"/>
    <col min="3" max="3" width="23.28515625" bestFit="1" customWidth="1"/>
    <col min="4" max="4" width="49.42578125" bestFit="1" customWidth="1"/>
    <col min="6" max="7" width="21.7109375" bestFit="1" customWidth="1"/>
  </cols>
  <sheetData>
    <row r="1" spans="1:7" ht="18.75" x14ac:dyDescent="0.3">
      <c r="A1" s="371" t="str">
        <f>DONNEES!B223</f>
        <v>Titulaire / Co traitant</v>
      </c>
      <c r="B1" s="371" t="str">
        <f>DONNEES!A223</f>
        <v>Tranche</v>
      </c>
      <c r="C1" s="374" t="str">
        <f>DONNEES!C223</f>
        <v>type tit / ST</v>
      </c>
      <c r="D1" s="378" t="s">
        <v>52</v>
      </c>
      <c r="E1" s="376" t="s">
        <v>512</v>
      </c>
      <c r="F1" s="108" t="str">
        <f>DONNEES!E223</f>
        <v>montant HT 10%</v>
      </c>
      <c r="G1" s="108" t="str">
        <f>DONNEES!F223</f>
        <v>montant HT 20%</v>
      </c>
    </row>
    <row r="2" spans="1:7" ht="18.75" x14ac:dyDescent="0.3">
      <c r="A2" s="371" t="str">
        <f>DONNEES!B224</f>
        <v>toto</v>
      </c>
      <c r="B2" s="371" t="str">
        <f>DONNEES!$B$41&amp;DONNEES!A225</f>
        <v>Titulaire_Tranche_FERME</v>
      </c>
      <c r="C2" s="374">
        <f>DONNEES!C225</f>
        <v>0</v>
      </c>
      <c r="D2" s="25" t="str">
        <f t="shared" ref="D2:D33" si="0">B2&amp;" "&amp;E2</f>
        <v>Titulaire_Tranche_FERME 0</v>
      </c>
      <c r="E2" s="376">
        <f>DONNEES!C42</f>
        <v>0</v>
      </c>
      <c r="F2" s="108">
        <f>DONNEES!E225</f>
        <v>0</v>
      </c>
      <c r="G2" s="108">
        <f>DONNEES!F225</f>
        <v>0</v>
      </c>
    </row>
    <row r="3" spans="1:7" ht="18.75" x14ac:dyDescent="0.3">
      <c r="A3" s="371" t="str">
        <f>DONNEES!B225</f>
        <v>toto</v>
      </c>
      <c r="B3" s="371" t="str">
        <f>DONNEES!$B$41&amp;DONNEES!A226</f>
        <v>Titulaire_Tranche_FERME</v>
      </c>
      <c r="C3" s="374">
        <f>DONNEES!C226</f>
        <v>0</v>
      </c>
      <c r="D3" s="25" t="str">
        <f t="shared" si="0"/>
        <v>Titulaire_Tranche_FERME 0</v>
      </c>
      <c r="E3" s="376">
        <f>DONNEES!C43</f>
        <v>0</v>
      </c>
      <c r="F3" s="108">
        <f>DONNEES!E226</f>
        <v>0</v>
      </c>
      <c r="G3" s="108">
        <f>DONNEES!F226</f>
        <v>0</v>
      </c>
    </row>
    <row r="4" spans="1:7" ht="18.75" x14ac:dyDescent="0.3">
      <c r="A4" s="371" t="str">
        <f>DONNEES!B226</f>
        <v>toto</v>
      </c>
      <c r="B4" s="371" t="str">
        <f>DONNEES!$B$41&amp;DONNEES!A227</f>
        <v>Titulaire_Tranche_FERME</v>
      </c>
      <c r="C4" s="374">
        <f>DONNEES!C227</f>
        <v>0</v>
      </c>
      <c r="D4" s="25" t="str">
        <f t="shared" si="0"/>
        <v>Titulaire_Tranche_FERME 0</v>
      </c>
      <c r="E4" s="376">
        <f>DONNEES!C44</f>
        <v>0</v>
      </c>
      <c r="F4" s="108">
        <f>DONNEES!E227</f>
        <v>0</v>
      </c>
      <c r="G4" s="108">
        <f>DONNEES!F227</f>
        <v>0</v>
      </c>
    </row>
    <row r="5" spans="1:7" ht="18.75" x14ac:dyDescent="0.3">
      <c r="A5" s="371" t="str">
        <f>DONNEES!B227</f>
        <v>toto</v>
      </c>
      <c r="B5" s="371" t="str">
        <f>DONNEES!$B$41&amp;DONNEES!A228</f>
        <v>Titulaire_Tranche_FERME</v>
      </c>
      <c r="C5" s="374">
        <f>DONNEES!C228</f>
        <v>0</v>
      </c>
      <c r="D5" s="25" t="str">
        <f t="shared" si="0"/>
        <v>Titulaire_Tranche_FERME 0</v>
      </c>
      <c r="E5" s="376">
        <f>DONNEES!C45</f>
        <v>0</v>
      </c>
      <c r="F5" s="108">
        <f>DONNEES!E228</f>
        <v>0</v>
      </c>
      <c r="G5" s="108">
        <f>DONNEES!F228</f>
        <v>0</v>
      </c>
    </row>
    <row r="6" spans="1:7" ht="18.75" x14ac:dyDescent="0.3">
      <c r="A6" s="371" t="str">
        <f>DONNEES!B228</f>
        <v>toto</v>
      </c>
      <c r="B6" s="371" t="str">
        <f>DONNEES!$B$41&amp;DONNEES!A229</f>
        <v>Titulaire_Tranche_FERME</v>
      </c>
      <c r="C6" s="374">
        <f>DONNEES!C229</f>
        <v>0</v>
      </c>
      <c r="D6" s="25" t="str">
        <f t="shared" si="0"/>
        <v>Titulaire_Tranche_FERME 0</v>
      </c>
      <c r="E6" s="376">
        <f>DONNEES!C46</f>
        <v>0</v>
      </c>
      <c r="F6" s="108">
        <f>DONNEES!E229</f>
        <v>0</v>
      </c>
      <c r="G6" s="108">
        <f>DONNEES!F229</f>
        <v>0</v>
      </c>
    </row>
    <row r="7" spans="1:7" ht="18.75" x14ac:dyDescent="0.3">
      <c r="A7" s="371" t="str">
        <f>DONNEES!B229</f>
        <v>toto</v>
      </c>
      <c r="B7" s="371" t="str">
        <f>DONNEES!$B$41&amp;DONNEES!A230</f>
        <v>Titulaire_Tranche_FERME</v>
      </c>
      <c r="C7" s="374">
        <f>DONNEES!C230</f>
        <v>0</v>
      </c>
      <c r="D7" s="25" t="str">
        <f t="shared" si="0"/>
        <v>Titulaire_Tranche_FERME 0</v>
      </c>
      <c r="E7" s="376">
        <f>DONNEES!C47</f>
        <v>0</v>
      </c>
      <c r="F7" s="108">
        <f>DONNEES!E230</f>
        <v>0</v>
      </c>
      <c r="G7" s="108">
        <f>DONNEES!F230</f>
        <v>0</v>
      </c>
    </row>
    <row r="8" spans="1:7" ht="18.75" x14ac:dyDescent="0.3">
      <c r="A8" s="371" t="str">
        <f>DONNEES!B230</f>
        <v>toto</v>
      </c>
      <c r="B8" s="371" t="str">
        <f>DONNEES!$B$41&amp;DONNEES!A231</f>
        <v>Titulaire_Tranche_OPTIONNELLE_1</v>
      </c>
      <c r="C8" s="374">
        <f>DONNEES!C232</f>
        <v>0</v>
      </c>
      <c r="D8" s="25" t="str">
        <f t="shared" si="0"/>
        <v>Titulaire_Tranche_OPTIONNELLE_1 0</v>
      </c>
      <c r="E8" s="376">
        <f>DONNEES!C65</f>
        <v>0</v>
      </c>
      <c r="F8" s="108">
        <f>DONNEES!E232</f>
        <v>0</v>
      </c>
      <c r="G8" s="108">
        <f>DONNEES!F232</f>
        <v>0</v>
      </c>
    </row>
    <row r="9" spans="1:7" ht="18.75" x14ac:dyDescent="0.3">
      <c r="A9" s="371" t="str">
        <f>DONNEES!B231</f>
        <v>toto</v>
      </c>
      <c r="B9" s="371" t="str">
        <f>DONNEES!$B$41&amp;DONNEES!A232</f>
        <v>Titulaire_Tranche_OPTIONNELLE_1</v>
      </c>
      <c r="C9" s="374">
        <f>DONNEES!C233</f>
        <v>0</v>
      </c>
      <c r="D9" s="25" t="str">
        <f t="shared" si="0"/>
        <v>Titulaire_Tranche_OPTIONNELLE_1 0</v>
      </c>
      <c r="E9" s="376">
        <f>DONNEES!C66</f>
        <v>0</v>
      </c>
      <c r="F9" s="108">
        <f>DONNEES!E233</f>
        <v>0</v>
      </c>
      <c r="G9" s="108">
        <f>DONNEES!F233</f>
        <v>0</v>
      </c>
    </row>
    <row r="10" spans="1:7" ht="18.75" x14ac:dyDescent="0.3">
      <c r="A10" s="371" t="str">
        <f>DONNEES!B232</f>
        <v>toto</v>
      </c>
      <c r="B10" s="371" t="str">
        <f>DONNEES!$B$41&amp;DONNEES!A233</f>
        <v>Titulaire_Tranche_OPTIONNELLE_1</v>
      </c>
      <c r="C10" s="374">
        <f>DONNEES!C234</f>
        <v>0</v>
      </c>
      <c r="D10" s="25" t="str">
        <f t="shared" si="0"/>
        <v>Titulaire_Tranche_OPTIONNELLE_1 0</v>
      </c>
      <c r="E10" s="376">
        <f>DONNEES!C67</f>
        <v>0</v>
      </c>
      <c r="F10" s="108">
        <f>DONNEES!E234</f>
        <v>0</v>
      </c>
      <c r="G10" s="108">
        <f>DONNEES!F234</f>
        <v>0</v>
      </c>
    </row>
    <row r="11" spans="1:7" ht="18.75" x14ac:dyDescent="0.3">
      <c r="A11" s="371" t="str">
        <f>DONNEES!B233</f>
        <v>toto</v>
      </c>
      <c r="B11" s="371" t="str">
        <f>DONNEES!$B$41&amp;DONNEES!A234</f>
        <v>Titulaire_Tranche_OPTIONNELLE_1</v>
      </c>
      <c r="C11" s="374">
        <f>DONNEES!C235</f>
        <v>0</v>
      </c>
      <c r="D11" s="25" t="str">
        <f t="shared" si="0"/>
        <v>Titulaire_Tranche_OPTIONNELLE_1 0</v>
      </c>
      <c r="E11" s="376">
        <f>DONNEES!C68</f>
        <v>0</v>
      </c>
      <c r="F11" s="108">
        <f>DONNEES!E235</f>
        <v>0</v>
      </c>
      <c r="G11" s="108">
        <f>DONNEES!F235</f>
        <v>0</v>
      </c>
    </row>
    <row r="12" spans="1:7" ht="18.75" x14ac:dyDescent="0.3">
      <c r="A12" s="371" t="str">
        <f>DONNEES!B234</f>
        <v>toto</v>
      </c>
      <c r="B12" s="371" t="str">
        <f>DONNEES!$B$41&amp;DONNEES!A235</f>
        <v>Titulaire_Tranche_OPTIONNELLE_1</v>
      </c>
      <c r="C12" s="374">
        <f>DONNEES!C236</f>
        <v>0</v>
      </c>
      <c r="D12" s="25" t="str">
        <f t="shared" si="0"/>
        <v>Titulaire_Tranche_OPTIONNELLE_1 0</v>
      </c>
      <c r="E12" s="376">
        <f>DONNEES!C69</f>
        <v>0</v>
      </c>
      <c r="F12" s="108">
        <f>DONNEES!E236</f>
        <v>0</v>
      </c>
      <c r="G12" s="108">
        <f>DONNEES!F236</f>
        <v>0</v>
      </c>
    </row>
    <row r="13" spans="1:7" ht="18.75" x14ac:dyDescent="0.3">
      <c r="A13" s="371" t="str">
        <f>DONNEES!B235</f>
        <v>toto</v>
      </c>
      <c r="B13" s="371" t="str">
        <f>DONNEES!$B$41&amp;DONNEES!A236</f>
        <v>Titulaire_Tranche_OPTIONNELLE_1</v>
      </c>
      <c r="C13" s="374">
        <f>DONNEES!C237</f>
        <v>0</v>
      </c>
      <c r="D13" s="25" t="str">
        <f t="shared" si="0"/>
        <v>Titulaire_Tranche_OPTIONNELLE_1 0</v>
      </c>
      <c r="E13" s="376">
        <f>DONNEES!C70</f>
        <v>0</v>
      </c>
      <c r="F13" s="108">
        <f>DONNEES!E237</f>
        <v>0</v>
      </c>
      <c r="G13" s="108">
        <f>DONNEES!F237</f>
        <v>0</v>
      </c>
    </row>
    <row r="14" spans="1:7" ht="18.75" x14ac:dyDescent="0.3">
      <c r="A14" s="371" t="str">
        <f>DONNEES!B236</f>
        <v>toto</v>
      </c>
      <c r="B14" s="371" t="str">
        <f>DONNEES!$B$41&amp;DONNEES!A239</f>
        <v>Titulaire_Tranche_OPTIONNELLE_2</v>
      </c>
      <c r="C14" s="374">
        <f>DONNEES!C239</f>
        <v>0</v>
      </c>
      <c r="D14" s="25" t="str">
        <f t="shared" si="0"/>
        <v>Titulaire_Tranche_OPTIONNELLE_2 0</v>
      </c>
      <c r="E14" s="376">
        <f>DONNEES!C88</f>
        <v>0</v>
      </c>
      <c r="F14" s="108">
        <f>DONNEES!E239</f>
        <v>0</v>
      </c>
      <c r="G14" s="108">
        <f>DONNEES!F239</f>
        <v>0</v>
      </c>
    </row>
    <row r="15" spans="1:7" ht="18.75" x14ac:dyDescent="0.3">
      <c r="A15" s="371" t="str">
        <f>DONNEES!B237</f>
        <v>toto</v>
      </c>
      <c r="B15" s="371" t="str">
        <f>DONNEES!$B$41&amp;DONNEES!A240</f>
        <v>Titulaire_Tranche_OPTIONNELLE_2</v>
      </c>
      <c r="C15" s="374">
        <f>DONNEES!C240</f>
        <v>0</v>
      </c>
      <c r="D15" s="25" t="str">
        <f t="shared" si="0"/>
        <v>Titulaire_Tranche_OPTIONNELLE_2 0</v>
      </c>
      <c r="E15" s="376">
        <f>DONNEES!C89</f>
        <v>0</v>
      </c>
      <c r="F15" s="108">
        <f>DONNEES!E240</f>
        <v>0</v>
      </c>
      <c r="G15" s="108">
        <f>DONNEES!F240</f>
        <v>0</v>
      </c>
    </row>
    <row r="16" spans="1:7" ht="18.75" x14ac:dyDescent="0.3">
      <c r="A16" s="371" t="str">
        <f>DONNEES!B238</f>
        <v>toto</v>
      </c>
      <c r="B16" s="371" t="str">
        <f>DONNEES!$B$41&amp;DONNEES!A241</f>
        <v>Titulaire_Tranche_OPTIONNELLE_2</v>
      </c>
      <c r="C16" s="374">
        <f>DONNEES!C241</f>
        <v>0</v>
      </c>
      <c r="D16" s="25" t="str">
        <f t="shared" si="0"/>
        <v>Titulaire_Tranche_OPTIONNELLE_2 0</v>
      </c>
      <c r="E16" s="376">
        <f>DONNEES!C90</f>
        <v>0</v>
      </c>
      <c r="F16" s="108">
        <f>DONNEES!E241</f>
        <v>0</v>
      </c>
      <c r="G16" s="108">
        <f>DONNEES!F241</f>
        <v>0</v>
      </c>
    </row>
    <row r="17" spans="1:7" ht="18.75" x14ac:dyDescent="0.3">
      <c r="A17" s="371" t="str">
        <f>DONNEES!B239</f>
        <v>toto</v>
      </c>
      <c r="B17" s="371" t="str">
        <f>DONNEES!$B$41&amp;DONNEES!A242</f>
        <v>Titulaire_Tranche_OPTIONNELLE_2</v>
      </c>
      <c r="C17" s="374">
        <f>DONNEES!C242</f>
        <v>0</v>
      </c>
      <c r="D17" s="25" t="str">
        <f t="shared" si="0"/>
        <v>Titulaire_Tranche_OPTIONNELLE_2 0</v>
      </c>
      <c r="E17" s="376">
        <f>DONNEES!C91</f>
        <v>0</v>
      </c>
      <c r="F17" s="108">
        <f>DONNEES!E242</f>
        <v>0</v>
      </c>
      <c r="G17" s="108">
        <f>DONNEES!F242</f>
        <v>0</v>
      </c>
    </row>
    <row r="18" spans="1:7" ht="18.75" x14ac:dyDescent="0.3">
      <c r="A18" s="371" t="str">
        <f>DONNEES!B240</f>
        <v>toto</v>
      </c>
      <c r="B18" s="371" t="str">
        <f>DONNEES!$B$41&amp;DONNEES!A243</f>
        <v>Titulaire_Tranche_OPTIONNELLE_2</v>
      </c>
      <c r="C18" s="374">
        <f>DONNEES!C243</f>
        <v>0</v>
      </c>
      <c r="D18" s="25" t="str">
        <f t="shared" si="0"/>
        <v>Titulaire_Tranche_OPTIONNELLE_2 0</v>
      </c>
      <c r="E18" s="376">
        <f>DONNEES!C92</f>
        <v>0</v>
      </c>
      <c r="F18" s="108">
        <f>DONNEES!E243</f>
        <v>0</v>
      </c>
      <c r="G18" s="108">
        <f>DONNEES!F243</f>
        <v>0</v>
      </c>
    </row>
    <row r="19" spans="1:7" ht="18.75" x14ac:dyDescent="0.3">
      <c r="A19" s="371" t="str">
        <f>DONNEES!B241</f>
        <v>toto</v>
      </c>
      <c r="B19" s="371" t="str">
        <f>DONNEES!$B$41&amp;DONNEES!A244</f>
        <v>Titulaire_Tranche_OPTIONNELLE_2</v>
      </c>
      <c r="C19" s="374">
        <f>DONNEES!C244</f>
        <v>0</v>
      </c>
      <c r="D19" s="25" t="str">
        <f t="shared" si="0"/>
        <v>Titulaire_Tranche_OPTIONNELLE_2 0</v>
      </c>
      <c r="E19" s="376">
        <f>DONNEES!C93</f>
        <v>0</v>
      </c>
      <c r="F19" s="108">
        <f>DONNEES!E244</f>
        <v>0</v>
      </c>
      <c r="G19" s="108">
        <f>DONNEES!F244</f>
        <v>0</v>
      </c>
    </row>
    <row r="20" spans="1:7" ht="18.75" x14ac:dyDescent="0.3">
      <c r="A20" s="371" t="str">
        <f>DONNEES!B242</f>
        <v>toto</v>
      </c>
      <c r="B20" s="371" t="str">
        <f>DONNEES!$B$41&amp;DONNEES!A246</f>
        <v>Titulaire_Tranche_OPTIONNELLE_3</v>
      </c>
      <c r="C20" s="374">
        <f>DONNEES!C246</f>
        <v>0</v>
      </c>
      <c r="D20" s="25" t="str">
        <f t="shared" si="0"/>
        <v>Titulaire_Tranche_OPTIONNELLE_3 0</v>
      </c>
      <c r="E20" s="376">
        <f>DONNEES!C111</f>
        <v>0</v>
      </c>
      <c r="F20" s="108">
        <f>DONNEES!E246</f>
        <v>0</v>
      </c>
      <c r="G20" s="108">
        <f>DONNEES!F246</f>
        <v>0</v>
      </c>
    </row>
    <row r="21" spans="1:7" ht="18.75" x14ac:dyDescent="0.3">
      <c r="A21" s="371" t="str">
        <f>DONNEES!B243</f>
        <v>toto</v>
      </c>
      <c r="B21" s="371" t="str">
        <f>DONNEES!$B$41&amp;DONNEES!A247</f>
        <v>Titulaire_Tranche_OPTIONNELLE_3</v>
      </c>
      <c r="C21" s="374">
        <f>DONNEES!C247</f>
        <v>0</v>
      </c>
      <c r="D21" s="25" t="str">
        <f t="shared" si="0"/>
        <v>Titulaire_Tranche_OPTIONNELLE_3 0</v>
      </c>
      <c r="E21" s="376">
        <f>DONNEES!C112</f>
        <v>0</v>
      </c>
      <c r="F21" s="108">
        <f>DONNEES!E247</f>
        <v>0</v>
      </c>
      <c r="G21" s="108">
        <f>DONNEES!F247</f>
        <v>0</v>
      </c>
    </row>
    <row r="22" spans="1:7" ht="18.75" x14ac:dyDescent="0.3">
      <c r="A22" s="371" t="str">
        <f>DONNEES!B244</f>
        <v>toto</v>
      </c>
      <c r="B22" s="371" t="str">
        <f>DONNEES!$B$41&amp;DONNEES!A248</f>
        <v>Titulaire_Tranche_OPTIONNELLE_3</v>
      </c>
      <c r="C22" s="374">
        <f>DONNEES!C248</f>
        <v>0</v>
      </c>
      <c r="D22" s="25" t="str">
        <f t="shared" si="0"/>
        <v>Titulaire_Tranche_OPTIONNELLE_3 0</v>
      </c>
      <c r="E22" s="376">
        <f>DONNEES!C113</f>
        <v>0</v>
      </c>
      <c r="F22" s="108">
        <f>DONNEES!E248</f>
        <v>0</v>
      </c>
      <c r="G22" s="108">
        <f>DONNEES!F248</f>
        <v>0</v>
      </c>
    </row>
    <row r="23" spans="1:7" ht="18.75" x14ac:dyDescent="0.3">
      <c r="A23" s="371" t="str">
        <f>DONNEES!B245</f>
        <v>toto</v>
      </c>
      <c r="B23" s="371" t="str">
        <f>DONNEES!$B$41&amp;DONNEES!A249</f>
        <v>Titulaire_Tranche_OPTIONNELLE_3</v>
      </c>
      <c r="C23" s="374">
        <f>DONNEES!C249</f>
        <v>0</v>
      </c>
      <c r="D23" s="25" t="str">
        <f t="shared" si="0"/>
        <v>Titulaire_Tranche_OPTIONNELLE_3 0</v>
      </c>
      <c r="E23" s="376">
        <f>DONNEES!C114</f>
        <v>0</v>
      </c>
      <c r="F23" s="108">
        <f>DONNEES!E249</f>
        <v>0</v>
      </c>
      <c r="G23" s="108">
        <f>DONNEES!F249</f>
        <v>0</v>
      </c>
    </row>
    <row r="24" spans="1:7" ht="18.75" x14ac:dyDescent="0.3">
      <c r="A24" s="371" t="str">
        <f>DONNEES!B246</f>
        <v>toto</v>
      </c>
      <c r="B24" s="371" t="str">
        <f>DONNEES!$B$41&amp;DONNEES!A250</f>
        <v>Titulaire_Tranche_OPTIONNELLE_3</v>
      </c>
      <c r="C24" s="374">
        <f>DONNEES!C250</f>
        <v>0</v>
      </c>
      <c r="D24" s="25" t="str">
        <f t="shared" si="0"/>
        <v>Titulaire_Tranche_OPTIONNELLE_3 0</v>
      </c>
      <c r="E24" s="376">
        <f>DONNEES!C115</f>
        <v>0</v>
      </c>
      <c r="F24" s="108">
        <f>DONNEES!E250</f>
        <v>0</v>
      </c>
      <c r="G24" s="108">
        <f>DONNEES!F250</f>
        <v>0</v>
      </c>
    </row>
    <row r="25" spans="1:7" ht="18.75" x14ac:dyDescent="0.3">
      <c r="A25" s="371" t="str">
        <f>DONNEES!B247</f>
        <v>toto</v>
      </c>
      <c r="B25" s="371" t="str">
        <f>DONNEES!$B$41&amp;DONNEES!A251</f>
        <v>Titulaire_Tranche_OPTIONNELLE_3</v>
      </c>
      <c r="C25" s="374">
        <f>DONNEES!C251</f>
        <v>0</v>
      </c>
      <c r="D25" s="25" t="str">
        <f t="shared" si="0"/>
        <v>Titulaire_Tranche_OPTIONNELLE_3 0</v>
      </c>
      <c r="E25" s="376">
        <f>DONNEES!C116</f>
        <v>0</v>
      </c>
      <c r="F25" s="108">
        <f>DONNEES!E251</f>
        <v>0</v>
      </c>
      <c r="G25" s="108">
        <f>DONNEES!F251</f>
        <v>0</v>
      </c>
    </row>
    <row r="26" spans="1:7" ht="18.75" x14ac:dyDescent="0.3">
      <c r="A26" s="371" t="str">
        <f>DONNEES!B248</f>
        <v>toto</v>
      </c>
      <c r="B26" s="371" t="str">
        <f>DONNEES!$B$41&amp;DONNEES!A253</f>
        <v>Titulaire_Tranche_OPTIONNELLE_4</v>
      </c>
      <c r="C26" s="374">
        <f>DONNEES!C253</f>
        <v>0</v>
      </c>
      <c r="D26" s="25" t="str">
        <f t="shared" si="0"/>
        <v>Titulaire_Tranche_OPTIONNELLE_4 0</v>
      </c>
      <c r="E26" s="376">
        <f>DONNEES!C134</f>
        <v>0</v>
      </c>
      <c r="F26" s="108">
        <f>DONNEES!E253</f>
        <v>0</v>
      </c>
      <c r="G26" s="108">
        <f>DONNEES!F253</f>
        <v>0</v>
      </c>
    </row>
    <row r="27" spans="1:7" ht="18.75" x14ac:dyDescent="0.3">
      <c r="A27" s="371" t="str">
        <f>DONNEES!B249</f>
        <v>toto</v>
      </c>
      <c r="B27" s="371" t="str">
        <f>DONNEES!$B$41&amp;DONNEES!A254</f>
        <v>Titulaire_Tranche_OPTIONNELLE_4</v>
      </c>
      <c r="C27" s="374">
        <f>DONNEES!C254</f>
        <v>0</v>
      </c>
      <c r="D27" s="25" t="str">
        <f t="shared" si="0"/>
        <v>Titulaire_Tranche_OPTIONNELLE_4 0</v>
      </c>
      <c r="E27" s="376">
        <f>DONNEES!C135</f>
        <v>0</v>
      </c>
      <c r="F27" s="108">
        <f>DONNEES!E254</f>
        <v>0</v>
      </c>
      <c r="G27" s="108">
        <f>DONNEES!F254</f>
        <v>0</v>
      </c>
    </row>
    <row r="28" spans="1:7" ht="18.75" x14ac:dyDescent="0.3">
      <c r="A28" s="371" t="str">
        <f>DONNEES!B250</f>
        <v>toto</v>
      </c>
      <c r="B28" s="371" t="str">
        <f>DONNEES!$B$41&amp;DONNEES!A255</f>
        <v>Titulaire_Tranche_OPTIONNELLE_4</v>
      </c>
      <c r="C28" s="374">
        <f>DONNEES!C255</f>
        <v>0</v>
      </c>
      <c r="D28" s="25" t="str">
        <f t="shared" si="0"/>
        <v>Titulaire_Tranche_OPTIONNELLE_4 0</v>
      </c>
      <c r="E28" s="376">
        <f>DONNEES!C136</f>
        <v>0</v>
      </c>
      <c r="F28" s="108">
        <f>DONNEES!E255</f>
        <v>0</v>
      </c>
      <c r="G28" s="108">
        <f>DONNEES!F255</f>
        <v>0</v>
      </c>
    </row>
    <row r="29" spans="1:7" ht="18.75" x14ac:dyDescent="0.3">
      <c r="A29" s="371" t="str">
        <f>DONNEES!B251</f>
        <v>toto</v>
      </c>
      <c r="B29" s="371" t="str">
        <f>DONNEES!$B$41&amp;DONNEES!A256</f>
        <v>Titulaire_Tranche_OPTIONNELLE_4</v>
      </c>
      <c r="C29" s="374">
        <f>DONNEES!C256</f>
        <v>0</v>
      </c>
      <c r="D29" s="25" t="str">
        <f t="shared" si="0"/>
        <v>Titulaire_Tranche_OPTIONNELLE_4 0</v>
      </c>
      <c r="E29" s="376">
        <f>DONNEES!C137</f>
        <v>0</v>
      </c>
      <c r="F29" s="108">
        <f>DONNEES!E256</f>
        <v>0</v>
      </c>
      <c r="G29" s="108">
        <f>DONNEES!F256</f>
        <v>0</v>
      </c>
    </row>
    <row r="30" spans="1:7" ht="18.75" x14ac:dyDescent="0.3">
      <c r="A30" s="371" t="str">
        <f>DONNEES!B252</f>
        <v>toto</v>
      </c>
      <c r="B30" s="371" t="str">
        <f>DONNEES!$B$41&amp;DONNEES!A257</f>
        <v>Titulaire_Tranche_OPTIONNELLE_4</v>
      </c>
      <c r="C30" s="374">
        <f>DONNEES!C257</f>
        <v>0</v>
      </c>
      <c r="D30" s="25" t="str">
        <f t="shared" si="0"/>
        <v>Titulaire_Tranche_OPTIONNELLE_4 0</v>
      </c>
      <c r="E30" s="376">
        <f>DONNEES!C138</f>
        <v>0</v>
      </c>
      <c r="F30" s="108">
        <f>DONNEES!E257</f>
        <v>0</v>
      </c>
      <c r="G30" s="108">
        <f>DONNEES!F257</f>
        <v>0</v>
      </c>
    </row>
    <row r="31" spans="1:7" ht="18.75" x14ac:dyDescent="0.3">
      <c r="A31" s="371" t="str">
        <f>DONNEES!B253</f>
        <v>toto</v>
      </c>
      <c r="B31" s="371" t="str">
        <f>DONNEES!$B$41&amp;DONNEES!A258</f>
        <v>Titulaire_Tranche_OPTIONNELLE_4</v>
      </c>
      <c r="C31" s="374">
        <f>DONNEES!C258</f>
        <v>0</v>
      </c>
      <c r="D31" s="25" t="str">
        <f t="shared" si="0"/>
        <v>Titulaire_Tranche_OPTIONNELLE_4 0</v>
      </c>
      <c r="E31" s="376">
        <f>DONNEES!C139</f>
        <v>0</v>
      </c>
      <c r="F31" s="108">
        <f>DONNEES!E258</f>
        <v>0</v>
      </c>
      <c r="G31" s="108">
        <f>DONNEES!F258</f>
        <v>0</v>
      </c>
    </row>
    <row r="32" spans="1:7" ht="18.75" x14ac:dyDescent="0.3">
      <c r="A32" s="371" t="str">
        <f>DONNEES!B254</f>
        <v>toto</v>
      </c>
      <c r="B32" s="371" t="str">
        <f>DONNEES!$B$41&amp;DONNEES!A260</f>
        <v>Titulaire_Tranche_OPTIONNELLE_5</v>
      </c>
      <c r="C32" s="374">
        <f>DONNEES!C260</f>
        <v>0</v>
      </c>
      <c r="D32" s="25" t="str">
        <f t="shared" si="0"/>
        <v>Titulaire_Tranche_OPTIONNELLE_5 0</v>
      </c>
      <c r="E32" s="376">
        <f>DONNEES!C157</f>
        <v>0</v>
      </c>
      <c r="F32" s="108">
        <f>DONNEES!E260</f>
        <v>0</v>
      </c>
      <c r="G32" s="108">
        <f>DONNEES!F260</f>
        <v>0</v>
      </c>
    </row>
    <row r="33" spans="1:7" ht="18.75" x14ac:dyDescent="0.3">
      <c r="A33" s="371" t="str">
        <f>DONNEES!B255</f>
        <v>toto</v>
      </c>
      <c r="B33" s="371" t="str">
        <f>DONNEES!$B$41&amp;DONNEES!A261</f>
        <v>Titulaire_Tranche_OPTIONNELLE_5</v>
      </c>
      <c r="C33" s="374">
        <f>DONNEES!C261</f>
        <v>0</v>
      </c>
      <c r="D33" s="25" t="str">
        <f t="shared" si="0"/>
        <v>Titulaire_Tranche_OPTIONNELLE_5 0</v>
      </c>
      <c r="E33" s="376">
        <f>DONNEES!C158</f>
        <v>0</v>
      </c>
      <c r="F33" s="108">
        <f>DONNEES!E261</f>
        <v>0</v>
      </c>
      <c r="G33" s="108">
        <f>DONNEES!F261</f>
        <v>0</v>
      </c>
    </row>
    <row r="34" spans="1:7" ht="18.75" x14ac:dyDescent="0.3">
      <c r="A34" s="371" t="str">
        <f>DONNEES!B256</f>
        <v>toto</v>
      </c>
      <c r="B34" s="371" t="str">
        <f>DONNEES!$B$41&amp;DONNEES!A262</f>
        <v>Titulaire_Tranche_OPTIONNELLE_5</v>
      </c>
      <c r="C34" s="374">
        <f>DONNEES!C262</f>
        <v>0</v>
      </c>
      <c r="D34" s="25" t="str">
        <f t="shared" ref="D34:D65" si="1">B34&amp;" "&amp;E34</f>
        <v>Titulaire_Tranche_OPTIONNELLE_5 0</v>
      </c>
      <c r="E34" s="376">
        <f>DONNEES!C159</f>
        <v>0</v>
      </c>
      <c r="F34" s="108">
        <f>DONNEES!E262</f>
        <v>0</v>
      </c>
      <c r="G34" s="108">
        <f>DONNEES!F262</f>
        <v>0</v>
      </c>
    </row>
    <row r="35" spans="1:7" ht="18.75" x14ac:dyDescent="0.3">
      <c r="A35" s="371" t="str">
        <f>DONNEES!B257</f>
        <v>toto</v>
      </c>
      <c r="B35" s="371" t="str">
        <f>DONNEES!$B$41&amp;DONNEES!A263</f>
        <v>Titulaire_Tranche_OPTIONNELLE_5</v>
      </c>
      <c r="C35" s="374">
        <f>DONNEES!C263</f>
        <v>0</v>
      </c>
      <c r="D35" s="25" t="str">
        <f t="shared" si="1"/>
        <v>Titulaire_Tranche_OPTIONNELLE_5 0</v>
      </c>
      <c r="E35" s="376">
        <f>DONNEES!C160</f>
        <v>0</v>
      </c>
      <c r="F35" s="108">
        <f>DONNEES!E263</f>
        <v>0</v>
      </c>
      <c r="G35" s="108">
        <f>DONNEES!F263</f>
        <v>0</v>
      </c>
    </row>
    <row r="36" spans="1:7" ht="18.75" x14ac:dyDescent="0.3">
      <c r="A36" s="371" t="str">
        <f>DONNEES!B258</f>
        <v>toto</v>
      </c>
      <c r="B36" s="371" t="str">
        <f>DONNEES!$B$41&amp;DONNEES!A264</f>
        <v>Titulaire_Tranche_OPTIONNELLE_5</v>
      </c>
      <c r="C36" s="374">
        <f>DONNEES!C264</f>
        <v>0</v>
      </c>
      <c r="D36" s="25" t="str">
        <f t="shared" si="1"/>
        <v>Titulaire_Tranche_OPTIONNELLE_5 0</v>
      </c>
      <c r="E36" s="376">
        <f>DONNEES!C161</f>
        <v>0</v>
      </c>
      <c r="F36" s="108">
        <f>DONNEES!E264</f>
        <v>0</v>
      </c>
      <c r="G36" s="108">
        <f>DONNEES!F264</f>
        <v>0</v>
      </c>
    </row>
    <row r="37" spans="1:7" ht="18.75" x14ac:dyDescent="0.3">
      <c r="A37" s="371" t="str">
        <f>DONNEES!B259</f>
        <v>toto</v>
      </c>
      <c r="B37" s="371" t="str">
        <f>DONNEES!$B$41&amp;DONNEES!A265</f>
        <v>Titulaire_Tranche_OPTIONNELLE_5</v>
      </c>
      <c r="C37" s="374">
        <f>DONNEES!C265</f>
        <v>0</v>
      </c>
      <c r="D37" s="25" t="str">
        <f t="shared" si="1"/>
        <v>Titulaire_Tranche_OPTIONNELLE_5 0</v>
      </c>
      <c r="E37" s="376">
        <f>DONNEES!C162</f>
        <v>0</v>
      </c>
      <c r="F37" s="108">
        <f>DONNEES!E265</f>
        <v>0</v>
      </c>
      <c r="G37" s="108">
        <f>DONNEES!F265</f>
        <v>0</v>
      </c>
    </row>
    <row r="38" spans="1:7" ht="18.75" x14ac:dyDescent="0.3">
      <c r="A38" s="371" t="str">
        <f>DONNEES!B260</f>
        <v>toto</v>
      </c>
      <c r="B38" s="371" t="str">
        <f>DONNEES!$B$41&amp;DONNEES!A267</f>
        <v>Titulaire_Tranche_OPTIONNELLE_6</v>
      </c>
      <c r="C38" s="374">
        <f>DONNEES!C267</f>
        <v>0</v>
      </c>
      <c r="D38" s="25" t="str">
        <f t="shared" si="1"/>
        <v>Titulaire_Tranche_OPTIONNELLE_6 0</v>
      </c>
      <c r="E38" s="376">
        <f>DONNEES!C180</f>
        <v>0</v>
      </c>
      <c r="F38" s="108">
        <f>DONNEES!E267</f>
        <v>0</v>
      </c>
      <c r="G38" s="108">
        <f>DONNEES!F267</f>
        <v>0</v>
      </c>
    </row>
    <row r="39" spans="1:7" ht="18.75" x14ac:dyDescent="0.3">
      <c r="A39" s="371" t="str">
        <f>DONNEES!B261</f>
        <v>toto</v>
      </c>
      <c r="B39" s="371" t="str">
        <f>DONNEES!$B$41&amp;DONNEES!A268</f>
        <v>Titulaire_Tranche_OPTIONNELLE_6</v>
      </c>
      <c r="C39" s="374">
        <f>DONNEES!C268</f>
        <v>0</v>
      </c>
      <c r="D39" s="25" t="str">
        <f t="shared" si="1"/>
        <v>Titulaire_Tranche_OPTIONNELLE_6 0</v>
      </c>
      <c r="E39" s="376">
        <f>DONNEES!C181</f>
        <v>0</v>
      </c>
      <c r="F39" s="108">
        <f>DONNEES!E268</f>
        <v>0</v>
      </c>
      <c r="G39" s="108">
        <f>DONNEES!F268</f>
        <v>0</v>
      </c>
    </row>
    <row r="40" spans="1:7" ht="18.75" x14ac:dyDescent="0.3">
      <c r="A40" s="371" t="str">
        <f>DONNEES!B262</f>
        <v>toto</v>
      </c>
      <c r="B40" s="371" t="str">
        <f>DONNEES!$B$41&amp;DONNEES!A269</f>
        <v>Titulaire_Tranche_OPTIONNELLE_6</v>
      </c>
      <c r="C40" s="374">
        <f>DONNEES!C269</f>
        <v>0</v>
      </c>
      <c r="D40" s="25" t="str">
        <f t="shared" si="1"/>
        <v>Titulaire_Tranche_OPTIONNELLE_6 0</v>
      </c>
      <c r="E40" s="376">
        <f>DONNEES!C182</f>
        <v>0</v>
      </c>
      <c r="F40" s="108">
        <f>DONNEES!E269</f>
        <v>0</v>
      </c>
      <c r="G40" s="108">
        <f>DONNEES!F269</f>
        <v>0</v>
      </c>
    </row>
    <row r="41" spans="1:7" ht="18.75" x14ac:dyDescent="0.3">
      <c r="A41" s="371" t="str">
        <f>DONNEES!B263</f>
        <v>toto</v>
      </c>
      <c r="B41" s="371" t="str">
        <f>DONNEES!$B$41&amp;DONNEES!A270</f>
        <v>Titulaire_Tranche_OPTIONNELLE_6</v>
      </c>
      <c r="C41" s="374">
        <f>DONNEES!C270</f>
        <v>0</v>
      </c>
      <c r="D41" s="25" t="str">
        <f t="shared" si="1"/>
        <v>Titulaire_Tranche_OPTIONNELLE_6 0</v>
      </c>
      <c r="E41" s="376">
        <f>DONNEES!C183</f>
        <v>0</v>
      </c>
      <c r="F41" s="108">
        <f>DONNEES!E270</f>
        <v>0</v>
      </c>
      <c r="G41" s="108">
        <f>DONNEES!F270</f>
        <v>0</v>
      </c>
    </row>
    <row r="42" spans="1:7" ht="18.75" x14ac:dyDescent="0.3">
      <c r="A42" s="371" t="str">
        <f>DONNEES!B264</f>
        <v>toto</v>
      </c>
      <c r="B42" s="371" t="str">
        <f>DONNEES!$B$41&amp;DONNEES!A271</f>
        <v>Titulaire_Tranche_OPTIONNELLE_6</v>
      </c>
      <c r="C42" s="374">
        <f>DONNEES!C271</f>
        <v>0</v>
      </c>
      <c r="D42" s="25" t="str">
        <f t="shared" si="1"/>
        <v>Titulaire_Tranche_OPTIONNELLE_6 0</v>
      </c>
      <c r="E42" s="376">
        <f>DONNEES!C184</f>
        <v>0</v>
      </c>
      <c r="F42" s="108">
        <f>DONNEES!E271</f>
        <v>0</v>
      </c>
      <c r="G42" s="108">
        <f>DONNEES!F271</f>
        <v>0</v>
      </c>
    </row>
    <row r="43" spans="1:7" ht="18.75" x14ac:dyDescent="0.3">
      <c r="A43" s="371" t="str">
        <f>DONNEES!B265</f>
        <v>toto</v>
      </c>
      <c r="B43" s="371" t="str">
        <f>DONNEES!$B$41&amp;DONNEES!A272</f>
        <v>Titulaire_Tranche_OPTIONNELLE_6</v>
      </c>
      <c r="C43" s="374">
        <f>DONNEES!C272</f>
        <v>0</v>
      </c>
      <c r="D43" s="25" t="str">
        <f t="shared" si="1"/>
        <v>Titulaire_Tranche_OPTIONNELLE_6 0</v>
      </c>
      <c r="E43" s="376">
        <f>DONNEES!C185</f>
        <v>0</v>
      </c>
      <c r="F43" s="108">
        <f>DONNEES!E272</f>
        <v>0</v>
      </c>
      <c r="G43" s="108">
        <f>DONNEES!F272</f>
        <v>0</v>
      </c>
    </row>
    <row r="44" spans="1:7" ht="18.75" x14ac:dyDescent="0.3">
      <c r="A44" s="371" t="str">
        <f>DONNEES!B266</f>
        <v>toto</v>
      </c>
      <c r="B44" s="372" t="str">
        <f>DONNEES!$C$280&amp;"_"&amp;DONNEES!A281</f>
        <v>Cotraitant_1_Tranche_FERME</v>
      </c>
      <c r="C44" s="375">
        <f>DONNEES!C281</f>
        <v>0</v>
      </c>
      <c r="D44" s="25" t="str">
        <f t="shared" si="1"/>
        <v>Cotraitant_1_Tranche_FERME 0</v>
      </c>
      <c r="E44" s="377">
        <f>DONNEES!C53</f>
        <v>0</v>
      </c>
      <c r="F44" s="373">
        <f>DONNEES!E281</f>
        <v>0</v>
      </c>
      <c r="G44" s="373">
        <f>DONNEES!F281</f>
        <v>0</v>
      </c>
    </row>
    <row r="45" spans="1:7" ht="18.75" x14ac:dyDescent="0.3">
      <c r="A45" s="371" t="str">
        <f>DONNEES!B267</f>
        <v>toto</v>
      </c>
      <c r="B45" s="372" t="str">
        <f>DONNEES!$C$280&amp;"_"&amp;DONNEES!A282</f>
        <v>Cotraitant_1_Tranche_FERME</v>
      </c>
      <c r="C45" s="374">
        <f>DONNEES!C282</f>
        <v>0</v>
      </c>
      <c r="D45" s="25" t="str">
        <f t="shared" si="1"/>
        <v>Cotraitant_1_Tranche_FERME 0</v>
      </c>
      <c r="E45" s="376">
        <f>DONNEES!C54</f>
        <v>0</v>
      </c>
      <c r="F45" s="108">
        <f>DONNEES!E282</f>
        <v>0</v>
      </c>
      <c r="G45" s="108">
        <f>DONNEES!F282</f>
        <v>0</v>
      </c>
    </row>
    <row r="46" spans="1:7" ht="18.75" x14ac:dyDescent="0.3">
      <c r="A46" s="371" t="str">
        <f>DONNEES!B268</f>
        <v>toto</v>
      </c>
      <c r="B46" s="372" t="str">
        <f>DONNEES!$C$280&amp;"_"&amp;DONNEES!A283</f>
        <v>Cotraitant_1_Tranche_FERME</v>
      </c>
      <c r="C46" s="374">
        <f>DONNEES!C283</f>
        <v>0</v>
      </c>
      <c r="D46" s="25" t="str">
        <f t="shared" si="1"/>
        <v>Cotraitant_1_Tranche_FERME 0</v>
      </c>
      <c r="E46" s="376">
        <f>DONNEES!C55</f>
        <v>0</v>
      </c>
      <c r="F46" s="108">
        <f>DONNEES!E283</f>
        <v>0</v>
      </c>
      <c r="G46" s="108">
        <f>DONNEES!F283</f>
        <v>0</v>
      </c>
    </row>
    <row r="47" spans="1:7" ht="18.75" x14ac:dyDescent="0.3">
      <c r="A47" s="371" t="str">
        <f>DONNEES!B269</f>
        <v>toto</v>
      </c>
      <c r="B47" s="372" t="str">
        <f>DONNEES!$C$280&amp;"_"&amp;DONNEES!A284</f>
        <v>Cotraitant_1_Tranche_FERME</v>
      </c>
      <c r="C47" s="374">
        <f>DONNEES!C284</f>
        <v>0</v>
      </c>
      <c r="D47" s="25" t="str">
        <f t="shared" si="1"/>
        <v>Cotraitant_1_Tranche_FERME 0</v>
      </c>
      <c r="E47" s="376">
        <f>DONNEES!C56</f>
        <v>0</v>
      </c>
      <c r="F47" s="108">
        <f>DONNEES!E284</f>
        <v>0</v>
      </c>
      <c r="G47" s="108">
        <f>DONNEES!F284</f>
        <v>0</v>
      </c>
    </row>
    <row r="48" spans="1:7" ht="18.75" x14ac:dyDescent="0.3">
      <c r="A48" s="371" t="str">
        <f>DONNEES!B270</f>
        <v>toto</v>
      </c>
      <c r="B48" s="372" t="str">
        <f>DONNEES!$C$280&amp;"_"&amp;DONNEES!A285</f>
        <v>Cotraitant_1_Tranche_FERME</v>
      </c>
      <c r="C48" s="374">
        <f>DONNEES!C285</f>
        <v>0</v>
      </c>
      <c r="D48" s="25" t="str">
        <f t="shared" si="1"/>
        <v>Cotraitant_1_Tranche_FERME 0</v>
      </c>
      <c r="E48" s="376">
        <f>DONNEES!C57</f>
        <v>0</v>
      </c>
      <c r="F48" s="108">
        <f>DONNEES!E285</f>
        <v>0</v>
      </c>
      <c r="G48" s="108">
        <f>DONNEES!F285</f>
        <v>0</v>
      </c>
    </row>
    <row r="49" spans="1:7" ht="18.75" x14ac:dyDescent="0.3">
      <c r="A49" s="371" t="str">
        <f>DONNEES!B271</f>
        <v>toto</v>
      </c>
      <c r="B49" s="372" t="str">
        <f>DONNEES!$C$280&amp;"_"&amp;DONNEES!A286</f>
        <v>Cotraitant_1_Tranche_FERME</v>
      </c>
      <c r="C49" s="374">
        <f>DONNEES!C286</f>
        <v>0</v>
      </c>
      <c r="D49" s="25" t="str">
        <f t="shared" si="1"/>
        <v>Cotraitant_1_Tranche_FERME 0</v>
      </c>
      <c r="E49" s="376">
        <f>DONNEES!C58</f>
        <v>0</v>
      </c>
      <c r="F49" s="108">
        <f>DONNEES!E286</f>
        <v>0</v>
      </c>
      <c r="G49" s="108">
        <f>DONNEES!F286</f>
        <v>0</v>
      </c>
    </row>
    <row r="50" spans="1:7" ht="18.75" x14ac:dyDescent="0.3">
      <c r="A50" s="371" t="str">
        <f>DONNEES!B272</f>
        <v>toto</v>
      </c>
      <c r="B50" s="372" t="str">
        <f>DONNEES!$C$280&amp;"_"&amp;DONNEES!A288</f>
        <v>Cotraitant_1_Tranche_OPTIONNELLE_1</v>
      </c>
      <c r="C50" s="374">
        <f>DONNEES!C288</f>
        <v>0</v>
      </c>
      <c r="D50" s="25" t="str">
        <f t="shared" si="1"/>
        <v>Cotraitant_1_Tranche_OPTIONNELLE_1 0</v>
      </c>
      <c r="E50" s="376">
        <f>DONNEES!C76</f>
        <v>0</v>
      </c>
      <c r="F50" s="108">
        <f>DONNEES!E288</f>
        <v>0</v>
      </c>
      <c r="G50" s="108">
        <f>DONNEES!F288</f>
        <v>0</v>
      </c>
    </row>
    <row r="51" spans="1:7" ht="18.75" x14ac:dyDescent="0.3">
      <c r="A51" s="371" t="str">
        <f>DONNEES!B273</f>
        <v>toto</v>
      </c>
      <c r="B51" s="372" t="str">
        <f>DONNEES!$C$280&amp;"_"&amp;DONNEES!A289</f>
        <v>Cotraitant_1_Tranche_OPTIONNELLE_1</v>
      </c>
      <c r="C51" s="374">
        <f>DONNEES!C289</f>
        <v>0</v>
      </c>
      <c r="D51" s="25" t="str">
        <f t="shared" si="1"/>
        <v>Cotraitant_1_Tranche_OPTIONNELLE_1 0</v>
      </c>
      <c r="E51" s="376">
        <f>DONNEES!C77</f>
        <v>0</v>
      </c>
      <c r="F51" s="108">
        <f>DONNEES!E289</f>
        <v>0</v>
      </c>
      <c r="G51" s="108">
        <f>DONNEES!F289</f>
        <v>0</v>
      </c>
    </row>
    <row r="52" spans="1:7" ht="18.75" x14ac:dyDescent="0.3">
      <c r="A52" s="371" t="str">
        <f>DONNEES!B274</f>
        <v>toto</v>
      </c>
      <c r="B52" s="372" t="str">
        <f>DONNEES!$C$280&amp;"_"&amp;DONNEES!A290</f>
        <v>Cotraitant_1_Tranche_OPTIONNELLE_1</v>
      </c>
      <c r="C52" s="374">
        <f>DONNEES!C290</f>
        <v>0</v>
      </c>
      <c r="D52" s="25" t="str">
        <f t="shared" si="1"/>
        <v>Cotraitant_1_Tranche_OPTIONNELLE_1 0</v>
      </c>
      <c r="E52" s="376">
        <f>DONNEES!C78</f>
        <v>0</v>
      </c>
      <c r="F52" s="108">
        <f>DONNEES!E290</f>
        <v>0</v>
      </c>
      <c r="G52" s="108">
        <f>DONNEES!F290</f>
        <v>0</v>
      </c>
    </row>
    <row r="53" spans="1:7" ht="18.75" x14ac:dyDescent="0.3">
      <c r="A53" s="371" t="str">
        <f>DONNEES!B275</f>
        <v>toto</v>
      </c>
      <c r="B53" s="372" t="str">
        <f>DONNEES!$C$280&amp;"_"&amp;DONNEES!A291</f>
        <v>Cotraitant_1_Tranche_OPTIONNELLE_1</v>
      </c>
      <c r="C53" s="374">
        <f>DONNEES!C291</f>
        <v>0</v>
      </c>
      <c r="D53" s="25" t="str">
        <f t="shared" si="1"/>
        <v>Cotraitant_1_Tranche_OPTIONNELLE_1 0</v>
      </c>
      <c r="E53" s="376">
        <f>DONNEES!C79</f>
        <v>0</v>
      </c>
      <c r="F53" s="108">
        <f>DONNEES!E291</f>
        <v>0</v>
      </c>
      <c r="G53" s="108">
        <f>DONNEES!F291</f>
        <v>0</v>
      </c>
    </row>
    <row r="54" spans="1:7" ht="18.75" x14ac:dyDescent="0.3">
      <c r="A54" s="371" t="str">
        <f>DONNEES!B276</f>
        <v>toto</v>
      </c>
      <c r="B54" s="372" t="str">
        <f>DONNEES!$C$280&amp;"_"&amp;DONNEES!A292</f>
        <v>Cotraitant_1_Tranche_OPTIONNELLE_1</v>
      </c>
      <c r="C54" s="374">
        <f>DONNEES!C292</f>
        <v>0</v>
      </c>
      <c r="D54" s="25" t="str">
        <f t="shared" si="1"/>
        <v>Cotraitant_1_Tranche_OPTIONNELLE_1 0</v>
      </c>
      <c r="E54" s="376">
        <f>DONNEES!C80</f>
        <v>0</v>
      </c>
      <c r="F54" s="108">
        <f>DONNEES!E292</f>
        <v>0</v>
      </c>
      <c r="G54" s="108">
        <f>DONNEES!F292</f>
        <v>0</v>
      </c>
    </row>
    <row r="55" spans="1:7" ht="18.75" x14ac:dyDescent="0.3">
      <c r="A55" s="371" t="str">
        <f>DONNEES!B277</f>
        <v>toto</v>
      </c>
      <c r="B55" s="372" t="str">
        <f>DONNEES!$C$280&amp;"_"&amp;DONNEES!A293</f>
        <v>Cotraitant_1_Tranche_OPTIONNELLE_1</v>
      </c>
      <c r="C55" s="374">
        <f>DONNEES!C293</f>
        <v>0</v>
      </c>
      <c r="D55" s="25" t="str">
        <f t="shared" si="1"/>
        <v>Cotraitant_1_Tranche_OPTIONNELLE_1 0</v>
      </c>
      <c r="E55" s="376">
        <f>DONNEES!C81</f>
        <v>0</v>
      </c>
      <c r="F55" s="108">
        <f>DONNEES!E293</f>
        <v>0</v>
      </c>
      <c r="G55" s="108">
        <f>DONNEES!F293</f>
        <v>0</v>
      </c>
    </row>
    <row r="56" spans="1:7" ht="18.75" x14ac:dyDescent="0.3">
      <c r="A56" s="371" t="str">
        <f>DONNEES!B278</f>
        <v>toto</v>
      </c>
      <c r="B56" s="372" t="str">
        <f>DONNEES!$C$280&amp;"_"&amp;DONNEES!A295</f>
        <v>Cotraitant_1_Tranche_OPTIONNELLE_2</v>
      </c>
      <c r="C56" s="374">
        <f>DONNEES!C295</f>
        <v>0</v>
      </c>
      <c r="D56" s="25" t="str">
        <f t="shared" si="1"/>
        <v>Cotraitant_1_Tranche_OPTIONNELLE_2 0</v>
      </c>
      <c r="E56" s="376">
        <f>DONNEES!C99</f>
        <v>0</v>
      </c>
      <c r="F56" s="141">
        <f>DONNEES!M82</f>
        <v>0</v>
      </c>
      <c r="G56" s="369">
        <f>DONNEES!N82</f>
        <v>0</v>
      </c>
    </row>
    <row r="57" spans="1:7" ht="18.75" x14ac:dyDescent="0.3">
      <c r="A57" s="371" t="str">
        <f>DONNEES!B279</f>
        <v>toto</v>
      </c>
      <c r="B57" s="372" t="str">
        <f>DONNEES!$C$280&amp;"_"&amp;DONNEES!A296</f>
        <v>Cotraitant_1_Tranche_OPTIONNELLE_2</v>
      </c>
      <c r="C57" s="374">
        <f>DONNEES!C296</f>
        <v>0</v>
      </c>
      <c r="D57" s="25" t="str">
        <f t="shared" si="1"/>
        <v>Cotraitant_1_Tranche_OPTIONNELLE_2 0</v>
      </c>
      <c r="E57" s="376">
        <f>DONNEES!C100</f>
        <v>0</v>
      </c>
      <c r="F57" s="108">
        <f>DONNEES!E296</f>
        <v>0</v>
      </c>
      <c r="G57" s="108">
        <f>DONNEES!F296</f>
        <v>0</v>
      </c>
    </row>
    <row r="58" spans="1:7" ht="18.75" x14ac:dyDescent="0.3">
      <c r="A58" s="371">
        <f>DONNEES!B280</f>
        <v>0</v>
      </c>
      <c r="B58" s="372" t="str">
        <f>DONNEES!$C$280&amp;"_"&amp;DONNEES!A297</f>
        <v>Cotraitant_1_Tranche_OPTIONNELLE_2</v>
      </c>
      <c r="C58" s="374">
        <f>DONNEES!C297</f>
        <v>0</v>
      </c>
      <c r="D58" s="25" t="str">
        <f t="shared" si="1"/>
        <v>Cotraitant_1_Tranche_OPTIONNELLE_2 0</v>
      </c>
      <c r="E58" s="376">
        <f>DONNEES!C101</f>
        <v>0</v>
      </c>
      <c r="F58" s="108">
        <f>DONNEES!E297</f>
        <v>0</v>
      </c>
      <c r="G58" s="108">
        <f>DONNEES!F297</f>
        <v>0</v>
      </c>
    </row>
    <row r="59" spans="1:7" ht="18.75" x14ac:dyDescent="0.3">
      <c r="A59" s="371">
        <f>DONNEES!B281</f>
        <v>0</v>
      </c>
      <c r="B59" s="372" t="str">
        <f>DONNEES!$C$280&amp;"_"&amp;DONNEES!A298</f>
        <v>Cotraitant_1_Tranche_OPTIONNELLE_2</v>
      </c>
      <c r="C59" s="374">
        <f>DONNEES!C298</f>
        <v>0</v>
      </c>
      <c r="D59" s="25" t="str">
        <f t="shared" si="1"/>
        <v>Cotraitant_1_Tranche_OPTIONNELLE_2 0</v>
      </c>
      <c r="E59" s="376">
        <f>DONNEES!C102</f>
        <v>0</v>
      </c>
      <c r="F59" s="108">
        <f>DONNEES!E298</f>
        <v>0</v>
      </c>
      <c r="G59" s="108">
        <f>DONNEES!F298</f>
        <v>0</v>
      </c>
    </row>
    <row r="60" spans="1:7" ht="18.75" x14ac:dyDescent="0.3">
      <c r="A60" s="371">
        <f>DONNEES!B282</f>
        <v>0</v>
      </c>
      <c r="B60" s="372" t="str">
        <f>DONNEES!$C$280&amp;"_"&amp;DONNEES!A299</f>
        <v>Cotraitant_1_Tranche_OPTIONNELLE_2</v>
      </c>
      <c r="C60" s="374">
        <f>DONNEES!C299</f>
        <v>0</v>
      </c>
      <c r="D60" s="25" t="str">
        <f t="shared" si="1"/>
        <v>Cotraitant_1_Tranche_OPTIONNELLE_2 0</v>
      </c>
      <c r="E60" s="376">
        <f>DONNEES!C103</f>
        <v>0</v>
      </c>
      <c r="F60" s="108">
        <f>DONNEES!E299</f>
        <v>0</v>
      </c>
      <c r="G60" s="108">
        <f>DONNEES!F299</f>
        <v>0</v>
      </c>
    </row>
    <row r="61" spans="1:7" ht="18.75" x14ac:dyDescent="0.3">
      <c r="A61" s="371">
        <f>DONNEES!B283</f>
        <v>0</v>
      </c>
      <c r="B61" s="372" t="str">
        <f>DONNEES!$C$280&amp;"_"&amp;DONNEES!A300</f>
        <v>Cotraitant_1_Tranche_OPTIONNELLE_2</v>
      </c>
      <c r="C61" s="374">
        <f>DONNEES!C300</f>
        <v>0</v>
      </c>
      <c r="D61" s="25" t="str">
        <f t="shared" si="1"/>
        <v>Cotraitant_1_Tranche_OPTIONNELLE_2 0</v>
      </c>
      <c r="E61" s="376">
        <f>DONNEES!C104</f>
        <v>0</v>
      </c>
      <c r="F61" s="108">
        <f>DONNEES!E300</f>
        <v>0</v>
      </c>
      <c r="G61" s="108">
        <f>DONNEES!F300</f>
        <v>0</v>
      </c>
    </row>
    <row r="62" spans="1:7" ht="18.75" x14ac:dyDescent="0.3">
      <c r="A62" s="371">
        <f>DONNEES!B284</f>
        <v>0</v>
      </c>
      <c r="B62" s="372" t="str">
        <f>DONNEES!$C$280&amp;"_"&amp;DONNEES!A302</f>
        <v>Cotraitant_1_Tranche_OPTIONNELLE_3</v>
      </c>
      <c r="C62" s="374">
        <f>DONNEES!C302</f>
        <v>0</v>
      </c>
      <c r="D62" s="25" t="str">
        <f t="shared" si="1"/>
        <v>Cotraitant_1_Tranche_OPTIONNELLE_3 0</v>
      </c>
      <c r="E62" s="376">
        <f>DONNEES!C122</f>
        <v>0</v>
      </c>
      <c r="F62" s="108">
        <f>DONNEES!E302</f>
        <v>0</v>
      </c>
      <c r="G62" s="108">
        <f>DONNEES!F302</f>
        <v>0</v>
      </c>
    </row>
    <row r="63" spans="1:7" ht="18.75" x14ac:dyDescent="0.3">
      <c r="A63" s="371">
        <f>DONNEES!B285</f>
        <v>0</v>
      </c>
      <c r="B63" s="372" t="str">
        <f>DONNEES!$C$280&amp;"_"&amp;DONNEES!A303</f>
        <v>Cotraitant_1_Tranche_OPTIONNELLE_3</v>
      </c>
      <c r="C63" s="374">
        <f>DONNEES!C303</f>
        <v>0</v>
      </c>
      <c r="D63" s="25" t="str">
        <f t="shared" si="1"/>
        <v>Cotraitant_1_Tranche_OPTIONNELLE_3 0</v>
      </c>
      <c r="E63" s="376">
        <f>DONNEES!C123</f>
        <v>0</v>
      </c>
      <c r="F63" s="108">
        <f>DONNEES!E303</f>
        <v>0</v>
      </c>
      <c r="G63" s="108">
        <f>DONNEES!F303</f>
        <v>0</v>
      </c>
    </row>
    <row r="64" spans="1:7" ht="18.75" x14ac:dyDescent="0.3">
      <c r="A64" s="371">
        <f>DONNEES!B286</f>
        <v>0</v>
      </c>
      <c r="B64" s="372" t="str">
        <f>DONNEES!$C$280&amp;"_"&amp;DONNEES!A304</f>
        <v>Cotraitant_1_Tranche_OPTIONNELLE_3</v>
      </c>
      <c r="C64" s="374">
        <f>DONNEES!C304</f>
        <v>0</v>
      </c>
      <c r="D64" s="25" t="str">
        <f t="shared" si="1"/>
        <v>Cotraitant_1_Tranche_OPTIONNELLE_3 0</v>
      </c>
      <c r="E64" s="376">
        <f>DONNEES!C124</f>
        <v>0</v>
      </c>
      <c r="F64" s="108">
        <f>DONNEES!E304</f>
        <v>0</v>
      </c>
      <c r="G64" s="108">
        <f>DONNEES!F304</f>
        <v>0</v>
      </c>
    </row>
    <row r="65" spans="1:7" ht="18.75" x14ac:dyDescent="0.3">
      <c r="A65" s="371">
        <f>DONNEES!B287</f>
        <v>0</v>
      </c>
      <c r="B65" s="372" t="str">
        <f>DONNEES!$C$280&amp;"_"&amp;DONNEES!A305</f>
        <v>Cotraitant_1_Tranche_OPTIONNELLE_3</v>
      </c>
      <c r="C65" s="374">
        <f>DONNEES!C305</f>
        <v>0</v>
      </c>
      <c r="D65" s="25" t="str">
        <f t="shared" si="1"/>
        <v>Cotraitant_1_Tranche_OPTIONNELLE_3 0</v>
      </c>
      <c r="E65" s="376">
        <f>DONNEES!C125</f>
        <v>0</v>
      </c>
      <c r="F65" s="108">
        <f>DONNEES!E305</f>
        <v>0</v>
      </c>
      <c r="G65" s="108">
        <f>DONNEES!F305</f>
        <v>0</v>
      </c>
    </row>
    <row r="66" spans="1:7" ht="18.75" x14ac:dyDescent="0.3">
      <c r="A66" s="371">
        <f>DONNEES!B288</f>
        <v>0</v>
      </c>
      <c r="B66" s="372" t="str">
        <f>DONNEES!$C$280&amp;"_"&amp;DONNEES!A306</f>
        <v>Cotraitant_1_Tranche_OPTIONNELLE_3</v>
      </c>
      <c r="C66" s="374">
        <f>DONNEES!C306</f>
        <v>0</v>
      </c>
      <c r="D66" s="25" t="str">
        <f t="shared" ref="D66:D85" si="2">B66&amp;" "&amp;E66</f>
        <v>Cotraitant_1_Tranche_OPTIONNELLE_3 0</v>
      </c>
      <c r="E66" s="376">
        <f>DONNEES!C126</f>
        <v>0</v>
      </c>
      <c r="F66" s="108">
        <f>DONNEES!E306</f>
        <v>0</v>
      </c>
      <c r="G66" s="108">
        <f>DONNEES!F306</f>
        <v>0</v>
      </c>
    </row>
    <row r="67" spans="1:7" ht="18.75" x14ac:dyDescent="0.3">
      <c r="A67" s="371">
        <f>DONNEES!B289</f>
        <v>0</v>
      </c>
      <c r="B67" s="372" t="str">
        <f>DONNEES!$C$280&amp;"_"&amp;DONNEES!A307</f>
        <v>Cotraitant_1_Tranche_OPTIONNELLE_3</v>
      </c>
      <c r="C67" s="374">
        <f>DONNEES!C307</f>
        <v>0</v>
      </c>
      <c r="D67" s="25" t="str">
        <f t="shared" si="2"/>
        <v>Cotraitant_1_Tranche_OPTIONNELLE_3 0</v>
      </c>
      <c r="E67" s="376">
        <f>DONNEES!C127</f>
        <v>0</v>
      </c>
      <c r="F67" s="108">
        <f>DONNEES!E307</f>
        <v>0</v>
      </c>
      <c r="G67" s="108">
        <f>DONNEES!F307</f>
        <v>0</v>
      </c>
    </row>
    <row r="68" spans="1:7" ht="18.75" x14ac:dyDescent="0.3">
      <c r="A68" s="371">
        <f>DONNEES!B290</f>
        <v>0</v>
      </c>
      <c r="B68" s="372" t="str">
        <f>DONNEES!$C$280&amp;"_"&amp;DONNEES!A309</f>
        <v>Cotraitant_1_Tranche_OPTIONNELLE_4</v>
      </c>
      <c r="C68" s="374">
        <f>DONNEES!C309</f>
        <v>0</v>
      </c>
      <c r="D68" s="25" t="str">
        <f t="shared" si="2"/>
        <v>Cotraitant_1_Tranche_OPTIONNELLE_4 0</v>
      </c>
      <c r="E68" s="376">
        <f>DONNEES!C145</f>
        <v>0</v>
      </c>
      <c r="F68" s="108">
        <f>DONNEES!E309</f>
        <v>0</v>
      </c>
      <c r="G68" s="108">
        <f>DONNEES!F309</f>
        <v>0</v>
      </c>
    </row>
    <row r="69" spans="1:7" ht="18.75" x14ac:dyDescent="0.3">
      <c r="A69" s="371">
        <f>DONNEES!B291</f>
        <v>0</v>
      </c>
      <c r="B69" s="372" t="str">
        <f>DONNEES!$C$280&amp;"_"&amp;DONNEES!A310</f>
        <v>Cotraitant_1_Tranche_OPTIONNELLE_4</v>
      </c>
      <c r="C69" s="374">
        <f>DONNEES!C310</f>
        <v>0</v>
      </c>
      <c r="D69" s="25" t="str">
        <f t="shared" si="2"/>
        <v>Cotraitant_1_Tranche_OPTIONNELLE_4 0</v>
      </c>
      <c r="E69" s="376">
        <f>DONNEES!C146</f>
        <v>0</v>
      </c>
      <c r="F69" s="108">
        <f>DONNEES!E310</f>
        <v>0</v>
      </c>
      <c r="G69" s="108">
        <f>DONNEES!F310</f>
        <v>0</v>
      </c>
    </row>
    <row r="70" spans="1:7" ht="18.75" x14ac:dyDescent="0.3">
      <c r="A70" s="371">
        <f>DONNEES!B292</f>
        <v>0</v>
      </c>
      <c r="B70" s="372" t="str">
        <f>DONNEES!$C$280&amp;"_"&amp;DONNEES!A311</f>
        <v>Cotraitant_1_Tranche_OPTIONNELLE_4</v>
      </c>
      <c r="C70" s="374">
        <f>DONNEES!C311</f>
        <v>0</v>
      </c>
      <c r="D70" s="25" t="str">
        <f t="shared" si="2"/>
        <v>Cotraitant_1_Tranche_OPTIONNELLE_4 0</v>
      </c>
      <c r="E70" s="376">
        <f>DONNEES!C147</f>
        <v>0</v>
      </c>
      <c r="F70" s="108">
        <f>DONNEES!E311</f>
        <v>0</v>
      </c>
      <c r="G70" s="108">
        <f>DONNEES!F311</f>
        <v>0</v>
      </c>
    </row>
    <row r="71" spans="1:7" ht="18.75" x14ac:dyDescent="0.3">
      <c r="A71" s="371">
        <f>DONNEES!B293</f>
        <v>0</v>
      </c>
      <c r="B71" s="372" t="str">
        <f>DONNEES!$C$280&amp;"_"&amp;DONNEES!A312</f>
        <v>Cotraitant_1_Tranche_OPTIONNELLE_4</v>
      </c>
      <c r="C71" s="374">
        <f>DONNEES!C312</f>
        <v>0</v>
      </c>
      <c r="D71" s="25" t="str">
        <f t="shared" si="2"/>
        <v>Cotraitant_1_Tranche_OPTIONNELLE_4 0</v>
      </c>
      <c r="E71" s="376">
        <f>DONNEES!C148</f>
        <v>0</v>
      </c>
      <c r="F71" s="108">
        <f>DONNEES!E312</f>
        <v>0</v>
      </c>
      <c r="G71" s="108">
        <f>DONNEES!F312</f>
        <v>0</v>
      </c>
    </row>
    <row r="72" spans="1:7" ht="18.75" x14ac:dyDescent="0.3">
      <c r="A72" s="371">
        <f>DONNEES!B294</f>
        <v>0</v>
      </c>
      <c r="B72" s="372" t="str">
        <f>DONNEES!$C$280&amp;"_"&amp;DONNEES!A313</f>
        <v>Cotraitant_1_Tranche_OPTIONNELLE_4</v>
      </c>
      <c r="C72" s="374">
        <f>DONNEES!C313</f>
        <v>0</v>
      </c>
      <c r="D72" s="25" t="str">
        <f t="shared" si="2"/>
        <v>Cotraitant_1_Tranche_OPTIONNELLE_4 0</v>
      </c>
      <c r="E72" s="376">
        <f>DONNEES!C149</f>
        <v>0</v>
      </c>
      <c r="F72" s="108">
        <f>DONNEES!E313</f>
        <v>0</v>
      </c>
      <c r="G72" s="108">
        <f>DONNEES!F313</f>
        <v>0</v>
      </c>
    </row>
    <row r="73" spans="1:7" ht="18.75" x14ac:dyDescent="0.3">
      <c r="A73" s="371">
        <f>DONNEES!B295</f>
        <v>0</v>
      </c>
      <c r="B73" s="372" t="str">
        <f>DONNEES!$C$280&amp;"_"&amp;DONNEES!A314</f>
        <v>Cotraitant_1_Tranche_OPTIONNELLE_4</v>
      </c>
      <c r="C73" s="374">
        <f>DONNEES!C314</f>
        <v>0</v>
      </c>
      <c r="D73" s="25" t="str">
        <f t="shared" si="2"/>
        <v>Cotraitant_1_Tranche_OPTIONNELLE_4 0</v>
      </c>
      <c r="E73" s="376">
        <f>DONNEES!C150</f>
        <v>0</v>
      </c>
      <c r="F73" s="108">
        <f>DONNEES!E314</f>
        <v>0</v>
      </c>
      <c r="G73" s="108">
        <f>DONNEES!F314</f>
        <v>0</v>
      </c>
    </row>
    <row r="74" spans="1:7" ht="18.75" x14ac:dyDescent="0.3">
      <c r="A74" s="371">
        <f>DONNEES!B296</f>
        <v>0</v>
      </c>
      <c r="B74" s="372" t="str">
        <f>DONNEES!$C$280&amp;"_"&amp;DONNEES!A316</f>
        <v>Cotraitant_1_Tranche_OPTIONNELLE_5</v>
      </c>
      <c r="C74" s="374">
        <f>DONNEES!C316</f>
        <v>0</v>
      </c>
      <c r="D74" s="25" t="str">
        <f t="shared" si="2"/>
        <v>Cotraitant_1_Tranche_OPTIONNELLE_5 0</v>
      </c>
      <c r="E74" s="376">
        <f>DONNEES!C168</f>
        <v>0</v>
      </c>
      <c r="F74" s="108">
        <f>DONNEES!E316</f>
        <v>0</v>
      </c>
      <c r="G74" s="108">
        <f>DONNEES!F316</f>
        <v>0</v>
      </c>
    </row>
    <row r="75" spans="1:7" ht="18.75" x14ac:dyDescent="0.3">
      <c r="A75" s="371">
        <f>DONNEES!B297</f>
        <v>0</v>
      </c>
      <c r="B75" s="372" t="str">
        <f>DONNEES!$C$280&amp;"_"&amp;DONNEES!A317</f>
        <v>Cotraitant_1_Tranche_OPTIONNELLE_5</v>
      </c>
      <c r="C75" s="374">
        <f>DONNEES!C317</f>
        <v>0</v>
      </c>
      <c r="D75" s="25" t="str">
        <f t="shared" si="2"/>
        <v>Cotraitant_1_Tranche_OPTIONNELLE_5 0</v>
      </c>
      <c r="E75" s="376">
        <f>DONNEES!C169</f>
        <v>0</v>
      </c>
      <c r="F75" s="108">
        <f>DONNEES!E317</f>
        <v>0</v>
      </c>
      <c r="G75" s="108">
        <f>DONNEES!F317</f>
        <v>0</v>
      </c>
    </row>
    <row r="76" spans="1:7" ht="18.75" x14ac:dyDescent="0.3">
      <c r="A76" s="371">
        <f>DONNEES!B298</f>
        <v>0</v>
      </c>
      <c r="B76" s="372" t="str">
        <f>DONNEES!$C$280&amp;"_"&amp;DONNEES!A318</f>
        <v>Cotraitant_1_Tranche_OPTIONNELLE_5</v>
      </c>
      <c r="C76" s="374">
        <f>DONNEES!C318</f>
        <v>0</v>
      </c>
      <c r="D76" s="25" t="str">
        <f t="shared" si="2"/>
        <v>Cotraitant_1_Tranche_OPTIONNELLE_5 0</v>
      </c>
      <c r="E76" s="376">
        <f>DONNEES!C170</f>
        <v>0</v>
      </c>
      <c r="F76" s="108">
        <f>DONNEES!E318</f>
        <v>0</v>
      </c>
      <c r="G76" s="108">
        <f>DONNEES!F318</f>
        <v>0</v>
      </c>
    </row>
    <row r="77" spans="1:7" ht="18.75" x14ac:dyDescent="0.3">
      <c r="A77" s="371">
        <f>DONNEES!B299</f>
        <v>0</v>
      </c>
      <c r="B77" s="372" t="str">
        <f>DONNEES!$C$280&amp;"_"&amp;DONNEES!A319</f>
        <v>Cotraitant_1_Tranche_OPTIONNELLE_5</v>
      </c>
      <c r="C77" s="374">
        <f>DONNEES!C319</f>
        <v>0</v>
      </c>
      <c r="D77" s="25" t="str">
        <f t="shared" si="2"/>
        <v>Cotraitant_1_Tranche_OPTIONNELLE_5 0</v>
      </c>
      <c r="E77" s="376">
        <f>DONNEES!C171</f>
        <v>0</v>
      </c>
      <c r="F77" s="108">
        <f>DONNEES!E319</f>
        <v>0</v>
      </c>
      <c r="G77" s="108">
        <f>DONNEES!F319</f>
        <v>0</v>
      </c>
    </row>
    <row r="78" spans="1:7" ht="18.75" x14ac:dyDescent="0.3">
      <c r="A78" s="371">
        <f>DONNEES!B300</f>
        <v>0</v>
      </c>
      <c r="B78" s="372" t="str">
        <f>DONNEES!$C$280&amp;"_"&amp;DONNEES!A320</f>
        <v>Cotraitant_1_Tranche_OPTIONNELLE_5</v>
      </c>
      <c r="C78" s="374">
        <f>DONNEES!C320</f>
        <v>0</v>
      </c>
      <c r="D78" s="25" t="str">
        <f t="shared" si="2"/>
        <v>Cotraitant_1_Tranche_OPTIONNELLE_5 0</v>
      </c>
      <c r="E78" s="376">
        <f>DONNEES!C172</f>
        <v>0</v>
      </c>
      <c r="F78" s="108">
        <f>DONNEES!E320</f>
        <v>0</v>
      </c>
      <c r="G78" s="108">
        <f>DONNEES!F320</f>
        <v>0</v>
      </c>
    </row>
    <row r="79" spans="1:7" ht="18.75" x14ac:dyDescent="0.3">
      <c r="A79" s="371">
        <f>DONNEES!B301</f>
        <v>0</v>
      </c>
      <c r="B79" s="372" t="str">
        <f>DONNEES!$C$280&amp;"_"&amp;DONNEES!A321</f>
        <v>Cotraitant_1_Tranche_OPTIONNELLE_5</v>
      </c>
      <c r="C79" s="374">
        <f>DONNEES!C321</f>
        <v>0</v>
      </c>
      <c r="D79" s="25" t="str">
        <f t="shared" si="2"/>
        <v>Cotraitant_1_Tranche_OPTIONNELLE_5 0</v>
      </c>
      <c r="E79" s="376">
        <f>DONNEES!C173</f>
        <v>0</v>
      </c>
      <c r="F79" s="108">
        <f>DONNEES!E321</f>
        <v>0</v>
      </c>
      <c r="G79" s="108">
        <f>DONNEES!F321</f>
        <v>0</v>
      </c>
    </row>
    <row r="80" spans="1:7" ht="18.75" x14ac:dyDescent="0.3">
      <c r="A80" s="371">
        <f>DONNEES!B302</f>
        <v>0</v>
      </c>
      <c r="B80" s="372" t="str">
        <f>DONNEES!$C$280&amp;"_"&amp;DONNEES!A323</f>
        <v>Cotraitant_1_Tranche_OPTIONNELLE_6</v>
      </c>
      <c r="C80" s="374">
        <f>DONNEES!C323</f>
        <v>0</v>
      </c>
      <c r="D80" s="25" t="str">
        <f t="shared" si="2"/>
        <v>Cotraitant_1_Tranche_OPTIONNELLE_6 0</v>
      </c>
      <c r="E80" s="376">
        <f>DONNEES!C191</f>
        <v>0</v>
      </c>
      <c r="F80" s="108">
        <f>DONNEES!E323</f>
        <v>0</v>
      </c>
      <c r="G80" s="108">
        <f>DONNEES!F323</f>
        <v>0</v>
      </c>
    </row>
    <row r="81" spans="1:7" ht="18.75" x14ac:dyDescent="0.3">
      <c r="A81" s="371">
        <f>DONNEES!B303</f>
        <v>0</v>
      </c>
      <c r="B81" s="372" t="str">
        <f>DONNEES!$C$280&amp;"_"&amp;DONNEES!A324</f>
        <v>Cotraitant_1_Tranche_OPTIONNELLE_6</v>
      </c>
      <c r="C81" s="374">
        <f>DONNEES!C324</f>
        <v>0</v>
      </c>
      <c r="D81" s="25" t="str">
        <f t="shared" si="2"/>
        <v>Cotraitant_1_Tranche_OPTIONNELLE_6 0</v>
      </c>
      <c r="E81" s="376">
        <f>DONNEES!C192</f>
        <v>0</v>
      </c>
      <c r="F81" s="108">
        <f>DONNEES!E324</f>
        <v>0</v>
      </c>
      <c r="G81" s="108">
        <f>DONNEES!F324</f>
        <v>0</v>
      </c>
    </row>
    <row r="82" spans="1:7" ht="18.75" x14ac:dyDescent="0.3">
      <c r="A82" s="371">
        <f>DONNEES!B304</f>
        <v>0</v>
      </c>
      <c r="B82" s="372" t="str">
        <f>DONNEES!$C$280&amp;"_"&amp;DONNEES!A325</f>
        <v>Cotraitant_1_Tranche_OPTIONNELLE_6</v>
      </c>
      <c r="C82" s="374">
        <f>DONNEES!C325</f>
        <v>0</v>
      </c>
      <c r="D82" s="25" t="str">
        <f t="shared" si="2"/>
        <v>Cotraitant_1_Tranche_OPTIONNELLE_6 0</v>
      </c>
      <c r="E82" s="376">
        <f>DONNEES!C193</f>
        <v>0</v>
      </c>
      <c r="F82" s="108">
        <f>DONNEES!E325</f>
        <v>0</v>
      </c>
      <c r="G82" s="108">
        <f>DONNEES!F325</f>
        <v>0</v>
      </c>
    </row>
    <row r="83" spans="1:7" ht="18.75" x14ac:dyDescent="0.3">
      <c r="A83" s="371">
        <f>DONNEES!B305</f>
        <v>0</v>
      </c>
      <c r="B83" s="372" t="str">
        <f>DONNEES!$C$280&amp;"_"&amp;DONNEES!A326</f>
        <v>Cotraitant_1_Tranche_OPTIONNELLE_6</v>
      </c>
      <c r="C83" s="374">
        <f>DONNEES!C326</f>
        <v>0</v>
      </c>
      <c r="D83" s="25" t="str">
        <f t="shared" si="2"/>
        <v>Cotraitant_1_Tranche_OPTIONNELLE_6 0</v>
      </c>
      <c r="E83" s="376">
        <f>DONNEES!C194</f>
        <v>0</v>
      </c>
      <c r="F83" s="108">
        <f>DONNEES!E326</f>
        <v>0</v>
      </c>
      <c r="G83" s="108">
        <f>DONNEES!F326</f>
        <v>0</v>
      </c>
    </row>
    <row r="84" spans="1:7" ht="18.75" x14ac:dyDescent="0.3">
      <c r="A84" s="371">
        <f>DONNEES!B306</f>
        <v>0</v>
      </c>
      <c r="B84" s="372" t="str">
        <f>DONNEES!$C$280&amp;"_"&amp;DONNEES!A327</f>
        <v>Cotraitant_1_Tranche_OPTIONNELLE_6</v>
      </c>
      <c r="C84" s="374">
        <f>DONNEES!C327</f>
        <v>0</v>
      </c>
      <c r="D84" s="25" t="str">
        <f t="shared" si="2"/>
        <v>Cotraitant_1_Tranche_OPTIONNELLE_6 0</v>
      </c>
      <c r="E84" s="376">
        <f>DONNEES!C195</f>
        <v>0</v>
      </c>
      <c r="F84" s="108">
        <f>DONNEES!E327</f>
        <v>0</v>
      </c>
      <c r="G84" s="108">
        <f>DONNEES!F327</f>
        <v>0</v>
      </c>
    </row>
    <row r="85" spans="1:7" ht="18.75" x14ac:dyDescent="0.3">
      <c r="A85" s="371">
        <f>DONNEES!B307</f>
        <v>0</v>
      </c>
      <c r="B85" s="372" t="str">
        <f>DONNEES!$C$280&amp;"_"&amp;DONNEES!A328</f>
        <v>Cotraitant_1_Tranche_OPTIONNELLE_6</v>
      </c>
      <c r="C85" s="374">
        <f>DONNEES!C328</f>
        <v>0</v>
      </c>
      <c r="D85" s="25" t="str">
        <f t="shared" si="2"/>
        <v>Cotraitant_1_Tranche_OPTIONNELLE_6 0</v>
      </c>
      <c r="E85" s="376">
        <f>DONNEES!C196</f>
        <v>0</v>
      </c>
      <c r="F85" s="108">
        <f>DONNEES!E328</f>
        <v>0</v>
      </c>
      <c r="G85" s="108">
        <f>DONNEES!F328</f>
        <v>0</v>
      </c>
    </row>
  </sheetData>
  <sheetProtection algorithmName="SHA-512" hashValue="DdJ3Toi9Wbul4ngY6/OwMUzxLoBtZdnmGxAeHxt5h3HlS4xaJZJkP4lp1qia+hVOTj91dJC7e2LFeMZ9FUZDwQ==" saltValue="T4tWJL3Wh6o5oaIO+m/bbw==" spinCount="100000" sheet="1" objects="1" scenarios="1"/>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7"/>
  </sheetPr>
  <dimension ref="A1:IJ1236"/>
  <sheetViews>
    <sheetView topLeftCell="B1" zoomScale="20" zoomScaleNormal="20" zoomScaleSheetLayoutView="16" workbookViewId="0">
      <selection activeCell="H22" sqref="H22"/>
    </sheetView>
  </sheetViews>
  <sheetFormatPr baseColWidth="10" defaultRowHeight="83.25" outlineLevelCol="1" x14ac:dyDescent="1.2"/>
  <cols>
    <col min="1" max="1" width="22.140625" style="176" hidden="1" customWidth="1"/>
    <col min="2" max="2" width="109.42578125" style="301" customWidth="1"/>
    <col min="3" max="3" width="242" style="176" customWidth="1"/>
    <col min="4" max="4" width="120.5703125" style="176" bestFit="1" customWidth="1"/>
    <col min="5" max="5" width="96" style="176" customWidth="1"/>
    <col min="6" max="6" width="147.5703125" style="176" customWidth="1"/>
    <col min="7" max="7" width="107.85546875" style="176" customWidth="1"/>
    <col min="8" max="8" width="93.85546875" style="176" bestFit="1" customWidth="1"/>
    <col min="9" max="9" width="86.7109375" style="176" bestFit="1" customWidth="1"/>
    <col min="10" max="10" width="91.5703125" style="176" customWidth="1"/>
    <col min="11" max="11" width="60.5703125" style="176" hidden="1" customWidth="1"/>
    <col min="12" max="12" width="86.85546875" style="177" customWidth="1"/>
    <col min="13" max="13" width="70.85546875" style="177" bestFit="1" customWidth="1"/>
    <col min="14" max="15" width="11.42578125" style="177"/>
    <col min="16" max="16" width="82.5703125" style="177" hidden="1" customWidth="1" outlineLevel="1"/>
    <col min="17" max="17" width="46.5703125" style="177" hidden="1" customWidth="1" outlineLevel="1"/>
    <col min="18" max="18" width="102.42578125" style="177" hidden="1" customWidth="1" outlineLevel="1"/>
    <col min="19" max="19" width="49.42578125" style="177" hidden="1" customWidth="1" outlineLevel="1"/>
    <col min="20" max="22" width="11.42578125" style="177" hidden="1" customWidth="1" outlineLevel="1"/>
    <col min="23" max="23" width="73.85546875" style="180" hidden="1" customWidth="1" outlineLevel="1"/>
    <col min="24" max="25" width="11.42578125" style="177" hidden="1" customWidth="1" outlineLevel="1"/>
    <col min="26" max="26" width="35" style="177" hidden="1" customWidth="1" outlineLevel="1"/>
    <col min="27" max="34" width="11.42578125" style="177" hidden="1" customWidth="1" outlineLevel="1"/>
    <col min="35" max="35" width="76.5703125" style="176" hidden="1" customWidth="1" outlineLevel="1"/>
    <col min="36" max="36" width="37.140625" style="176" hidden="1" customWidth="1" outlineLevel="1"/>
    <col min="37" max="40" width="11.42578125" style="176" hidden="1" customWidth="1" outlineLevel="1"/>
    <col min="41" max="42" width="80.140625" style="176" hidden="1" customWidth="1" outlineLevel="1"/>
    <col min="43" max="43" width="11.42578125" style="176" collapsed="1"/>
    <col min="44" max="64" width="11.42578125" style="176"/>
    <col min="65" max="65" width="40.140625" style="176" bestFit="1" customWidth="1"/>
    <col min="66" max="66" width="78" style="176" bestFit="1" customWidth="1"/>
    <col min="67" max="16384" width="11.42578125" style="176"/>
  </cols>
  <sheetData>
    <row r="1" spans="2:66" x14ac:dyDescent="1.2">
      <c r="B1" s="177"/>
      <c r="C1" s="178"/>
      <c r="D1" s="179" t="s">
        <v>0</v>
      </c>
      <c r="E1" s="179"/>
      <c r="F1" s="538">
        <v>4</v>
      </c>
      <c r="G1" s="539"/>
      <c r="H1" s="550"/>
      <c r="I1" s="550"/>
      <c r="J1" s="177"/>
      <c r="K1" s="177"/>
      <c r="Q1" s="177" t="str">
        <f>DONNEES!X1</f>
        <v>M2018P001T01036_PV_4</v>
      </c>
      <c r="BM1" s="399">
        <f>SUM(D150:D157)</f>
        <v>5000</v>
      </c>
      <c r="BN1" s="399">
        <f>SUM(E150:E157)</f>
        <v>0</v>
      </c>
    </row>
    <row r="2" spans="2:66" x14ac:dyDescent="1.2">
      <c r="B2" s="177"/>
      <c r="C2" s="178"/>
      <c r="D2" s="179" t="s">
        <v>55</v>
      </c>
      <c r="E2" s="544" t="str">
        <f>DONNEES!C2</f>
        <v>au lycée "GUEZ DE BALZAC"</v>
      </c>
      <c r="F2" s="542"/>
      <c r="G2" s="542"/>
      <c r="H2" s="542"/>
      <c r="I2" s="543"/>
      <c r="J2" s="177"/>
      <c r="BM2" s="399">
        <f>SUM(D172:D179)</f>
        <v>0</v>
      </c>
      <c r="BN2" s="399">
        <f>SUM(E172:E179)</f>
        <v>0</v>
      </c>
    </row>
    <row r="3" spans="2:66" x14ac:dyDescent="1.2">
      <c r="B3" s="177"/>
      <c r="C3" s="178"/>
      <c r="D3" s="179" t="s">
        <v>2</v>
      </c>
      <c r="E3" s="544" t="str">
        <f>DONNEES!C3</f>
        <v>2015 PC 115839</v>
      </c>
      <c r="F3" s="542"/>
      <c r="G3" s="542"/>
      <c r="H3" s="542"/>
      <c r="I3" s="542"/>
      <c r="J3" s="177"/>
      <c r="K3" s="177"/>
    </row>
    <row r="4" spans="2:66" x14ac:dyDescent="1.2">
      <c r="B4" s="177"/>
      <c r="C4" s="178"/>
      <c r="D4" s="179" t="s">
        <v>3</v>
      </c>
      <c r="E4" s="546" t="str">
        <f>DONNEES!C5</f>
        <v>toto</v>
      </c>
      <c r="F4" s="547"/>
      <c r="G4" s="181" t="str">
        <f>IF(DONNEES!C6&lt;&gt;"","Co-traitant","")</f>
        <v/>
      </c>
      <c r="H4" s="542">
        <f>DONNEES!C6</f>
        <v>0</v>
      </c>
      <c r="I4" s="543"/>
      <c r="J4" s="177"/>
      <c r="K4" s="177"/>
    </row>
    <row r="5" spans="2:66" x14ac:dyDescent="1.2">
      <c r="B5" s="177"/>
      <c r="C5" s="178"/>
      <c r="D5" s="179" t="s">
        <v>4</v>
      </c>
      <c r="E5" s="544" t="str">
        <f>DONNEES!C7</f>
        <v>2018P001T01036</v>
      </c>
      <c r="F5" s="542"/>
      <c r="G5" s="542"/>
      <c r="H5" s="542"/>
      <c r="I5" s="543"/>
      <c r="J5" s="177"/>
      <c r="K5" s="177"/>
    </row>
    <row r="6" spans="2:66" x14ac:dyDescent="1.2">
      <c r="B6" s="177"/>
      <c r="C6" s="178"/>
      <c r="D6" s="179" t="s">
        <v>5</v>
      </c>
      <c r="E6" s="544">
        <f>DONNEES!F1</f>
        <v>0</v>
      </c>
      <c r="F6" s="542"/>
      <c r="G6" s="542"/>
      <c r="H6" s="542"/>
      <c r="I6" s="543"/>
      <c r="J6" s="177"/>
      <c r="K6" s="177"/>
    </row>
    <row r="7" spans="2:66" x14ac:dyDescent="1.2">
      <c r="B7" s="177"/>
      <c r="C7" s="177"/>
      <c r="D7" s="559" t="s">
        <v>602</v>
      </c>
      <c r="E7" s="560"/>
      <c r="F7" s="561"/>
      <c r="G7" s="562"/>
      <c r="H7" s="177"/>
      <c r="J7" s="177"/>
      <c r="K7" s="177"/>
    </row>
    <row r="8" spans="2:66" x14ac:dyDescent="1.2">
      <c r="B8" s="177"/>
      <c r="C8" s="177"/>
      <c r="F8" s="182"/>
      <c r="G8" s="182"/>
      <c r="H8" s="183"/>
      <c r="I8" s="182"/>
      <c r="J8" s="177"/>
      <c r="K8" s="177"/>
    </row>
    <row r="9" spans="2:66" x14ac:dyDescent="1.2">
      <c r="B9" s="177"/>
      <c r="C9" s="545" t="s">
        <v>6</v>
      </c>
      <c r="D9" s="545"/>
      <c r="E9" s="545"/>
      <c r="F9" s="545"/>
      <c r="G9" s="178"/>
      <c r="H9" s="177"/>
      <c r="I9" s="177"/>
      <c r="J9" s="177"/>
      <c r="K9" s="177"/>
    </row>
    <row r="10" spans="2:66" x14ac:dyDescent="1.2">
      <c r="B10" s="177"/>
      <c r="C10" s="184"/>
      <c r="D10" s="185">
        <f>DONNEES!C17</f>
        <v>0.1</v>
      </c>
      <c r="E10" s="185">
        <f>DONNEES!E17</f>
        <v>0.2</v>
      </c>
      <c r="F10" s="186"/>
      <c r="G10" s="178"/>
      <c r="H10" s="177"/>
      <c r="I10" s="177"/>
      <c r="J10" s="177"/>
      <c r="K10" s="177"/>
    </row>
    <row r="11" spans="2:66" x14ac:dyDescent="1.2">
      <c r="B11" s="177"/>
      <c r="C11" s="187" t="s">
        <v>7</v>
      </c>
      <c r="D11" s="188" t="s">
        <v>340</v>
      </c>
      <c r="E11" s="188" t="s">
        <v>341</v>
      </c>
      <c r="F11" s="189" t="s">
        <v>339</v>
      </c>
      <c r="G11" s="178"/>
      <c r="H11" s="177"/>
      <c r="I11" s="177"/>
      <c r="J11" s="177"/>
      <c r="K11" s="177"/>
    </row>
    <row r="12" spans="2:66" x14ac:dyDescent="1.2">
      <c r="B12" s="177"/>
      <c r="C12" s="190" t="s">
        <v>8</v>
      </c>
      <c r="D12" s="191">
        <f>DONNEES!C18</f>
        <v>355062.7</v>
      </c>
      <c r="E12" s="191">
        <f>DONNEES!E18</f>
        <v>133346.85</v>
      </c>
      <c r="F12" s="192">
        <f>D12+E12</f>
        <v>488409.55000000005</v>
      </c>
      <c r="G12" s="584"/>
      <c r="H12" s="585"/>
      <c r="I12" s="585"/>
      <c r="J12" s="177"/>
      <c r="K12" s="177"/>
    </row>
    <row r="13" spans="2:66" hidden="1" x14ac:dyDescent="1.2">
      <c r="B13" s="177"/>
      <c r="C13" s="190" t="s">
        <v>9</v>
      </c>
      <c r="D13" s="191">
        <f>DONNEES!C19</f>
        <v>0</v>
      </c>
      <c r="E13" s="191">
        <f>DONNEES!E19</f>
        <v>0</v>
      </c>
      <c r="F13" s="192">
        <f t="shared" ref="F13:F20" si="0">D13+E13</f>
        <v>0</v>
      </c>
      <c r="G13" s="584"/>
      <c r="H13" s="585"/>
      <c r="I13" s="585"/>
      <c r="J13" s="177"/>
      <c r="K13" s="177"/>
    </row>
    <row r="14" spans="2:66" hidden="1" x14ac:dyDescent="1.2">
      <c r="B14" s="177"/>
      <c r="C14" s="190" t="s">
        <v>10</v>
      </c>
      <c r="D14" s="191">
        <f>DONNEES!C20</f>
        <v>0</v>
      </c>
      <c r="E14" s="191">
        <f>DONNEES!E20</f>
        <v>0</v>
      </c>
      <c r="F14" s="192">
        <f t="shared" si="0"/>
        <v>0</v>
      </c>
      <c r="G14" s="584"/>
      <c r="H14" s="585"/>
      <c r="I14" s="585"/>
      <c r="J14" s="177"/>
      <c r="K14" s="177"/>
    </row>
    <row r="15" spans="2:66" hidden="1" x14ac:dyDescent="1.2">
      <c r="B15" s="177"/>
      <c r="C15" s="190" t="s">
        <v>11</v>
      </c>
      <c r="D15" s="191">
        <f>DONNEES!C21</f>
        <v>0</v>
      </c>
      <c r="E15" s="191">
        <f>DONNEES!E21</f>
        <v>0</v>
      </c>
      <c r="F15" s="192">
        <f t="shared" si="0"/>
        <v>0</v>
      </c>
      <c r="G15" s="584"/>
      <c r="H15" s="585"/>
      <c r="I15" s="585"/>
      <c r="J15" s="177"/>
      <c r="K15" s="177"/>
    </row>
    <row r="16" spans="2:66" hidden="1" x14ac:dyDescent="1.2">
      <c r="B16" s="177"/>
      <c r="C16" s="190" t="s">
        <v>283</v>
      </c>
      <c r="D16" s="191">
        <f>DONNEES!C22</f>
        <v>0</v>
      </c>
      <c r="E16" s="191">
        <f>DONNEES!E22</f>
        <v>0</v>
      </c>
      <c r="F16" s="192">
        <f t="shared" si="0"/>
        <v>0</v>
      </c>
      <c r="G16" s="584"/>
      <c r="H16" s="585"/>
      <c r="I16" s="585"/>
      <c r="J16" s="177"/>
      <c r="K16" s="177"/>
    </row>
    <row r="17" spans="1:42" hidden="1" x14ac:dyDescent="1.2">
      <c r="B17" s="177"/>
      <c r="C17" s="190" t="s">
        <v>284</v>
      </c>
      <c r="D17" s="191">
        <f>DONNEES!C23</f>
        <v>0</v>
      </c>
      <c r="E17" s="191">
        <f>DONNEES!E23</f>
        <v>0</v>
      </c>
      <c r="F17" s="192">
        <f t="shared" si="0"/>
        <v>0</v>
      </c>
      <c r="G17" s="584"/>
      <c r="H17" s="585"/>
      <c r="I17" s="585"/>
      <c r="J17" s="177"/>
    </row>
    <row r="18" spans="1:42" hidden="1" x14ac:dyDescent="1.2">
      <c r="B18" s="177"/>
      <c r="C18" s="190" t="s">
        <v>285</v>
      </c>
      <c r="D18" s="191">
        <f>DONNEES!C24</f>
        <v>0</v>
      </c>
      <c r="E18" s="191">
        <f>DONNEES!E24</f>
        <v>0</v>
      </c>
      <c r="F18" s="192">
        <f t="shared" si="0"/>
        <v>0</v>
      </c>
      <c r="G18" s="584"/>
      <c r="H18" s="585"/>
      <c r="I18" s="585"/>
      <c r="J18" s="177"/>
    </row>
    <row r="19" spans="1:42" x14ac:dyDescent="1.2">
      <c r="B19" s="177"/>
      <c r="C19" s="190" t="s">
        <v>12</v>
      </c>
      <c r="D19" s="191">
        <f>DONNEES!C25</f>
        <v>23740</v>
      </c>
      <c r="E19" s="191">
        <f>DONNEES!E25</f>
        <v>0</v>
      </c>
      <c r="F19" s="192">
        <f t="shared" si="0"/>
        <v>23740</v>
      </c>
      <c r="G19" s="584"/>
      <c r="H19" s="585"/>
      <c r="I19" s="585"/>
      <c r="J19" s="177"/>
      <c r="W19" s="180" t="s">
        <v>488</v>
      </c>
    </row>
    <row r="20" spans="1:42" hidden="1" x14ac:dyDescent="1.2">
      <c r="B20" s="177"/>
      <c r="C20" s="190" t="s">
        <v>56</v>
      </c>
      <c r="D20" s="191">
        <f>DONNEES!C26</f>
        <v>0</v>
      </c>
      <c r="E20" s="191">
        <f>DONNEES!E26</f>
        <v>0</v>
      </c>
      <c r="F20" s="192">
        <f t="shared" si="0"/>
        <v>0</v>
      </c>
      <c r="G20" s="193"/>
      <c r="I20" s="177"/>
      <c r="J20" s="177"/>
      <c r="W20" s="180">
        <f>SUMIF(Tableau4[type (titulaire / ST)],"Titulaire_",Tableau4[montant HT2])*D10</f>
        <v>500</v>
      </c>
      <c r="Z20" s="177" t="s">
        <v>489</v>
      </c>
    </row>
    <row r="21" spans="1:42" x14ac:dyDescent="1.2">
      <c r="B21" s="177"/>
      <c r="C21" s="194" t="s">
        <v>13</v>
      </c>
      <c r="D21" s="191">
        <f>SUM(D12:D19)-D20</f>
        <v>378802.7</v>
      </c>
      <c r="E21" s="191">
        <f>SUM(E12:E19)-E20</f>
        <v>133346.85</v>
      </c>
      <c r="F21" s="192">
        <f>D21+E21</f>
        <v>512149.55000000005</v>
      </c>
      <c r="G21" s="177"/>
      <c r="H21" s="177"/>
      <c r="I21" s="177"/>
      <c r="J21" s="177"/>
      <c r="W21" s="180">
        <f>SUMIF(Tableau4[type (titulaire / ST)],"Titulaire_",Tableau4[[ montant HT3]])*E10</f>
        <v>0</v>
      </c>
      <c r="Z21" s="177" t="s">
        <v>490</v>
      </c>
    </row>
    <row r="22" spans="1:42" x14ac:dyDescent="1.2">
      <c r="B22" s="177"/>
      <c r="C22" s="194" t="s">
        <v>14</v>
      </c>
      <c r="D22" s="191">
        <f>D21*D10</f>
        <v>37880.270000000004</v>
      </c>
      <c r="E22" s="191">
        <f>E21*E10</f>
        <v>26669.370000000003</v>
      </c>
      <c r="F22" s="195">
        <f>'CPP TITULAIRE-ST'!$D22+'CPP TITULAIRE-ST'!$E22</f>
        <v>64549.640000000007</v>
      </c>
      <c r="G22" s="177"/>
      <c r="H22" s="177"/>
      <c r="I22" s="177"/>
      <c r="J22" s="177"/>
      <c r="K22" s="177"/>
      <c r="W22" s="180" t="s">
        <v>472</v>
      </c>
    </row>
    <row r="23" spans="1:42" x14ac:dyDescent="1.2">
      <c r="B23" s="177"/>
      <c r="C23" s="194" t="s">
        <v>15</v>
      </c>
      <c r="D23" s="191">
        <f>D21+D22</f>
        <v>416682.97000000003</v>
      </c>
      <c r="E23" s="191">
        <f>E21+E22</f>
        <v>160016.22</v>
      </c>
      <c r="F23" s="195">
        <f>'CPP TITULAIRE-ST'!$D23+'CPP TITULAIRE-ST'!$E23</f>
        <v>576699.19000000006</v>
      </c>
      <c r="G23" s="177"/>
      <c r="H23" s="177"/>
      <c r="I23" s="177"/>
      <c r="J23" s="177"/>
      <c r="K23" s="177"/>
      <c r="W23" s="180">
        <f>SUMIF(Tableau4[type (titulaire / ST)],"Cotraitant_1_",Tableau4[montant HT2])*D10</f>
        <v>0</v>
      </c>
    </row>
    <row r="24" spans="1:42" x14ac:dyDescent="1.2">
      <c r="B24" s="177"/>
      <c r="C24" s="196" t="s">
        <v>16</v>
      </c>
      <c r="D24" s="197">
        <f>D23+E23</f>
        <v>576699.19000000006</v>
      </c>
      <c r="E24" s="198"/>
      <c r="F24" s="195">
        <f>'CPP TITULAIRE-ST'!$D24</f>
        <v>576699.19000000006</v>
      </c>
      <c r="G24" s="177"/>
      <c r="H24" s="177"/>
      <c r="I24" s="177"/>
      <c r="J24" s="177"/>
      <c r="K24" s="177"/>
      <c r="W24" s="180">
        <f>SUMIF(Tableau4[type (titulaire / ST)],"Cotraitant_1_",Tableau4[[ montant HT3]])*E10</f>
        <v>0</v>
      </c>
    </row>
    <row r="25" spans="1:42" x14ac:dyDescent="1.2">
      <c r="B25" s="177"/>
      <c r="C25" s="177"/>
      <c r="D25" s="177"/>
      <c r="E25" s="177"/>
      <c r="F25" s="177"/>
      <c r="G25" s="177"/>
      <c r="H25" s="177"/>
      <c r="I25" s="177"/>
      <c r="J25" s="177"/>
      <c r="K25" s="177"/>
    </row>
    <row r="26" spans="1:42" x14ac:dyDescent="1.2">
      <c r="B26" s="177"/>
      <c r="C26" s="548" t="s">
        <v>325</v>
      </c>
      <c r="D26" s="548"/>
      <c r="E26" s="548"/>
      <c r="F26" s="549"/>
      <c r="G26" s="549"/>
      <c r="H26" s="177"/>
      <c r="I26" s="526" t="s">
        <v>319</v>
      </c>
      <c r="J26" s="526"/>
      <c r="K26" s="177"/>
      <c r="L26" s="526" t="s">
        <v>428</v>
      </c>
      <c r="M26" s="526"/>
      <c r="P26" s="177" t="s">
        <v>468</v>
      </c>
      <c r="R26" s="177" t="s">
        <v>471</v>
      </c>
      <c r="AO26" s="526" t="s">
        <v>428</v>
      </c>
      <c r="AP26" s="526"/>
    </row>
    <row r="27" spans="1:42" x14ac:dyDescent="1.2">
      <c r="B27" s="177"/>
      <c r="C27" s="552"/>
      <c r="D27" s="553"/>
      <c r="E27" s="554"/>
      <c r="F27" s="199">
        <f>D10</f>
        <v>0.1</v>
      </c>
      <c r="G27" s="199">
        <f>E10</f>
        <v>0.2</v>
      </c>
      <c r="H27" s="177"/>
      <c r="I27" s="200">
        <f>D10</f>
        <v>0.1</v>
      </c>
      <c r="J27" s="200">
        <f>E10</f>
        <v>0.2</v>
      </c>
      <c r="K27" s="201"/>
      <c r="L27" s="200">
        <f>D10</f>
        <v>0.1</v>
      </c>
      <c r="M27" s="200">
        <f>E10</f>
        <v>0.2</v>
      </c>
      <c r="R27" s="177">
        <f>SUMIF(D29:D84,"ST TVA autoliquidée",P29:P84)</f>
        <v>0</v>
      </c>
      <c r="S27" s="177" t="s">
        <v>469</v>
      </c>
      <c r="AO27" s="200">
        <f>D10</f>
        <v>0.1</v>
      </c>
      <c r="AP27" s="200">
        <f>E10</f>
        <v>0.2</v>
      </c>
    </row>
    <row r="28" spans="1:42" x14ac:dyDescent="1.2">
      <c r="B28" s="202" t="s">
        <v>322</v>
      </c>
      <c r="C28" s="203" t="s">
        <v>315</v>
      </c>
      <c r="D28" s="203" t="s">
        <v>323</v>
      </c>
      <c r="E28" s="310" t="s">
        <v>52</v>
      </c>
      <c r="F28" s="203" t="s">
        <v>317</v>
      </c>
      <c r="G28" s="204" t="s">
        <v>318</v>
      </c>
      <c r="H28" s="205" t="s">
        <v>194</v>
      </c>
      <c r="I28" s="206" t="s">
        <v>320</v>
      </c>
      <c r="J28" s="203" t="s">
        <v>321</v>
      </c>
      <c r="K28" s="202" t="s">
        <v>337</v>
      </c>
      <c r="L28" s="206" t="s">
        <v>430</v>
      </c>
      <c r="M28" s="203" t="s">
        <v>431</v>
      </c>
      <c r="R28" s="177">
        <f>SUMIF(D85:D140,"ST TVA autoliquidée",P85:P140)</f>
        <v>0</v>
      </c>
      <c r="S28" s="177" t="s">
        <v>470</v>
      </c>
      <c r="AB28" s="535"/>
      <c r="AC28" s="535"/>
      <c r="AD28" s="535"/>
      <c r="AE28" s="535"/>
      <c r="AF28" s="535"/>
      <c r="AI28" s="452"/>
      <c r="AJ28" s="452"/>
      <c r="AO28" s="206" t="s">
        <v>430</v>
      </c>
      <c r="AP28" s="203" t="s">
        <v>431</v>
      </c>
    </row>
    <row r="29" spans="1:42" x14ac:dyDescent="1.2">
      <c r="A29" s="207"/>
      <c r="B29" s="208" t="str">
        <f>Tableau4[[#This Row],[Tranche]]&amp;" "&amp;Tableau4[[#This Row],[type (titulaire / ST)]]</f>
        <v>Tranche_FERME Titulaire_</v>
      </c>
      <c r="C29" s="209" t="str">
        <f>DONNEES!A224</f>
        <v>Tranche_FERME</v>
      </c>
      <c r="D29" s="210" t="str">
        <f>DONNEES!C224</f>
        <v>Titulaire_</v>
      </c>
      <c r="E29" s="311" t="str">
        <f>DONNEES!D224</f>
        <v>toto</v>
      </c>
      <c r="F29" s="211">
        <f>DONNEES!E224</f>
        <v>355062.7</v>
      </c>
      <c r="G29" s="211">
        <f>DONNEES!F224</f>
        <v>133346.85</v>
      </c>
      <c r="H29" s="211">
        <f>F29+G29</f>
        <v>488409.55000000005</v>
      </c>
      <c r="I29" s="212">
        <v>5000</v>
      </c>
      <c r="J29" s="212"/>
      <c r="K29" s="367"/>
      <c r="L29" s="214">
        <f>Tableau4[[#This Row],[montant HT2]]+AO29</f>
        <v>68726.2</v>
      </c>
      <c r="M29" s="214">
        <f>Tableau4[[#This Row],[ montant HT3]]+AP29</f>
        <v>14250</v>
      </c>
      <c r="P29" s="215">
        <f>(Tableau4[[#This Row],[montant HT2]]*$D$10)+(Tableau4[[#This Row],[ montant HT3]]*$E$10)</f>
        <v>500</v>
      </c>
      <c r="W29" s="180">
        <f>SUMIF(D30:D71,"ST TVA autoliquidée",H30:H71)</f>
        <v>0</v>
      </c>
      <c r="AI29" s="399"/>
      <c r="AJ29" s="399"/>
      <c r="AO29" s="214">
        <v>63726.2</v>
      </c>
      <c r="AP29" s="214">
        <v>14250</v>
      </c>
    </row>
    <row r="30" spans="1:42" hidden="1" x14ac:dyDescent="1.2">
      <c r="A30" s="207"/>
      <c r="B30" s="368" t="str">
        <f>Tableau4[[#This Row],[Tranche]]&amp;" "&amp;Tableau4[[#This Row],[type (titulaire / ST)]]</f>
        <v>Tranche_FERME 0</v>
      </c>
      <c r="C30" s="209" t="str">
        <f>DONNEES!A225</f>
        <v>Tranche_FERME</v>
      </c>
      <c r="D30" s="210">
        <f>DONNEES!C225</f>
        <v>0</v>
      </c>
      <c r="E30" s="311">
        <f>DONNEES!D225</f>
        <v>0</v>
      </c>
      <c r="F30" s="211">
        <f>DONNEES!E225</f>
        <v>0</v>
      </c>
      <c r="G30" s="211">
        <f>DONNEES!F225</f>
        <v>0</v>
      </c>
      <c r="H30" s="211">
        <f t="shared" ref="H30:H78" si="1">F30+G30</f>
        <v>0</v>
      </c>
      <c r="I30" s="212"/>
      <c r="J30" s="212"/>
      <c r="K30" s="367"/>
      <c r="L30" s="214">
        <f>Tableau4[[#This Row],[montant HT2]]+AO30</f>
        <v>0</v>
      </c>
      <c r="M30" s="214">
        <f>Tableau4[[#This Row],[ montant HT3]]+AP30</f>
        <v>0</v>
      </c>
      <c r="P30" s="215">
        <f>(Tableau4[[#This Row],[montant HT2]]*$D$10)+(Tableau4[[#This Row],[ montant HT3]]*$E$10)</f>
        <v>0</v>
      </c>
      <c r="W30" s="180">
        <f>SUMIF(D30:D72,"ST TVA non-autoliquidée",H30:H72)</f>
        <v>0</v>
      </c>
      <c r="AI30" s="399"/>
      <c r="AJ30" s="399"/>
      <c r="AO30" s="214">
        <v>0</v>
      </c>
      <c r="AP30" s="214">
        <v>0</v>
      </c>
    </row>
    <row r="31" spans="1:42" hidden="1" x14ac:dyDescent="1.2">
      <c r="A31" s="207"/>
      <c r="B31" s="208" t="str">
        <f>Tableau4[[#This Row],[Tranche]]&amp;" "&amp;Tableau4[[#This Row],[type (titulaire / ST)]]</f>
        <v>Tranche_FERME 0</v>
      </c>
      <c r="C31" s="209" t="str">
        <f>DONNEES!A226</f>
        <v>Tranche_FERME</v>
      </c>
      <c r="D31" s="210">
        <f>DONNEES!C226</f>
        <v>0</v>
      </c>
      <c r="E31" s="311">
        <f>DONNEES!D226</f>
        <v>0</v>
      </c>
      <c r="F31" s="211">
        <f>DONNEES!E226</f>
        <v>0</v>
      </c>
      <c r="G31" s="211">
        <f>DONNEES!F226</f>
        <v>0</v>
      </c>
      <c r="H31" s="211">
        <f t="shared" si="1"/>
        <v>0</v>
      </c>
      <c r="I31" s="212"/>
      <c r="J31" s="212"/>
      <c r="K31" s="367"/>
      <c r="L31" s="214">
        <f>Tableau4[[#This Row],[montant HT2]]+AO31</f>
        <v>0</v>
      </c>
      <c r="M31" s="214">
        <f>Tableau4[[#This Row],[ montant HT3]]+AP31</f>
        <v>0</v>
      </c>
      <c r="P31" s="215">
        <f>(Tableau4[[#This Row],[montant HT2]]*$D$10)+(Tableau4[[#This Row],[ montant HT3]]*$E$10)</f>
        <v>0</v>
      </c>
      <c r="W31" s="180">
        <f>W29+W30</f>
        <v>0</v>
      </c>
      <c r="AO31" s="214">
        <v>0</v>
      </c>
      <c r="AP31" s="214">
        <v>0</v>
      </c>
    </row>
    <row r="32" spans="1:42" hidden="1" x14ac:dyDescent="1.2">
      <c r="A32" s="207"/>
      <c r="B32" s="208" t="str">
        <f>Tableau4[[#This Row],[Tranche]]&amp;" "&amp;Tableau4[[#This Row],[type (titulaire / ST)]]</f>
        <v>Tranche_FERME 0</v>
      </c>
      <c r="C32" s="209" t="str">
        <f>DONNEES!A227</f>
        <v>Tranche_FERME</v>
      </c>
      <c r="D32" s="210">
        <f>DONNEES!C227</f>
        <v>0</v>
      </c>
      <c r="E32" s="311">
        <f>DONNEES!D227</f>
        <v>0</v>
      </c>
      <c r="F32" s="211">
        <f>DONNEES!E227</f>
        <v>0</v>
      </c>
      <c r="G32" s="211">
        <f>DONNEES!F227</f>
        <v>0</v>
      </c>
      <c r="H32" s="211">
        <f t="shared" si="1"/>
        <v>0</v>
      </c>
      <c r="I32" s="212"/>
      <c r="J32" s="212"/>
      <c r="K32" s="367">
        <v>0</v>
      </c>
      <c r="L32" s="214">
        <f>Tableau4[[#This Row],[montant HT2]]+AO32</f>
        <v>0</v>
      </c>
      <c r="M32" s="214">
        <f>Tableau4[[#This Row],[ montant HT3]]+AP32</f>
        <v>0</v>
      </c>
      <c r="P32" s="215">
        <f>(Tableau4[[#This Row],[montant HT2]]*$D$10)+(Tableau4[[#This Row],[ montant HT3]]*$E$10)</f>
        <v>0</v>
      </c>
      <c r="AI32" s="399"/>
      <c r="AJ32" s="399"/>
      <c r="AO32" s="214">
        <v>0</v>
      </c>
      <c r="AP32" s="214">
        <v>0</v>
      </c>
    </row>
    <row r="33" spans="1:42" hidden="1" x14ac:dyDescent="1.2">
      <c r="A33" s="207"/>
      <c r="B33" s="208" t="str">
        <f>Tableau4[[#This Row],[Tranche]]&amp;" "&amp;Tableau4[[#This Row],[type (titulaire / ST)]]</f>
        <v>Tranche_FERME 0</v>
      </c>
      <c r="C33" s="209" t="str">
        <f>DONNEES!A228</f>
        <v>Tranche_FERME</v>
      </c>
      <c r="D33" s="210">
        <f>DONNEES!C228</f>
        <v>0</v>
      </c>
      <c r="E33" s="311">
        <f>DONNEES!D228</f>
        <v>0</v>
      </c>
      <c r="F33" s="211">
        <f>DONNEES!E228</f>
        <v>0</v>
      </c>
      <c r="G33" s="211">
        <f>DONNEES!F228</f>
        <v>0</v>
      </c>
      <c r="H33" s="211">
        <f t="shared" si="1"/>
        <v>0</v>
      </c>
      <c r="I33" s="212"/>
      <c r="J33" s="212"/>
      <c r="K33" s="367">
        <v>0</v>
      </c>
      <c r="L33" s="214">
        <f>Tableau4[[#This Row],[montant HT2]]+AO33</f>
        <v>0</v>
      </c>
      <c r="M33" s="214">
        <f>Tableau4[[#This Row],[ montant HT3]]+AP33</f>
        <v>0</v>
      </c>
      <c r="P33" s="215">
        <f>(Tableau4[[#This Row],[montant HT2]]*$D$10)+(Tableau4[[#This Row],[ montant HT3]]*$E$10)</f>
        <v>0</v>
      </c>
      <c r="AI33" s="399"/>
      <c r="AJ33" s="399"/>
      <c r="AO33" s="214">
        <v>0</v>
      </c>
      <c r="AP33" s="214">
        <v>0</v>
      </c>
    </row>
    <row r="34" spans="1:42" hidden="1" x14ac:dyDescent="1.2">
      <c r="A34" s="207"/>
      <c r="B34" s="208" t="str">
        <f>Tableau4[[#This Row],[Tranche]]&amp;" "&amp;Tableau4[[#This Row],[type (titulaire / ST)]]</f>
        <v>Tranche_FERME 0</v>
      </c>
      <c r="C34" s="209" t="str">
        <f>DONNEES!A229</f>
        <v>Tranche_FERME</v>
      </c>
      <c r="D34" s="210">
        <f>DONNEES!C229</f>
        <v>0</v>
      </c>
      <c r="E34" s="311">
        <f>DONNEES!D229</f>
        <v>0</v>
      </c>
      <c r="F34" s="211">
        <f>DONNEES!E229</f>
        <v>0</v>
      </c>
      <c r="G34" s="211">
        <f>DONNEES!F229</f>
        <v>0</v>
      </c>
      <c r="H34" s="211">
        <f t="shared" si="1"/>
        <v>0</v>
      </c>
      <c r="I34" s="212"/>
      <c r="J34" s="212"/>
      <c r="K34" s="367">
        <v>0</v>
      </c>
      <c r="L34" s="214">
        <f>Tableau4[[#This Row],[montant HT2]]+AO34</f>
        <v>0</v>
      </c>
      <c r="M34" s="214">
        <f>Tableau4[[#This Row],[ montant HT3]]+AP34</f>
        <v>0</v>
      </c>
      <c r="P34" s="215">
        <f>(Tableau4[[#This Row],[montant HT2]]*$D$10)+(Tableau4[[#This Row],[ montant HT3]]*$E$10)</f>
        <v>0</v>
      </c>
      <c r="W34" s="180" t="s">
        <v>427</v>
      </c>
      <c r="AO34" s="214">
        <v>0</v>
      </c>
      <c r="AP34" s="214">
        <v>0</v>
      </c>
    </row>
    <row r="35" spans="1:42" hidden="1" x14ac:dyDescent="1.2">
      <c r="A35" s="207"/>
      <c r="B35" s="208" t="str">
        <f>Tableau4[[#This Row],[Tranche]]&amp;" "&amp;Tableau4[[#This Row],[type (titulaire / ST)]]</f>
        <v>Tranche_FERME 0</v>
      </c>
      <c r="C35" s="209" t="str">
        <f>DONNEES!A230</f>
        <v>Tranche_FERME</v>
      </c>
      <c r="D35" s="210">
        <f>DONNEES!C230</f>
        <v>0</v>
      </c>
      <c r="E35" s="311">
        <f>DONNEES!D230</f>
        <v>0</v>
      </c>
      <c r="F35" s="211">
        <f>DONNEES!E230</f>
        <v>0</v>
      </c>
      <c r="G35" s="211">
        <f>DONNEES!F230</f>
        <v>0</v>
      </c>
      <c r="H35" s="211">
        <f t="shared" si="1"/>
        <v>0</v>
      </c>
      <c r="I35" s="212"/>
      <c r="J35" s="212"/>
      <c r="K35" s="367">
        <v>0</v>
      </c>
      <c r="L35" s="214">
        <f>Tableau4[[#This Row],[montant HT2]]+AO35</f>
        <v>0</v>
      </c>
      <c r="M35" s="214">
        <f>Tableau4[[#This Row],[ montant HT3]]+AP35</f>
        <v>0</v>
      </c>
      <c r="P35" s="215">
        <f>(Tableau4[[#This Row],[montant HT2]]*$D$10)+(Tableau4[[#This Row],[ montant HT3]]*$E$10)</f>
        <v>0</v>
      </c>
      <c r="W35" s="180">
        <f>SUMIF(Tableau4[type (titulaire / ST)],"ST TVA*",Tableau4[montant HT2])</f>
        <v>0</v>
      </c>
      <c r="Y35" s="177" t="s">
        <v>489</v>
      </c>
      <c r="AO35" s="214">
        <v>0</v>
      </c>
      <c r="AP35" s="214">
        <v>0</v>
      </c>
    </row>
    <row r="36" spans="1:42" hidden="1" x14ac:dyDescent="1.2">
      <c r="A36" s="207"/>
      <c r="B36" s="208" t="str">
        <f>Tableau4[[#This Row],[Tranche]]&amp;" "&amp;Tableau4[[#This Row],[type (titulaire / ST)]]</f>
        <v>Tranche_OPTIONNELLE_1 Titulaire_</v>
      </c>
      <c r="C36" s="209" t="str">
        <f>DONNEES!A231</f>
        <v>Tranche_OPTIONNELLE_1</v>
      </c>
      <c r="D36" s="210" t="str">
        <f>DONNEES!C231</f>
        <v>Titulaire_</v>
      </c>
      <c r="E36" s="311" t="str">
        <f>DONNEES!D231</f>
        <v>toto</v>
      </c>
      <c r="F36" s="211">
        <f>DONNEES!E231</f>
        <v>0</v>
      </c>
      <c r="G36" s="211">
        <f>DONNEES!F231</f>
        <v>0</v>
      </c>
      <c r="H36" s="211">
        <f t="shared" si="1"/>
        <v>0</v>
      </c>
      <c r="I36" s="212"/>
      <c r="J36" s="212"/>
      <c r="K36" s="367">
        <v>500</v>
      </c>
      <c r="L36" s="214">
        <f>Tableau4[[#This Row],[montant HT2]]+AO36</f>
        <v>0</v>
      </c>
      <c r="M36" s="214">
        <f>Tableau4[[#This Row],[ montant HT3]]+AP36</f>
        <v>0</v>
      </c>
      <c r="P36" s="215">
        <f>(Tableau4[[#This Row],[montant HT2]]*$D$10)+(Tableau4[[#This Row],[ montant HT3]]*$E$10)</f>
        <v>0</v>
      </c>
      <c r="W36" s="180">
        <f>SUMIF(Tableau4[type (titulaire / ST)],"ST TVA*",Tableau4[[ montant HT3]])</f>
        <v>0</v>
      </c>
      <c r="Y36" s="177" t="s">
        <v>490</v>
      </c>
      <c r="AO36" s="214">
        <v>0</v>
      </c>
      <c r="AP36" s="214">
        <v>0</v>
      </c>
    </row>
    <row r="37" spans="1:42" hidden="1" x14ac:dyDescent="1.2">
      <c r="A37" s="207"/>
      <c r="B37" s="208" t="str">
        <f>Tableau4[[#This Row],[Tranche]]&amp;" "&amp;Tableau4[[#This Row],[type (titulaire / ST)]]</f>
        <v>Tranche_OPTIONNELLE_1 0</v>
      </c>
      <c r="C37" s="209" t="str">
        <f>DONNEES!A232</f>
        <v>Tranche_OPTIONNELLE_1</v>
      </c>
      <c r="D37" s="210">
        <f>DONNEES!C232</f>
        <v>0</v>
      </c>
      <c r="E37" s="311">
        <f>DONNEES!D232</f>
        <v>0</v>
      </c>
      <c r="F37" s="211">
        <f>DONNEES!E232</f>
        <v>0</v>
      </c>
      <c r="G37" s="211">
        <f>DONNEES!F232</f>
        <v>0</v>
      </c>
      <c r="H37" s="211">
        <f t="shared" si="1"/>
        <v>0</v>
      </c>
      <c r="I37" s="212"/>
      <c r="J37" s="212"/>
      <c r="K37" s="213"/>
      <c r="L37" s="214">
        <f>Tableau4[[#This Row],[montant HT2]]+AO37</f>
        <v>0</v>
      </c>
      <c r="M37" s="214">
        <f>Tableau4[[#This Row],[ montant HT3]]+AP37</f>
        <v>0</v>
      </c>
      <c r="P37" s="215">
        <f>(Tableau4[[#This Row],[montant HT2]]*$D$10)+(Tableau4[[#This Row],[ montant HT3]]*$E$10)</f>
        <v>0</v>
      </c>
      <c r="AO37" s="214">
        <v>0</v>
      </c>
      <c r="AP37" s="214">
        <v>0</v>
      </c>
    </row>
    <row r="38" spans="1:42" hidden="1" x14ac:dyDescent="1.2">
      <c r="A38" s="207"/>
      <c r="B38" s="208" t="str">
        <f>Tableau4[[#This Row],[Tranche]]&amp;" "&amp;Tableau4[[#This Row],[type (titulaire / ST)]]</f>
        <v>Tranche_OPTIONNELLE_1 0</v>
      </c>
      <c r="C38" s="209" t="str">
        <f>DONNEES!A233</f>
        <v>Tranche_OPTIONNELLE_1</v>
      </c>
      <c r="D38" s="210">
        <f>DONNEES!C233</f>
        <v>0</v>
      </c>
      <c r="E38" s="311">
        <f>DONNEES!D233</f>
        <v>0</v>
      </c>
      <c r="F38" s="211">
        <f>DONNEES!E233</f>
        <v>0</v>
      </c>
      <c r="G38" s="211">
        <f>DONNEES!F233</f>
        <v>0</v>
      </c>
      <c r="H38" s="211">
        <f t="shared" si="1"/>
        <v>0</v>
      </c>
      <c r="I38" s="212"/>
      <c r="J38" s="212"/>
      <c r="K38" s="213"/>
      <c r="L38" s="214">
        <f>Tableau4[[#This Row],[montant HT2]]+AO38</f>
        <v>0</v>
      </c>
      <c r="M38" s="214">
        <f>Tableau4[[#This Row],[ montant HT3]]+AP38</f>
        <v>0</v>
      </c>
      <c r="P38" s="215">
        <f>(Tableau4[[#This Row],[montant HT2]]*$D$10)+(Tableau4[[#This Row],[ montant HT3]]*$E$10)</f>
        <v>0</v>
      </c>
      <c r="W38" s="180" t="s">
        <v>429</v>
      </c>
      <c r="AO38" s="214">
        <v>0</v>
      </c>
      <c r="AP38" s="214">
        <v>0</v>
      </c>
    </row>
    <row r="39" spans="1:42" hidden="1" x14ac:dyDescent="1.2">
      <c r="A39" s="207"/>
      <c r="B39" s="208" t="str">
        <f>Tableau4[[#This Row],[Tranche]]&amp;" "&amp;Tableau4[[#This Row],[type (titulaire / ST)]]</f>
        <v>Tranche_OPTIONNELLE_1 0</v>
      </c>
      <c r="C39" s="209" t="str">
        <f>DONNEES!A234</f>
        <v>Tranche_OPTIONNELLE_1</v>
      </c>
      <c r="D39" s="210">
        <f>DONNEES!C234</f>
        <v>0</v>
      </c>
      <c r="E39" s="311">
        <f>DONNEES!D234</f>
        <v>0</v>
      </c>
      <c r="F39" s="211">
        <f>DONNEES!E234</f>
        <v>0</v>
      </c>
      <c r="G39" s="211">
        <f>DONNEES!F234</f>
        <v>0</v>
      </c>
      <c r="H39" s="211">
        <f t="shared" si="1"/>
        <v>0</v>
      </c>
      <c r="I39" s="212"/>
      <c r="J39" s="212"/>
      <c r="K39" s="213"/>
      <c r="L39" s="214">
        <f>Tableau4[[#This Row],[montant HT2]]+AO39</f>
        <v>0</v>
      </c>
      <c r="M39" s="214">
        <f>Tableau4[[#This Row],[ montant HT3]]+AP39</f>
        <v>0</v>
      </c>
      <c r="P39" s="215">
        <f>(Tableau4[[#This Row],[montant HT2]]*$D$10)+(Tableau4[[#This Row],[ montant HT3]]*$E$10)</f>
        <v>0</v>
      </c>
      <c r="W39" s="180">
        <f>SUMIF(Tableau4[type (titulaire / ST)],"ST TVA*",L29:L140)</f>
        <v>0</v>
      </c>
      <c r="Y39" s="177" t="s">
        <v>489</v>
      </c>
      <c r="AO39" s="214">
        <v>0</v>
      </c>
      <c r="AP39" s="214">
        <v>0</v>
      </c>
    </row>
    <row r="40" spans="1:42" hidden="1" x14ac:dyDescent="1.2">
      <c r="A40" s="207"/>
      <c r="B40" s="208" t="str">
        <f>Tableau4[[#This Row],[Tranche]]&amp;" "&amp;Tableau4[[#This Row],[type (titulaire / ST)]]</f>
        <v>Tranche_OPTIONNELLE_1 0</v>
      </c>
      <c r="C40" s="209" t="str">
        <f>DONNEES!A235</f>
        <v>Tranche_OPTIONNELLE_1</v>
      </c>
      <c r="D40" s="210">
        <f>DONNEES!C235</f>
        <v>0</v>
      </c>
      <c r="E40" s="311">
        <f>DONNEES!D235</f>
        <v>0</v>
      </c>
      <c r="F40" s="211">
        <f>DONNEES!E235</f>
        <v>0</v>
      </c>
      <c r="G40" s="211">
        <f>DONNEES!F235</f>
        <v>0</v>
      </c>
      <c r="H40" s="211">
        <f t="shared" si="1"/>
        <v>0</v>
      </c>
      <c r="I40" s="212"/>
      <c r="J40" s="212"/>
      <c r="K40" s="213"/>
      <c r="L40" s="214">
        <f>Tableau4[[#This Row],[montant HT2]]+AO40</f>
        <v>0</v>
      </c>
      <c r="M40" s="214">
        <f>Tableau4[[#This Row],[ montant HT3]]+AP40</f>
        <v>0</v>
      </c>
      <c r="P40" s="215">
        <f>(Tableau4[[#This Row],[montant HT2]]*$D$10)+(Tableau4[[#This Row],[ montant HT3]]*$E$10)</f>
        <v>0</v>
      </c>
      <c r="W40" s="180">
        <f>SUMIF(Tableau4[type (titulaire / ST)],"ST TVA*",M29:M140)</f>
        <v>0</v>
      </c>
      <c r="Y40" s="177" t="s">
        <v>490</v>
      </c>
      <c r="AO40" s="214">
        <v>0</v>
      </c>
      <c r="AP40" s="214">
        <v>0</v>
      </c>
    </row>
    <row r="41" spans="1:42" hidden="1" x14ac:dyDescent="1.2">
      <c r="A41" s="207"/>
      <c r="B41" s="208" t="str">
        <f>Tableau4[[#This Row],[Tranche]]&amp;" "&amp;Tableau4[[#This Row],[type (titulaire / ST)]]</f>
        <v>Tranche_OPTIONNELLE_1 0</v>
      </c>
      <c r="C41" s="209" t="str">
        <f>DONNEES!A236</f>
        <v>Tranche_OPTIONNELLE_1</v>
      </c>
      <c r="D41" s="210">
        <f>DONNEES!C236</f>
        <v>0</v>
      </c>
      <c r="E41" s="311">
        <f>DONNEES!D236</f>
        <v>0</v>
      </c>
      <c r="F41" s="211">
        <f>DONNEES!E236</f>
        <v>0</v>
      </c>
      <c r="G41" s="211">
        <f>DONNEES!F236</f>
        <v>0</v>
      </c>
      <c r="H41" s="211">
        <f t="shared" si="1"/>
        <v>0</v>
      </c>
      <c r="I41" s="212"/>
      <c r="J41" s="212"/>
      <c r="K41" s="213"/>
      <c r="L41" s="214">
        <f>Tableau4[[#This Row],[montant HT2]]+AO41</f>
        <v>0</v>
      </c>
      <c r="M41" s="214">
        <f>Tableau4[[#This Row],[ montant HT3]]+AP41</f>
        <v>0</v>
      </c>
      <c r="P41" s="215">
        <f>(Tableau4[[#This Row],[montant HT2]]*$D$10)+(Tableau4[[#This Row],[ montant HT3]]*$E$10)</f>
        <v>0</v>
      </c>
      <c r="AO41" s="214">
        <v>0</v>
      </c>
      <c r="AP41" s="214">
        <v>0</v>
      </c>
    </row>
    <row r="42" spans="1:42" hidden="1" x14ac:dyDescent="1.2">
      <c r="A42" s="207"/>
      <c r="B42" s="208" t="str">
        <f>Tableau4[[#This Row],[Tranche]]&amp;" "&amp;Tableau4[[#This Row],[type (titulaire / ST)]]</f>
        <v>Tranche_OPTIONNELLE_1 0</v>
      </c>
      <c r="C42" s="209" t="str">
        <f>DONNEES!A237</f>
        <v>Tranche_OPTIONNELLE_1</v>
      </c>
      <c r="D42" s="210">
        <f>DONNEES!C237</f>
        <v>0</v>
      </c>
      <c r="E42" s="311">
        <f>DONNEES!D237</f>
        <v>0</v>
      </c>
      <c r="F42" s="211">
        <f>DONNEES!E237</f>
        <v>0</v>
      </c>
      <c r="G42" s="211">
        <f>DONNEES!F237</f>
        <v>0</v>
      </c>
      <c r="H42" s="211">
        <f t="shared" si="1"/>
        <v>0</v>
      </c>
      <c r="I42" s="212"/>
      <c r="J42" s="212"/>
      <c r="K42" s="213"/>
      <c r="L42" s="214">
        <f>Tableau4[[#This Row],[montant HT2]]+AO42</f>
        <v>0</v>
      </c>
      <c r="M42" s="214">
        <f>Tableau4[[#This Row],[ montant HT3]]+AP42</f>
        <v>0</v>
      </c>
      <c r="P42" s="215">
        <f>(Tableau4[[#This Row],[montant HT2]]*$D$10)+(Tableau4[[#This Row],[ montant HT3]]*$E$10)</f>
        <v>0</v>
      </c>
      <c r="W42" s="180" t="s">
        <v>613</v>
      </c>
      <c r="AI42" s="179" t="s">
        <v>612</v>
      </c>
      <c r="AJ42" s="179"/>
      <c r="AO42" s="214">
        <v>0</v>
      </c>
      <c r="AP42" s="214">
        <v>0</v>
      </c>
    </row>
    <row r="43" spans="1:42" hidden="1" x14ac:dyDescent="1.2">
      <c r="A43" s="207"/>
      <c r="B43" s="208" t="str">
        <f>Tableau4[[#This Row],[Tranche]]&amp;" "&amp;Tableau4[[#This Row],[type (titulaire / ST)]]</f>
        <v>Tranche_OPTIONNELLE_2 Titulaire_</v>
      </c>
      <c r="C43" s="209" t="str">
        <f>DONNEES!A238</f>
        <v>Tranche_OPTIONNELLE_2</v>
      </c>
      <c r="D43" s="210" t="str">
        <f>DONNEES!C238</f>
        <v>Titulaire_</v>
      </c>
      <c r="E43" s="311" t="str">
        <f>DONNEES!D238</f>
        <v>toto</v>
      </c>
      <c r="F43" s="211">
        <f>DONNEES!E238</f>
        <v>0</v>
      </c>
      <c r="G43" s="211">
        <f>DONNEES!F238</f>
        <v>0</v>
      </c>
      <c r="H43" s="211">
        <f t="shared" si="1"/>
        <v>0</v>
      </c>
      <c r="I43" s="212"/>
      <c r="J43" s="212"/>
      <c r="K43" s="213"/>
      <c r="L43" s="214">
        <f>Tableau4[[#This Row],[montant HT2]]+AO43</f>
        <v>0</v>
      </c>
      <c r="M43" s="214">
        <f>Tableau4[[#This Row],[ montant HT3]]+AP43</f>
        <v>0</v>
      </c>
      <c r="P43" s="215">
        <f>(Tableau4[[#This Row],[montant HT2]]*$D$10)+(Tableau4[[#This Row],[ montant HT3]]*$E$10)</f>
        <v>0</v>
      </c>
      <c r="W43" s="180">
        <f>SUMIF(D29:D84,"ST TVA*",I29:I85)</f>
        <v>0</v>
      </c>
      <c r="Y43" s="177" t="s">
        <v>489</v>
      </c>
      <c r="AI43" s="536">
        <f>SUMIF(D29:D84,"ST TVA*",L29:L85)</f>
        <v>0</v>
      </c>
      <c r="AJ43" s="537"/>
      <c r="AO43" s="214">
        <v>0</v>
      </c>
      <c r="AP43" s="214">
        <v>0</v>
      </c>
    </row>
    <row r="44" spans="1:42" hidden="1" x14ac:dyDescent="1.2">
      <c r="A44" s="207"/>
      <c r="B44" s="208" t="str">
        <f>Tableau4[[#This Row],[Tranche]]&amp;" "&amp;Tableau4[[#This Row],[type (titulaire / ST)]]</f>
        <v>Tranche_OPTIONNELLE_2 0</v>
      </c>
      <c r="C44" s="209" t="str">
        <f>DONNEES!A239</f>
        <v>Tranche_OPTIONNELLE_2</v>
      </c>
      <c r="D44" s="210">
        <f>DONNEES!C239</f>
        <v>0</v>
      </c>
      <c r="E44" s="311">
        <f>DONNEES!D239</f>
        <v>0</v>
      </c>
      <c r="F44" s="211">
        <f>DONNEES!E239</f>
        <v>0</v>
      </c>
      <c r="G44" s="211">
        <f>DONNEES!F239</f>
        <v>0</v>
      </c>
      <c r="H44" s="211">
        <f t="shared" si="1"/>
        <v>0</v>
      </c>
      <c r="I44" s="212"/>
      <c r="J44" s="212"/>
      <c r="K44" s="213"/>
      <c r="L44" s="214">
        <f>Tableau4[[#This Row],[montant HT2]]+AO44</f>
        <v>0</v>
      </c>
      <c r="M44" s="214">
        <f>Tableau4[[#This Row],[ montant HT3]]+AP44</f>
        <v>0</v>
      </c>
      <c r="P44" s="215">
        <f>(Tableau4[[#This Row],[montant HT2]]*$D$10)+(Tableau4[[#This Row],[ montant HT3]]*$E$10)</f>
        <v>0</v>
      </c>
      <c r="W44" s="180">
        <f>SUMIF(D29:D84,"ST TVA*",J29:J85)</f>
        <v>0</v>
      </c>
      <c r="Y44" s="177" t="s">
        <v>490</v>
      </c>
      <c r="AI44" s="536">
        <f>SUMIF(D29:D84,"ST TVA*",M29:M85)</f>
        <v>0</v>
      </c>
      <c r="AJ44" s="537"/>
      <c r="AO44" s="214">
        <v>0</v>
      </c>
      <c r="AP44" s="214">
        <v>0</v>
      </c>
    </row>
    <row r="45" spans="1:42" hidden="1" x14ac:dyDescent="1.2">
      <c r="A45" s="207"/>
      <c r="B45" s="208" t="str">
        <f>Tableau4[[#This Row],[Tranche]]&amp;" "&amp;Tableau4[[#This Row],[type (titulaire / ST)]]</f>
        <v>Tranche_OPTIONNELLE_2 0</v>
      </c>
      <c r="C45" s="209" t="str">
        <f>DONNEES!A240</f>
        <v>Tranche_OPTIONNELLE_2</v>
      </c>
      <c r="D45" s="210">
        <f>DONNEES!C240</f>
        <v>0</v>
      </c>
      <c r="E45" s="311">
        <f>DONNEES!D240</f>
        <v>0</v>
      </c>
      <c r="F45" s="211">
        <f>DONNEES!E240</f>
        <v>0</v>
      </c>
      <c r="G45" s="211">
        <f>DONNEES!F240</f>
        <v>0</v>
      </c>
      <c r="H45" s="211">
        <f t="shared" si="1"/>
        <v>0</v>
      </c>
      <c r="I45" s="212"/>
      <c r="J45" s="212"/>
      <c r="K45" s="213"/>
      <c r="L45" s="214">
        <f>Tableau4[[#This Row],[montant HT2]]+AO45</f>
        <v>0</v>
      </c>
      <c r="M45" s="214">
        <f>Tableau4[[#This Row],[ montant HT3]]+AP45</f>
        <v>0</v>
      </c>
      <c r="P45" s="215">
        <f>(Tableau4[[#This Row],[montant HT2]]*$D$10)+(Tableau4[[#This Row],[ montant HT3]]*$E$10)</f>
        <v>0</v>
      </c>
      <c r="AO45" s="214">
        <v>0</v>
      </c>
      <c r="AP45" s="214">
        <v>0</v>
      </c>
    </row>
    <row r="46" spans="1:42" hidden="1" x14ac:dyDescent="1.2">
      <c r="A46" s="207"/>
      <c r="B46" s="208" t="str">
        <f>Tableau4[[#This Row],[Tranche]]&amp;" "&amp;Tableau4[[#This Row],[type (titulaire / ST)]]</f>
        <v>Tranche_OPTIONNELLE_2 0</v>
      </c>
      <c r="C46" s="209" t="str">
        <f>DONNEES!A241</f>
        <v>Tranche_OPTIONNELLE_2</v>
      </c>
      <c r="D46" s="210">
        <f>DONNEES!C241</f>
        <v>0</v>
      </c>
      <c r="E46" s="311">
        <f>DONNEES!D241</f>
        <v>0</v>
      </c>
      <c r="F46" s="211">
        <f>DONNEES!E241</f>
        <v>0</v>
      </c>
      <c r="G46" s="211">
        <f>DONNEES!F241</f>
        <v>0</v>
      </c>
      <c r="H46" s="211">
        <f t="shared" si="1"/>
        <v>0</v>
      </c>
      <c r="I46" s="212"/>
      <c r="J46" s="212"/>
      <c r="K46" s="213"/>
      <c r="L46" s="214">
        <f>Tableau4[[#This Row],[montant HT2]]+AO46</f>
        <v>0</v>
      </c>
      <c r="M46" s="214">
        <f>Tableau4[[#This Row],[ montant HT3]]+AP46</f>
        <v>0</v>
      </c>
      <c r="P46" s="215">
        <f>(Tableau4[[#This Row],[montant HT2]]*$D$10)+(Tableau4[[#This Row],[ montant HT3]]*$E$10)</f>
        <v>0</v>
      </c>
      <c r="W46" s="180" t="s">
        <v>614</v>
      </c>
      <c r="AI46" s="179" t="s">
        <v>612</v>
      </c>
      <c r="AJ46" s="179"/>
      <c r="AO46" s="214">
        <v>0</v>
      </c>
      <c r="AP46" s="214">
        <v>0</v>
      </c>
    </row>
    <row r="47" spans="1:42" hidden="1" x14ac:dyDescent="1.2">
      <c r="A47" s="207"/>
      <c r="B47" s="208" t="str">
        <f>Tableau4[[#This Row],[Tranche]]&amp;" "&amp;Tableau4[[#This Row],[type (titulaire / ST)]]</f>
        <v>Tranche_OPTIONNELLE_2 0</v>
      </c>
      <c r="C47" s="209" t="str">
        <f>DONNEES!A242</f>
        <v>Tranche_OPTIONNELLE_2</v>
      </c>
      <c r="D47" s="210">
        <f>DONNEES!C242</f>
        <v>0</v>
      </c>
      <c r="E47" s="311">
        <f>DONNEES!D242</f>
        <v>0</v>
      </c>
      <c r="F47" s="211">
        <f>DONNEES!E242</f>
        <v>0</v>
      </c>
      <c r="G47" s="211">
        <f>DONNEES!F242</f>
        <v>0</v>
      </c>
      <c r="H47" s="211">
        <f t="shared" si="1"/>
        <v>0</v>
      </c>
      <c r="I47" s="212"/>
      <c r="J47" s="212"/>
      <c r="K47" s="213"/>
      <c r="L47" s="214">
        <f>Tableau4[[#This Row],[montant HT2]]+AO47</f>
        <v>0</v>
      </c>
      <c r="M47" s="214">
        <f>Tableau4[[#This Row],[ montant HT3]]+AP47</f>
        <v>0</v>
      </c>
      <c r="P47" s="215">
        <f>(Tableau4[[#This Row],[montant HT2]]*$D$10)+(Tableau4[[#This Row],[ montant HT3]]*$E$10)</f>
        <v>0</v>
      </c>
      <c r="W47" s="180">
        <f>SUMIF(D85:D140,"ST TVA*",I85:I140)</f>
        <v>0</v>
      </c>
      <c r="Y47" s="177" t="s">
        <v>489</v>
      </c>
      <c r="AI47" s="536">
        <f>SUMIF(D85:D140,"ST TVA*",L85:L140)</f>
        <v>0</v>
      </c>
      <c r="AJ47" s="537"/>
      <c r="AO47" s="214">
        <v>0</v>
      </c>
      <c r="AP47" s="214">
        <v>0</v>
      </c>
    </row>
    <row r="48" spans="1:42" hidden="1" x14ac:dyDescent="1.2">
      <c r="A48" s="207"/>
      <c r="B48" s="208" t="str">
        <f>Tableau4[[#This Row],[Tranche]]&amp;" "&amp;Tableau4[[#This Row],[type (titulaire / ST)]]</f>
        <v>Tranche_OPTIONNELLE_2 0</v>
      </c>
      <c r="C48" s="209" t="str">
        <f>DONNEES!A243</f>
        <v>Tranche_OPTIONNELLE_2</v>
      </c>
      <c r="D48" s="210">
        <f>DONNEES!C243</f>
        <v>0</v>
      </c>
      <c r="E48" s="311">
        <f>DONNEES!D243</f>
        <v>0</v>
      </c>
      <c r="F48" s="211">
        <f>DONNEES!E243</f>
        <v>0</v>
      </c>
      <c r="G48" s="211">
        <f>DONNEES!F243</f>
        <v>0</v>
      </c>
      <c r="H48" s="211">
        <f t="shared" si="1"/>
        <v>0</v>
      </c>
      <c r="I48" s="212"/>
      <c r="J48" s="212"/>
      <c r="K48" s="213"/>
      <c r="L48" s="214">
        <f>Tableau4[[#This Row],[montant HT2]]+AO48</f>
        <v>0</v>
      </c>
      <c r="M48" s="214">
        <f>Tableau4[[#This Row],[ montant HT3]]+AP48</f>
        <v>0</v>
      </c>
      <c r="P48" s="215">
        <f>(Tableau4[[#This Row],[montant HT2]]*$D$10)+(Tableau4[[#This Row],[ montant HT3]]*$E$10)</f>
        <v>0</v>
      </c>
      <c r="W48" s="180">
        <f>SUMIF(D85:D140,"ST TVA*",J85:J140)</f>
        <v>0</v>
      </c>
      <c r="Y48" s="177" t="s">
        <v>490</v>
      </c>
      <c r="AI48" s="536">
        <f>SUMIF(D85:D140,"ST TVA*",M85:M140)</f>
        <v>0</v>
      </c>
      <c r="AJ48" s="537"/>
      <c r="AO48" s="214">
        <v>0</v>
      </c>
      <c r="AP48" s="214">
        <v>0</v>
      </c>
    </row>
    <row r="49" spans="1:42" hidden="1" x14ac:dyDescent="1.2">
      <c r="A49" s="207"/>
      <c r="B49" s="208" t="str">
        <f>Tableau4[[#This Row],[Tranche]]&amp;" "&amp;Tableau4[[#This Row],[type (titulaire / ST)]]</f>
        <v>Tranche_OPTIONNELLE_2 0</v>
      </c>
      <c r="C49" s="209" t="str">
        <f>DONNEES!A244</f>
        <v>Tranche_OPTIONNELLE_2</v>
      </c>
      <c r="D49" s="210">
        <f>DONNEES!C244</f>
        <v>0</v>
      </c>
      <c r="E49" s="311">
        <f>DONNEES!D244</f>
        <v>0</v>
      </c>
      <c r="F49" s="211">
        <f>DONNEES!E244</f>
        <v>0</v>
      </c>
      <c r="G49" s="211">
        <f>DONNEES!F244</f>
        <v>0</v>
      </c>
      <c r="H49" s="211">
        <f t="shared" si="1"/>
        <v>0</v>
      </c>
      <c r="I49" s="212"/>
      <c r="J49" s="212"/>
      <c r="K49" s="213"/>
      <c r="L49" s="214">
        <f>Tableau4[[#This Row],[montant HT2]]+AO49</f>
        <v>0</v>
      </c>
      <c r="M49" s="214">
        <f>Tableau4[[#This Row],[ montant HT3]]+AP49</f>
        <v>0</v>
      </c>
      <c r="P49" s="215">
        <f>(Tableau4[[#This Row],[montant HT2]]*$D$10)+(Tableau4[[#This Row],[ montant HT3]]*$E$10)</f>
        <v>0</v>
      </c>
      <c r="AO49" s="214">
        <v>0</v>
      </c>
      <c r="AP49" s="214">
        <v>0</v>
      </c>
    </row>
    <row r="50" spans="1:42" hidden="1" x14ac:dyDescent="1.2">
      <c r="A50" s="207"/>
      <c r="B50" s="208" t="str">
        <f>Tableau4[[#This Row],[Tranche]]&amp;" "&amp;Tableau4[[#This Row],[type (titulaire / ST)]]</f>
        <v>Tranche_OPTIONNELLE_3 Titulaire_</v>
      </c>
      <c r="C50" s="209" t="str">
        <f>DONNEES!A245</f>
        <v>Tranche_OPTIONNELLE_3</v>
      </c>
      <c r="D50" s="210" t="str">
        <f>DONNEES!C245</f>
        <v>Titulaire_</v>
      </c>
      <c r="E50" s="311" t="str">
        <f>DONNEES!D245</f>
        <v>toto</v>
      </c>
      <c r="F50" s="211">
        <f>DONNEES!E245</f>
        <v>0</v>
      </c>
      <c r="G50" s="211">
        <f>DONNEES!F245</f>
        <v>0</v>
      </c>
      <c r="H50" s="211">
        <f t="shared" si="1"/>
        <v>0</v>
      </c>
      <c r="I50" s="212"/>
      <c r="J50" s="212"/>
      <c r="K50" s="213"/>
      <c r="L50" s="214">
        <f>Tableau4[[#This Row],[montant HT2]]+AO50</f>
        <v>0</v>
      </c>
      <c r="M50" s="214">
        <f>Tableau4[[#This Row],[ montant HT3]]+AP50</f>
        <v>0</v>
      </c>
      <c r="P50" s="215">
        <f>(Tableau4[[#This Row],[montant HT2]]*$D$10)+(Tableau4[[#This Row],[ montant HT3]]*$E$10)</f>
        <v>0</v>
      </c>
      <c r="W50" s="180" t="s">
        <v>615</v>
      </c>
      <c r="AO50" s="214">
        <v>0</v>
      </c>
      <c r="AP50" s="214">
        <v>0</v>
      </c>
    </row>
    <row r="51" spans="1:42" hidden="1" x14ac:dyDescent="1.2">
      <c r="A51" s="207"/>
      <c r="B51" s="208" t="str">
        <f>Tableau4[[#This Row],[Tranche]]&amp;" "&amp;Tableau4[[#This Row],[type (titulaire / ST)]]</f>
        <v>Tranche_OPTIONNELLE_3 0</v>
      </c>
      <c r="C51" s="209" t="str">
        <f>DONNEES!A246</f>
        <v>Tranche_OPTIONNELLE_3</v>
      </c>
      <c r="D51" s="210">
        <f>DONNEES!C246</f>
        <v>0</v>
      </c>
      <c r="E51" s="311">
        <f>DONNEES!D246</f>
        <v>0</v>
      </c>
      <c r="F51" s="211">
        <f>DONNEES!E246</f>
        <v>0</v>
      </c>
      <c r="G51" s="211">
        <f>DONNEES!F246</f>
        <v>0</v>
      </c>
      <c r="H51" s="211">
        <f>F51+G51</f>
        <v>0</v>
      </c>
      <c r="I51" s="212"/>
      <c r="J51" s="212"/>
      <c r="K51" s="213"/>
      <c r="L51" s="214">
        <f>Tableau4[[#This Row],[montant HT2]]+AO51</f>
        <v>0</v>
      </c>
      <c r="M51" s="214">
        <f>Tableau4[[#This Row],[ montant HT3]]+AP51</f>
        <v>0</v>
      </c>
      <c r="P51" s="215">
        <f>(Tableau4[[#This Row],[montant HT2]]*$D$10)+(Tableau4[[#This Row],[ montant HT3]]*$E$10)</f>
        <v>0</v>
      </c>
      <c r="W51" s="180">
        <f>(W43*I27)+W43</f>
        <v>0</v>
      </c>
      <c r="Y51" s="177" t="s">
        <v>489</v>
      </c>
      <c r="AO51" s="214">
        <v>0</v>
      </c>
      <c r="AP51" s="214">
        <v>0</v>
      </c>
    </row>
    <row r="52" spans="1:42" hidden="1" x14ac:dyDescent="1.2">
      <c r="A52" s="207"/>
      <c r="B52" s="208" t="str">
        <f>Tableau4[[#This Row],[Tranche]]&amp;" "&amp;Tableau4[[#This Row],[type (titulaire / ST)]]</f>
        <v>Tranche_OPTIONNELLE_3 0</v>
      </c>
      <c r="C52" s="209" t="str">
        <f>DONNEES!A247</f>
        <v>Tranche_OPTIONNELLE_3</v>
      </c>
      <c r="D52" s="210">
        <f>DONNEES!C247</f>
        <v>0</v>
      </c>
      <c r="E52" s="311">
        <f>DONNEES!D247</f>
        <v>0</v>
      </c>
      <c r="F52" s="211">
        <f>DONNEES!E247</f>
        <v>0</v>
      </c>
      <c r="G52" s="211">
        <f>DONNEES!F247</f>
        <v>0</v>
      </c>
      <c r="H52" s="211">
        <f t="shared" si="1"/>
        <v>0</v>
      </c>
      <c r="I52" s="212"/>
      <c r="J52" s="212"/>
      <c r="K52" s="213"/>
      <c r="L52" s="214">
        <f>Tableau4[[#This Row],[montant HT2]]+AO52</f>
        <v>0</v>
      </c>
      <c r="M52" s="214">
        <f>Tableau4[[#This Row],[ montant HT3]]+AP52</f>
        <v>0</v>
      </c>
      <c r="P52" s="215">
        <f>(Tableau4[[#This Row],[montant HT2]]*$D$10)+(Tableau4[[#This Row],[ montant HT3]]*$E$10)</f>
        <v>0</v>
      </c>
      <c r="W52" s="180">
        <f>(W44*J27)+W44</f>
        <v>0</v>
      </c>
      <c r="Y52" s="177" t="s">
        <v>490</v>
      </c>
      <c r="AO52" s="214">
        <v>0</v>
      </c>
      <c r="AP52" s="214">
        <v>0</v>
      </c>
    </row>
    <row r="53" spans="1:42" hidden="1" x14ac:dyDescent="1.2">
      <c r="A53" s="207"/>
      <c r="B53" s="208" t="str">
        <f>Tableau4[[#This Row],[Tranche]]&amp;" "&amp;Tableau4[[#This Row],[type (titulaire / ST)]]</f>
        <v>Tranche_OPTIONNELLE_3 0</v>
      </c>
      <c r="C53" s="209" t="str">
        <f>DONNEES!A248</f>
        <v>Tranche_OPTIONNELLE_3</v>
      </c>
      <c r="D53" s="210">
        <f>DONNEES!C248</f>
        <v>0</v>
      </c>
      <c r="E53" s="311">
        <f>DONNEES!D248</f>
        <v>0</v>
      </c>
      <c r="F53" s="211">
        <f>DONNEES!E248</f>
        <v>0</v>
      </c>
      <c r="G53" s="211">
        <f>DONNEES!F248</f>
        <v>0</v>
      </c>
      <c r="H53" s="211">
        <f t="shared" si="1"/>
        <v>0</v>
      </c>
      <c r="I53" s="212"/>
      <c r="J53" s="212"/>
      <c r="K53" s="213"/>
      <c r="L53" s="214">
        <f>Tableau4[[#This Row],[montant HT2]]+AO53</f>
        <v>0</v>
      </c>
      <c r="M53" s="214">
        <f>Tableau4[[#This Row],[ montant HT3]]+AP53</f>
        <v>0</v>
      </c>
      <c r="P53" s="215">
        <f>(Tableau4[[#This Row],[montant HT2]]*$D$10)+(Tableau4[[#This Row],[ montant HT3]]*$E$10)</f>
        <v>0</v>
      </c>
      <c r="W53" s="180" t="s">
        <v>616</v>
      </c>
      <c r="AO53" s="214">
        <v>0</v>
      </c>
      <c r="AP53" s="214">
        <v>0</v>
      </c>
    </row>
    <row r="54" spans="1:42" hidden="1" x14ac:dyDescent="1.2">
      <c r="A54" s="207"/>
      <c r="B54" s="208" t="str">
        <f>Tableau4[[#This Row],[Tranche]]&amp;" "&amp;Tableau4[[#This Row],[type (titulaire / ST)]]</f>
        <v>Tranche_OPTIONNELLE_3 0</v>
      </c>
      <c r="C54" s="209" t="str">
        <f>DONNEES!A249</f>
        <v>Tranche_OPTIONNELLE_3</v>
      </c>
      <c r="D54" s="210">
        <f>DONNEES!C249</f>
        <v>0</v>
      </c>
      <c r="E54" s="311">
        <f>DONNEES!D249</f>
        <v>0</v>
      </c>
      <c r="F54" s="211">
        <f>DONNEES!E249</f>
        <v>0</v>
      </c>
      <c r="G54" s="211">
        <f>DONNEES!F249</f>
        <v>0</v>
      </c>
      <c r="H54" s="211">
        <f t="shared" si="1"/>
        <v>0</v>
      </c>
      <c r="I54" s="212"/>
      <c r="J54" s="212"/>
      <c r="K54" s="213"/>
      <c r="L54" s="214">
        <f>Tableau4[[#This Row],[montant HT2]]+AO54</f>
        <v>0</v>
      </c>
      <c r="M54" s="214">
        <f>Tableau4[[#This Row],[ montant HT3]]+AP54</f>
        <v>0</v>
      </c>
      <c r="P54" s="215">
        <f>(Tableau4[[#This Row],[montant HT2]]*$D$10)+(Tableau4[[#This Row],[ montant HT3]]*$E$10)</f>
        <v>0</v>
      </c>
      <c r="W54" s="180">
        <f>(W47*I27)+W47</f>
        <v>0</v>
      </c>
      <c r="Y54" s="177" t="s">
        <v>489</v>
      </c>
      <c r="AO54" s="214">
        <v>0</v>
      </c>
      <c r="AP54" s="214">
        <v>0</v>
      </c>
    </row>
    <row r="55" spans="1:42" hidden="1" x14ac:dyDescent="1.2">
      <c r="A55" s="207"/>
      <c r="B55" s="208" t="str">
        <f>Tableau4[[#This Row],[Tranche]]&amp;" "&amp;Tableau4[[#This Row],[type (titulaire / ST)]]</f>
        <v>Tranche_OPTIONNELLE_3 0</v>
      </c>
      <c r="C55" s="209" t="str">
        <f>DONNEES!A250</f>
        <v>Tranche_OPTIONNELLE_3</v>
      </c>
      <c r="D55" s="210">
        <f>DONNEES!C250</f>
        <v>0</v>
      </c>
      <c r="E55" s="311">
        <f>DONNEES!D250</f>
        <v>0</v>
      </c>
      <c r="F55" s="211">
        <f>DONNEES!E250</f>
        <v>0</v>
      </c>
      <c r="G55" s="211">
        <f>DONNEES!F250</f>
        <v>0</v>
      </c>
      <c r="H55" s="211">
        <f t="shared" si="1"/>
        <v>0</v>
      </c>
      <c r="I55" s="212"/>
      <c r="J55" s="212"/>
      <c r="K55" s="213"/>
      <c r="L55" s="214">
        <f>Tableau4[[#This Row],[montant HT2]]+AO55</f>
        <v>0</v>
      </c>
      <c r="M55" s="214">
        <f>Tableau4[[#This Row],[ montant HT3]]+AP55</f>
        <v>0</v>
      </c>
      <c r="P55" s="215">
        <f>(Tableau4[[#This Row],[montant HT2]]*$D$10)+(Tableau4[[#This Row],[ montant HT3]]*$E$10)</f>
        <v>0</v>
      </c>
      <c r="W55" s="180">
        <f>(W48*J27)+W48</f>
        <v>0</v>
      </c>
      <c r="Y55" s="177" t="s">
        <v>490</v>
      </c>
      <c r="AO55" s="214">
        <v>0</v>
      </c>
      <c r="AP55" s="214">
        <v>0</v>
      </c>
    </row>
    <row r="56" spans="1:42" hidden="1" x14ac:dyDescent="1.2">
      <c r="A56" s="207"/>
      <c r="B56" s="208" t="str">
        <f>Tableau4[[#This Row],[Tranche]]&amp;" "&amp;Tableau4[[#This Row],[type (titulaire / ST)]]</f>
        <v>Tranche_OPTIONNELLE_3 0</v>
      </c>
      <c r="C56" s="209" t="str">
        <f>DONNEES!A251</f>
        <v>Tranche_OPTIONNELLE_3</v>
      </c>
      <c r="D56" s="210">
        <f>DONNEES!C251</f>
        <v>0</v>
      </c>
      <c r="E56" s="311">
        <f>DONNEES!D251</f>
        <v>0</v>
      </c>
      <c r="F56" s="211">
        <f>DONNEES!E251</f>
        <v>0</v>
      </c>
      <c r="G56" s="211">
        <f>DONNEES!F251</f>
        <v>0</v>
      </c>
      <c r="H56" s="211">
        <f t="shared" si="1"/>
        <v>0</v>
      </c>
      <c r="I56" s="212"/>
      <c r="J56" s="212"/>
      <c r="K56" s="213"/>
      <c r="L56" s="214">
        <f>Tableau4[[#This Row],[montant HT2]]+AO56</f>
        <v>0</v>
      </c>
      <c r="M56" s="214">
        <f>Tableau4[[#This Row],[ montant HT3]]+AP56</f>
        <v>0</v>
      </c>
      <c r="P56" s="215">
        <f>(Tableau4[[#This Row],[montant HT2]]*$D$10)+(Tableau4[[#This Row],[ montant HT3]]*$E$10)</f>
        <v>0</v>
      </c>
      <c r="AO56" s="214">
        <v>0</v>
      </c>
      <c r="AP56" s="214">
        <v>0</v>
      </c>
    </row>
    <row r="57" spans="1:42" hidden="1" x14ac:dyDescent="1.2">
      <c r="A57" s="207"/>
      <c r="B57" s="208" t="str">
        <f>Tableau4[[#This Row],[Tranche]]&amp;" "&amp;Tableau4[[#This Row],[type (titulaire / ST)]]</f>
        <v>Tranche_OPTIONNELLE_4 Titulaire_</v>
      </c>
      <c r="C57" s="209" t="str">
        <f>DONNEES!A252</f>
        <v>Tranche_OPTIONNELLE_4</v>
      </c>
      <c r="D57" s="210" t="str">
        <f>DONNEES!C252</f>
        <v>Titulaire_</v>
      </c>
      <c r="E57" s="311" t="str">
        <f>DONNEES!D252</f>
        <v>toto</v>
      </c>
      <c r="F57" s="211">
        <f>DONNEES!E252</f>
        <v>0</v>
      </c>
      <c r="G57" s="211">
        <f>DONNEES!F252</f>
        <v>0</v>
      </c>
      <c r="H57" s="211">
        <f t="shared" si="1"/>
        <v>0</v>
      </c>
      <c r="I57" s="212"/>
      <c r="J57" s="212"/>
      <c r="K57" s="213"/>
      <c r="L57" s="214">
        <f>Tableau4[[#This Row],[montant HT2]]+AO57</f>
        <v>0</v>
      </c>
      <c r="M57" s="214">
        <f>Tableau4[[#This Row],[ montant HT3]]+AP57</f>
        <v>0</v>
      </c>
      <c r="P57" s="215">
        <f>(Tableau4[[#This Row],[montant HT2]]*$D$10)+(Tableau4[[#This Row],[ montant HT3]]*$E$10)</f>
        <v>0</v>
      </c>
      <c r="AO57" s="214">
        <v>0</v>
      </c>
      <c r="AP57" s="214">
        <v>0</v>
      </c>
    </row>
    <row r="58" spans="1:42" hidden="1" x14ac:dyDescent="1.2">
      <c r="A58" s="207"/>
      <c r="B58" s="208" t="str">
        <f>Tableau4[[#This Row],[Tranche]]&amp;" "&amp;Tableau4[[#This Row],[type (titulaire / ST)]]</f>
        <v>Tranche_OPTIONNELLE_4 0</v>
      </c>
      <c r="C58" s="209" t="str">
        <f>DONNEES!A253</f>
        <v>Tranche_OPTIONNELLE_4</v>
      </c>
      <c r="D58" s="210">
        <f>DONNEES!C253</f>
        <v>0</v>
      </c>
      <c r="E58" s="311">
        <f>DONNEES!D253</f>
        <v>0</v>
      </c>
      <c r="F58" s="211">
        <f>DONNEES!E253</f>
        <v>0</v>
      </c>
      <c r="G58" s="211">
        <f>DONNEES!F253</f>
        <v>0</v>
      </c>
      <c r="H58" s="211">
        <f t="shared" si="1"/>
        <v>0</v>
      </c>
      <c r="I58" s="212"/>
      <c r="J58" s="212"/>
      <c r="K58" s="213"/>
      <c r="L58" s="214">
        <f>Tableau4[[#This Row],[montant HT2]]+AO58</f>
        <v>0</v>
      </c>
      <c r="M58" s="214">
        <f>Tableau4[[#This Row],[ montant HT3]]+AP58</f>
        <v>0</v>
      </c>
      <c r="P58" s="215">
        <f>(Tableau4[[#This Row],[montant HT2]]*$D$10)+(Tableau4[[#This Row],[ montant HT3]]*$E$10)</f>
        <v>0</v>
      </c>
      <c r="W58" s="180" t="s">
        <v>619</v>
      </c>
      <c r="AO58" s="214">
        <v>0</v>
      </c>
      <c r="AP58" s="214">
        <v>0</v>
      </c>
    </row>
    <row r="59" spans="1:42" hidden="1" x14ac:dyDescent="1.2">
      <c r="A59" s="207"/>
      <c r="B59" s="208" t="str">
        <f>Tableau4[[#This Row],[Tranche]]&amp;" "&amp;Tableau4[[#This Row],[type (titulaire / ST)]]</f>
        <v>Tranche_OPTIONNELLE_4 0</v>
      </c>
      <c r="C59" s="209" t="str">
        <f>DONNEES!A254</f>
        <v>Tranche_OPTIONNELLE_4</v>
      </c>
      <c r="D59" s="210">
        <f>DONNEES!C254</f>
        <v>0</v>
      </c>
      <c r="E59" s="311">
        <f>DONNEES!D254</f>
        <v>0</v>
      </c>
      <c r="F59" s="211">
        <f>DONNEES!E254</f>
        <v>0</v>
      </c>
      <c r="G59" s="211">
        <f>DONNEES!F254</f>
        <v>0</v>
      </c>
      <c r="H59" s="211">
        <f t="shared" si="1"/>
        <v>0</v>
      </c>
      <c r="I59" s="212"/>
      <c r="J59" s="212"/>
      <c r="K59" s="213"/>
      <c r="L59" s="214">
        <f>Tableau4[[#This Row],[montant HT2]]+AO59</f>
        <v>0</v>
      </c>
      <c r="M59" s="214">
        <f>Tableau4[[#This Row],[ montant HT3]]+AP59</f>
        <v>0</v>
      </c>
      <c r="P59" s="215">
        <f>(Tableau4[[#This Row],[montant HT2]]*$D$10)+(Tableau4[[#This Row],[ montant HT3]]*$E$10)</f>
        <v>0</v>
      </c>
      <c r="V59" s="535"/>
      <c r="W59" s="180" t="s">
        <v>489</v>
      </c>
      <c r="Z59" s="180">
        <f>SUMIF(D29:D84,"ST TVA autoliquidée",I29:I84)</f>
        <v>0</v>
      </c>
      <c r="AE59" s="535">
        <f>(Z59*I27)</f>
        <v>0</v>
      </c>
      <c r="AF59" s="535"/>
      <c r="AG59" s="535"/>
      <c r="AH59" s="535"/>
      <c r="AI59" s="535"/>
      <c r="AO59" s="214">
        <v>0</v>
      </c>
      <c r="AP59" s="214">
        <v>0</v>
      </c>
    </row>
    <row r="60" spans="1:42" hidden="1" x14ac:dyDescent="1.2">
      <c r="A60" s="207"/>
      <c r="B60" s="208" t="str">
        <f>Tableau4[[#This Row],[Tranche]]&amp;" "&amp;Tableau4[[#This Row],[type (titulaire / ST)]]</f>
        <v>Tranche_OPTIONNELLE_4 0</v>
      </c>
      <c r="C60" s="209" t="str">
        <f>DONNEES!A255</f>
        <v>Tranche_OPTIONNELLE_4</v>
      </c>
      <c r="D60" s="210">
        <f>DONNEES!C255</f>
        <v>0</v>
      </c>
      <c r="E60" s="311">
        <f>DONNEES!D255</f>
        <v>0</v>
      </c>
      <c r="F60" s="211">
        <f>DONNEES!E255</f>
        <v>0</v>
      </c>
      <c r="G60" s="211">
        <f>DONNEES!F255</f>
        <v>0</v>
      </c>
      <c r="H60" s="211">
        <f t="shared" si="1"/>
        <v>0</v>
      </c>
      <c r="I60" s="212"/>
      <c r="J60" s="212"/>
      <c r="K60" s="213"/>
      <c r="L60" s="214">
        <f>Tableau4[[#This Row],[montant HT2]]+AO60</f>
        <v>0</v>
      </c>
      <c r="M60" s="214">
        <f>Tableau4[[#This Row],[ montant HT3]]+AP60</f>
        <v>0</v>
      </c>
      <c r="P60" s="215">
        <f>(Tableau4[[#This Row],[montant HT2]]*$D$10)+(Tableau4[[#This Row],[ montant HT3]]*$E$10)</f>
        <v>0</v>
      </c>
      <c r="V60" s="535"/>
      <c r="W60" s="180" t="s">
        <v>490</v>
      </c>
      <c r="Z60" s="177">
        <f>SUMIF(D29:D84,"ST TVA autoliquidée",J29:J84)</f>
        <v>0</v>
      </c>
      <c r="AE60" s="535">
        <f>(Z60*I27)</f>
        <v>0</v>
      </c>
      <c r="AF60" s="535"/>
      <c r="AG60" s="535"/>
      <c r="AH60" s="535"/>
      <c r="AI60" s="535"/>
      <c r="AO60" s="214">
        <v>0</v>
      </c>
      <c r="AP60" s="214">
        <v>0</v>
      </c>
    </row>
    <row r="61" spans="1:42" hidden="1" x14ac:dyDescent="1.2">
      <c r="A61" s="207"/>
      <c r="B61" s="208" t="str">
        <f>Tableau4[[#This Row],[Tranche]]&amp;" "&amp;Tableau4[[#This Row],[type (titulaire / ST)]]</f>
        <v>Tranche_OPTIONNELLE_4 0</v>
      </c>
      <c r="C61" s="209" t="str">
        <f>DONNEES!A256</f>
        <v>Tranche_OPTIONNELLE_4</v>
      </c>
      <c r="D61" s="210">
        <f>DONNEES!C256</f>
        <v>0</v>
      </c>
      <c r="E61" s="311">
        <f>DONNEES!D256</f>
        <v>0</v>
      </c>
      <c r="F61" s="211">
        <f>DONNEES!E256</f>
        <v>0</v>
      </c>
      <c r="G61" s="211">
        <f>DONNEES!F256</f>
        <v>0</v>
      </c>
      <c r="H61" s="211">
        <f t="shared" si="1"/>
        <v>0</v>
      </c>
      <c r="I61" s="212"/>
      <c r="J61" s="212"/>
      <c r="K61" s="213"/>
      <c r="L61" s="214">
        <f>Tableau4[[#This Row],[montant HT2]]+AO61</f>
        <v>0</v>
      </c>
      <c r="M61" s="214">
        <f>Tableau4[[#This Row],[ montant HT3]]+AP61</f>
        <v>0</v>
      </c>
      <c r="P61" s="215">
        <f>(Tableau4[[#This Row],[montant HT2]]*$D$10)+(Tableau4[[#This Row],[ montant HT3]]*$E$10)</f>
        <v>0</v>
      </c>
      <c r="W61" s="180" t="s">
        <v>489</v>
      </c>
      <c r="Z61" s="180">
        <f>SUMIF(D85:D140,"ST TVA autoliquidée",I85:I140)</f>
        <v>0</v>
      </c>
      <c r="AI61" s="467">
        <f>Z61*I27</f>
        <v>0</v>
      </c>
      <c r="AO61" s="214">
        <v>0</v>
      </c>
      <c r="AP61" s="214">
        <v>0</v>
      </c>
    </row>
    <row r="62" spans="1:42" hidden="1" x14ac:dyDescent="1.2">
      <c r="A62" s="207"/>
      <c r="B62" s="208" t="str">
        <f>Tableau4[[#This Row],[Tranche]]&amp;" "&amp;Tableau4[[#This Row],[type (titulaire / ST)]]</f>
        <v>Tranche_OPTIONNELLE_4 0</v>
      </c>
      <c r="C62" s="209" t="str">
        <f>DONNEES!A257</f>
        <v>Tranche_OPTIONNELLE_4</v>
      </c>
      <c r="D62" s="210">
        <f>DONNEES!C257</f>
        <v>0</v>
      </c>
      <c r="E62" s="311">
        <f>DONNEES!D257</f>
        <v>0</v>
      </c>
      <c r="F62" s="211">
        <f>DONNEES!E257</f>
        <v>0</v>
      </c>
      <c r="G62" s="211">
        <f>DONNEES!F257</f>
        <v>0</v>
      </c>
      <c r="H62" s="211">
        <f t="shared" si="1"/>
        <v>0</v>
      </c>
      <c r="I62" s="212"/>
      <c r="J62" s="212"/>
      <c r="K62" s="213"/>
      <c r="L62" s="214">
        <f>Tableau4[[#This Row],[montant HT2]]+AO62</f>
        <v>0</v>
      </c>
      <c r="M62" s="214">
        <f>Tableau4[[#This Row],[ montant HT3]]+AP62</f>
        <v>0</v>
      </c>
      <c r="P62" s="215">
        <f>(Tableau4[[#This Row],[montant HT2]]*$D$10)+(Tableau4[[#This Row],[ montant HT3]]*$E$10)</f>
        <v>0</v>
      </c>
      <c r="W62" s="180" t="s">
        <v>490</v>
      </c>
      <c r="Z62" s="180">
        <f>SUMIF(D85:D140,"ST TVA autoliquidée",I85:I140)</f>
        <v>0</v>
      </c>
      <c r="AI62" s="467">
        <f>Z62*J27</f>
        <v>0</v>
      </c>
      <c r="AO62" s="214">
        <v>0</v>
      </c>
      <c r="AP62" s="214">
        <v>0</v>
      </c>
    </row>
    <row r="63" spans="1:42" hidden="1" x14ac:dyDescent="1.2">
      <c r="A63" s="207"/>
      <c r="B63" s="208" t="str">
        <f>Tableau4[[#This Row],[Tranche]]&amp;" "&amp;Tableau4[[#This Row],[type (titulaire / ST)]]</f>
        <v>Tranche_OPTIONNELLE_4 0</v>
      </c>
      <c r="C63" s="209" t="str">
        <f>DONNEES!A258</f>
        <v>Tranche_OPTIONNELLE_4</v>
      </c>
      <c r="D63" s="210">
        <f>DONNEES!C258</f>
        <v>0</v>
      </c>
      <c r="E63" s="311">
        <f>DONNEES!D258</f>
        <v>0</v>
      </c>
      <c r="F63" s="211">
        <f>DONNEES!E258</f>
        <v>0</v>
      </c>
      <c r="G63" s="211">
        <f>DONNEES!F258</f>
        <v>0</v>
      </c>
      <c r="H63" s="211">
        <f t="shared" si="1"/>
        <v>0</v>
      </c>
      <c r="I63" s="212"/>
      <c r="J63" s="212"/>
      <c r="K63" s="213"/>
      <c r="L63" s="214">
        <f>Tableau4[[#This Row],[montant HT2]]+AO63</f>
        <v>0</v>
      </c>
      <c r="M63" s="214">
        <f>Tableau4[[#This Row],[ montant HT3]]+AP63</f>
        <v>0</v>
      </c>
      <c r="P63" s="215">
        <f>(Tableau4[[#This Row],[montant HT2]]*$D$10)+(Tableau4[[#This Row],[ montant HT3]]*$E$10)</f>
        <v>0</v>
      </c>
      <c r="AO63" s="214">
        <v>0</v>
      </c>
      <c r="AP63" s="214">
        <v>0</v>
      </c>
    </row>
    <row r="64" spans="1:42" hidden="1" x14ac:dyDescent="1.2">
      <c r="A64" s="207"/>
      <c r="B64" s="208" t="str">
        <f>Tableau4[[#This Row],[Tranche]]&amp;" "&amp;Tableau4[[#This Row],[type (titulaire / ST)]]</f>
        <v>Tranche_OPTIONNELLE_5 Titulaire_</v>
      </c>
      <c r="C64" s="209" t="str">
        <f>DONNEES!A259</f>
        <v>Tranche_OPTIONNELLE_5</v>
      </c>
      <c r="D64" s="210" t="str">
        <f>DONNEES!C259</f>
        <v>Titulaire_</v>
      </c>
      <c r="E64" s="311" t="str">
        <f>DONNEES!D259</f>
        <v>toto</v>
      </c>
      <c r="F64" s="211">
        <f>DONNEES!E259</f>
        <v>0</v>
      </c>
      <c r="G64" s="211">
        <f>DONNEES!F259</f>
        <v>0</v>
      </c>
      <c r="H64" s="211">
        <f t="shared" si="1"/>
        <v>0</v>
      </c>
      <c r="I64" s="212"/>
      <c r="J64" s="212"/>
      <c r="K64" s="213"/>
      <c r="L64" s="214">
        <f>Tableau4[[#This Row],[montant HT2]]+AO64</f>
        <v>0</v>
      </c>
      <c r="M64" s="214">
        <f>Tableau4[[#This Row],[ montant HT3]]+AP64</f>
        <v>0</v>
      </c>
      <c r="P64" s="215">
        <f>(Tableau4[[#This Row],[montant HT2]]*$D$10)+(Tableau4[[#This Row],[ montant HT3]]*$E$10)</f>
        <v>0</v>
      </c>
      <c r="W64" s="465">
        <f>SUMIF(D29:D84,"ST TVA non-autoliquidée*",I29:I84)</f>
        <v>0</v>
      </c>
      <c r="X64" s="466"/>
      <c r="Y64" s="466"/>
      <c r="Z64" s="466" t="s">
        <v>627</v>
      </c>
      <c r="AA64" s="466"/>
      <c r="AB64" s="466"/>
      <c r="AC64" s="466"/>
      <c r="AD64" s="466"/>
      <c r="AE64" s="466"/>
      <c r="AF64" s="466"/>
      <c r="AG64" s="466"/>
      <c r="AH64" s="466"/>
      <c r="AI64" s="179"/>
      <c r="AO64" s="214">
        <v>0</v>
      </c>
      <c r="AP64" s="214">
        <v>0</v>
      </c>
    </row>
    <row r="65" spans="1:42" hidden="1" x14ac:dyDescent="1.2">
      <c r="A65" s="207"/>
      <c r="B65" s="208" t="str">
        <f>Tableau4[[#This Row],[Tranche]]&amp;" "&amp;Tableau4[[#This Row],[type (titulaire / ST)]]</f>
        <v>Tranche_OPTIONNELLE_5 0</v>
      </c>
      <c r="C65" s="209" t="str">
        <f>DONNEES!A260</f>
        <v>Tranche_OPTIONNELLE_5</v>
      </c>
      <c r="D65" s="210">
        <f>DONNEES!C260</f>
        <v>0</v>
      </c>
      <c r="E65" s="311">
        <f>DONNEES!D260</f>
        <v>0</v>
      </c>
      <c r="F65" s="211">
        <f>DONNEES!E260</f>
        <v>0</v>
      </c>
      <c r="G65" s="211">
        <f>DONNEES!F260</f>
        <v>0</v>
      </c>
      <c r="H65" s="211">
        <f t="shared" si="1"/>
        <v>0</v>
      </c>
      <c r="I65" s="212"/>
      <c r="J65" s="212"/>
      <c r="K65" s="213"/>
      <c r="L65" s="214">
        <f>Tableau4[[#This Row],[montant HT2]]+AO65</f>
        <v>0</v>
      </c>
      <c r="M65" s="214">
        <f>Tableau4[[#This Row],[ montant HT3]]+AP65</f>
        <v>0</v>
      </c>
      <c r="P65" s="215">
        <f>(Tableau4[[#This Row],[montant HT2]]*$D$10)+(Tableau4[[#This Row],[ montant HT3]]*$E$10)</f>
        <v>0</v>
      </c>
      <c r="W65" s="465">
        <f>SUMIF(D29:D84,"ST TVA non-autoliquidée*",J29:J84)</f>
        <v>0</v>
      </c>
      <c r="X65" s="466"/>
      <c r="Y65" s="466"/>
      <c r="Z65" s="466" t="s">
        <v>628</v>
      </c>
      <c r="AA65" s="466"/>
      <c r="AB65" s="466"/>
      <c r="AC65" s="466"/>
      <c r="AD65" s="466"/>
      <c r="AE65" s="466"/>
      <c r="AF65" s="466"/>
      <c r="AG65" s="466"/>
      <c r="AH65" s="466"/>
      <c r="AI65" s="179"/>
      <c r="AO65" s="214">
        <v>0</v>
      </c>
      <c r="AP65" s="214">
        <v>0</v>
      </c>
    </row>
    <row r="66" spans="1:42" hidden="1" x14ac:dyDescent="1.2">
      <c r="A66" s="207"/>
      <c r="B66" s="208" t="str">
        <f>Tableau4[[#This Row],[Tranche]]&amp;" "&amp;Tableau4[[#This Row],[type (titulaire / ST)]]</f>
        <v>Tranche_OPTIONNELLE_5 0</v>
      </c>
      <c r="C66" s="209" t="str">
        <f>DONNEES!A261</f>
        <v>Tranche_OPTIONNELLE_5</v>
      </c>
      <c r="D66" s="210">
        <f>DONNEES!C261</f>
        <v>0</v>
      </c>
      <c r="E66" s="311">
        <f>DONNEES!D261</f>
        <v>0</v>
      </c>
      <c r="F66" s="211">
        <f>DONNEES!E261</f>
        <v>0</v>
      </c>
      <c r="G66" s="211">
        <f>DONNEES!F261</f>
        <v>0</v>
      </c>
      <c r="H66" s="211">
        <f t="shared" si="1"/>
        <v>0</v>
      </c>
      <c r="I66" s="212"/>
      <c r="J66" s="212"/>
      <c r="K66" s="213"/>
      <c r="L66" s="214">
        <f>Tableau4[[#This Row],[montant HT2]]+AO66</f>
        <v>0</v>
      </c>
      <c r="M66" s="214">
        <f>Tableau4[[#This Row],[ montant HT3]]+AP66</f>
        <v>0</v>
      </c>
      <c r="P66" s="215">
        <f>(Tableau4[[#This Row],[montant HT2]]*$D$10)+(Tableau4[[#This Row],[ montant HT3]]*$E$10)</f>
        <v>0</v>
      </c>
      <c r="W66" s="465">
        <f>(W64*I27)+W64</f>
        <v>0</v>
      </c>
      <c r="X66" s="466"/>
      <c r="Y66" s="466"/>
      <c r="Z66" s="466" t="s">
        <v>630</v>
      </c>
      <c r="AA66" s="466"/>
      <c r="AB66" s="466"/>
      <c r="AC66" s="466"/>
      <c r="AD66" s="466"/>
      <c r="AE66" s="466"/>
      <c r="AF66" s="466"/>
      <c r="AG66" s="466"/>
      <c r="AH66" s="466"/>
      <c r="AI66" s="179"/>
      <c r="AO66" s="214">
        <v>0</v>
      </c>
      <c r="AP66" s="214">
        <v>0</v>
      </c>
    </row>
    <row r="67" spans="1:42" hidden="1" x14ac:dyDescent="1.2">
      <c r="A67" s="207"/>
      <c r="B67" s="208" t="str">
        <f>Tableau4[[#This Row],[Tranche]]&amp;" "&amp;Tableau4[[#This Row],[type (titulaire / ST)]]</f>
        <v>Tranche_OPTIONNELLE_5 0</v>
      </c>
      <c r="C67" s="209" t="str">
        <f>DONNEES!A262</f>
        <v>Tranche_OPTIONNELLE_5</v>
      </c>
      <c r="D67" s="210">
        <f>DONNEES!C262</f>
        <v>0</v>
      </c>
      <c r="E67" s="311">
        <f>DONNEES!D262</f>
        <v>0</v>
      </c>
      <c r="F67" s="211">
        <f>DONNEES!E262</f>
        <v>0</v>
      </c>
      <c r="G67" s="211">
        <f>DONNEES!F262</f>
        <v>0</v>
      </c>
      <c r="H67" s="211">
        <f t="shared" si="1"/>
        <v>0</v>
      </c>
      <c r="I67" s="212"/>
      <c r="J67" s="212"/>
      <c r="K67" s="213"/>
      <c r="L67" s="214">
        <f>Tableau4[[#This Row],[montant HT2]]+AO67</f>
        <v>0</v>
      </c>
      <c r="M67" s="214">
        <f>Tableau4[[#This Row],[ montant HT3]]+AP67</f>
        <v>0</v>
      </c>
      <c r="P67" s="215">
        <f>(Tableau4[[#This Row],[montant HT2]]*$D$10)+(Tableau4[[#This Row],[ montant HT3]]*$E$10)</f>
        <v>0</v>
      </c>
      <c r="W67" s="465">
        <f>(W65*J27)+W65</f>
        <v>0</v>
      </c>
      <c r="X67" s="466"/>
      <c r="Y67" s="466"/>
      <c r="Z67" s="466" t="s">
        <v>629</v>
      </c>
      <c r="AA67" s="466"/>
      <c r="AB67" s="466"/>
      <c r="AC67" s="466"/>
      <c r="AD67" s="466"/>
      <c r="AE67" s="466"/>
      <c r="AF67" s="466"/>
      <c r="AG67" s="466"/>
      <c r="AH67" s="466"/>
      <c r="AI67" s="179"/>
      <c r="AO67" s="214">
        <v>0</v>
      </c>
      <c r="AP67" s="214">
        <v>0</v>
      </c>
    </row>
    <row r="68" spans="1:42" hidden="1" x14ac:dyDescent="1.2">
      <c r="A68" s="207"/>
      <c r="B68" s="208" t="str">
        <f>Tableau4[[#This Row],[Tranche]]&amp;" "&amp;Tableau4[[#This Row],[type (titulaire / ST)]]</f>
        <v>Tranche_OPTIONNELLE_5 0</v>
      </c>
      <c r="C68" s="209" t="str">
        <f>DONNEES!A263</f>
        <v>Tranche_OPTIONNELLE_5</v>
      </c>
      <c r="D68" s="210">
        <f>DONNEES!C263</f>
        <v>0</v>
      </c>
      <c r="E68" s="311">
        <f>DONNEES!D263</f>
        <v>0</v>
      </c>
      <c r="F68" s="211">
        <f>DONNEES!E263</f>
        <v>0</v>
      </c>
      <c r="G68" s="211">
        <f>DONNEES!F263</f>
        <v>0</v>
      </c>
      <c r="H68" s="211">
        <f t="shared" si="1"/>
        <v>0</v>
      </c>
      <c r="I68" s="212"/>
      <c r="J68" s="212"/>
      <c r="K68" s="213"/>
      <c r="L68" s="214">
        <f>Tableau4[[#This Row],[montant HT2]]+AO68</f>
        <v>0</v>
      </c>
      <c r="M68" s="214">
        <f>Tableau4[[#This Row],[ montant HT3]]+AP68</f>
        <v>0</v>
      </c>
      <c r="P68" s="215">
        <f>(Tableau4[[#This Row],[montant HT2]]*$D$10)+(Tableau4[[#This Row],[ montant HT3]]*$E$10)</f>
        <v>0</v>
      </c>
      <c r="AO68" s="214">
        <v>0</v>
      </c>
      <c r="AP68" s="214">
        <v>0</v>
      </c>
    </row>
    <row r="69" spans="1:42" hidden="1" x14ac:dyDescent="1.2">
      <c r="A69" s="207"/>
      <c r="B69" s="208" t="str">
        <f>Tableau4[[#This Row],[Tranche]]&amp;" "&amp;Tableau4[[#This Row],[type (titulaire / ST)]]</f>
        <v>Tranche_OPTIONNELLE_5 0</v>
      </c>
      <c r="C69" s="209" t="str">
        <f>DONNEES!A264</f>
        <v>Tranche_OPTIONNELLE_5</v>
      </c>
      <c r="D69" s="210">
        <f>DONNEES!C264</f>
        <v>0</v>
      </c>
      <c r="E69" s="311">
        <f>DONNEES!D264</f>
        <v>0</v>
      </c>
      <c r="F69" s="211">
        <f>DONNEES!E264</f>
        <v>0</v>
      </c>
      <c r="G69" s="211">
        <f>DONNEES!F264</f>
        <v>0</v>
      </c>
      <c r="H69" s="211">
        <f t="shared" si="1"/>
        <v>0</v>
      </c>
      <c r="I69" s="212"/>
      <c r="J69" s="212"/>
      <c r="K69" s="213"/>
      <c r="L69" s="214">
        <f>Tableau4[[#This Row],[montant HT2]]+AO69</f>
        <v>0</v>
      </c>
      <c r="M69" s="214">
        <f>Tableau4[[#This Row],[ montant HT3]]+AP69</f>
        <v>0</v>
      </c>
      <c r="P69" s="215">
        <f>(Tableau4[[#This Row],[montant HT2]]*$D$10)+(Tableau4[[#This Row],[ montant HT3]]*$E$10)</f>
        <v>0</v>
      </c>
      <c r="W69" s="465">
        <f>SUMIF(D85:D140,"ST TVA non-autoliquidée*",I85:I140)</f>
        <v>0</v>
      </c>
      <c r="X69" s="466"/>
      <c r="Y69" s="466"/>
      <c r="Z69" s="466" t="s">
        <v>635</v>
      </c>
      <c r="AA69" s="466"/>
      <c r="AB69" s="466"/>
      <c r="AC69" s="466"/>
      <c r="AD69" s="466"/>
      <c r="AE69" s="466"/>
      <c r="AF69" s="466"/>
      <c r="AG69" s="466"/>
      <c r="AH69" s="466"/>
      <c r="AI69" s="179"/>
      <c r="AO69" s="214">
        <v>0</v>
      </c>
      <c r="AP69" s="214">
        <v>0</v>
      </c>
    </row>
    <row r="70" spans="1:42" hidden="1" x14ac:dyDescent="1.2">
      <c r="A70" s="207"/>
      <c r="B70" s="208" t="str">
        <f>Tableau4[[#This Row],[Tranche]]&amp;" "&amp;Tableau4[[#This Row],[type (titulaire / ST)]]</f>
        <v>Tranche_OPTIONNELLE_5 0</v>
      </c>
      <c r="C70" s="209" t="str">
        <f>DONNEES!A265</f>
        <v>Tranche_OPTIONNELLE_5</v>
      </c>
      <c r="D70" s="210">
        <f>DONNEES!C265</f>
        <v>0</v>
      </c>
      <c r="E70" s="311">
        <f>DONNEES!D265</f>
        <v>0</v>
      </c>
      <c r="F70" s="211">
        <f>DONNEES!E265</f>
        <v>0</v>
      </c>
      <c r="G70" s="211">
        <f>DONNEES!F265</f>
        <v>0</v>
      </c>
      <c r="H70" s="211">
        <f t="shared" si="1"/>
        <v>0</v>
      </c>
      <c r="I70" s="212"/>
      <c r="J70" s="212"/>
      <c r="K70" s="213"/>
      <c r="L70" s="214">
        <f>Tableau4[[#This Row],[montant HT2]]+AO70</f>
        <v>0</v>
      </c>
      <c r="M70" s="214">
        <f>Tableau4[[#This Row],[ montant HT3]]+AP70</f>
        <v>0</v>
      </c>
      <c r="P70" s="215">
        <f>(Tableau4[[#This Row],[montant HT2]]*$D$10)+(Tableau4[[#This Row],[ montant HT3]]*$E$10)</f>
        <v>0</v>
      </c>
      <c r="W70" s="465">
        <f>SUMIF(D85:D140,"ST TVA non-autoliquidée*",J85:J140)</f>
        <v>0</v>
      </c>
      <c r="X70" s="466"/>
      <c r="Y70" s="466"/>
      <c r="Z70" s="466" t="s">
        <v>636</v>
      </c>
      <c r="AA70" s="466"/>
      <c r="AB70" s="466"/>
      <c r="AC70" s="466"/>
      <c r="AD70" s="466"/>
      <c r="AE70" s="466"/>
      <c r="AF70" s="466"/>
      <c r="AG70" s="466"/>
      <c r="AH70" s="466"/>
      <c r="AI70" s="179"/>
      <c r="AO70" s="214">
        <v>0</v>
      </c>
      <c r="AP70" s="214">
        <v>0</v>
      </c>
    </row>
    <row r="71" spans="1:42" hidden="1" x14ac:dyDescent="1.2">
      <c r="A71" s="207"/>
      <c r="B71" s="208" t="str">
        <f>Tableau4[[#This Row],[Tranche]]&amp;" "&amp;Tableau4[[#This Row],[type (titulaire / ST)]]</f>
        <v>Tranche_OPTIONNELLE_6 Titulaire_</v>
      </c>
      <c r="C71" s="209" t="str">
        <f>DONNEES!A266</f>
        <v>Tranche_OPTIONNELLE_6</v>
      </c>
      <c r="D71" s="210" t="str">
        <f>DONNEES!C266</f>
        <v>Titulaire_</v>
      </c>
      <c r="E71" s="311" t="str">
        <f>DONNEES!D266</f>
        <v>toto</v>
      </c>
      <c r="F71" s="211">
        <f>DONNEES!E266</f>
        <v>0</v>
      </c>
      <c r="G71" s="211">
        <f>DONNEES!F266</f>
        <v>0</v>
      </c>
      <c r="H71" s="211">
        <f t="shared" si="1"/>
        <v>0</v>
      </c>
      <c r="I71" s="212"/>
      <c r="J71" s="212"/>
      <c r="K71" s="213"/>
      <c r="L71" s="214">
        <f>Tableau4[[#This Row],[montant HT2]]+AO71</f>
        <v>0</v>
      </c>
      <c r="M71" s="214">
        <f>Tableau4[[#This Row],[ montant HT3]]+AP71</f>
        <v>0</v>
      </c>
      <c r="P71" s="215">
        <f>(Tableau4[[#This Row],[montant HT2]]*$D$10)+(Tableau4[[#This Row],[ montant HT3]]*$E$10)</f>
        <v>0</v>
      </c>
      <c r="W71" s="465">
        <f>(W69*I27)+W69</f>
        <v>0</v>
      </c>
      <c r="X71" s="466"/>
      <c r="Y71" s="466"/>
      <c r="Z71" s="466" t="s">
        <v>637</v>
      </c>
      <c r="AA71" s="466"/>
      <c r="AB71" s="466"/>
      <c r="AC71" s="466"/>
      <c r="AD71" s="466"/>
      <c r="AE71" s="466"/>
      <c r="AF71" s="466"/>
      <c r="AG71" s="466"/>
      <c r="AH71" s="466"/>
      <c r="AI71" s="179"/>
      <c r="AO71" s="214">
        <v>0</v>
      </c>
      <c r="AP71" s="214">
        <v>0</v>
      </c>
    </row>
    <row r="72" spans="1:42" hidden="1" x14ac:dyDescent="1.2">
      <c r="A72" s="207"/>
      <c r="B72" s="208" t="str">
        <f>Tableau4[[#This Row],[Tranche]]&amp;" "&amp;Tableau4[[#This Row],[type (titulaire / ST)]]</f>
        <v>Tranche_OPTIONNELLE_6 0</v>
      </c>
      <c r="C72" s="209" t="str">
        <f>DONNEES!A267</f>
        <v>Tranche_OPTIONNELLE_6</v>
      </c>
      <c r="D72" s="210">
        <f>DONNEES!C267</f>
        <v>0</v>
      </c>
      <c r="E72" s="311">
        <f>DONNEES!D267</f>
        <v>0</v>
      </c>
      <c r="F72" s="211">
        <f>DONNEES!E267</f>
        <v>0</v>
      </c>
      <c r="G72" s="211">
        <f>DONNEES!F267</f>
        <v>0</v>
      </c>
      <c r="H72" s="211">
        <f t="shared" si="1"/>
        <v>0</v>
      </c>
      <c r="I72" s="212"/>
      <c r="J72" s="212"/>
      <c r="K72" s="213"/>
      <c r="L72" s="214">
        <f>Tableau4[[#This Row],[montant HT2]]+AO72</f>
        <v>0</v>
      </c>
      <c r="M72" s="214">
        <f>Tableau4[[#This Row],[ montant HT3]]+AP72</f>
        <v>0</v>
      </c>
      <c r="P72" s="215">
        <f>(Tableau4[[#This Row],[montant HT2]]*$D$10)+(Tableau4[[#This Row],[ montant HT3]]*$E$10)</f>
        <v>0</v>
      </c>
      <c r="W72" s="465">
        <f>(W70*J27)+W70</f>
        <v>0</v>
      </c>
      <c r="X72" s="466"/>
      <c r="Y72" s="466"/>
      <c r="Z72" s="466" t="s">
        <v>638</v>
      </c>
      <c r="AA72" s="466"/>
      <c r="AB72" s="466"/>
      <c r="AC72" s="466"/>
      <c r="AD72" s="466"/>
      <c r="AE72" s="466"/>
      <c r="AF72" s="466"/>
      <c r="AG72" s="466"/>
      <c r="AH72" s="466"/>
      <c r="AI72" s="179"/>
      <c r="AO72" s="214">
        <v>0</v>
      </c>
      <c r="AP72" s="214">
        <v>0</v>
      </c>
    </row>
    <row r="73" spans="1:42" hidden="1" x14ac:dyDescent="1.2">
      <c r="A73" s="207"/>
      <c r="B73" s="208" t="str">
        <f>Tableau4[[#This Row],[Tranche]]&amp;" "&amp;Tableau4[[#This Row],[type (titulaire / ST)]]</f>
        <v>Tranche_OPTIONNELLE_6 0</v>
      </c>
      <c r="C73" s="209" t="str">
        <f>DONNEES!A268</f>
        <v>Tranche_OPTIONNELLE_6</v>
      </c>
      <c r="D73" s="210">
        <f>DONNEES!C268</f>
        <v>0</v>
      </c>
      <c r="E73" s="311">
        <f>DONNEES!D268</f>
        <v>0</v>
      </c>
      <c r="F73" s="211">
        <f>DONNEES!E268</f>
        <v>0</v>
      </c>
      <c r="G73" s="211">
        <f>DONNEES!F268</f>
        <v>0</v>
      </c>
      <c r="H73" s="211">
        <f t="shared" si="1"/>
        <v>0</v>
      </c>
      <c r="I73" s="212"/>
      <c r="J73" s="212"/>
      <c r="K73" s="213"/>
      <c r="L73" s="214">
        <f>Tableau4[[#This Row],[montant HT2]]+AO73</f>
        <v>0</v>
      </c>
      <c r="M73" s="214">
        <f>Tableau4[[#This Row],[ montant HT3]]+AP73</f>
        <v>0</v>
      </c>
      <c r="P73" s="215">
        <f>(Tableau4[[#This Row],[montant HT2]]*$D$10)+(Tableau4[[#This Row],[ montant HT3]]*$E$10)</f>
        <v>0</v>
      </c>
      <c r="AO73" s="214">
        <v>0</v>
      </c>
      <c r="AP73" s="214">
        <v>0</v>
      </c>
    </row>
    <row r="74" spans="1:42" hidden="1" x14ac:dyDescent="1.2">
      <c r="A74" s="207"/>
      <c r="B74" s="208" t="str">
        <f>Tableau4[[#This Row],[Tranche]]&amp;" "&amp;Tableau4[[#This Row],[type (titulaire / ST)]]</f>
        <v>Tranche_OPTIONNELLE_6 0</v>
      </c>
      <c r="C74" s="209" t="str">
        <f>DONNEES!A269</f>
        <v>Tranche_OPTIONNELLE_6</v>
      </c>
      <c r="D74" s="210">
        <f>DONNEES!C269</f>
        <v>0</v>
      </c>
      <c r="E74" s="311">
        <f>DONNEES!D269</f>
        <v>0</v>
      </c>
      <c r="F74" s="211">
        <f>DONNEES!E269</f>
        <v>0</v>
      </c>
      <c r="G74" s="211">
        <f>DONNEES!F269</f>
        <v>0</v>
      </c>
      <c r="H74" s="211">
        <f t="shared" si="1"/>
        <v>0</v>
      </c>
      <c r="I74" s="212"/>
      <c r="J74" s="212"/>
      <c r="K74" s="213"/>
      <c r="L74" s="214">
        <f>Tableau4[[#This Row],[montant HT2]]+AO74</f>
        <v>0</v>
      </c>
      <c r="M74" s="214">
        <f>Tableau4[[#This Row],[ montant HT3]]+AP74</f>
        <v>0</v>
      </c>
      <c r="P74" s="215">
        <f>(Tableau4[[#This Row],[montant HT2]]*$D$10)+(Tableau4[[#This Row],[ montant HT3]]*$E$10)</f>
        <v>0</v>
      </c>
      <c r="W74" s="465">
        <f>SUMIF(D29:D84,"ST TVA*",I29:I84)</f>
        <v>0</v>
      </c>
      <c r="X74" s="466"/>
      <c r="Y74" s="466"/>
      <c r="Z74" s="466" t="s">
        <v>632</v>
      </c>
      <c r="AA74" s="466"/>
      <c r="AB74" s="466"/>
      <c r="AC74" s="466"/>
      <c r="AD74" s="466"/>
      <c r="AE74" s="466"/>
      <c r="AF74" s="466"/>
      <c r="AG74" s="466"/>
      <c r="AH74" s="466"/>
      <c r="AI74" s="179"/>
      <c r="AJ74" s="179"/>
      <c r="AO74" s="214">
        <v>0</v>
      </c>
      <c r="AP74" s="214">
        <v>0</v>
      </c>
    </row>
    <row r="75" spans="1:42" hidden="1" x14ac:dyDescent="1.2">
      <c r="A75" s="207"/>
      <c r="B75" s="208" t="str">
        <f>Tableau4[[#This Row],[Tranche]]&amp;" "&amp;Tableau4[[#This Row],[type (titulaire / ST)]]</f>
        <v>Tranche_OPTIONNELLE_6 0</v>
      </c>
      <c r="C75" s="209" t="str">
        <f>DONNEES!A270</f>
        <v>Tranche_OPTIONNELLE_6</v>
      </c>
      <c r="D75" s="210">
        <f>DONNEES!C270</f>
        <v>0</v>
      </c>
      <c r="E75" s="311">
        <f>DONNEES!D270</f>
        <v>0</v>
      </c>
      <c r="F75" s="211">
        <f>DONNEES!E270</f>
        <v>0</v>
      </c>
      <c r="G75" s="211">
        <f>DONNEES!F270</f>
        <v>0</v>
      </c>
      <c r="H75" s="211">
        <f t="shared" si="1"/>
        <v>0</v>
      </c>
      <c r="I75" s="212"/>
      <c r="J75" s="212"/>
      <c r="K75" s="213"/>
      <c r="L75" s="214">
        <f>Tableau4[[#This Row],[montant HT2]]+AO75</f>
        <v>0</v>
      </c>
      <c r="M75" s="214">
        <f>Tableau4[[#This Row],[ montant HT3]]+AP75</f>
        <v>0</v>
      </c>
      <c r="P75" s="215">
        <f>(Tableau4[[#This Row],[montant HT2]]*$D$10)+(Tableau4[[#This Row],[ montant HT3]]*$E$10)</f>
        <v>0</v>
      </c>
      <c r="W75" s="465">
        <f>SUMIF(D29:D84,"ST TVA*",J29:J84)</f>
        <v>0</v>
      </c>
      <c r="X75" s="466"/>
      <c r="Y75" s="466"/>
      <c r="Z75" s="466" t="s">
        <v>631</v>
      </c>
      <c r="AA75" s="466"/>
      <c r="AB75" s="466"/>
      <c r="AC75" s="466"/>
      <c r="AD75" s="466"/>
      <c r="AE75" s="466"/>
      <c r="AF75" s="466"/>
      <c r="AG75" s="466"/>
      <c r="AH75" s="466"/>
      <c r="AI75" s="179"/>
      <c r="AJ75" s="179"/>
      <c r="AO75" s="214">
        <v>0</v>
      </c>
      <c r="AP75" s="214">
        <v>0</v>
      </c>
    </row>
    <row r="76" spans="1:42" hidden="1" x14ac:dyDescent="1.2">
      <c r="A76" s="207"/>
      <c r="B76" s="208" t="str">
        <f>Tableau4[[#This Row],[Tranche]]&amp;" "&amp;Tableau4[[#This Row],[type (titulaire / ST)]]</f>
        <v>Tranche_OPTIONNELLE_6 0</v>
      </c>
      <c r="C76" s="209" t="str">
        <f>DONNEES!A271</f>
        <v>Tranche_OPTIONNELLE_6</v>
      </c>
      <c r="D76" s="210">
        <f>DONNEES!C271</f>
        <v>0</v>
      </c>
      <c r="E76" s="311">
        <f>DONNEES!D271</f>
        <v>0</v>
      </c>
      <c r="F76" s="211">
        <f>DONNEES!E271</f>
        <v>0</v>
      </c>
      <c r="G76" s="211">
        <f>DONNEES!F271</f>
        <v>0</v>
      </c>
      <c r="H76" s="211">
        <f t="shared" si="1"/>
        <v>0</v>
      </c>
      <c r="I76" s="212"/>
      <c r="J76" s="212"/>
      <c r="K76" s="213"/>
      <c r="L76" s="214">
        <f>Tableau4[[#This Row],[montant HT2]]+AO76</f>
        <v>0</v>
      </c>
      <c r="M76" s="214">
        <f>Tableau4[[#This Row],[ montant HT3]]+AP76</f>
        <v>0</v>
      </c>
      <c r="P76" s="215">
        <f>(Tableau4[[#This Row],[montant HT2]]*$D$10)+(Tableau4[[#This Row],[ montant HT3]]*$E$10)</f>
        <v>0</v>
      </c>
      <c r="W76" s="465">
        <f>SUMIF(D85:D140,"ST TVA*",I85:I140)</f>
        <v>0</v>
      </c>
      <c r="X76" s="466"/>
      <c r="Y76" s="466"/>
      <c r="Z76" s="466" t="s">
        <v>633</v>
      </c>
      <c r="AA76" s="466"/>
      <c r="AB76" s="466"/>
      <c r="AC76" s="466"/>
      <c r="AD76" s="466"/>
      <c r="AE76" s="466"/>
      <c r="AF76" s="466"/>
      <c r="AG76" s="466"/>
      <c r="AH76" s="466"/>
      <c r="AI76" s="179"/>
      <c r="AJ76" s="179"/>
      <c r="AO76" s="214">
        <v>0</v>
      </c>
      <c r="AP76" s="214">
        <v>0</v>
      </c>
    </row>
    <row r="77" spans="1:42" hidden="1" x14ac:dyDescent="1.2">
      <c r="A77" s="207"/>
      <c r="B77" s="208" t="str">
        <f>Tableau4[[#This Row],[Tranche]]&amp;" "&amp;Tableau4[[#This Row],[type (titulaire / ST)]]</f>
        <v>Tranche_OPTIONNELLE_6 0</v>
      </c>
      <c r="C77" s="209" t="str">
        <f>DONNEES!A272</f>
        <v>Tranche_OPTIONNELLE_6</v>
      </c>
      <c r="D77" s="210">
        <f>DONNEES!C272</f>
        <v>0</v>
      </c>
      <c r="E77" s="311">
        <f>DONNEES!D272</f>
        <v>0</v>
      </c>
      <c r="F77" s="211">
        <f>DONNEES!E272</f>
        <v>0</v>
      </c>
      <c r="G77" s="211">
        <f>DONNEES!F272</f>
        <v>0</v>
      </c>
      <c r="H77" s="211">
        <f t="shared" si="1"/>
        <v>0</v>
      </c>
      <c r="I77" s="212"/>
      <c r="J77" s="212"/>
      <c r="K77" s="213"/>
      <c r="L77" s="214">
        <f>Tableau4[[#This Row],[montant HT2]]+AO77</f>
        <v>0</v>
      </c>
      <c r="M77" s="214">
        <f>Tableau4[[#This Row],[ montant HT3]]+AP77</f>
        <v>0</v>
      </c>
      <c r="P77" s="215">
        <f>(Tableau4[[#This Row],[montant HT2]]*$D$10)+(Tableau4[[#This Row],[ montant HT3]]*$E$10)</f>
        <v>0</v>
      </c>
      <c r="W77" s="465">
        <f>SUMIF(D85:D140,"ST TVA*",I85:I140)</f>
        <v>0</v>
      </c>
      <c r="X77" s="466"/>
      <c r="Y77" s="466"/>
      <c r="Z77" s="466" t="s">
        <v>634</v>
      </c>
      <c r="AA77" s="466"/>
      <c r="AB77" s="466"/>
      <c r="AC77" s="466"/>
      <c r="AD77" s="466"/>
      <c r="AE77" s="466"/>
      <c r="AF77" s="466"/>
      <c r="AG77" s="466"/>
      <c r="AH77" s="466"/>
      <c r="AI77" s="179"/>
      <c r="AJ77" s="179"/>
      <c r="AO77" s="214">
        <v>0</v>
      </c>
      <c r="AP77" s="214">
        <v>0</v>
      </c>
    </row>
    <row r="78" spans="1:42" x14ac:dyDescent="1.2">
      <c r="A78" s="207"/>
      <c r="B78" s="208" t="str">
        <f>Tableau4[[#This Row],[Tranche]]&amp;" "&amp;Tableau4[[#This Row],[type (titulaire / ST)]]</f>
        <v>Avenants et OS Tranche Ferme Titulaire_</v>
      </c>
      <c r="C78" s="209" t="str">
        <f>DONNEES!A273</f>
        <v>Avenants et OS Tranche Ferme</v>
      </c>
      <c r="D78" s="210" t="str">
        <f>DONNEES!C273</f>
        <v>Titulaire_</v>
      </c>
      <c r="E78" s="311" t="str">
        <f>DONNEES!D273</f>
        <v>toto</v>
      </c>
      <c r="F78" s="211">
        <f>DONNEES!E273</f>
        <v>23740</v>
      </c>
      <c r="G78" s="211">
        <f>DONNEES!F273</f>
        <v>0</v>
      </c>
      <c r="H78" s="211">
        <f t="shared" si="1"/>
        <v>23740</v>
      </c>
      <c r="I78" s="212"/>
      <c r="J78" s="212"/>
      <c r="K78" s="213"/>
      <c r="L78" s="214">
        <f>Tableau4[[#This Row],[montant HT2]]+AO78</f>
        <v>0</v>
      </c>
      <c r="M78" s="214">
        <f>Tableau4[[#This Row],[ montant HT3]]+AP78</f>
        <v>0</v>
      </c>
      <c r="P78" s="215">
        <f>(Tableau4[[#This Row],[montant HT2]]*$D$10)+(Tableau4[[#This Row],[ montant HT3]]*$E$10)</f>
        <v>0</v>
      </c>
      <c r="AO78" s="214">
        <v>0</v>
      </c>
      <c r="AP78" s="214">
        <v>0</v>
      </c>
    </row>
    <row r="79" spans="1:42" hidden="1" x14ac:dyDescent="1.2">
      <c r="A79" s="207"/>
      <c r="B79" s="208" t="str">
        <f>Tableau4[[#This Row],[Tranche]]&amp;" "&amp;Tableau4[[#This Row],[type (titulaire / ST)]]</f>
        <v>Avenants et OS Tranche Optionnelle 1 Titulaire_</v>
      </c>
      <c r="C79" s="209" t="str">
        <f>DONNEES!A274</f>
        <v>Avenants et OS Tranche Optionnelle 1</v>
      </c>
      <c r="D79" s="210" t="str">
        <f>DONNEES!C274</f>
        <v>Titulaire_</v>
      </c>
      <c r="E79" s="311" t="str">
        <f>DONNEES!D274</f>
        <v>toto</v>
      </c>
      <c r="F79" s="211">
        <f>DONNEES!E274</f>
        <v>0</v>
      </c>
      <c r="G79" s="211">
        <f>DONNEES!F274</f>
        <v>0</v>
      </c>
      <c r="H79" s="211">
        <f t="shared" ref="H79:H84" si="2">F79+G79</f>
        <v>0</v>
      </c>
      <c r="I79" s="212"/>
      <c r="J79" s="212"/>
      <c r="K79" s="213"/>
      <c r="L79" s="214">
        <f>Tableau4[[#This Row],[montant HT2]]+AO79</f>
        <v>0</v>
      </c>
      <c r="M79" s="214">
        <f>Tableau4[[#This Row],[ montant HT3]]+AP79</f>
        <v>0</v>
      </c>
      <c r="P79" s="215">
        <f>(Tableau4[[#This Row],[montant HT2]]*$D$10)+(Tableau4[[#This Row],[ montant HT3]]*$E$10)</f>
        <v>0</v>
      </c>
      <c r="AO79" s="214"/>
      <c r="AP79" s="214"/>
    </row>
    <row r="80" spans="1:42" hidden="1" x14ac:dyDescent="1.2">
      <c r="A80" s="207"/>
      <c r="B80" s="208" t="str">
        <f>Tableau4[[#This Row],[Tranche]]&amp;" "&amp;Tableau4[[#This Row],[type (titulaire / ST)]]</f>
        <v>Avenants et OS Tranche Optionnelle 2 Titulaire_</v>
      </c>
      <c r="C80" s="209" t="str">
        <f>DONNEES!A275</f>
        <v>Avenants et OS Tranche Optionnelle 2</v>
      </c>
      <c r="D80" s="210" t="str">
        <f>DONNEES!C275</f>
        <v>Titulaire_</v>
      </c>
      <c r="E80" s="311" t="str">
        <f>DONNEES!D275</f>
        <v>toto</v>
      </c>
      <c r="F80" s="211">
        <f>DONNEES!E275</f>
        <v>0</v>
      </c>
      <c r="G80" s="211">
        <f>DONNEES!F275</f>
        <v>0</v>
      </c>
      <c r="H80" s="211">
        <f t="shared" si="2"/>
        <v>0</v>
      </c>
      <c r="I80" s="212"/>
      <c r="J80" s="212"/>
      <c r="K80" s="213"/>
      <c r="L80" s="214">
        <f>Tableau4[[#This Row],[montant HT2]]+AO80</f>
        <v>0</v>
      </c>
      <c r="M80" s="214">
        <f>Tableau4[[#This Row],[ montant HT3]]+AP80</f>
        <v>0</v>
      </c>
      <c r="P80" s="215">
        <f>(Tableau4[[#This Row],[montant HT2]]*$D$10)+(Tableau4[[#This Row],[ montant HT3]]*$E$10)</f>
        <v>0</v>
      </c>
      <c r="AO80" s="214"/>
      <c r="AP80" s="214"/>
    </row>
    <row r="81" spans="1:42" hidden="1" x14ac:dyDescent="1.2">
      <c r="A81" s="207"/>
      <c r="B81" s="208" t="str">
        <f>Tableau4[[#This Row],[Tranche]]&amp;" "&amp;Tableau4[[#This Row],[type (titulaire / ST)]]</f>
        <v>Avenants et OS Tranche Optionnelle 3 Titulaire_</v>
      </c>
      <c r="C81" s="209" t="str">
        <f>DONNEES!A276</f>
        <v>Avenants et OS Tranche Optionnelle 3</v>
      </c>
      <c r="D81" s="210" t="str">
        <f>DONNEES!C276</f>
        <v>Titulaire_</v>
      </c>
      <c r="E81" s="311" t="str">
        <f>DONNEES!D276</f>
        <v>toto</v>
      </c>
      <c r="F81" s="211">
        <f>DONNEES!E276</f>
        <v>0</v>
      </c>
      <c r="G81" s="211">
        <f>DONNEES!F276</f>
        <v>0</v>
      </c>
      <c r="H81" s="211">
        <f t="shared" si="2"/>
        <v>0</v>
      </c>
      <c r="I81" s="212"/>
      <c r="J81" s="212"/>
      <c r="K81" s="213"/>
      <c r="L81" s="214">
        <f>Tableau4[[#This Row],[montant HT2]]+AO81</f>
        <v>0</v>
      </c>
      <c r="M81" s="214">
        <f>Tableau4[[#This Row],[ montant HT3]]+AP81</f>
        <v>0</v>
      </c>
      <c r="P81" s="215">
        <f>(Tableau4[[#This Row],[montant HT2]]*$D$10)+(Tableau4[[#This Row],[ montant HT3]]*$E$10)</f>
        <v>0</v>
      </c>
      <c r="AO81" s="214"/>
      <c r="AP81" s="214"/>
    </row>
    <row r="82" spans="1:42" hidden="1" x14ac:dyDescent="1.2">
      <c r="A82" s="207"/>
      <c r="B82" s="208" t="str">
        <f>Tableau4[[#This Row],[Tranche]]&amp;" "&amp;Tableau4[[#This Row],[type (titulaire / ST)]]</f>
        <v>Avenants et OS Tranche Optionnelle 4 Titulaire_</v>
      </c>
      <c r="C82" s="209" t="str">
        <f>DONNEES!A277</f>
        <v>Avenants et OS Tranche Optionnelle 4</v>
      </c>
      <c r="D82" s="210" t="str">
        <f>DONNEES!C277</f>
        <v>Titulaire_</v>
      </c>
      <c r="E82" s="311" t="str">
        <f>DONNEES!D277</f>
        <v>toto</v>
      </c>
      <c r="F82" s="211">
        <f>DONNEES!E277</f>
        <v>0</v>
      </c>
      <c r="G82" s="211">
        <f>DONNEES!F277</f>
        <v>0</v>
      </c>
      <c r="H82" s="211">
        <f t="shared" si="2"/>
        <v>0</v>
      </c>
      <c r="I82" s="212"/>
      <c r="J82" s="212"/>
      <c r="K82" s="213"/>
      <c r="L82" s="214">
        <f>Tableau4[[#This Row],[montant HT2]]+AO82</f>
        <v>0</v>
      </c>
      <c r="M82" s="214">
        <f>Tableau4[[#This Row],[ montant HT3]]+AP82</f>
        <v>0</v>
      </c>
      <c r="P82" s="215">
        <f>(Tableau4[[#This Row],[montant HT2]]*$D$10)+(Tableau4[[#This Row],[ montant HT3]]*$E$10)</f>
        <v>0</v>
      </c>
      <c r="AO82" s="214"/>
      <c r="AP82" s="214"/>
    </row>
    <row r="83" spans="1:42" hidden="1" x14ac:dyDescent="1.2">
      <c r="A83" s="207"/>
      <c r="B83" s="208" t="str">
        <f>Tableau4[[#This Row],[Tranche]]&amp;" "&amp;Tableau4[[#This Row],[type (titulaire / ST)]]</f>
        <v>Avenants et OS Tranche Optionnelle 5 Titulaire_</v>
      </c>
      <c r="C83" s="216" t="str">
        <f>DONNEES!A278</f>
        <v>Avenants et OS Tranche Optionnelle 5</v>
      </c>
      <c r="D83" s="217" t="str">
        <f>DONNEES!C278</f>
        <v>Titulaire_</v>
      </c>
      <c r="E83" s="312" t="str">
        <f>DONNEES!D278</f>
        <v>toto</v>
      </c>
      <c r="F83" s="218">
        <f>DONNEES!E278</f>
        <v>0</v>
      </c>
      <c r="G83" s="211">
        <f>DONNEES!F278</f>
        <v>0</v>
      </c>
      <c r="H83" s="218">
        <f t="shared" si="2"/>
        <v>0</v>
      </c>
      <c r="I83" s="219"/>
      <c r="J83" s="212"/>
      <c r="K83" s="213"/>
      <c r="L83" s="214">
        <f>Tableau4[[#This Row],[montant HT2]]+AO83</f>
        <v>0</v>
      </c>
      <c r="M83" s="214">
        <f>Tableau4[[#This Row],[ montant HT3]]+AP83</f>
        <v>0</v>
      </c>
      <c r="P83" s="215">
        <f>(Tableau4[[#This Row],[montant HT2]]*$D$10)+(Tableau4[[#This Row],[ montant HT3]]*$E$10)</f>
        <v>0</v>
      </c>
      <c r="AO83" s="220"/>
      <c r="AP83" s="214"/>
    </row>
    <row r="84" spans="1:42" hidden="1" x14ac:dyDescent="1.2">
      <c r="A84" s="207"/>
      <c r="B84" s="208" t="str">
        <f>Tableau4[[#This Row],[Tranche]]&amp;" "&amp;Tableau4[[#This Row],[type (titulaire / ST)]]</f>
        <v>Avenants et OS Tranche Optionnelle 6 Titulaire_</v>
      </c>
      <c r="C84" s="216" t="str">
        <f>DONNEES!A279</f>
        <v>Avenants et OS Tranche Optionnelle 6</v>
      </c>
      <c r="D84" s="217" t="str">
        <f>DONNEES!C279</f>
        <v>Titulaire_</v>
      </c>
      <c r="E84" s="312" t="str">
        <f>DONNEES!D279</f>
        <v>toto</v>
      </c>
      <c r="F84" s="218">
        <f>DONNEES!E279</f>
        <v>0</v>
      </c>
      <c r="G84" s="211">
        <f>DONNEES!F279</f>
        <v>0</v>
      </c>
      <c r="H84" s="218">
        <f t="shared" si="2"/>
        <v>0</v>
      </c>
      <c r="I84" s="219"/>
      <c r="J84" s="212"/>
      <c r="K84" s="213"/>
      <c r="L84" s="214">
        <f>Tableau4[[#This Row],[montant HT2]]+AO84</f>
        <v>0</v>
      </c>
      <c r="M84" s="214">
        <f>Tableau4[[#This Row],[ montant HT3]]+AP84</f>
        <v>0</v>
      </c>
      <c r="P84" s="215">
        <f>(Tableau4[[#This Row],[montant HT2]]*$D$10)+(Tableau4[[#This Row],[ montant HT3]]*$E$10)</f>
        <v>0</v>
      </c>
      <c r="AO84" s="220"/>
      <c r="AP84" s="214"/>
    </row>
    <row r="85" spans="1:42" hidden="1" x14ac:dyDescent="1.2">
      <c r="A85" s="207"/>
      <c r="B85" s="208" t="str">
        <f>Tableau4[[#This Row],[Tranche]]&amp;" "&amp;Tableau4[[#This Row],[type (titulaire / ST)]]</f>
        <v>Tranche_FERME Cotraitant_1</v>
      </c>
      <c r="C85" s="216" t="str">
        <f>DONNEES!A280</f>
        <v>Tranche_FERME</v>
      </c>
      <c r="D85" s="210" t="str">
        <f>DONNEES!C280</f>
        <v>Cotraitant_1</v>
      </c>
      <c r="E85" s="311">
        <f>DONNEES!D280</f>
        <v>0</v>
      </c>
      <c r="F85" s="211">
        <f>DONNEES!E280</f>
        <v>0</v>
      </c>
      <c r="G85" s="211">
        <f>DONNEES!F280</f>
        <v>0</v>
      </c>
      <c r="H85" s="214">
        <f>F85+G85</f>
        <v>0</v>
      </c>
      <c r="I85" s="212"/>
      <c r="J85" s="212"/>
      <c r="K85" s="221"/>
      <c r="L85" s="214">
        <f>Tableau4[[#This Row],[montant HT2]]+AO85</f>
        <v>0</v>
      </c>
      <c r="M85" s="214">
        <f>Tableau4[[#This Row],[ montant HT3]]+AP85</f>
        <v>0</v>
      </c>
      <c r="P85" s="215">
        <f>(Tableau4[[#This Row],[montant HT2]]*$D$10)+(Tableau4[[#This Row],[ montant HT3]]*$E$10)</f>
        <v>0</v>
      </c>
      <c r="AO85" s="214"/>
      <c r="AP85" s="214"/>
    </row>
    <row r="86" spans="1:42" hidden="1" x14ac:dyDescent="1.2">
      <c r="A86" s="207"/>
      <c r="B86" s="208" t="str">
        <f>Tableau4[[#This Row],[Tranche]]&amp;" "&amp;Tableau4[[#This Row],[type (titulaire / ST)]]</f>
        <v>Tranche_FERME 0</v>
      </c>
      <c r="C86" s="216" t="str">
        <f>DONNEES!A281</f>
        <v>Tranche_FERME</v>
      </c>
      <c r="D86" s="210">
        <f>DONNEES!C281</f>
        <v>0</v>
      </c>
      <c r="E86" s="311">
        <f>DONNEES!D281</f>
        <v>0</v>
      </c>
      <c r="F86" s="211">
        <f>DONNEES!E281</f>
        <v>0</v>
      </c>
      <c r="G86" s="211">
        <f>DONNEES!F281</f>
        <v>0</v>
      </c>
      <c r="H86" s="214">
        <f>F86+G86</f>
        <v>0</v>
      </c>
      <c r="I86" s="212"/>
      <c r="J86" s="212"/>
      <c r="K86" s="221"/>
      <c r="L86" s="214">
        <f>Tableau4[[#This Row],[montant HT2]]+AO86</f>
        <v>0</v>
      </c>
      <c r="M86" s="214">
        <f>Tableau4[[#This Row],[ montant HT3]]+AP86</f>
        <v>0</v>
      </c>
      <c r="P86" s="215">
        <f>(Tableau4[[#This Row],[montant HT2]]*$D$10)+(Tableau4[[#This Row],[ montant HT3]]*$E$10)</f>
        <v>0</v>
      </c>
      <c r="AO86" s="214"/>
      <c r="AP86" s="214"/>
    </row>
    <row r="87" spans="1:42" hidden="1" x14ac:dyDescent="1.2">
      <c r="A87" s="207"/>
      <c r="B87" s="208" t="str">
        <f>Tableau4[[#This Row],[Tranche]]&amp;" "&amp;Tableau4[[#This Row],[type (titulaire / ST)]]</f>
        <v>Tranche_FERME 0</v>
      </c>
      <c r="C87" s="216" t="str">
        <f>DONNEES!A282</f>
        <v>Tranche_FERME</v>
      </c>
      <c r="D87" s="210">
        <f>DONNEES!C282</f>
        <v>0</v>
      </c>
      <c r="E87" s="311">
        <f>DONNEES!D282</f>
        <v>0</v>
      </c>
      <c r="F87" s="211">
        <f>DONNEES!E282</f>
        <v>0</v>
      </c>
      <c r="G87" s="211">
        <f>DONNEES!F282</f>
        <v>0</v>
      </c>
      <c r="H87" s="214">
        <f>F87+G87</f>
        <v>0</v>
      </c>
      <c r="I87" s="212"/>
      <c r="J87" s="212"/>
      <c r="K87" s="221"/>
      <c r="L87" s="214">
        <f>Tableau4[[#This Row],[montant HT2]]+AO87</f>
        <v>0</v>
      </c>
      <c r="M87" s="214">
        <f>Tableau4[[#This Row],[ montant HT3]]+AP87</f>
        <v>0</v>
      </c>
      <c r="P87" s="215">
        <f>(Tableau4[[#This Row],[montant HT2]]*$D$10)+(Tableau4[[#This Row],[ montant HT3]]*$E$10)</f>
        <v>0</v>
      </c>
      <c r="AO87" s="214"/>
      <c r="AP87" s="214"/>
    </row>
    <row r="88" spans="1:42" hidden="1" x14ac:dyDescent="1.2">
      <c r="A88" s="207"/>
      <c r="B88" s="208" t="str">
        <f>Tableau4[[#This Row],[Tranche]]&amp;" "&amp;Tableau4[[#This Row],[type (titulaire / ST)]]</f>
        <v>Tranche_FERME 0</v>
      </c>
      <c r="C88" s="216" t="str">
        <f>DONNEES!A283</f>
        <v>Tranche_FERME</v>
      </c>
      <c r="D88" s="217">
        <f>DONNEES!C283</f>
        <v>0</v>
      </c>
      <c r="E88" s="312">
        <f>DONNEES!D283</f>
        <v>0</v>
      </c>
      <c r="F88" s="218">
        <f>DONNEES!E283</f>
        <v>0</v>
      </c>
      <c r="G88" s="211">
        <f>DONNEES!F283</f>
        <v>0</v>
      </c>
      <c r="H88" s="220">
        <f>F88+G88</f>
        <v>0</v>
      </c>
      <c r="I88" s="219"/>
      <c r="J88" s="212"/>
      <c r="K88" s="221"/>
      <c r="L88" s="214">
        <f>Tableau4[[#This Row],[montant HT2]]+AO88</f>
        <v>0</v>
      </c>
      <c r="M88" s="214">
        <f>Tableau4[[#This Row],[ montant HT3]]+AP88</f>
        <v>0</v>
      </c>
      <c r="P88" s="215">
        <f>(Tableau4[[#This Row],[montant HT2]]*$D$10)+(Tableau4[[#This Row],[ montant HT3]]*$E$10)</f>
        <v>0</v>
      </c>
      <c r="AO88" s="220"/>
      <c r="AP88" s="214"/>
    </row>
    <row r="89" spans="1:42" hidden="1" x14ac:dyDescent="1.2">
      <c r="A89" s="207"/>
      <c r="B89" s="208" t="str">
        <f>Tableau4[[#This Row],[Tranche]]&amp;" "&amp;Tableau4[[#This Row],[type (titulaire / ST)]]</f>
        <v>Tranche_FERME 0</v>
      </c>
      <c r="C89" s="216" t="str">
        <f>DONNEES!A284</f>
        <v>Tranche_FERME</v>
      </c>
      <c r="D89" s="210">
        <f>DONNEES!C284</f>
        <v>0</v>
      </c>
      <c r="E89" s="311">
        <f>DONNEES!D284</f>
        <v>0</v>
      </c>
      <c r="F89" s="211">
        <f>DONNEES!E284</f>
        <v>0</v>
      </c>
      <c r="G89" s="211">
        <f>DONNEES!F284</f>
        <v>0</v>
      </c>
      <c r="H89" s="214">
        <f t="shared" ref="H89:H140" si="3">F89+G89</f>
        <v>0</v>
      </c>
      <c r="I89" s="212"/>
      <c r="J89" s="212"/>
      <c r="K89" s="221"/>
      <c r="L89" s="214">
        <f>Tableau4[[#This Row],[montant HT2]]+AO89</f>
        <v>0</v>
      </c>
      <c r="M89" s="214">
        <f>Tableau4[[#This Row],[ montant HT3]]+AP89</f>
        <v>0</v>
      </c>
      <c r="P89" s="215">
        <f>(Tableau4[[#This Row],[montant HT2]]*$D$10)+(Tableau4[[#This Row],[ montant HT3]]*$E$10)</f>
        <v>0</v>
      </c>
      <c r="AO89" s="214"/>
      <c r="AP89" s="214"/>
    </row>
    <row r="90" spans="1:42" hidden="1" x14ac:dyDescent="1.2">
      <c r="A90" s="207"/>
      <c r="B90" s="208" t="str">
        <f>Tableau4[[#This Row],[Tranche]]&amp;" "&amp;Tableau4[[#This Row],[type (titulaire / ST)]]</f>
        <v>Tranche_FERME 0</v>
      </c>
      <c r="C90" s="216" t="str">
        <f>DONNEES!A285</f>
        <v>Tranche_FERME</v>
      </c>
      <c r="D90" s="210">
        <f>DONNEES!C285</f>
        <v>0</v>
      </c>
      <c r="E90" s="311">
        <f>DONNEES!D285</f>
        <v>0</v>
      </c>
      <c r="F90" s="211">
        <f>DONNEES!E285</f>
        <v>0</v>
      </c>
      <c r="G90" s="211">
        <f>DONNEES!F285</f>
        <v>0</v>
      </c>
      <c r="H90" s="214">
        <f t="shared" si="3"/>
        <v>0</v>
      </c>
      <c r="I90" s="212"/>
      <c r="J90" s="212"/>
      <c r="K90" s="221"/>
      <c r="L90" s="214">
        <f>Tableau4[[#This Row],[montant HT2]]+AO90</f>
        <v>0</v>
      </c>
      <c r="M90" s="214">
        <f>Tableau4[[#This Row],[ montant HT3]]+AP90</f>
        <v>0</v>
      </c>
      <c r="P90" s="215">
        <f>(Tableau4[[#This Row],[montant HT2]]*$D$10)+(Tableau4[[#This Row],[ montant HT3]]*$E$10)</f>
        <v>0</v>
      </c>
      <c r="AO90" s="214"/>
      <c r="AP90" s="214"/>
    </row>
    <row r="91" spans="1:42" hidden="1" x14ac:dyDescent="1.2">
      <c r="A91" s="207"/>
      <c r="B91" s="208" t="str">
        <f>Tableau4[[#This Row],[Tranche]]&amp;" "&amp;Tableau4[[#This Row],[type (titulaire / ST)]]</f>
        <v>Tranche_FERME 0</v>
      </c>
      <c r="C91" s="216" t="str">
        <f>DONNEES!A286</f>
        <v>Tranche_FERME</v>
      </c>
      <c r="D91" s="210">
        <f>DONNEES!C286</f>
        <v>0</v>
      </c>
      <c r="E91" s="311">
        <f>DONNEES!D286</f>
        <v>0</v>
      </c>
      <c r="F91" s="211">
        <f>DONNEES!E286</f>
        <v>0</v>
      </c>
      <c r="G91" s="211">
        <f>DONNEES!F286</f>
        <v>0</v>
      </c>
      <c r="H91" s="214">
        <f t="shared" si="3"/>
        <v>0</v>
      </c>
      <c r="I91" s="212"/>
      <c r="J91" s="212"/>
      <c r="K91" s="221"/>
      <c r="L91" s="214">
        <f>Tableau4[[#This Row],[montant HT2]]+AO91</f>
        <v>0</v>
      </c>
      <c r="M91" s="214">
        <f>Tableau4[[#This Row],[ montant HT3]]+AP91</f>
        <v>0</v>
      </c>
      <c r="P91" s="215">
        <f>(Tableau4[[#This Row],[montant HT2]]*$D$10)+(Tableau4[[#This Row],[ montant HT3]]*$E$10)</f>
        <v>0</v>
      </c>
      <c r="AO91" s="214"/>
      <c r="AP91" s="214"/>
    </row>
    <row r="92" spans="1:42" hidden="1" x14ac:dyDescent="1.2">
      <c r="A92" s="207"/>
      <c r="B92" s="208" t="str">
        <f>Tableau4[[#This Row],[Tranche]]&amp;" "&amp;Tableau4[[#This Row],[type (titulaire / ST)]]</f>
        <v>Tranche_OPTIONNELLE_1 Cotraitant_1</v>
      </c>
      <c r="C92" s="216" t="str">
        <f>DONNEES!A287</f>
        <v>Tranche_OPTIONNELLE_1</v>
      </c>
      <c r="D92" s="210" t="str">
        <f>DONNEES!C287</f>
        <v>Cotraitant_1</v>
      </c>
      <c r="E92" s="311">
        <f>DONNEES!D287</f>
        <v>0</v>
      </c>
      <c r="F92" s="211">
        <f>DONNEES!E287</f>
        <v>0</v>
      </c>
      <c r="G92" s="211">
        <f>DONNEES!F287</f>
        <v>0</v>
      </c>
      <c r="H92" s="214">
        <f t="shared" si="3"/>
        <v>0</v>
      </c>
      <c r="I92" s="212"/>
      <c r="J92" s="212"/>
      <c r="K92" s="221"/>
      <c r="L92" s="214">
        <f>Tableau4[[#This Row],[montant HT2]]+AO92</f>
        <v>0</v>
      </c>
      <c r="M92" s="214">
        <f>Tableau4[[#This Row],[ montant HT3]]+AP92</f>
        <v>0</v>
      </c>
      <c r="P92" s="215">
        <f>(Tableau4[[#This Row],[montant HT2]]*$D$10)+(Tableau4[[#This Row],[ montant HT3]]*$E$10)</f>
        <v>0</v>
      </c>
      <c r="AO92" s="214"/>
      <c r="AP92" s="214"/>
    </row>
    <row r="93" spans="1:42" hidden="1" x14ac:dyDescent="1.2">
      <c r="A93" s="207"/>
      <c r="B93" s="208" t="str">
        <f>Tableau4[[#This Row],[Tranche]]&amp;" "&amp;Tableau4[[#This Row],[type (titulaire / ST)]]</f>
        <v>Tranche_OPTIONNELLE_1 0</v>
      </c>
      <c r="C93" s="216" t="str">
        <f>DONNEES!A288</f>
        <v>Tranche_OPTIONNELLE_1</v>
      </c>
      <c r="D93" s="210">
        <f>DONNEES!C288</f>
        <v>0</v>
      </c>
      <c r="E93" s="311">
        <f>DONNEES!D288</f>
        <v>0</v>
      </c>
      <c r="F93" s="211">
        <f>DONNEES!E288</f>
        <v>0</v>
      </c>
      <c r="G93" s="211">
        <f>DONNEES!F288</f>
        <v>0</v>
      </c>
      <c r="H93" s="214">
        <f t="shared" si="3"/>
        <v>0</v>
      </c>
      <c r="I93" s="212"/>
      <c r="J93" s="212"/>
      <c r="K93" s="221"/>
      <c r="L93" s="214">
        <f>Tableau4[[#This Row],[montant HT2]]+AO93</f>
        <v>0</v>
      </c>
      <c r="M93" s="214">
        <f>Tableau4[[#This Row],[ montant HT3]]+AP93</f>
        <v>0</v>
      </c>
      <c r="P93" s="215">
        <f>(Tableau4[[#This Row],[montant HT2]]*$D$10)+(Tableau4[[#This Row],[ montant HT3]]*$E$10)</f>
        <v>0</v>
      </c>
      <c r="AO93" s="214"/>
      <c r="AP93" s="214"/>
    </row>
    <row r="94" spans="1:42" hidden="1" x14ac:dyDescent="1.2">
      <c r="A94" s="207"/>
      <c r="B94" s="208" t="str">
        <f>Tableau4[[#This Row],[Tranche]]&amp;" "&amp;Tableau4[[#This Row],[type (titulaire / ST)]]</f>
        <v>Tranche_OPTIONNELLE_1 0</v>
      </c>
      <c r="C94" s="216" t="str">
        <f>DONNEES!A289</f>
        <v>Tranche_OPTIONNELLE_1</v>
      </c>
      <c r="D94" s="210">
        <f>DONNEES!C289</f>
        <v>0</v>
      </c>
      <c r="E94" s="311">
        <f>DONNEES!D289</f>
        <v>0</v>
      </c>
      <c r="F94" s="211">
        <f>DONNEES!E289</f>
        <v>0</v>
      </c>
      <c r="G94" s="211">
        <f>DONNEES!F289</f>
        <v>0</v>
      </c>
      <c r="H94" s="214">
        <f t="shared" si="3"/>
        <v>0</v>
      </c>
      <c r="I94" s="212"/>
      <c r="J94" s="212"/>
      <c r="K94" s="221"/>
      <c r="L94" s="214">
        <f>Tableau4[[#This Row],[montant HT2]]+AO94</f>
        <v>0</v>
      </c>
      <c r="M94" s="214">
        <f>Tableau4[[#This Row],[ montant HT3]]+AP94</f>
        <v>0</v>
      </c>
      <c r="P94" s="215">
        <f>(Tableau4[[#This Row],[montant HT2]]*$D$10)+(Tableau4[[#This Row],[ montant HT3]]*$E$10)</f>
        <v>0</v>
      </c>
      <c r="AO94" s="214"/>
      <c r="AP94" s="214"/>
    </row>
    <row r="95" spans="1:42" hidden="1" x14ac:dyDescent="1.2">
      <c r="A95" s="207"/>
      <c r="B95" s="208" t="str">
        <f>Tableau4[[#This Row],[Tranche]]&amp;" "&amp;Tableau4[[#This Row],[type (titulaire / ST)]]</f>
        <v>Tranche_OPTIONNELLE_1 0</v>
      </c>
      <c r="C95" s="216" t="str">
        <f>DONNEES!A290</f>
        <v>Tranche_OPTIONNELLE_1</v>
      </c>
      <c r="D95" s="210">
        <f>DONNEES!C290</f>
        <v>0</v>
      </c>
      <c r="E95" s="311">
        <f>DONNEES!D290</f>
        <v>0</v>
      </c>
      <c r="F95" s="211">
        <f>DONNEES!E290</f>
        <v>0</v>
      </c>
      <c r="G95" s="211">
        <f>DONNEES!F290</f>
        <v>0</v>
      </c>
      <c r="H95" s="214">
        <f t="shared" si="3"/>
        <v>0</v>
      </c>
      <c r="I95" s="212"/>
      <c r="J95" s="212"/>
      <c r="K95" s="221"/>
      <c r="L95" s="214">
        <f>Tableau4[[#This Row],[montant HT2]]+AO95</f>
        <v>0</v>
      </c>
      <c r="M95" s="214">
        <f>Tableau4[[#This Row],[ montant HT3]]+AP95</f>
        <v>0</v>
      </c>
      <c r="P95" s="215">
        <f>(Tableau4[[#This Row],[montant HT2]]*$D$10)+(Tableau4[[#This Row],[ montant HT3]]*$E$10)</f>
        <v>0</v>
      </c>
      <c r="AO95" s="214"/>
      <c r="AP95" s="214"/>
    </row>
    <row r="96" spans="1:42" hidden="1" x14ac:dyDescent="1.2">
      <c r="A96" s="207"/>
      <c r="B96" s="208" t="str">
        <f>Tableau4[[#This Row],[Tranche]]&amp;" "&amp;Tableau4[[#This Row],[type (titulaire / ST)]]</f>
        <v>Tranche_OPTIONNELLE_1 0</v>
      </c>
      <c r="C96" s="216" t="str">
        <f>DONNEES!A291</f>
        <v>Tranche_OPTIONNELLE_1</v>
      </c>
      <c r="D96" s="210">
        <f>DONNEES!C291</f>
        <v>0</v>
      </c>
      <c r="E96" s="311">
        <f>DONNEES!D291</f>
        <v>0</v>
      </c>
      <c r="F96" s="211">
        <f>DONNEES!E291</f>
        <v>0</v>
      </c>
      <c r="G96" s="211">
        <f>DONNEES!F291</f>
        <v>0</v>
      </c>
      <c r="H96" s="214">
        <f t="shared" si="3"/>
        <v>0</v>
      </c>
      <c r="I96" s="212"/>
      <c r="J96" s="212"/>
      <c r="K96" s="221"/>
      <c r="L96" s="214">
        <f>Tableau4[[#This Row],[montant HT2]]+AO96</f>
        <v>0</v>
      </c>
      <c r="M96" s="214">
        <f>Tableau4[[#This Row],[ montant HT3]]+AP96</f>
        <v>0</v>
      </c>
      <c r="P96" s="215">
        <f>(Tableau4[[#This Row],[montant HT2]]*$D$10)+(Tableau4[[#This Row],[ montant HT3]]*$E$10)</f>
        <v>0</v>
      </c>
      <c r="AO96" s="214"/>
      <c r="AP96" s="214"/>
    </row>
    <row r="97" spans="1:42" hidden="1" x14ac:dyDescent="1.2">
      <c r="A97" s="207"/>
      <c r="B97" s="208" t="str">
        <f>Tableau4[[#This Row],[Tranche]]&amp;" "&amp;Tableau4[[#This Row],[type (titulaire / ST)]]</f>
        <v>Tranche_OPTIONNELLE_1 0</v>
      </c>
      <c r="C97" s="216" t="str">
        <f>DONNEES!A292</f>
        <v>Tranche_OPTIONNELLE_1</v>
      </c>
      <c r="D97" s="210">
        <f>DONNEES!C292</f>
        <v>0</v>
      </c>
      <c r="E97" s="311">
        <f>DONNEES!D292</f>
        <v>0</v>
      </c>
      <c r="F97" s="211">
        <f>DONNEES!E292</f>
        <v>0</v>
      </c>
      <c r="G97" s="211">
        <f>DONNEES!F292</f>
        <v>0</v>
      </c>
      <c r="H97" s="214">
        <f t="shared" si="3"/>
        <v>0</v>
      </c>
      <c r="I97" s="212"/>
      <c r="J97" s="212"/>
      <c r="K97" s="221"/>
      <c r="L97" s="214">
        <f>Tableau4[[#This Row],[montant HT2]]+AO97</f>
        <v>0</v>
      </c>
      <c r="M97" s="214">
        <f>Tableau4[[#This Row],[ montant HT3]]+AP97</f>
        <v>0</v>
      </c>
      <c r="P97" s="215">
        <f>(Tableau4[[#This Row],[montant HT2]]*$D$10)+(Tableau4[[#This Row],[ montant HT3]]*$E$10)</f>
        <v>0</v>
      </c>
      <c r="AO97" s="214"/>
      <c r="AP97" s="214"/>
    </row>
    <row r="98" spans="1:42" hidden="1" x14ac:dyDescent="1.2">
      <c r="A98" s="207"/>
      <c r="B98" s="208" t="str">
        <f>Tableau4[[#This Row],[Tranche]]&amp;" "&amp;Tableau4[[#This Row],[type (titulaire / ST)]]</f>
        <v>Tranche_OPTIONNELLE_1 0</v>
      </c>
      <c r="C98" s="216" t="str">
        <f>DONNEES!A293</f>
        <v>Tranche_OPTIONNELLE_1</v>
      </c>
      <c r="D98" s="210">
        <f>DONNEES!C293</f>
        <v>0</v>
      </c>
      <c r="E98" s="311">
        <f>DONNEES!D293</f>
        <v>0</v>
      </c>
      <c r="F98" s="211">
        <f>DONNEES!E293</f>
        <v>0</v>
      </c>
      <c r="G98" s="211">
        <f>DONNEES!F293</f>
        <v>0</v>
      </c>
      <c r="H98" s="214">
        <f t="shared" si="3"/>
        <v>0</v>
      </c>
      <c r="I98" s="212"/>
      <c r="J98" s="212"/>
      <c r="K98" s="221"/>
      <c r="L98" s="214">
        <f>Tableau4[[#This Row],[montant HT2]]+AO98</f>
        <v>0</v>
      </c>
      <c r="M98" s="214">
        <f>Tableau4[[#This Row],[ montant HT3]]+AP98</f>
        <v>0</v>
      </c>
      <c r="P98" s="215">
        <f>(Tableau4[[#This Row],[montant HT2]]*$D$10)+(Tableau4[[#This Row],[ montant HT3]]*$E$10)</f>
        <v>0</v>
      </c>
      <c r="AO98" s="214"/>
      <c r="AP98" s="214"/>
    </row>
    <row r="99" spans="1:42" hidden="1" x14ac:dyDescent="1.2">
      <c r="A99" s="207"/>
      <c r="B99" s="208" t="str">
        <f>Tableau4[[#This Row],[Tranche]]&amp;" "&amp;Tableau4[[#This Row],[type (titulaire / ST)]]</f>
        <v>Tranche_OPTIONNELLE_2 Cotraitant_1</v>
      </c>
      <c r="C99" s="216" t="str">
        <f>DONNEES!A294</f>
        <v>Tranche_OPTIONNELLE_2</v>
      </c>
      <c r="D99" s="210" t="str">
        <f>DONNEES!C294</f>
        <v>Cotraitant_1</v>
      </c>
      <c r="E99" s="311">
        <f>DONNEES!D294</f>
        <v>0</v>
      </c>
      <c r="F99" s="211">
        <f>DONNEES!E294</f>
        <v>0</v>
      </c>
      <c r="G99" s="211">
        <f>DONNEES!F294</f>
        <v>0</v>
      </c>
      <c r="H99" s="214">
        <f t="shared" si="3"/>
        <v>0</v>
      </c>
      <c r="I99" s="212"/>
      <c r="J99" s="212"/>
      <c r="K99" s="221"/>
      <c r="L99" s="214">
        <f>Tableau4[[#This Row],[montant HT2]]+AO99</f>
        <v>0</v>
      </c>
      <c r="M99" s="214">
        <f>Tableau4[[#This Row],[ montant HT3]]+AP99</f>
        <v>0</v>
      </c>
      <c r="P99" s="215">
        <f>(Tableau4[[#This Row],[montant HT2]]*$D$10)+(Tableau4[[#This Row],[ montant HT3]]*$E$10)</f>
        <v>0</v>
      </c>
      <c r="AO99" s="214"/>
      <c r="AP99" s="214"/>
    </row>
    <row r="100" spans="1:42" hidden="1" x14ac:dyDescent="1.2">
      <c r="A100" s="207"/>
      <c r="B100" s="208" t="str">
        <f>Tableau4[[#This Row],[Tranche]]&amp;" "&amp;Tableau4[[#This Row],[type (titulaire / ST)]]</f>
        <v>Tranche_OPTIONNELLE_2 0</v>
      </c>
      <c r="C100" s="216" t="str">
        <f>DONNEES!A295</f>
        <v>Tranche_OPTIONNELLE_2</v>
      </c>
      <c r="D100" s="210">
        <f>DONNEES!C295</f>
        <v>0</v>
      </c>
      <c r="E100" s="311">
        <f>DONNEES!D295</f>
        <v>0</v>
      </c>
      <c r="F100" s="211">
        <f>DONNEES!E295</f>
        <v>0</v>
      </c>
      <c r="G100" s="211">
        <f>DONNEES!F295</f>
        <v>0</v>
      </c>
      <c r="H100" s="214">
        <f t="shared" si="3"/>
        <v>0</v>
      </c>
      <c r="I100" s="212"/>
      <c r="J100" s="212"/>
      <c r="K100" s="221"/>
      <c r="L100" s="214">
        <f>Tableau4[[#This Row],[montant HT2]]+AO100</f>
        <v>0</v>
      </c>
      <c r="M100" s="214">
        <f>Tableau4[[#This Row],[ montant HT3]]+AP100</f>
        <v>0</v>
      </c>
      <c r="P100" s="215">
        <f>(Tableau4[[#This Row],[montant HT2]]*$D$10)+(Tableau4[[#This Row],[ montant HT3]]*$E$10)</f>
        <v>0</v>
      </c>
      <c r="AO100" s="214"/>
      <c r="AP100" s="214"/>
    </row>
    <row r="101" spans="1:42" hidden="1" x14ac:dyDescent="1.2">
      <c r="A101" s="207"/>
      <c r="B101" s="208" t="str">
        <f>Tableau4[[#This Row],[Tranche]]&amp;" "&amp;Tableau4[[#This Row],[type (titulaire / ST)]]</f>
        <v>Tranche_OPTIONNELLE_2 0</v>
      </c>
      <c r="C101" s="216" t="str">
        <f>DONNEES!A296</f>
        <v>Tranche_OPTIONNELLE_2</v>
      </c>
      <c r="D101" s="210">
        <f>DONNEES!C296</f>
        <v>0</v>
      </c>
      <c r="E101" s="311">
        <f>DONNEES!D296</f>
        <v>0</v>
      </c>
      <c r="F101" s="211">
        <f>DONNEES!E296</f>
        <v>0</v>
      </c>
      <c r="G101" s="211">
        <f>DONNEES!F296</f>
        <v>0</v>
      </c>
      <c r="H101" s="214">
        <f t="shared" si="3"/>
        <v>0</v>
      </c>
      <c r="I101" s="212"/>
      <c r="J101" s="212"/>
      <c r="K101" s="221"/>
      <c r="L101" s="214">
        <f>Tableau4[[#This Row],[montant HT2]]+AO101</f>
        <v>0</v>
      </c>
      <c r="M101" s="214">
        <f>Tableau4[[#This Row],[ montant HT3]]+AP101</f>
        <v>0</v>
      </c>
      <c r="P101" s="215">
        <f>(Tableau4[[#This Row],[montant HT2]]*$D$10)+(Tableau4[[#This Row],[ montant HT3]]*$E$10)</f>
        <v>0</v>
      </c>
      <c r="AO101" s="214"/>
      <c r="AP101" s="214"/>
    </row>
    <row r="102" spans="1:42" hidden="1" x14ac:dyDescent="1.2">
      <c r="A102" s="207"/>
      <c r="B102" s="208" t="str">
        <f>Tableau4[[#This Row],[Tranche]]&amp;" "&amp;Tableau4[[#This Row],[type (titulaire / ST)]]</f>
        <v>Tranche_OPTIONNELLE_2 0</v>
      </c>
      <c r="C102" s="216" t="str">
        <f>DONNEES!A297</f>
        <v>Tranche_OPTIONNELLE_2</v>
      </c>
      <c r="D102" s="210">
        <f>DONNEES!C297</f>
        <v>0</v>
      </c>
      <c r="E102" s="311">
        <f>DONNEES!D297</f>
        <v>0</v>
      </c>
      <c r="F102" s="211">
        <f>DONNEES!E297</f>
        <v>0</v>
      </c>
      <c r="G102" s="211">
        <f>DONNEES!F297</f>
        <v>0</v>
      </c>
      <c r="H102" s="214">
        <f t="shared" si="3"/>
        <v>0</v>
      </c>
      <c r="I102" s="212"/>
      <c r="J102" s="212"/>
      <c r="K102" s="221"/>
      <c r="L102" s="214">
        <f>Tableau4[[#This Row],[montant HT2]]+AO102</f>
        <v>0</v>
      </c>
      <c r="M102" s="214">
        <f>Tableau4[[#This Row],[ montant HT3]]+AP102</f>
        <v>0</v>
      </c>
      <c r="P102" s="215">
        <f>(Tableau4[[#This Row],[montant HT2]]*$D$10)+(Tableau4[[#This Row],[ montant HT3]]*$E$10)</f>
        <v>0</v>
      </c>
      <c r="AO102" s="214"/>
      <c r="AP102" s="214"/>
    </row>
    <row r="103" spans="1:42" hidden="1" x14ac:dyDescent="1.2">
      <c r="A103" s="207"/>
      <c r="B103" s="208" t="str">
        <f>Tableau4[[#This Row],[Tranche]]&amp;" "&amp;Tableau4[[#This Row],[type (titulaire / ST)]]</f>
        <v>Tranche_OPTIONNELLE_2 0</v>
      </c>
      <c r="C103" s="216" t="str">
        <f>DONNEES!A298</f>
        <v>Tranche_OPTIONNELLE_2</v>
      </c>
      <c r="D103" s="210">
        <f>DONNEES!C298</f>
        <v>0</v>
      </c>
      <c r="E103" s="311">
        <f>DONNEES!D298</f>
        <v>0</v>
      </c>
      <c r="F103" s="211">
        <f>DONNEES!E298</f>
        <v>0</v>
      </c>
      <c r="G103" s="211">
        <f>DONNEES!F298</f>
        <v>0</v>
      </c>
      <c r="H103" s="214">
        <f t="shared" si="3"/>
        <v>0</v>
      </c>
      <c r="I103" s="212"/>
      <c r="J103" s="212"/>
      <c r="K103" s="221"/>
      <c r="L103" s="214">
        <f>Tableau4[[#This Row],[montant HT2]]+AO103</f>
        <v>0</v>
      </c>
      <c r="M103" s="214">
        <f>Tableau4[[#This Row],[ montant HT3]]+AP103</f>
        <v>0</v>
      </c>
      <c r="P103" s="215">
        <f>(Tableau4[[#This Row],[montant HT2]]*$D$10)+(Tableau4[[#This Row],[ montant HT3]]*$E$10)</f>
        <v>0</v>
      </c>
      <c r="AO103" s="214"/>
      <c r="AP103" s="214"/>
    </row>
    <row r="104" spans="1:42" hidden="1" x14ac:dyDescent="1.2">
      <c r="A104" s="207"/>
      <c r="B104" s="208" t="str">
        <f>Tableau4[[#This Row],[Tranche]]&amp;" "&amp;Tableau4[[#This Row],[type (titulaire / ST)]]</f>
        <v>Tranche_OPTIONNELLE_2 0</v>
      </c>
      <c r="C104" s="216" t="str">
        <f>DONNEES!A299</f>
        <v>Tranche_OPTIONNELLE_2</v>
      </c>
      <c r="D104" s="210">
        <f>DONNEES!C299</f>
        <v>0</v>
      </c>
      <c r="E104" s="311">
        <f>DONNEES!D299</f>
        <v>0</v>
      </c>
      <c r="F104" s="211">
        <f>DONNEES!E299</f>
        <v>0</v>
      </c>
      <c r="G104" s="211">
        <f>DONNEES!F299</f>
        <v>0</v>
      </c>
      <c r="H104" s="214">
        <f t="shared" si="3"/>
        <v>0</v>
      </c>
      <c r="I104" s="212"/>
      <c r="J104" s="212"/>
      <c r="K104" s="221"/>
      <c r="L104" s="214">
        <f>Tableau4[[#This Row],[montant HT2]]+AO104</f>
        <v>0</v>
      </c>
      <c r="M104" s="214">
        <f>Tableau4[[#This Row],[ montant HT3]]+AP104</f>
        <v>0</v>
      </c>
      <c r="P104" s="215">
        <f>(Tableau4[[#This Row],[montant HT2]]*$D$10)+(Tableau4[[#This Row],[ montant HT3]]*$E$10)</f>
        <v>0</v>
      </c>
      <c r="AO104" s="214"/>
      <c r="AP104" s="214"/>
    </row>
    <row r="105" spans="1:42" hidden="1" x14ac:dyDescent="1.2">
      <c r="A105" s="207"/>
      <c r="B105" s="208" t="str">
        <f>Tableau4[[#This Row],[Tranche]]&amp;" "&amp;Tableau4[[#This Row],[type (titulaire / ST)]]</f>
        <v>Tranche_OPTIONNELLE_2 0</v>
      </c>
      <c r="C105" s="216" t="str">
        <f>DONNEES!A300</f>
        <v>Tranche_OPTIONNELLE_2</v>
      </c>
      <c r="D105" s="210">
        <f>DONNEES!C300</f>
        <v>0</v>
      </c>
      <c r="E105" s="311">
        <f>DONNEES!D300</f>
        <v>0</v>
      </c>
      <c r="F105" s="211">
        <f>DONNEES!E300</f>
        <v>0</v>
      </c>
      <c r="G105" s="211">
        <f>DONNEES!F300</f>
        <v>0</v>
      </c>
      <c r="H105" s="214">
        <f t="shared" si="3"/>
        <v>0</v>
      </c>
      <c r="I105" s="212"/>
      <c r="J105" s="212"/>
      <c r="K105" s="221"/>
      <c r="L105" s="214">
        <f>Tableau4[[#This Row],[montant HT2]]+AO105</f>
        <v>0</v>
      </c>
      <c r="M105" s="214">
        <f>Tableau4[[#This Row],[ montant HT3]]+AP105</f>
        <v>0</v>
      </c>
      <c r="P105" s="215">
        <f>(Tableau4[[#This Row],[montant HT2]]*$D$10)+(Tableau4[[#This Row],[ montant HT3]]*$E$10)</f>
        <v>0</v>
      </c>
      <c r="AO105" s="214"/>
      <c r="AP105" s="214"/>
    </row>
    <row r="106" spans="1:42" hidden="1" x14ac:dyDescent="1.2">
      <c r="A106" s="207"/>
      <c r="B106" s="208" t="str">
        <f>Tableau4[[#This Row],[Tranche]]&amp;" "&amp;Tableau4[[#This Row],[type (titulaire / ST)]]</f>
        <v>Tranche_OPTIONNELLE_3 Cotraitant_1</v>
      </c>
      <c r="C106" s="216" t="str">
        <f>DONNEES!A301</f>
        <v>Tranche_OPTIONNELLE_3</v>
      </c>
      <c r="D106" s="210" t="str">
        <f>DONNEES!C301</f>
        <v>Cotraitant_1</v>
      </c>
      <c r="E106" s="311">
        <f>DONNEES!D301</f>
        <v>0</v>
      </c>
      <c r="F106" s="211">
        <f>DONNEES!E301</f>
        <v>0</v>
      </c>
      <c r="G106" s="211">
        <f>DONNEES!F301</f>
        <v>0</v>
      </c>
      <c r="H106" s="214">
        <f t="shared" si="3"/>
        <v>0</v>
      </c>
      <c r="I106" s="212"/>
      <c r="J106" s="212"/>
      <c r="K106" s="221"/>
      <c r="L106" s="214">
        <f>Tableau4[[#This Row],[montant HT2]]+AO106</f>
        <v>0</v>
      </c>
      <c r="M106" s="214">
        <f>Tableau4[[#This Row],[ montant HT3]]+AP106</f>
        <v>0</v>
      </c>
      <c r="P106" s="215">
        <f>(Tableau4[[#This Row],[montant HT2]]*$D$10)+(Tableau4[[#This Row],[ montant HT3]]*$E$10)</f>
        <v>0</v>
      </c>
      <c r="AO106" s="214"/>
      <c r="AP106" s="214"/>
    </row>
    <row r="107" spans="1:42" hidden="1" x14ac:dyDescent="1.2">
      <c r="A107" s="207"/>
      <c r="B107" s="208" t="str">
        <f>Tableau4[[#This Row],[Tranche]]&amp;" "&amp;Tableau4[[#This Row],[type (titulaire / ST)]]</f>
        <v>Tranche_OPTIONNELLE_3 0</v>
      </c>
      <c r="C107" s="216" t="str">
        <f>DONNEES!A302</f>
        <v>Tranche_OPTIONNELLE_3</v>
      </c>
      <c r="D107" s="210">
        <f>DONNEES!C302</f>
        <v>0</v>
      </c>
      <c r="E107" s="311">
        <f>DONNEES!D302</f>
        <v>0</v>
      </c>
      <c r="F107" s="211">
        <f>DONNEES!E302</f>
        <v>0</v>
      </c>
      <c r="G107" s="211">
        <f>DONNEES!F302</f>
        <v>0</v>
      </c>
      <c r="H107" s="214">
        <f t="shared" si="3"/>
        <v>0</v>
      </c>
      <c r="I107" s="212"/>
      <c r="J107" s="212"/>
      <c r="K107" s="221"/>
      <c r="L107" s="214">
        <f>Tableau4[[#This Row],[montant HT2]]+AO107</f>
        <v>0</v>
      </c>
      <c r="M107" s="214">
        <f>Tableau4[[#This Row],[ montant HT3]]+AP107</f>
        <v>0</v>
      </c>
      <c r="P107" s="215">
        <f>(Tableau4[[#This Row],[montant HT2]]*$D$10)+(Tableau4[[#This Row],[ montant HT3]]*$E$10)</f>
        <v>0</v>
      </c>
      <c r="AO107" s="214"/>
      <c r="AP107" s="214"/>
    </row>
    <row r="108" spans="1:42" hidden="1" x14ac:dyDescent="1.2">
      <c r="A108" s="207"/>
      <c r="B108" s="208" t="str">
        <f>Tableau4[[#This Row],[Tranche]]&amp;" "&amp;Tableau4[[#This Row],[type (titulaire / ST)]]</f>
        <v>Tranche_OPTIONNELLE_3 0</v>
      </c>
      <c r="C108" s="216" t="str">
        <f>DONNEES!A303</f>
        <v>Tranche_OPTIONNELLE_3</v>
      </c>
      <c r="D108" s="210">
        <f>DONNEES!C303</f>
        <v>0</v>
      </c>
      <c r="E108" s="311">
        <f>DONNEES!D303</f>
        <v>0</v>
      </c>
      <c r="F108" s="211">
        <f>DONNEES!E303</f>
        <v>0</v>
      </c>
      <c r="G108" s="211">
        <f>DONNEES!F303</f>
        <v>0</v>
      </c>
      <c r="H108" s="214">
        <f t="shared" si="3"/>
        <v>0</v>
      </c>
      <c r="I108" s="212"/>
      <c r="J108" s="212"/>
      <c r="K108" s="221"/>
      <c r="L108" s="214">
        <f>Tableau4[[#This Row],[montant HT2]]+AO108</f>
        <v>0</v>
      </c>
      <c r="M108" s="214">
        <f>Tableau4[[#This Row],[ montant HT3]]+AP108</f>
        <v>0</v>
      </c>
      <c r="P108" s="215">
        <f>(Tableau4[[#This Row],[montant HT2]]*$D$10)+(Tableau4[[#This Row],[ montant HT3]]*$E$10)</f>
        <v>0</v>
      </c>
      <c r="AO108" s="214"/>
      <c r="AP108" s="214"/>
    </row>
    <row r="109" spans="1:42" hidden="1" x14ac:dyDescent="1.2">
      <c r="A109" s="207"/>
      <c r="B109" s="208" t="str">
        <f>Tableau4[[#This Row],[Tranche]]&amp;" "&amp;Tableau4[[#This Row],[type (titulaire / ST)]]</f>
        <v>Tranche_OPTIONNELLE_3 0</v>
      </c>
      <c r="C109" s="216" t="str">
        <f>DONNEES!A304</f>
        <v>Tranche_OPTIONNELLE_3</v>
      </c>
      <c r="D109" s="210">
        <f>DONNEES!C304</f>
        <v>0</v>
      </c>
      <c r="E109" s="311">
        <f>DONNEES!D304</f>
        <v>0</v>
      </c>
      <c r="F109" s="211">
        <f>DONNEES!E304</f>
        <v>0</v>
      </c>
      <c r="G109" s="211">
        <f>DONNEES!F304</f>
        <v>0</v>
      </c>
      <c r="H109" s="214">
        <f t="shared" si="3"/>
        <v>0</v>
      </c>
      <c r="I109" s="212"/>
      <c r="J109" s="212"/>
      <c r="K109" s="221"/>
      <c r="L109" s="214">
        <f>Tableau4[[#This Row],[montant HT2]]+AO109</f>
        <v>0</v>
      </c>
      <c r="M109" s="214">
        <f>Tableau4[[#This Row],[ montant HT3]]+AP109</f>
        <v>0</v>
      </c>
      <c r="P109" s="215">
        <f>(Tableau4[[#This Row],[montant HT2]]*$D$10)+(Tableau4[[#This Row],[ montant HT3]]*$E$10)</f>
        <v>0</v>
      </c>
      <c r="AO109" s="214"/>
      <c r="AP109" s="214"/>
    </row>
    <row r="110" spans="1:42" hidden="1" x14ac:dyDescent="1.2">
      <c r="A110" s="207"/>
      <c r="B110" s="208" t="str">
        <f>Tableau4[[#This Row],[Tranche]]&amp;" "&amp;Tableau4[[#This Row],[type (titulaire / ST)]]</f>
        <v>Tranche_OPTIONNELLE_3 0</v>
      </c>
      <c r="C110" s="216" t="str">
        <f>DONNEES!A305</f>
        <v>Tranche_OPTIONNELLE_3</v>
      </c>
      <c r="D110" s="210">
        <f>DONNEES!C305</f>
        <v>0</v>
      </c>
      <c r="E110" s="311">
        <f>DONNEES!D305</f>
        <v>0</v>
      </c>
      <c r="F110" s="211">
        <f>DONNEES!E305</f>
        <v>0</v>
      </c>
      <c r="G110" s="211">
        <f>DONNEES!F305</f>
        <v>0</v>
      </c>
      <c r="H110" s="214">
        <f t="shared" si="3"/>
        <v>0</v>
      </c>
      <c r="I110" s="212"/>
      <c r="J110" s="212"/>
      <c r="K110" s="221"/>
      <c r="L110" s="214">
        <f>Tableau4[[#This Row],[montant HT2]]+AO110</f>
        <v>0</v>
      </c>
      <c r="M110" s="214">
        <f>Tableau4[[#This Row],[ montant HT3]]+AP110</f>
        <v>0</v>
      </c>
      <c r="P110" s="215">
        <f>(Tableau4[[#This Row],[montant HT2]]*$D$10)+(Tableau4[[#This Row],[ montant HT3]]*$E$10)</f>
        <v>0</v>
      </c>
      <c r="AO110" s="214"/>
      <c r="AP110" s="214"/>
    </row>
    <row r="111" spans="1:42" hidden="1" x14ac:dyDescent="1.2">
      <c r="A111" s="207"/>
      <c r="B111" s="208" t="str">
        <f>Tableau4[[#This Row],[Tranche]]&amp;" "&amp;Tableau4[[#This Row],[type (titulaire / ST)]]</f>
        <v>Tranche_OPTIONNELLE_3 0</v>
      </c>
      <c r="C111" s="216" t="str">
        <f>DONNEES!A306</f>
        <v>Tranche_OPTIONNELLE_3</v>
      </c>
      <c r="D111" s="210">
        <f>DONNEES!C306</f>
        <v>0</v>
      </c>
      <c r="E111" s="311">
        <f>DONNEES!D306</f>
        <v>0</v>
      </c>
      <c r="F111" s="211">
        <f>DONNEES!E306</f>
        <v>0</v>
      </c>
      <c r="G111" s="211">
        <f>DONNEES!F306</f>
        <v>0</v>
      </c>
      <c r="H111" s="214">
        <f t="shared" si="3"/>
        <v>0</v>
      </c>
      <c r="I111" s="212"/>
      <c r="J111" s="212"/>
      <c r="K111" s="221"/>
      <c r="L111" s="214">
        <f>Tableau4[[#This Row],[montant HT2]]+AO111</f>
        <v>0</v>
      </c>
      <c r="M111" s="214">
        <f>Tableau4[[#This Row],[ montant HT3]]+AP111</f>
        <v>0</v>
      </c>
      <c r="P111" s="215">
        <f>(Tableau4[[#This Row],[montant HT2]]*$D$10)+(Tableau4[[#This Row],[ montant HT3]]*$E$10)</f>
        <v>0</v>
      </c>
      <c r="AO111" s="214"/>
      <c r="AP111" s="214"/>
    </row>
    <row r="112" spans="1:42" hidden="1" x14ac:dyDescent="1.2">
      <c r="A112" s="207"/>
      <c r="B112" s="208" t="str">
        <f>Tableau4[[#This Row],[Tranche]]&amp;" "&amp;Tableau4[[#This Row],[type (titulaire / ST)]]</f>
        <v>Tranche_OPTIONNELLE_3 0</v>
      </c>
      <c r="C112" s="216" t="str">
        <f>DONNEES!A307</f>
        <v>Tranche_OPTIONNELLE_3</v>
      </c>
      <c r="D112" s="210">
        <f>DONNEES!C307</f>
        <v>0</v>
      </c>
      <c r="E112" s="311">
        <f>DONNEES!D307</f>
        <v>0</v>
      </c>
      <c r="F112" s="211">
        <f>DONNEES!E307</f>
        <v>0</v>
      </c>
      <c r="G112" s="211">
        <f>DONNEES!F307</f>
        <v>0</v>
      </c>
      <c r="H112" s="214">
        <f t="shared" si="3"/>
        <v>0</v>
      </c>
      <c r="I112" s="212"/>
      <c r="J112" s="212"/>
      <c r="K112" s="221"/>
      <c r="L112" s="214">
        <f>Tableau4[[#This Row],[montant HT2]]+AO112</f>
        <v>0</v>
      </c>
      <c r="M112" s="214">
        <f>Tableau4[[#This Row],[ montant HT3]]+AP112</f>
        <v>0</v>
      </c>
      <c r="P112" s="215">
        <f>(Tableau4[[#This Row],[montant HT2]]*$D$10)+(Tableau4[[#This Row],[ montant HT3]]*$E$10)</f>
        <v>0</v>
      </c>
      <c r="AO112" s="214"/>
      <c r="AP112" s="214"/>
    </row>
    <row r="113" spans="1:42" hidden="1" x14ac:dyDescent="1.2">
      <c r="A113" s="207"/>
      <c r="B113" s="208" t="str">
        <f>Tableau4[[#This Row],[Tranche]]&amp;" "&amp;Tableau4[[#This Row],[type (titulaire / ST)]]</f>
        <v>Tranche_OPTIONNELLE_4 Cotraitant_1</v>
      </c>
      <c r="C113" s="216" t="str">
        <f>DONNEES!A308</f>
        <v>Tranche_OPTIONNELLE_4</v>
      </c>
      <c r="D113" s="210" t="str">
        <f>DONNEES!C308</f>
        <v>Cotraitant_1</v>
      </c>
      <c r="E113" s="311">
        <f>DONNEES!D308</f>
        <v>0</v>
      </c>
      <c r="F113" s="211">
        <f>DONNEES!E308</f>
        <v>0</v>
      </c>
      <c r="G113" s="211">
        <f>DONNEES!F308</f>
        <v>0</v>
      </c>
      <c r="H113" s="214">
        <f t="shared" si="3"/>
        <v>0</v>
      </c>
      <c r="I113" s="212"/>
      <c r="J113" s="212"/>
      <c r="K113" s="221"/>
      <c r="L113" s="214">
        <f>Tableau4[[#This Row],[montant HT2]]+AO113</f>
        <v>0</v>
      </c>
      <c r="M113" s="214">
        <f>Tableau4[[#This Row],[ montant HT3]]+AP113</f>
        <v>0</v>
      </c>
      <c r="P113" s="215">
        <f>(Tableau4[[#This Row],[montant HT2]]*$D$10)+(Tableau4[[#This Row],[ montant HT3]]*$E$10)</f>
        <v>0</v>
      </c>
      <c r="AO113" s="214"/>
      <c r="AP113" s="214"/>
    </row>
    <row r="114" spans="1:42" hidden="1" x14ac:dyDescent="1.2">
      <c r="A114" s="207"/>
      <c r="B114" s="208" t="str">
        <f>Tableau4[[#This Row],[Tranche]]&amp;" "&amp;Tableau4[[#This Row],[type (titulaire / ST)]]</f>
        <v>Tranche_OPTIONNELLE_4 0</v>
      </c>
      <c r="C114" s="216" t="str">
        <f>DONNEES!A309</f>
        <v>Tranche_OPTIONNELLE_4</v>
      </c>
      <c r="D114" s="210">
        <f>DONNEES!C309</f>
        <v>0</v>
      </c>
      <c r="E114" s="311">
        <f>DONNEES!D309</f>
        <v>0</v>
      </c>
      <c r="F114" s="211">
        <f>DONNEES!E309</f>
        <v>0</v>
      </c>
      <c r="G114" s="211">
        <f>DONNEES!F309</f>
        <v>0</v>
      </c>
      <c r="H114" s="214">
        <f t="shared" si="3"/>
        <v>0</v>
      </c>
      <c r="I114" s="212"/>
      <c r="J114" s="212"/>
      <c r="K114" s="221"/>
      <c r="L114" s="214">
        <f>Tableau4[[#This Row],[montant HT2]]+AO114</f>
        <v>0</v>
      </c>
      <c r="M114" s="214">
        <f>Tableau4[[#This Row],[ montant HT3]]+AP114</f>
        <v>0</v>
      </c>
      <c r="P114" s="215">
        <f>(Tableau4[[#This Row],[montant HT2]]*$D$10)+(Tableau4[[#This Row],[ montant HT3]]*$E$10)</f>
        <v>0</v>
      </c>
      <c r="AO114" s="214"/>
      <c r="AP114" s="214"/>
    </row>
    <row r="115" spans="1:42" hidden="1" x14ac:dyDescent="1.2">
      <c r="A115" s="207"/>
      <c r="B115" s="208" t="str">
        <f>Tableau4[[#This Row],[Tranche]]&amp;" "&amp;Tableau4[[#This Row],[type (titulaire / ST)]]</f>
        <v>Tranche_OPTIONNELLE_4 0</v>
      </c>
      <c r="C115" s="216" t="str">
        <f>DONNEES!A310</f>
        <v>Tranche_OPTIONNELLE_4</v>
      </c>
      <c r="D115" s="210">
        <f>DONNEES!C310</f>
        <v>0</v>
      </c>
      <c r="E115" s="311">
        <f>DONNEES!D310</f>
        <v>0</v>
      </c>
      <c r="F115" s="211">
        <f>DONNEES!E310</f>
        <v>0</v>
      </c>
      <c r="G115" s="211">
        <f>DONNEES!F310</f>
        <v>0</v>
      </c>
      <c r="H115" s="214">
        <f t="shared" ref="H115:H126" si="4">F115+G115</f>
        <v>0</v>
      </c>
      <c r="I115" s="212"/>
      <c r="J115" s="212"/>
      <c r="K115" s="221"/>
      <c r="L115" s="214">
        <f>Tableau4[[#This Row],[montant HT2]]+AO115</f>
        <v>0</v>
      </c>
      <c r="M115" s="214">
        <f>Tableau4[[#This Row],[ montant HT3]]+AP115</f>
        <v>0</v>
      </c>
      <c r="P115" s="215">
        <f>(Tableau4[[#This Row],[montant HT2]]*$D$10)+(Tableau4[[#This Row],[ montant HT3]]*$E$10)</f>
        <v>0</v>
      </c>
      <c r="AO115" s="214"/>
      <c r="AP115" s="214"/>
    </row>
    <row r="116" spans="1:42" hidden="1" x14ac:dyDescent="1.2">
      <c r="A116" s="207"/>
      <c r="B116" s="208" t="str">
        <f>Tableau4[[#This Row],[Tranche]]&amp;" "&amp;Tableau4[[#This Row],[type (titulaire / ST)]]</f>
        <v>Tranche_OPTIONNELLE_4 0</v>
      </c>
      <c r="C116" s="216" t="str">
        <f>DONNEES!A311</f>
        <v>Tranche_OPTIONNELLE_4</v>
      </c>
      <c r="D116" s="210">
        <f>DONNEES!C311</f>
        <v>0</v>
      </c>
      <c r="E116" s="311">
        <f>DONNEES!D311</f>
        <v>0</v>
      </c>
      <c r="F116" s="211">
        <f>DONNEES!E311</f>
        <v>0</v>
      </c>
      <c r="G116" s="211">
        <f>DONNEES!F311</f>
        <v>0</v>
      </c>
      <c r="H116" s="214">
        <f t="shared" si="4"/>
        <v>0</v>
      </c>
      <c r="I116" s="212"/>
      <c r="J116" s="212"/>
      <c r="K116" s="221"/>
      <c r="L116" s="214">
        <f>Tableau4[[#This Row],[montant HT2]]+AO116</f>
        <v>0</v>
      </c>
      <c r="M116" s="214">
        <f>Tableau4[[#This Row],[ montant HT3]]+AP116</f>
        <v>0</v>
      </c>
      <c r="P116" s="215">
        <f>(Tableau4[[#This Row],[montant HT2]]*$D$10)+(Tableau4[[#This Row],[ montant HT3]]*$E$10)</f>
        <v>0</v>
      </c>
      <c r="AO116" s="214"/>
      <c r="AP116" s="214"/>
    </row>
    <row r="117" spans="1:42" hidden="1" x14ac:dyDescent="1.2">
      <c r="A117" s="207"/>
      <c r="B117" s="208" t="str">
        <f>Tableau4[[#This Row],[Tranche]]&amp;" "&amp;Tableau4[[#This Row],[type (titulaire / ST)]]</f>
        <v>Tranche_OPTIONNELLE_4 0</v>
      </c>
      <c r="C117" s="216" t="str">
        <f>DONNEES!A312</f>
        <v>Tranche_OPTIONNELLE_4</v>
      </c>
      <c r="D117" s="210">
        <f>DONNEES!C312</f>
        <v>0</v>
      </c>
      <c r="E117" s="311">
        <f>DONNEES!D312</f>
        <v>0</v>
      </c>
      <c r="F117" s="211">
        <f>DONNEES!E312</f>
        <v>0</v>
      </c>
      <c r="G117" s="211">
        <f>DONNEES!F312</f>
        <v>0</v>
      </c>
      <c r="H117" s="214">
        <f t="shared" si="4"/>
        <v>0</v>
      </c>
      <c r="I117" s="212"/>
      <c r="J117" s="212"/>
      <c r="K117" s="221"/>
      <c r="L117" s="214">
        <f>Tableau4[[#This Row],[montant HT2]]+AO117</f>
        <v>0</v>
      </c>
      <c r="M117" s="214">
        <f>Tableau4[[#This Row],[ montant HT3]]+AP117</f>
        <v>0</v>
      </c>
      <c r="P117" s="215">
        <f>(Tableau4[[#This Row],[montant HT2]]*$D$10)+(Tableau4[[#This Row],[ montant HT3]]*$E$10)</f>
        <v>0</v>
      </c>
      <c r="AO117" s="214"/>
      <c r="AP117" s="214"/>
    </row>
    <row r="118" spans="1:42" hidden="1" x14ac:dyDescent="1.2">
      <c r="A118" s="207"/>
      <c r="B118" s="208" t="str">
        <f>Tableau4[[#This Row],[Tranche]]&amp;" "&amp;Tableau4[[#This Row],[type (titulaire / ST)]]</f>
        <v>Tranche_OPTIONNELLE_4 0</v>
      </c>
      <c r="C118" s="216" t="str">
        <f>DONNEES!A313</f>
        <v>Tranche_OPTIONNELLE_4</v>
      </c>
      <c r="D118" s="210">
        <f>DONNEES!C313</f>
        <v>0</v>
      </c>
      <c r="E118" s="311">
        <f>DONNEES!D313</f>
        <v>0</v>
      </c>
      <c r="F118" s="211">
        <f>DONNEES!E313</f>
        <v>0</v>
      </c>
      <c r="G118" s="211">
        <f>DONNEES!F313</f>
        <v>0</v>
      </c>
      <c r="H118" s="214">
        <f t="shared" si="4"/>
        <v>0</v>
      </c>
      <c r="I118" s="212"/>
      <c r="J118" s="212"/>
      <c r="K118" s="221"/>
      <c r="L118" s="214">
        <f>Tableau4[[#This Row],[montant HT2]]+AO118</f>
        <v>0</v>
      </c>
      <c r="M118" s="214">
        <f>Tableau4[[#This Row],[ montant HT3]]+AP118</f>
        <v>0</v>
      </c>
      <c r="P118" s="215">
        <f>(Tableau4[[#This Row],[montant HT2]]*$D$10)+(Tableau4[[#This Row],[ montant HT3]]*$E$10)</f>
        <v>0</v>
      </c>
      <c r="AO118" s="214"/>
      <c r="AP118" s="214"/>
    </row>
    <row r="119" spans="1:42" hidden="1" x14ac:dyDescent="1.2">
      <c r="A119" s="207"/>
      <c r="B119" s="208" t="str">
        <f>Tableau4[[#This Row],[Tranche]]&amp;" "&amp;Tableau4[[#This Row],[type (titulaire / ST)]]</f>
        <v>Tranche_OPTIONNELLE_4 0</v>
      </c>
      <c r="C119" s="216" t="str">
        <f>DONNEES!A314</f>
        <v>Tranche_OPTIONNELLE_4</v>
      </c>
      <c r="D119" s="210">
        <f>DONNEES!C314</f>
        <v>0</v>
      </c>
      <c r="E119" s="311">
        <f>DONNEES!D314</f>
        <v>0</v>
      </c>
      <c r="F119" s="211">
        <f>DONNEES!E314</f>
        <v>0</v>
      </c>
      <c r="G119" s="211">
        <f>DONNEES!F314</f>
        <v>0</v>
      </c>
      <c r="H119" s="214">
        <f t="shared" si="4"/>
        <v>0</v>
      </c>
      <c r="I119" s="212"/>
      <c r="J119" s="212"/>
      <c r="K119" s="221"/>
      <c r="L119" s="214">
        <f>Tableau4[[#This Row],[montant HT2]]+AO119</f>
        <v>0</v>
      </c>
      <c r="M119" s="214">
        <f>Tableau4[[#This Row],[ montant HT3]]+AP119</f>
        <v>0</v>
      </c>
      <c r="P119" s="215">
        <f>(Tableau4[[#This Row],[montant HT2]]*$D$10)+(Tableau4[[#This Row],[ montant HT3]]*$E$10)</f>
        <v>0</v>
      </c>
      <c r="AO119" s="214"/>
      <c r="AP119" s="214"/>
    </row>
    <row r="120" spans="1:42" hidden="1" x14ac:dyDescent="1.2">
      <c r="A120" s="207"/>
      <c r="B120" s="208" t="str">
        <f>Tableau4[[#This Row],[Tranche]]&amp;" "&amp;Tableau4[[#This Row],[type (titulaire / ST)]]</f>
        <v>Tranche_OPTIONNELLE_5 Cotraitant_1</v>
      </c>
      <c r="C120" s="216" t="str">
        <f>DONNEES!A315</f>
        <v>Tranche_OPTIONNELLE_5</v>
      </c>
      <c r="D120" s="210" t="str">
        <f>DONNEES!C315</f>
        <v>Cotraitant_1</v>
      </c>
      <c r="E120" s="311">
        <f>DONNEES!D315</f>
        <v>0</v>
      </c>
      <c r="F120" s="211">
        <f>DONNEES!E315</f>
        <v>0</v>
      </c>
      <c r="G120" s="211">
        <f>DONNEES!F315</f>
        <v>0</v>
      </c>
      <c r="H120" s="214">
        <f t="shared" si="4"/>
        <v>0</v>
      </c>
      <c r="I120" s="212"/>
      <c r="J120" s="212"/>
      <c r="K120" s="221"/>
      <c r="L120" s="214">
        <f>Tableau4[[#This Row],[montant HT2]]+AO120</f>
        <v>0</v>
      </c>
      <c r="M120" s="214">
        <f>Tableau4[[#This Row],[ montant HT3]]+AP120</f>
        <v>0</v>
      </c>
      <c r="P120" s="215">
        <f>(Tableau4[[#This Row],[montant HT2]]*$D$10)+(Tableau4[[#This Row],[ montant HT3]]*$E$10)</f>
        <v>0</v>
      </c>
      <c r="AO120" s="214"/>
      <c r="AP120" s="214"/>
    </row>
    <row r="121" spans="1:42" hidden="1" x14ac:dyDescent="1.2">
      <c r="A121" s="207"/>
      <c r="B121" s="208" t="str">
        <f>Tableau4[[#This Row],[Tranche]]&amp;" "&amp;Tableau4[[#This Row],[type (titulaire / ST)]]</f>
        <v>Tranche_OPTIONNELLE_5 0</v>
      </c>
      <c r="C121" s="216" t="str">
        <f>DONNEES!A316</f>
        <v>Tranche_OPTIONNELLE_5</v>
      </c>
      <c r="D121" s="210">
        <f>DONNEES!C316</f>
        <v>0</v>
      </c>
      <c r="E121" s="311">
        <f>DONNEES!D316</f>
        <v>0</v>
      </c>
      <c r="F121" s="211">
        <f>DONNEES!E316</f>
        <v>0</v>
      </c>
      <c r="G121" s="211">
        <f>DONNEES!F316</f>
        <v>0</v>
      </c>
      <c r="H121" s="214">
        <f t="shared" si="4"/>
        <v>0</v>
      </c>
      <c r="I121" s="212"/>
      <c r="J121" s="212"/>
      <c r="K121" s="221"/>
      <c r="L121" s="214">
        <f>Tableau4[[#This Row],[montant HT2]]+AO121</f>
        <v>0</v>
      </c>
      <c r="M121" s="214">
        <f>Tableau4[[#This Row],[ montant HT3]]+AP121</f>
        <v>0</v>
      </c>
      <c r="P121" s="215">
        <f>(Tableau4[[#This Row],[montant HT2]]*$D$10)+(Tableau4[[#This Row],[ montant HT3]]*$E$10)</f>
        <v>0</v>
      </c>
      <c r="AO121" s="214"/>
      <c r="AP121" s="214"/>
    </row>
    <row r="122" spans="1:42" hidden="1" x14ac:dyDescent="1.2">
      <c r="A122" s="207"/>
      <c r="B122" s="208" t="str">
        <f>Tableau4[[#This Row],[Tranche]]&amp;" "&amp;Tableau4[[#This Row],[type (titulaire / ST)]]</f>
        <v>Tranche_OPTIONNELLE_5 0</v>
      </c>
      <c r="C122" s="216" t="str">
        <f>DONNEES!A317</f>
        <v>Tranche_OPTIONNELLE_5</v>
      </c>
      <c r="D122" s="210">
        <f>DONNEES!C317</f>
        <v>0</v>
      </c>
      <c r="E122" s="311">
        <f>DONNEES!D317</f>
        <v>0</v>
      </c>
      <c r="F122" s="211">
        <f>DONNEES!E317</f>
        <v>0</v>
      </c>
      <c r="G122" s="211">
        <f>DONNEES!F317</f>
        <v>0</v>
      </c>
      <c r="H122" s="214">
        <f t="shared" si="4"/>
        <v>0</v>
      </c>
      <c r="I122" s="212"/>
      <c r="J122" s="212"/>
      <c r="K122" s="221"/>
      <c r="L122" s="214">
        <f>Tableau4[[#This Row],[montant HT2]]+AO122</f>
        <v>0</v>
      </c>
      <c r="M122" s="214">
        <f>Tableau4[[#This Row],[ montant HT3]]+AP122</f>
        <v>0</v>
      </c>
      <c r="P122" s="215">
        <f>(Tableau4[[#This Row],[montant HT2]]*$D$10)+(Tableau4[[#This Row],[ montant HT3]]*$E$10)</f>
        <v>0</v>
      </c>
      <c r="AO122" s="214"/>
      <c r="AP122" s="214"/>
    </row>
    <row r="123" spans="1:42" hidden="1" x14ac:dyDescent="1.2">
      <c r="A123" s="207"/>
      <c r="B123" s="208" t="str">
        <f>Tableau4[[#This Row],[Tranche]]&amp;" "&amp;Tableau4[[#This Row],[type (titulaire / ST)]]</f>
        <v>Tranche_OPTIONNELLE_5 0</v>
      </c>
      <c r="C123" s="216" t="str">
        <f>DONNEES!A318</f>
        <v>Tranche_OPTIONNELLE_5</v>
      </c>
      <c r="D123" s="210">
        <f>DONNEES!C318</f>
        <v>0</v>
      </c>
      <c r="E123" s="311">
        <f>DONNEES!D318</f>
        <v>0</v>
      </c>
      <c r="F123" s="211">
        <f>DONNEES!E318</f>
        <v>0</v>
      </c>
      <c r="G123" s="211">
        <f>DONNEES!F318</f>
        <v>0</v>
      </c>
      <c r="H123" s="214">
        <f t="shared" si="4"/>
        <v>0</v>
      </c>
      <c r="I123" s="212"/>
      <c r="J123" s="212"/>
      <c r="K123" s="221"/>
      <c r="L123" s="214">
        <f>Tableau4[[#This Row],[montant HT2]]+AO123</f>
        <v>0</v>
      </c>
      <c r="M123" s="214">
        <f>Tableau4[[#This Row],[ montant HT3]]+AP123</f>
        <v>0</v>
      </c>
      <c r="P123" s="215">
        <f>(Tableau4[[#This Row],[montant HT2]]*$D$10)+(Tableau4[[#This Row],[ montant HT3]]*$E$10)</f>
        <v>0</v>
      </c>
      <c r="AO123" s="214"/>
      <c r="AP123" s="214"/>
    </row>
    <row r="124" spans="1:42" hidden="1" x14ac:dyDescent="1.2">
      <c r="A124" s="207"/>
      <c r="B124" s="208" t="str">
        <f>Tableau4[[#This Row],[Tranche]]&amp;" "&amp;Tableau4[[#This Row],[type (titulaire / ST)]]</f>
        <v>Tranche_OPTIONNELLE_5 0</v>
      </c>
      <c r="C124" s="216" t="str">
        <f>DONNEES!A319</f>
        <v>Tranche_OPTIONNELLE_5</v>
      </c>
      <c r="D124" s="210">
        <f>DONNEES!C319</f>
        <v>0</v>
      </c>
      <c r="E124" s="311">
        <f>DONNEES!D319</f>
        <v>0</v>
      </c>
      <c r="F124" s="211">
        <f>DONNEES!E319</f>
        <v>0</v>
      </c>
      <c r="G124" s="211">
        <f>DONNEES!F319</f>
        <v>0</v>
      </c>
      <c r="H124" s="214">
        <f t="shared" si="4"/>
        <v>0</v>
      </c>
      <c r="I124" s="212"/>
      <c r="J124" s="212"/>
      <c r="K124" s="221"/>
      <c r="L124" s="214">
        <f>Tableau4[[#This Row],[montant HT2]]+AO124</f>
        <v>0</v>
      </c>
      <c r="M124" s="214">
        <f>Tableau4[[#This Row],[ montant HT3]]+AP124</f>
        <v>0</v>
      </c>
      <c r="P124" s="215">
        <f>(Tableau4[[#This Row],[montant HT2]]*$D$10)+(Tableau4[[#This Row],[ montant HT3]]*$E$10)</f>
        <v>0</v>
      </c>
      <c r="AO124" s="214"/>
      <c r="AP124" s="214"/>
    </row>
    <row r="125" spans="1:42" hidden="1" x14ac:dyDescent="1.2">
      <c r="A125" s="207"/>
      <c r="B125" s="208" t="str">
        <f>Tableau4[[#This Row],[Tranche]]&amp;" "&amp;Tableau4[[#This Row],[type (titulaire / ST)]]</f>
        <v>Tranche_OPTIONNELLE_5 0</v>
      </c>
      <c r="C125" s="216" t="str">
        <f>DONNEES!A320</f>
        <v>Tranche_OPTIONNELLE_5</v>
      </c>
      <c r="D125" s="210">
        <f>DONNEES!C320</f>
        <v>0</v>
      </c>
      <c r="E125" s="311">
        <f>DONNEES!D320</f>
        <v>0</v>
      </c>
      <c r="F125" s="211">
        <f>DONNEES!E320</f>
        <v>0</v>
      </c>
      <c r="G125" s="211">
        <f>DONNEES!F320</f>
        <v>0</v>
      </c>
      <c r="H125" s="214">
        <f t="shared" si="4"/>
        <v>0</v>
      </c>
      <c r="I125" s="212"/>
      <c r="J125" s="212"/>
      <c r="K125" s="221"/>
      <c r="L125" s="214">
        <f>Tableau4[[#This Row],[montant HT2]]+AO125</f>
        <v>0</v>
      </c>
      <c r="M125" s="214">
        <f>Tableau4[[#This Row],[ montant HT3]]+AP125</f>
        <v>0</v>
      </c>
      <c r="P125" s="215">
        <f>(Tableau4[[#This Row],[montant HT2]]*$D$10)+(Tableau4[[#This Row],[ montant HT3]]*$E$10)</f>
        <v>0</v>
      </c>
      <c r="AO125" s="214"/>
      <c r="AP125" s="214"/>
    </row>
    <row r="126" spans="1:42" hidden="1" x14ac:dyDescent="1.2">
      <c r="A126" s="207"/>
      <c r="B126" s="208" t="str">
        <f>Tableau4[[#This Row],[Tranche]]&amp;" "&amp;Tableau4[[#This Row],[type (titulaire / ST)]]</f>
        <v>Tranche_OPTIONNELLE_5 0</v>
      </c>
      <c r="C126" s="216" t="str">
        <f>DONNEES!A321</f>
        <v>Tranche_OPTIONNELLE_5</v>
      </c>
      <c r="D126" s="210">
        <f>DONNEES!C321</f>
        <v>0</v>
      </c>
      <c r="E126" s="311">
        <f>DONNEES!D321</f>
        <v>0</v>
      </c>
      <c r="F126" s="211">
        <f>DONNEES!E321</f>
        <v>0</v>
      </c>
      <c r="G126" s="211">
        <f>DONNEES!F321</f>
        <v>0</v>
      </c>
      <c r="H126" s="214">
        <f t="shared" si="4"/>
        <v>0</v>
      </c>
      <c r="I126" s="212"/>
      <c r="J126" s="212"/>
      <c r="K126" s="221"/>
      <c r="L126" s="214">
        <f>Tableau4[[#This Row],[montant HT2]]+AO126</f>
        <v>0</v>
      </c>
      <c r="M126" s="214">
        <f>Tableau4[[#This Row],[ montant HT3]]+AP126</f>
        <v>0</v>
      </c>
      <c r="P126" s="215">
        <f>(Tableau4[[#This Row],[montant HT2]]*$D$10)+(Tableau4[[#This Row],[ montant HT3]]*$E$10)</f>
        <v>0</v>
      </c>
      <c r="AO126" s="214"/>
      <c r="AP126" s="214"/>
    </row>
    <row r="127" spans="1:42" hidden="1" x14ac:dyDescent="1.2">
      <c r="A127" s="207"/>
      <c r="B127" s="208" t="str">
        <f>Tableau4[[#This Row],[Tranche]]&amp;" "&amp;Tableau4[[#This Row],[type (titulaire / ST)]]</f>
        <v>Tranche_OPTIONNELLE_6 Cotraitant_1</v>
      </c>
      <c r="C127" s="216" t="str">
        <f>DONNEES!A322</f>
        <v>Tranche_OPTIONNELLE_6</v>
      </c>
      <c r="D127" s="210" t="str">
        <f>DONNEES!C322</f>
        <v>Cotraitant_1</v>
      </c>
      <c r="E127" s="311">
        <f>DONNEES!D322</f>
        <v>0</v>
      </c>
      <c r="F127" s="211">
        <f>DONNEES!E322</f>
        <v>0</v>
      </c>
      <c r="G127" s="211">
        <f>DONNEES!F322</f>
        <v>0</v>
      </c>
      <c r="H127" s="214">
        <f t="shared" si="3"/>
        <v>0</v>
      </c>
      <c r="I127" s="212"/>
      <c r="J127" s="212"/>
      <c r="K127" s="221"/>
      <c r="L127" s="214">
        <f>Tableau4[[#This Row],[montant HT2]]+AO127</f>
        <v>0</v>
      </c>
      <c r="M127" s="214">
        <f>Tableau4[[#This Row],[ montant HT3]]+AP127</f>
        <v>0</v>
      </c>
      <c r="P127" s="215">
        <f>(Tableau4[[#This Row],[montant HT2]]*$D$10)+(Tableau4[[#This Row],[ montant HT3]]*$E$10)</f>
        <v>0</v>
      </c>
      <c r="AO127" s="214"/>
      <c r="AP127" s="214"/>
    </row>
    <row r="128" spans="1:42" hidden="1" x14ac:dyDescent="1.2">
      <c r="A128" s="207"/>
      <c r="B128" s="208" t="str">
        <f>Tableau4[[#This Row],[Tranche]]&amp;" "&amp;Tableau4[[#This Row],[type (titulaire / ST)]]</f>
        <v>Tranche_OPTIONNELLE_6 0</v>
      </c>
      <c r="C128" s="216" t="str">
        <f>DONNEES!A323</f>
        <v>Tranche_OPTIONNELLE_6</v>
      </c>
      <c r="D128" s="210">
        <f>DONNEES!C323</f>
        <v>0</v>
      </c>
      <c r="E128" s="311">
        <f>DONNEES!D323</f>
        <v>0</v>
      </c>
      <c r="F128" s="211">
        <f>DONNEES!E323</f>
        <v>0</v>
      </c>
      <c r="G128" s="211">
        <f>DONNEES!F323</f>
        <v>0</v>
      </c>
      <c r="H128" s="214">
        <f t="shared" si="3"/>
        <v>0</v>
      </c>
      <c r="I128" s="212"/>
      <c r="J128" s="212"/>
      <c r="K128" s="221"/>
      <c r="L128" s="214">
        <f>Tableau4[[#This Row],[montant HT2]]+AO128</f>
        <v>0</v>
      </c>
      <c r="M128" s="214">
        <f>Tableau4[[#This Row],[ montant HT3]]+AP128</f>
        <v>0</v>
      </c>
      <c r="P128" s="215">
        <f>(Tableau4[[#This Row],[montant HT2]]*$D$10)+(Tableau4[[#This Row],[ montant HT3]]*$E$10)</f>
        <v>0</v>
      </c>
      <c r="AO128" s="214"/>
      <c r="AP128" s="214"/>
    </row>
    <row r="129" spans="1:42" hidden="1" x14ac:dyDescent="1.2">
      <c r="A129" s="207"/>
      <c r="B129" s="208" t="str">
        <f>Tableau4[[#This Row],[Tranche]]&amp;" "&amp;Tableau4[[#This Row],[type (titulaire / ST)]]</f>
        <v>Tranche_OPTIONNELLE_6 0</v>
      </c>
      <c r="C129" s="216" t="str">
        <f>DONNEES!A324</f>
        <v>Tranche_OPTIONNELLE_6</v>
      </c>
      <c r="D129" s="210">
        <f>DONNEES!C324</f>
        <v>0</v>
      </c>
      <c r="E129" s="311">
        <f>DONNEES!D324</f>
        <v>0</v>
      </c>
      <c r="F129" s="211">
        <f>DONNEES!E324</f>
        <v>0</v>
      </c>
      <c r="G129" s="211">
        <f>DONNEES!F324</f>
        <v>0</v>
      </c>
      <c r="H129" s="214">
        <f t="shared" si="3"/>
        <v>0</v>
      </c>
      <c r="I129" s="212"/>
      <c r="J129" s="212"/>
      <c r="K129" s="221"/>
      <c r="L129" s="214">
        <f>Tableau4[[#This Row],[montant HT2]]+AO129</f>
        <v>0</v>
      </c>
      <c r="M129" s="214">
        <f>Tableau4[[#This Row],[ montant HT3]]+AP129</f>
        <v>0</v>
      </c>
      <c r="P129" s="215">
        <f>(Tableau4[[#This Row],[montant HT2]]*$D$10)+(Tableau4[[#This Row],[ montant HT3]]*$E$10)</f>
        <v>0</v>
      </c>
      <c r="AO129" s="214"/>
      <c r="AP129" s="214"/>
    </row>
    <row r="130" spans="1:42" hidden="1" x14ac:dyDescent="1.2">
      <c r="A130" s="207"/>
      <c r="B130" s="208" t="str">
        <f>Tableau4[[#This Row],[Tranche]]&amp;" "&amp;Tableau4[[#This Row],[type (titulaire / ST)]]</f>
        <v>Tranche_OPTIONNELLE_6 0</v>
      </c>
      <c r="C130" s="216" t="str">
        <f>DONNEES!A325</f>
        <v>Tranche_OPTIONNELLE_6</v>
      </c>
      <c r="D130" s="217">
        <f>DONNEES!C325</f>
        <v>0</v>
      </c>
      <c r="E130" s="312">
        <f>DONNEES!D325</f>
        <v>0</v>
      </c>
      <c r="F130" s="211">
        <f>DONNEES!E325</f>
        <v>0</v>
      </c>
      <c r="G130" s="211">
        <f>DONNEES!F325</f>
        <v>0</v>
      </c>
      <c r="H130" s="214">
        <f t="shared" si="3"/>
        <v>0</v>
      </c>
      <c r="I130" s="219"/>
      <c r="J130" s="212"/>
      <c r="K130" s="221"/>
      <c r="L130" s="214">
        <f>Tableau4[[#This Row],[montant HT2]]+AO130</f>
        <v>0</v>
      </c>
      <c r="M130" s="214">
        <f>Tableau4[[#This Row],[ montant HT3]]+AP130</f>
        <v>0</v>
      </c>
      <c r="P130" s="215">
        <f>(Tableau4[[#This Row],[montant HT2]]*$D$10)+(Tableau4[[#This Row],[ montant HT3]]*$E$10)</f>
        <v>0</v>
      </c>
      <c r="AO130" s="220"/>
      <c r="AP130" s="214"/>
    </row>
    <row r="131" spans="1:42" hidden="1" x14ac:dyDescent="1.2">
      <c r="A131" s="207"/>
      <c r="B131" s="208" t="str">
        <f>Tableau4[[#This Row],[Tranche]]&amp;" "&amp;Tableau4[[#This Row],[type (titulaire / ST)]]</f>
        <v>Tranche_OPTIONNELLE_6 0</v>
      </c>
      <c r="C131" s="216" t="str">
        <f>DONNEES!A326</f>
        <v>Tranche_OPTIONNELLE_6</v>
      </c>
      <c r="D131" s="210">
        <f>DONNEES!C326</f>
        <v>0</v>
      </c>
      <c r="E131" s="311">
        <f>DONNEES!D326</f>
        <v>0</v>
      </c>
      <c r="F131" s="211">
        <f>DONNEES!E326</f>
        <v>0</v>
      </c>
      <c r="G131" s="211">
        <f>DONNEES!F326</f>
        <v>0</v>
      </c>
      <c r="H131" s="214">
        <f t="shared" si="3"/>
        <v>0</v>
      </c>
      <c r="I131" s="212"/>
      <c r="J131" s="212"/>
      <c r="K131" s="221"/>
      <c r="L131" s="214">
        <f>Tableau4[[#This Row],[montant HT2]]+AO131</f>
        <v>0</v>
      </c>
      <c r="M131" s="214">
        <f>Tableau4[[#This Row],[ montant HT3]]+AP131</f>
        <v>0</v>
      </c>
      <c r="P131" s="215">
        <f>(Tableau4[[#This Row],[montant HT2]]*$D$10)+(Tableau4[[#This Row],[ montant HT3]]*$E$10)</f>
        <v>0</v>
      </c>
      <c r="AO131" s="214"/>
      <c r="AP131" s="214"/>
    </row>
    <row r="132" spans="1:42" hidden="1" x14ac:dyDescent="1.2">
      <c r="A132" s="207"/>
      <c r="B132" s="208" t="str">
        <f>Tableau4[[#This Row],[Tranche]]&amp;" "&amp;Tableau4[[#This Row],[type (titulaire / ST)]]</f>
        <v>Tranche_OPTIONNELLE_6 0</v>
      </c>
      <c r="C132" s="216" t="str">
        <f>DONNEES!A327</f>
        <v>Tranche_OPTIONNELLE_6</v>
      </c>
      <c r="D132" s="210">
        <f>DONNEES!C327</f>
        <v>0</v>
      </c>
      <c r="E132" s="311">
        <f>DONNEES!D327</f>
        <v>0</v>
      </c>
      <c r="F132" s="211">
        <f>DONNEES!E327</f>
        <v>0</v>
      </c>
      <c r="G132" s="211">
        <f>DONNEES!F327</f>
        <v>0</v>
      </c>
      <c r="H132" s="214">
        <f t="shared" si="3"/>
        <v>0</v>
      </c>
      <c r="I132" s="212"/>
      <c r="J132" s="212"/>
      <c r="K132" s="221"/>
      <c r="L132" s="214">
        <f>Tableau4[[#This Row],[montant HT2]]+AO132</f>
        <v>0</v>
      </c>
      <c r="M132" s="214">
        <f>Tableau4[[#This Row],[ montant HT3]]+AP132</f>
        <v>0</v>
      </c>
      <c r="P132" s="215">
        <f>(Tableau4[[#This Row],[montant HT2]]*$D$10)+(Tableau4[[#This Row],[ montant HT3]]*$E$10)</f>
        <v>0</v>
      </c>
      <c r="AO132" s="214"/>
      <c r="AP132" s="214"/>
    </row>
    <row r="133" spans="1:42" hidden="1" x14ac:dyDescent="1.2">
      <c r="A133" s="207"/>
      <c r="B133" s="208" t="str">
        <f>Tableau4[[#This Row],[Tranche]]&amp;" "&amp;Tableau4[[#This Row],[type (titulaire / ST)]]</f>
        <v>Tranche_OPTIONNELLE_6 0</v>
      </c>
      <c r="C133" s="216" t="str">
        <f>DONNEES!A328</f>
        <v>Tranche_OPTIONNELLE_6</v>
      </c>
      <c r="D133" s="210">
        <f>DONNEES!C328</f>
        <v>0</v>
      </c>
      <c r="E133" s="311">
        <f>DONNEES!D328</f>
        <v>0</v>
      </c>
      <c r="F133" s="211">
        <f>DONNEES!E328</f>
        <v>0</v>
      </c>
      <c r="G133" s="211">
        <f>DONNEES!F328</f>
        <v>0</v>
      </c>
      <c r="H133" s="214">
        <f t="shared" si="3"/>
        <v>0</v>
      </c>
      <c r="I133" s="212"/>
      <c r="J133" s="212"/>
      <c r="K133" s="221"/>
      <c r="L133" s="214">
        <f>Tableau4[[#This Row],[montant HT2]]+AO133</f>
        <v>0</v>
      </c>
      <c r="M133" s="214">
        <f>Tableau4[[#This Row],[ montant HT3]]+AP133</f>
        <v>0</v>
      </c>
      <c r="P133" s="215">
        <f>(Tableau4[[#This Row],[montant HT2]]*$D$10)+(Tableau4[[#This Row],[ montant HT3]]*$E$10)</f>
        <v>0</v>
      </c>
      <c r="AO133" s="214"/>
      <c r="AP133" s="214"/>
    </row>
    <row r="134" spans="1:42" hidden="1" x14ac:dyDescent="1.2">
      <c r="A134" s="207"/>
      <c r="B134" s="208" t="str">
        <f>Tableau4[[#This Row],[Tranche]]&amp;" "&amp;Tableau4[[#This Row],[type (titulaire / ST)]]</f>
        <v>Avenants et OS Tranche Ferme Cotraitant_1</v>
      </c>
      <c r="C134" s="216" t="str">
        <f>DONNEES!A329</f>
        <v>Avenants et OS Tranche Ferme</v>
      </c>
      <c r="D134" s="210" t="str">
        <f>DONNEES!C329</f>
        <v>Cotraitant_1</v>
      </c>
      <c r="E134" s="311">
        <f>DONNEES!D329</f>
        <v>0</v>
      </c>
      <c r="F134" s="211">
        <f>DONNEES!E329</f>
        <v>0</v>
      </c>
      <c r="G134" s="211">
        <f>DONNEES!F329</f>
        <v>0</v>
      </c>
      <c r="H134" s="214">
        <f t="shared" si="3"/>
        <v>0</v>
      </c>
      <c r="I134" s="212"/>
      <c r="J134" s="212"/>
      <c r="K134" s="221"/>
      <c r="L134" s="214">
        <f>Tableau4[[#This Row],[montant HT2]]+AO134</f>
        <v>0</v>
      </c>
      <c r="M134" s="214">
        <f>Tableau4[[#This Row],[ montant HT3]]+AP134</f>
        <v>0</v>
      </c>
      <c r="P134" s="215">
        <f>(Tableau4[[#This Row],[montant HT2]]*$D$10)+(Tableau4[[#This Row],[ montant HT3]]*$E$10)</f>
        <v>0</v>
      </c>
      <c r="AO134" s="214"/>
      <c r="AP134" s="214"/>
    </row>
    <row r="135" spans="1:42" hidden="1" x14ac:dyDescent="1.2">
      <c r="A135" s="207"/>
      <c r="B135" s="208" t="str">
        <f>Tableau4[[#This Row],[Tranche]]&amp;" "&amp;Tableau4[[#This Row],[type (titulaire / ST)]]</f>
        <v>Avenants et OS Tranche Optionnelle 1 Cotraitant_1</v>
      </c>
      <c r="C135" s="216" t="str">
        <f>DONNEES!A330</f>
        <v>Avenants et OS Tranche Optionnelle 1</v>
      </c>
      <c r="D135" s="217" t="str">
        <f>DONNEES!C330</f>
        <v>Cotraitant_1</v>
      </c>
      <c r="E135" s="312">
        <f>DONNEES!D330</f>
        <v>0</v>
      </c>
      <c r="F135" s="211">
        <f>DONNEES!E330</f>
        <v>0</v>
      </c>
      <c r="G135" s="211">
        <f>DONNEES!F330</f>
        <v>0</v>
      </c>
      <c r="H135" s="214">
        <f t="shared" si="3"/>
        <v>0</v>
      </c>
      <c r="I135" s="219"/>
      <c r="J135" s="212"/>
      <c r="K135" s="221"/>
      <c r="L135" s="214">
        <f>Tableau4[[#This Row],[montant HT2]]+AO135</f>
        <v>0</v>
      </c>
      <c r="M135" s="214">
        <f>Tableau4[[#This Row],[ montant HT3]]+AP135</f>
        <v>0</v>
      </c>
      <c r="P135" s="215">
        <f>(Tableau4[[#This Row],[montant HT2]]*$D$10)+(Tableau4[[#This Row],[ montant HT3]]*$E$10)</f>
        <v>0</v>
      </c>
      <c r="AO135" s="220"/>
      <c r="AP135" s="214"/>
    </row>
    <row r="136" spans="1:42" hidden="1" x14ac:dyDescent="1.2">
      <c r="A136" s="207"/>
      <c r="B136" s="208" t="str">
        <f>Tableau4[[#This Row],[Tranche]]&amp;" "&amp;Tableau4[[#This Row],[type (titulaire / ST)]]</f>
        <v>Avenants et OS Tranche Optionnelle 2 Cotraitant_1</v>
      </c>
      <c r="C136" s="216" t="str">
        <f>DONNEES!A331</f>
        <v>Avenants et OS Tranche Optionnelle 2</v>
      </c>
      <c r="D136" s="210" t="str">
        <f>DONNEES!C331</f>
        <v>Cotraitant_1</v>
      </c>
      <c r="E136" s="311">
        <f>DONNEES!D331</f>
        <v>0</v>
      </c>
      <c r="F136" s="211">
        <f>DONNEES!E331</f>
        <v>0</v>
      </c>
      <c r="G136" s="211">
        <f>DONNEES!F331</f>
        <v>0</v>
      </c>
      <c r="H136" s="214">
        <f t="shared" si="3"/>
        <v>0</v>
      </c>
      <c r="I136" s="212"/>
      <c r="J136" s="212"/>
      <c r="K136" s="221"/>
      <c r="L136" s="214">
        <f>Tableau4[[#This Row],[montant HT2]]+AO136</f>
        <v>0</v>
      </c>
      <c r="M136" s="214">
        <f>Tableau4[[#This Row],[ montant HT3]]+AP136</f>
        <v>0</v>
      </c>
      <c r="P136" s="215">
        <f>(Tableau4[[#This Row],[montant HT2]]*$D$10)+(Tableau4[[#This Row],[ montant HT3]]*$E$10)</f>
        <v>0</v>
      </c>
      <c r="AO136" s="214"/>
      <c r="AP136" s="214"/>
    </row>
    <row r="137" spans="1:42" hidden="1" x14ac:dyDescent="1.2">
      <c r="A137" s="207"/>
      <c r="B137" s="208" t="str">
        <f>Tableau4[[#This Row],[Tranche]]&amp;" "&amp;Tableau4[[#This Row],[type (titulaire / ST)]]</f>
        <v>Avenants et OS Tranche Optionnelle 3 Cotraitant_1</v>
      </c>
      <c r="C137" s="216" t="str">
        <f>DONNEES!A332</f>
        <v>Avenants et OS Tranche Optionnelle 3</v>
      </c>
      <c r="D137" s="210" t="str">
        <f>DONNEES!C332</f>
        <v>Cotraitant_1</v>
      </c>
      <c r="E137" s="311">
        <f>DONNEES!D332</f>
        <v>0</v>
      </c>
      <c r="F137" s="211">
        <f>DONNEES!E332</f>
        <v>0</v>
      </c>
      <c r="G137" s="211">
        <f>DONNEES!F332</f>
        <v>0</v>
      </c>
      <c r="H137" s="214">
        <f t="shared" si="3"/>
        <v>0</v>
      </c>
      <c r="I137" s="212"/>
      <c r="J137" s="212"/>
      <c r="K137" s="221"/>
      <c r="L137" s="214">
        <f>Tableau4[[#This Row],[montant HT2]]+AO137</f>
        <v>0</v>
      </c>
      <c r="M137" s="214">
        <f>Tableau4[[#This Row],[ montant HT3]]+AP137</f>
        <v>0</v>
      </c>
      <c r="P137" s="215">
        <f>(Tableau4[[#This Row],[montant HT2]]*$D$10)+(Tableau4[[#This Row],[ montant HT3]]*$E$10)</f>
        <v>0</v>
      </c>
      <c r="AO137" s="214"/>
      <c r="AP137" s="214"/>
    </row>
    <row r="138" spans="1:42" hidden="1" x14ac:dyDescent="1.2">
      <c r="A138" s="207"/>
      <c r="B138" s="208" t="str">
        <f>Tableau4[[#This Row],[Tranche]]&amp;" "&amp;Tableau4[[#This Row],[type (titulaire / ST)]]</f>
        <v>Avenants et OS Tranche Optionnelle 4 Cotraitant_1</v>
      </c>
      <c r="C138" s="216" t="str">
        <f>DONNEES!A333</f>
        <v>Avenants et OS Tranche Optionnelle 4</v>
      </c>
      <c r="D138" s="217" t="str">
        <f>DONNEES!C333</f>
        <v>Cotraitant_1</v>
      </c>
      <c r="E138" s="312">
        <f>DONNEES!D333</f>
        <v>0</v>
      </c>
      <c r="F138" s="211">
        <f>DONNEES!E333</f>
        <v>0</v>
      </c>
      <c r="G138" s="211">
        <f>DONNEES!F333</f>
        <v>0</v>
      </c>
      <c r="H138" s="214">
        <f t="shared" si="3"/>
        <v>0</v>
      </c>
      <c r="I138" s="219"/>
      <c r="J138" s="212"/>
      <c r="K138" s="221"/>
      <c r="L138" s="214">
        <f>Tableau4[[#This Row],[montant HT2]]+AO138</f>
        <v>0</v>
      </c>
      <c r="M138" s="214">
        <f>Tableau4[[#This Row],[ montant HT3]]+AP138</f>
        <v>0</v>
      </c>
      <c r="P138" s="215">
        <f>(Tableau4[[#This Row],[montant HT2]]*$D$10)+(Tableau4[[#This Row],[ montant HT3]]*$E$10)</f>
        <v>0</v>
      </c>
      <c r="AO138" s="220"/>
      <c r="AP138" s="214"/>
    </row>
    <row r="139" spans="1:42" hidden="1" x14ac:dyDescent="1.2">
      <c r="A139" s="207"/>
      <c r="B139" s="208" t="str">
        <f>Tableau4[[#This Row],[Tranche]]&amp;" "&amp;Tableau4[[#This Row],[type (titulaire / ST)]]</f>
        <v>Avenants et OS Tranche Optionnelle 5 Cotraitant_1</v>
      </c>
      <c r="C139" s="216" t="str">
        <f>DONNEES!A334</f>
        <v>Avenants et OS Tranche Optionnelle 5</v>
      </c>
      <c r="D139" s="210" t="str">
        <f>DONNEES!C334</f>
        <v>Cotraitant_1</v>
      </c>
      <c r="E139" s="311">
        <f>DONNEES!D334</f>
        <v>0</v>
      </c>
      <c r="F139" s="211">
        <f>DONNEES!E334</f>
        <v>0</v>
      </c>
      <c r="G139" s="211">
        <f>DONNEES!F334</f>
        <v>0</v>
      </c>
      <c r="H139" s="214">
        <f t="shared" si="3"/>
        <v>0</v>
      </c>
      <c r="I139" s="212"/>
      <c r="J139" s="212"/>
      <c r="K139" s="221"/>
      <c r="L139" s="214">
        <f>Tableau4[[#This Row],[montant HT2]]+AO139</f>
        <v>0</v>
      </c>
      <c r="M139" s="214">
        <f>Tableau4[[#This Row],[ montant HT3]]+AP139</f>
        <v>0</v>
      </c>
      <c r="P139" s="215">
        <f>(Tableau4[[#This Row],[montant HT2]]*$D$10)+(Tableau4[[#This Row],[ montant HT3]]*$E$10)</f>
        <v>0</v>
      </c>
      <c r="AO139" s="214"/>
      <c r="AP139" s="214"/>
    </row>
    <row r="140" spans="1:42" hidden="1" x14ac:dyDescent="1.2">
      <c r="A140" s="207"/>
      <c r="B140" s="208" t="str">
        <f>Tableau4[[#This Row],[Tranche]]&amp;" "&amp;Tableau4[[#This Row],[type (titulaire / ST)]]</f>
        <v>Avenants et OS Tranche Optionnelle 6 Cotraitant_1</v>
      </c>
      <c r="C140" s="216" t="str">
        <f>DONNEES!A335</f>
        <v>Avenants et OS Tranche Optionnelle 6</v>
      </c>
      <c r="D140" s="217" t="str">
        <f>DONNEES!C335</f>
        <v>Cotraitant_1</v>
      </c>
      <c r="E140" s="312">
        <f>DONNEES!D335</f>
        <v>0</v>
      </c>
      <c r="F140" s="211">
        <f>DONNEES!E335</f>
        <v>0</v>
      </c>
      <c r="G140" s="211">
        <f>DONNEES!F335</f>
        <v>0</v>
      </c>
      <c r="H140" s="214">
        <f t="shared" si="3"/>
        <v>0</v>
      </c>
      <c r="I140" s="219"/>
      <c r="J140" s="212"/>
      <c r="K140" s="221"/>
      <c r="L140" s="214">
        <f>Tableau4[[#This Row],[montant HT2]]+AO140</f>
        <v>0</v>
      </c>
      <c r="M140" s="214">
        <f>Tableau4[[#This Row],[ montant HT3]]+AP140</f>
        <v>0</v>
      </c>
      <c r="P140" s="215">
        <f>(Tableau4[[#This Row],[montant HT2]]*$D$10)+(Tableau4[[#This Row],[ montant HT3]]*$E$10)</f>
        <v>0</v>
      </c>
      <c r="AO140" s="214"/>
      <c r="AP140" s="214"/>
    </row>
    <row r="141" spans="1:42" x14ac:dyDescent="1.2">
      <c r="B141" s="177"/>
      <c r="C141" s="222"/>
      <c r="D141" s="222"/>
      <c r="E141" s="222"/>
      <c r="F141" s="223"/>
      <c r="G141" s="223"/>
      <c r="H141" s="223"/>
      <c r="I141" s="224"/>
      <c r="J141" s="224"/>
      <c r="K141" s="213"/>
    </row>
    <row r="142" spans="1:42" x14ac:dyDescent="1.2">
      <c r="B142" s="177"/>
      <c r="C142" s="222"/>
      <c r="D142" s="222"/>
      <c r="E142" s="222"/>
      <c r="F142" s="223"/>
      <c r="G142" s="223"/>
      <c r="H142" s="223"/>
      <c r="I142" s="224"/>
      <c r="J142" s="224"/>
      <c r="K142" s="177"/>
    </row>
    <row r="143" spans="1:42" x14ac:dyDescent="1.2">
      <c r="B143" s="177"/>
      <c r="F143" s="177"/>
      <c r="G143" s="177"/>
      <c r="H143" s="177"/>
      <c r="I143" s="177"/>
      <c r="J143" s="177"/>
      <c r="K143" s="177"/>
    </row>
    <row r="144" spans="1:42" ht="166.5" x14ac:dyDescent="1.2">
      <c r="B144" s="177"/>
      <c r="C144" s="555" t="s">
        <v>17</v>
      </c>
      <c r="D144" s="551" t="s">
        <v>23</v>
      </c>
      <c r="E144" s="551"/>
      <c r="F144" s="225" t="s">
        <v>344</v>
      </c>
      <c r="G144" s="225" t="s">
        <v>344</v>
      </c>
      <c r="H144" s="557" t="s">
        <v>54</v>
      </c>
      <c r="I144" s="533" t="str">
        <f>IF(W31&gt;0,"AVANCEMENT GLOBAL TITU et SOUS-TRAITANTS","AVANCEMENT")</f>
        <v>AVANCEMENT</v>
      </c>
      <c r="J144" s="533" t="str">
        <f>IF(I144="AVANCEMENT GLOBAL TITU et SOUS-TRAITANTS","AVANCEMENT DU SEUL TITULAIRE","")</f>
        <v/>
      </c>
      <c r="K144" s="177"/>
    </row>
    <row r="145" spans="1:14" x14ac:dyDescent="1.2">
      <c r="B145" s="177"/>
      <c r="C145" s="556"/>
      <c r="D145" s="226">
        <f>D10</f>
        <v>0.1</v>
      </c>
      <c r="E145" s="226">
        <f>E10</f>
        <v>0.2</v>
      </c>
      <c r="F145" s="226">
        <f>D145</f>
        <v>0.1</v>
      </c>
      <c r="G145" s="226">
        <f>E145</f>
        <v>0.2</v>
      </c>
      <c r="H145" s="558"/>
      <c r="I145" s="534"/>
      <c r="J145" s="534"/>
      <c r="K145" s="177"/>
    </row>
    <row r="146" spans="1:14" ht="84" thickBot="1" x14ac:dyDescent="1.25">
      <c r="A146" s="227" t="s">
        <v>338</v>
      </c>
      <c r="B146" s="228" t="s">
        <v>322</v>
      </c>
      <c r="C146" s="229" t="s">
        <v>336</v>
      </c>
      <c r="D146" s="230" t="s">
        <v>340</v>
      </c>
      <c r="E146" s="230" t="s">
        <v>345</v>
      </c>
      <c r="F146" s="231" t="s">
        <v>346</v>
      </c>
      <c r="G146" s="231" t="s">
        <v>347</v>
      </c>
      <c r="H146" s="232" t="s">
        <v>54</v>
      </c>
      <c r="I146" s="233" t="s">
        <v>348</v>
      </c>
      <c r="J146" s="234" t="s">
        <v>349</v>
      </c>
      <c r="K146" s="177"/>
    </row>
    <row r="147" spans="1:14" x14ac:dyDescent="1.2">
      <c r="A147" s="235"/>
      <c r="B147" s="236" t="s">
        <v>350</v>
      </c>
      <c r="C147" s="319" t="s">
        <v>18</v>
      </c>
      <c r="D147" s="237"/>
      <c r="E147" s="237"/>
      <c r="F147" s="354">
        <v>81937.546199999997</v>
      </c>
      <c r="G147" s="355">
        <v>30772.35</v>
      </c>
      <c r="H147" s="355">
        <f>D147+E147+F147+G147</f>
        <v>112709.89619999999</v>
      </c>
      <c r="I147" s="238"/>
      <c r="J147" s="239"/>
      <c r="K147" s="240"/>
      <c r="L147" s="240"/>
      <c r="M147" s="240"/>
      <c r="N147" s="240"/>
    </row>
    <row r="148" spans="1:14" ht="166.5" hidden="1" x14ac:dyDescent="1.2">
      <c r="A148" s="241"/>
      <c r="B148" s="242" t="s">
        <v>351</v>
      </c>
      <c r="C148" s="243" t="s">
        <v>329</v>
      </c>
      <c r="D148" s="395"/>
      <c r="E148" s="396"/>
      <c r="F148" s="397">
        <v>0</v>
      </c>
      <c r="G148" s="397">
        <v>0</v>
      </c>
      <c r="H148" s="254">
        <f>D148+E148+F148+G148</f>
        <v>0</v>
      </c>
      <c r="I148" s="245"/>
      <c r="J148" s="246"/>
      <c r="K148" s="240"/>
      <c r="L148" s="240"/>
      <c r="M148" s="240"/>
      <c r="N148" s="240"/>
    </row>
    <row r="149" spans="1:14" hidden="1" x14ac:dyDescent="1.2">
      <c r="A149" s="241"/>
      <c r="B149" s="242" t="s">
        <v>352</v>
      </c>
      <c r="C149" s="247" t="s">
        <v>281</v>
      </c>
      <c r="D149" s="398"/>
      <c r="E149" s="398"/>
      <c r="F149" s="254">
        <v>0</v>
      </c>
      <c r="G149" s="254">
        <v>0</v>
      </c>
      <c r="H149" s="254">
        <f>F149+G149+D149+E149</f>
        <v>0</v>
      </c>
      <c r="I149" s="248">
        <f>IFERROR(IF(H148&gt;0,(Tableau5[[#This Row],[total]]/(H147-H148)),Tableau5[[#This Row],[total]]/H147),0)</f>
        <v>0</v>
      </c>
      <c r="J149" s="246"/>
      <c r="K149" s="240"/>
      <c r="L149" s="240"/>
      <c r="M149" s="240"/>
      <c r="N149" s="240"/>
    </row>
    <row r="150" spans="1:14" x14ac:dyDescent="1.2">
      <c r="A150" s="241"/>
      <c r="B150" s="242" t="s">
        <v>353</v>
      </c>
      <c r="C150" s="247" t="s">
        <v>19</v>
      </c>
      <c r="D150" s="254">
        <f>SUM(I29:I35)</f>
        <v>5000</v>
      </c>
      <c r="E150" s="254">
        <f>SUM(J29:J35)</f>
        <v>0</v>
      </c>
      <c r="F150" s="254">
        <v>63726.2</v>
      </c>
      <c r="G150" s="254">
        <v>14250</v>
      </c>
      <c r="H150" s="254">
        <f t="shared" ref="H150:H157" si="5">F150+D150+E150+G150</f>
        <v>82976.2</v>
      </c>
      <c r="I150" s="248">
        <f>IFERROR(IF(SUM(H30:H35)&lt;=0,SUM(F150+D150+E150+G150)/H29,SUM(F150+D150+E150+G150)/DONNEES!R28),0)</f>
        <v>0.16989061741319347</v>
      </c>
      <c r="J150" s="451" t="str">
        <f>IFERROR(IF(SUM(H30:H35)&gt;0,SUM(L29+M29)/H29,""),0)</f>
        <v/>
      </c>
      <c r="K150" s="240"/>
      <c r="L150" s="240"/>
      <c r="M150" s="240"/>
      <c r="N150" s="240"/>
    </row>
    <row r="151" spans="1:14" hidden="1" x14ac:dyDescent="1.2">
      <c r="A151" s="241"/>
      <c r="B151" s="242" t="s">
        <v>354</v>
      </c>
      <c r="C151" s="247" t="s">
        <v>20</v>
      </c>
      <c r="D151" s="254">
        <f>SUM(I36:I42)</f>
        <v>0</v>
      </c>
      <c r="E151" s="254">
        <f>SUM(J36:J42)</f>
        <v>0</v>
      </c>
      <c r="F151" s="254">
        <v>0</v>
      </c>
      <c r="G151" s="254">
        <v>0</v>
      </c>
      <c r="H151" s="254">
        <f t="shared" si="5"/>
        <v>0</v>
      </c>
      <c r="I151" s="248">
        <f>IFERROR(IF(SUM(H37:H42)&lt;=0,SUM(F151+D151+E151+G151)/H36,SUM(F151+D151+E151+G151)/DONNEES!R29),0)</f>
        <v>0</v>
      </c>
      <c r="J151" s="451" t="str">
        <f>IFERROR(IF(SUM(H37:H42)&gt;0,SUM(L36+M36)/H36,""),0)</f>
        <v/>
      </c>
      <c r="K151" s="240"/>
      <c r="L151" s="240"/>
      <c r="M151" s="240"/>
      <c r="N151" s="240"/>
    </row>
    <row r="152" spans="1:14" hidden="1" x14ac:dyDescent="1.2">
      <c r="A152" s="241"/>
      <c r="B152" s="242" t="s">
        <v>355</v>
      </c>
      <c r="C152" s="247" t="s">
        <v>21</v>
      </c>
      <c r="D152" s="254">
        <f>SUM(I43:I49)</f>
        <v>0</v>
      </c>
      <c r="E152" s="254">
        <f>SUM(J43:J49)</f>
        <v>0</v>
      </c>
      <c r="F152" s="254">
        <v>0</v>
      </c>
      <c r="G152" s="254">
        <v>0</v>
      </c>
      <c r="H152" s="254">
        <f t="shared" si="5"/>
        <v>0</v>
      </c>
      <c r="I152" s="248">
        <f>IFERROR(IF(SUM(H44:H49)&lt;=0,SUM(F152+D152+E152+G152)/H43,SUM(F152+D152+E152+G152)/DONNEES!R30),0)</f>
        <v>0</v>
      </c>
      <c r="J152" s="451" t="str">
        <f>IFERROR(IF(SUM(H44:H49)&gt;0,SUM(L43+M43)/H43,""),0)</f>
        <v/>
      </c>
      <c r="K152" s="240"/>
      <c r="L152" s="240"/>
      <c r="M152" s="240"/>
      <c r="N152" s="240"/>
    </row>
    <row r="153" spans="1:14" hidden="1" x14ac:dyDescent="1.2">
      <c r="A153" s="241"/>
      <c r="B153" s="242" t="s">
        <v>356</v>
      </c>
      <c r="C153" s="247" t="s">
        <v>22</v>
      </c>
      <c r="D153" s="254">
        <f>SUM(I50:I56)</f>
        <v>0</v>
      </c>
      <c r="E153" s="254">
        <f>SUM(J50:J56)</f>
        <v>0</v>
      </c>
      <c r="F153" s="254">
        <v>0</v>
      </c>
      <c r="G153" s="254">
        <v>0</v>
      </c>
      <c r="H153" s="254">
        <f t="shared" si="5"/>
        <v>0</v>
      </c>
      <c r="I153" s="248">
        <f>IFERROR(IF(SUM(H51:H56)&lt;=0,SUM(F153+D153+E153+G153)/H50,SUM(F153+D153+E153+G153)/DONNEES!R31),0)</f>
        <v>0</v>
      </c>
      <c r="J153" s="451" t="str">
        <f>IFERROR(IF(SUM(H51:H56)&gt;0,SUM(L50+M50)/H50,""),0)</f>
        <v/>
      </c>
      <c r="K153" s="240"/>
      <c r="L153" s="240"/>
      <c r="M153" s="240"/>
      <c r="N153" s="240"/>
    </row>
    <row r="154" spans="1:14" hidden="1" x14ac:dyDescent="1.2">
      <c r="A154" s="241"/>
      <c r="B154" s="242" t="s">
        <v>357</v>
      </c>
      <c r="C154" s="247" t="s">
        <v>300</v>
      </c>
      <c r="D154" s="254">
        <f>SUM(I57:I63)</f>
        <v>0</v>
      </c>
      <c r="E154" s="254">
        <f>SUM(J57:J63)</f>
        <v>0</v>
      </c>
      <c r="F154" s="254">
        <v>0</v>
      </c>
      <c r="G154" s="254">
        <v>0</v>
      </c>
      <c r="H154" s="254">
        <f t="shared" si="5"/>
        <v>0</v>
      </c>
      <c r="I154" s="248">
        <f>IFERROR(IF(SUM(H58:H63)&lt;=0,SUM(F154+D154+E154+G154)/H57,SUM(F154+D154+E154+G154)/DONNEES!R32),0)</f>
        <v>0</v>
      </c>
      <c r="J154" s="451" t="str">
        <f>IFERROR(IF(SUM(H58:H63)&gt;0,SUM(L57+M57)/H57,""),0)</f>
        <v/>
      </c>
      <c r="K154" s="240"/>
      <c r="L154" s="240"/>
      <c r="M154" s="240"/>
      <c r="N154" s="240"/>
    </row>
    <row r="155" spans="1:14" hidden="1" x14ac:dyDescent="1.2">
      <c r="A155" s="241"/>
      <c r="B155" s="242" t="s">
        <v>358</v>
      </c>
      <c r="C155" s="247" t="s">
        <v>301</v>
      </c>
      <c r="D155" s="254">
        <f>SUM(I64:I70)</f>
        <v>0</v>
      </c>
      <c r="E155" s="254">
        <f>SUM(J64:J70)</f>
        <v>0</v>
      </c>
      <c r="F155" s="254">
        <v>0</v>
      </c>
      <c r="G155" s="254">
        <v>0</v>
      </c>
      <c r="H155" s="254">
        <f t="shared" si="5"/>
        <v>0</v>
      </c>
      <c r="I155" s="248">
        <f>IFERROR(IF(SUM(H65:H70)&lt;=0,SUM(F155+D155+E155+G155)/H64,SUM(F155+D155+E155+G155)/DONNEES!R33),0)</f>
        <v>0</v>
      </c>
      <c r="J155" s="451" t="str">
        <f>IFERROR(IF(SUM(H65:H70)&gt;0,SUM(L64+M64)/H64,""),0)</f>
        <v/>
      </c>
      <c r="K155" s="240"/>
      <c r="L155" s="240"/>
      <c r="M155" s="240"/>
      <c r="N155" s="240"/>
    </row>
    <row r="156" spans="1:14" hidden="1" x14ac:dyDescent="1.2">
      <c r="A156" s="241"/>
      <c r="B156" s="242" t="s">
        <v>359</v>
      </c>
      <c r="C156" s="247" t="s">
        <v>302</v>
      </c>
      <c r="D156" s="254">
        <f>SUM(I71:I77)</f>
        <v>0</v>
      </c>
      <c r="E156" s="254">
        <f>SUM(J71:J77)</f>
        <v>0</v>
      </c>
      <c r="F156" s="254">
        <v>0</v>
      </c>
      <c r="G156" s="254">
        <v>0</v>
      </c>
      <c r="H156" s="254">
        <f t="shared" si="5"/>
        <v>0</v>
      </c>
      <c r="I156" s="248">
        <f>IFERROR(IF(SUM(H72:H77)&lt;=0,SUM(F156+D156+E156+G156)/H71,SUM(F156+D156+E156+G156)/DONNEES!R34),0)</f>
        <v>0</v>
      </c>
      <c r="J156" s="451" t="str">
        <f>IFERROR(IF(SUM(H72:H77)&gt;0,SUM(L71+M71)/H71,""),0)</f>
        <v/>
      </c>
      <c r="K156" s="240"/>
      <c r="L156" s="240"/>
      <c r="M156" s="240"/>
      <c r="N156" s="240"/>
    </row>
    <row r="157" spans="1:14" hidden="1" x14ac:dyDescent="1.2">
      <c r="A157" s="241"/>
      <c r="B157" s="242" t="s">
        <v>360</v>
      </c>
      <c r="C157" s="247" t="s">
        <v>327</v>
      </c>
      <c r="D157" s="254">
        <f>SUM(I78:I84)</f>
        <v>0</v>
      </c>
      <c r="E157" s="254">
        <f>SUM(J78:J84)</f>
        <v>0</v>
      </c>
      <c r="F157" s="254">
        <v>0</v>
      </c>
      <c r="G157" s="254">
        <v>0</v>
      </c>
      <c r="H157" s="254">
        <f t="shared" si="5"/>
        <v>0</v>
      </c>
      <c r="I157" s="248">
        <f>IFERROR((F157+D157+E157+G157)/SUM(H78:H84),0)</f>
        <v>0</v>
      </c>
      <c r="J157" s="246"/>
      <c r="K157" s="240"/>
      <c r="L157" s="240"/>
      <c r="M157" s="240"/>
      <c r="N157" s="240"/>
    </row>
    <row r="158" spans="1:14" ht="84" x14ac:dyDescent="1.2">
      <c r="A158" s="241"/>
      <c r="B158" s="249" t="s">
        <v>361</v>
      </c>
      <c r="C158" s="250" t="s">
        <v>482</v>
      </c>
      <c r="D158" s="244">
        <f>SUM(D150:D157)</f>
        <v>5000</v>
      </c>
      <c r="E158" s="244">
        <f>SUM(E150:E157)</f>
        <v>0</v>
      </c>
      <c r="F158" s="254">
        <f>SUM(F150:F157)</f>
        <v>63726.2</v>
      </c>
      <c r="G158" s="254">
        <f>SUM(G150:G157)</f>
        <v>14250</v>
      </c>
      <c r="H158" s="254">
        <f t="shared" ref="H158:H163" si="6">D158+E158+F158+G158</f>
        <v>82976.2</v>
      </c>
      <c r="I158" s="248"/>
      <c r="J158" s="246"/>
      <c r="K158" s="240"/>
      <c r="L158" s="240"/>
      <c r="M158" s="240"/>
      <c r="N158" s="240"/>
    </row>
    <row r="159" spans="1:14" ht="166.5" x14ac:dyDescent="1.2">
      <c r="A159" s="241"/>
      <c r="B159" s="249" t="s">
        <v>362</v>
      </c>
      <c r="C159" s="250" t="s">
        <v>483</v>
      </c>
      <c r="D159" s="251">
        <f>IF(D158&lt;=0,D147,(D158-D147-D149))</f>
        <v>5000</v>
      </c>
      <c r="E159" s="251">
        <f>IF(E158&lt;=0,E147,(E158-E147-E149))</f>
        <v>0</v>
      </c>
      <c r="F159" s="356">
        <f>(F147-F149)+F158</f>
        <v>145663.74619999999</v>
      </c>
      <c r="G159" s="356">
        <f>(G147-G149)+G158</f>
        <v>45022.35</v>
      </c>
      <c r="H159" s="356">
        <f t="shared" si="6"/>
        <v>195686.0962</v>
      </c>
      <c r="I159" s="252"/>
      <c r="J159" s="253"/>
      <c r="K159" s="177"/>
    </row>
    <row r="160" spans="1:14" x14ac:dyDescent="1.2">
      <c r="A160" s="241"/>
      <c r="B160" s="242" t="s">
        <v>363</v>
      </c>
      <c r="C160" s="320" t="s">
        <v>654</v>
      </c>
      <c r="D160" s="244">
        <v>144.99979999998808</v>
      </c>
      <c r="E160" s="244">
        <v>-2.2737367544323206E-12</v>
      </c>
      <c r="F160" s="254">
        <v>1848.06</v>
      </c>
      <c r="G160" s="254">
        <v>413.25</v>
      </c>
      <c r="H160" s="254">
        <f>SUM(D160+E160+F160+G160)</f>
        <v>2406.3097999999854</v>
      </c>
      <c r="I160" s="252"/>
      <c r="J160" s="253"/>
      <c r="K160" s="177"/>
    </row>
    <row r="161" spans="1:11" x14ac:dyDescent="1.2">
      <c r="A161" s="241"/>
      <c r="B161" s="249" t="s">
        <v>364</v>
      </c>
      <c r="C161" s="250" t="s">
        <v>180</v>
      </c>
      <c r="D161" s="251">
        <f>D160+D159</f>
        <v>5144.9997999999878</v>
      </c>
      <c r="E161" s="251">
        <f t="shared" ref="E161:G161" si="7">E160+E159</f>
        <v>-2.2737367544323206E-12</v>
      </c>
      <c r="F161" s="251">
        <f t="shared" si="7"/>
        <v>147511.80619999999</v>
      </c>
      <c r="G161" s="251">
        <f t="shared" si="7"/>
        <v>45435.6</v>
      </c>
      <c r="H161" s="356">
        <f t="shared" si="6"/>
        <v>198092.40599999999</v>
      </c>
      <c r="I161" s="252"/>
      <c r="J161" s="253"/>
      <c r="K161" s="177"/>
    </row>
    <row r="162" spans="1:11" x14ac:dyDescent="1.2">
      <c r="A162" s="241"/>
      <c r="B162" s="242" t="s">
        <v>365</v>
      </c>
      <c r="C162" s="247" t="s">
        <v>41</v>
      </c>
      <c r="D162" s="251">
        <f>SUM(D147*D10)</f>
        <v>0</v>
      </c>
      <c r="E162" s="251">
        <f>SUM(E147*E10)</f>
        <v>0</v>
      </c>
      <c r="F162" s="254">
        <f>F147*D10</f>
        <v>8193.7546199999997</v>
      </c>
      <c r="G162" s="254">
        <f>G147*E10</f>
        <v>6154.47</v>
      </c>
      <c r="H162" s="254">
        <f>D162+E162+F162+G162</f>
        <v>14348.224620000001</v>
      </c>
      <c r="I162" s="252"/>
      <c r="J162" s="253"/>
      <c r="K162" s="177"/>
    </row>
    <row r="163" spans="1:11" x14ac:dyDescent="1.2">
      <c r="A163" s="241"/>
      <c r="B163" s="242" t="s">
        <v>366</v>
      </c>
      <c r="C163" s="247" t="s">
        <v>328</v>
      </c>
      <c r="D163" s="251">
        <f>D158*D10</f>
        <v>500</v>
      </c>
      <c r="E163" s="251">
        <f>E158*E10</f>
        <v>0</v>
      </c>
      <c r="F163" s="254">
        <f>F158*D10</f>
        <v>6372.62</v>
      </c>
      <c r="G163" s="254">
        <f>G158*E10</f>
        <v>2850</v>
      </c>
      <c r="H163" s="254">
        <f t="shared" si="6"/>
        <v>9722.619999999999</v>
      </c>
      <c r="I163" s="252"/>
      <c r="J163" s="253"/>
      <c r="K163" s="177"/>
    </row>
    <row r="164" spans="1:11" x14ac:dyDescent="1.2">
      <c r="A164" s="241"/>
      <c r="B164" s="242" t="s">
        <v>367</v>
      </c>
      <c r="C164" s="320" t="s">
        <v>655</v>
      </c>
      <c r="D164" s="244">
        <f>(D160*D10)</f>
        <v>14.499979999998809</v>
      </c>
      <c r="E164" s="244">
        <f>(E160*E10)</f>
        <v>-4.5474735088646412E-13</v>
      </c>
      <c r="F164" s="254">
        <f>(F160*D10)</f>
        <v>184.80600000000001</v>
      </c>
      <c r="G164" s="254">
        <f>(G160*E10)</f>
        <v>82.65</v>
      </c>
      <c r="H164" s="254">
        <f>SUM(D164+E164+F164+G164)</f>
        <v>281.95597999999836</v>
      </c>
      <c r="I164" s="252"/>
      <c r="J164" s="253"/>
      <c r="K164" s="177"/>
    </row>
    <row r="165" spans="1:11" ht="166.5" hidden="1" x14ac:dyDescent="1.2">
      <c r="A165" s="241"/>
      <c r="B165" s="242" t="s">
        <v>368</v>
      </c>
      <c r="C165" s="247" t="s">
        <v>146</v>
      </c>
      <c r="D165" s="251">
        <f>D149*D10</f>
        <v>0</v>
      </c>
      <c r="E165" s="251">
        <f>E149*E10</f>
        <v>0</v>
      </c>
      <c r="F165" s="356">
        <f>F149*D10</f>
        <v>0</v>
      </c>
      <c r="G165" s="356">
        <f>G149*E10</f>
        <v>0</v>
      </c>
      <c r="H165" s="254">
        <f>D165+E165+F165+G165</f>
        <v>0</v>
      </c>
      <c r="I165" s="252"/>
      <c r="J165" s="253"/>
      <c r="K165" s="177"/>
    </row>
    <row r="166" spans="1:11" hidden="1" x14ac:dyDescent="1.2">
      <c r="A166" s="241"/>
      <c r="B166" s="242" t="s">
        <v>369</v>
      </c>
      <c r="C166" s="255" t="s">
        <v>198</v>
      </c>
      <c r="D166" s="251">
        <f>D148*D10</f>
        <v>0</v>
      </c>
      <c r="E166" s="251">
        <f>E148*E10</f>
        <v>0</v>
      </c>
      <c r="F166" s="356">
        <f>F148*D10</f>
        <v>0</v>
      </c>
      <c r="G166" s="356">
        <f>G148*E10</f>
        <v>0</v>
      </c>
      <c r="H166" s="254">
        <f>D166+E166+F166+G166</f>
        <v>0</v>
      </c>
      <c r="I166" s="252"/>
      <c r="J166" s="253"/>
      <c r="K166" s="177"/>
    </row>
    <row r="167" spans="1:11" ht="84" x14ac:dyDescent="1.2">
      <c r="A167" s="241"/>
      <c r="B167" s="249" t="s">
        <v>370</v>
      </c>
      <c r="C167" s="250" t="s">
        <v>509</v>
      </c>
      <c r="D167" s="251">
        <f>SUM(D162:D164)-D165</f>
        <v>514.4999799999988</v>
      </c>
      <c r="E167" s="251">
        <f>SUM(E162:E164)-E165</f>
        <v>-4.5474735088646412E-13</v>
      </c>
      <c r="F167" s="356">
        <f>SUM(F162:F164)-F165</f>
        <v>14751.180619999999</v>
      </c>
      <c r="G167" s="356">
        <f>SUM(G162:G164)-G165</f>
        <v>9087.1200000000008</v>
      </c>
      <c r="H167" s="356">
        <f>SUM(H162:H164)-H165</f>
        <v>24352.800599999999</v>
      </c>
      <c r="I167" s="252"/>
      <c r="J167" s="253"/>
      <c r="K167" s="177"/>
    </row>
    <row r="168" spans="1:11" x14ac:dyDescent="1.2">
      <c r="A168" s="241"/>
      <c r="B168" s="249" t="s">
        <v>371</v>
      </c>
      <c r="C168" s="250" t="s">
        <v>151</v>
      </c>
      <c r="D168" s="256">
        <f>D161+D167</f>
        <v>5659.4997799999865</v>
      </c>
      <c r="E168" s="256">
        <f>E161+E167</f>
        <v>-2.7284841053187847E-12</v>
      </c>
      <c r="F168" s="357">
        <f>F161+F167</f>
        <v>162262.98681999999</v>
      </c>
      <c r="G168" s="357">
        <f>G161+G167</f>
        <v>54522.720000000001</v>
      </c>
      <c r="H168" s="357">
        <f>H161+H167</f>
        <v>222445.20659999998</v>
      </c>
      <c r="I168" s="252"/>
      <c r="J168" s="253"/>
      <c r="K168" s="177"/>
    </row>
    <row r="169" spans="1:11" hidden="1" x14ac:dyDescent="1.2">
      <c r="A169" s="257"/>
      <c r="B169" s="258" t="s">
        <v>372</v>
      </c>
      <c r="C169" s="319" t="s">
        <v>18</v>
      </c>
      <c r="D169" s="355"/>
      <c r="E169" s="355"/>
      <c r="F169" s="354"/>
      <c r="G169" s="355"/>
      <c r="H169" s="355">
        <f>D169+E169+F169+G169</f>
        <v>0</v>
      </c>
      <c r="I169" s="238"/>
      <c r="J169" s="239"/>
      <c r="K169" s="177"/>
    </row>
    <row r="170" spans="1:11" ht="166.5" hidden="1" x14ac:dyDescent="1.2">
      <c r="A170" s="259"/>
      <c r="B170" s="260" t="s">
        <v>373</v>
      </c>
      <c r="C170" s="243" t="s">
        <v>329</v>
      </c>
      <c r="D170" s="393"/>
      <c r="E170" s="394"/>
      <c r="F170" s="361">
        <v>0</v>
      </c>
      <c r="G170" s="393">
        <v>0</v>
      </c>
      <c r="H170" s="254">
        <f>D170+E170+F170+G170</f>
        <v>0</v>
      </c>
      <c r="I170" s="245"/>
      <c r="J170" s="246"/>
      <c r="K170" s="177"/>
    </row>
    <row r="171" spans="1:11" hidden="1" x14ac:dyDescent="1.2">
      <c r="A171" s="259"/>
      <c r="B171" s="260" t="s">
        <v>374</v>
      </c>
      <c r="C171" s="247" t="s">
        <v>281</v>
      </c>
      <c r="D171" s="254"/>
      <c r="E171" s="254"/>
      <c r="F171" s="254">
        <v>0</v>
      </c>
      <c r="G171" s="254">
        <v>0</v>
      </c>
      <c r="H171" s="254">
        <f>F171+G171+D171+E171</f>
        <v>0</v>
      </c>
      <c r="I171" s="248">
        <f>IFERROR(IF(H170&gt;0,(Tableau5[[#This Row],[total]]/(H169-H170)),(Tableau5[[#This Row],[total]]/H169)),0)</f>
        <v>0</v>
      </c>
      <c r="J171" s="246"/>
      <c r="K171" s="177"/>
    </row>
    <row r="172" spans="1:11" hidden="1" x14ac:dyDescent="1.2">
      <c r="A172" s="259"/>
      <c r="B172" s="260" t="s">
        <v>375</v>
      </c>
      <c r="C172" s="247" t="s">
        <v>19</v>
      </c>
      <c r="D172" s="254">
        <f>I85</f>
        <v>0</v>
      </c>
      <c r="E172" s="254">
        <f>J85</f>
        <v>0</v>
      </c>
      <c r="F172" s="254">
        <v>0</v>
      </c>
      <c r="G172" s="254">
        <v>0</v>
      </c>
      <c r="H172" s="254">
        <f t="shared" ref="H172:H179" si="8">F172+D172+E172+G172</f>
        <v>0</v>
      </c>
      <c r="I172" s="248">
        <f>IFERROR(IF(SUM(H86:H91)&gt;0,SUM(F172+D172+E172+G172)/H85,SUM(F172+D172+E172+G172)/DONNEES!S28),0)</f>
        <v>0</v>
      </c>
      <c r="J172" s="451" t="str">
        <f>IFERROR(IF(SUM(H86:H91)&gt;0,SUM(L85+M85)/H85,""),0)</f>
        <v/>
      </c>
      <c r="K172" s="177"/>
    </row>
    <row r="173" spans="1:11" hidden="1" x14ac:dyDescent="1.2">
      <c r="A173" s="259"/>
      <c r="B173" s="260" t="s">
        <v>376</v>
      </c>
      <c r="C173" s="247" t="s">
        <v>20</v>
      </c>
      <c r="D173" s="254">
        <f>I92</f>
        <v>0</v>
      </c>
      <c r="E173" s="254">
        <f>J92</f>
        <v>0</v>
      </c>
      <c r="F173" s="254">
        <v>0</v>
      </c>
      <c r="G173" s="254">
        <v>0</v>
      </c>
      <c r="H173" s="254">
        <f t="shared" si="8"/>
        <v>0</v>
      </c>
      <c r="I173" s="248">
        <f>IFERROR(IF(SUM(H93:H98)&gt;0,SUM(F173+D173+E173+G173)/F37,SUM(F173+D173+E173+G173)/DONNEES!S29),0)</f>
        <v>0</v>
      </c>
      <c r="J173" s="451" t="str">
        <f>IFERROR(IF(SUM(H93:H98)&gt;0,SUM(L92+M92)/H92,""),0)</f>
        <v/>
      </c>
      <c r="K173" s="177"/>
    </row>
    <row r="174" spans="1:11" hidden="1" x14ac:dyDescent="1.2">
      <c r="A174" s="259"/>
      <c r="B174" s="260" t="s">
        <v>377</v>
      </c>
      <c r="C174" s="247" t="s">
        <v>21</v>
      </c>
      <c r="D174" s="254">
        <f>I99</f>
        <v>0</v>
      </c>
      <c r="E174" s="254">
        <f>J99</f>
        <v>0</v>
      </c>
      <c r="F174" s="254">
        <v>0</v>
      </c>
      <c r="G174" s="254">
        <v>0</v>
      </c>
      <c r="H174" s="254">
        <f t="shared" si="8"/>
        <v>0</v>
      </c>
      <c r="I174" s="248">
        <f>IFERROR(IF(SUM(H100:H105)&gt;0,SUM(F174+D174+E174+G174)/F38,SUM(F174+D174+E174+G174)/DONNEES!S30),0)</f>
        <v>0</v>
      </c>
      <c r="J174" s="451" t="str">
        <f>IFERROR(IF(SUM(H100:H105)&gt;0,SUM(L99+M99)/H99,""),0)</f>
        <v/>
      </c>
      <c r="K174" s="177"/>
    </row>
    <row r="175" spans="1:11" hidden="1" x14ac:dyDescent="1.2">
      <c r="A175" s="259"/>
      <c r="B175" s="260" t="s">
        <v>378</v>
      </c>
      <c r="C175" s="247" t="s">
        <v>22</v>
      </c>
      <c r="D175" s="254">
        <f>I106</f>
        <v>0</v>
      </c>
      <c r="E175" s="254">
        <f>J106</f>
        <v>0</v>
      </c>
      <c r="F175" s="254">
        <v>0</v>
      </c>
      <c r="G175" s="254">
        <v>0</v>
      </c>
      <c r="H175" s="254">
        <f t="shared" si="8"/>
        <v>0</v>
      </c>
      <c r="I175" s="248">
        <f>IFERROR(IF(SUM(H107:H112)&gt;0,SUM(F175+D175+E175+G175)/F39,SUM(F175+D175+E175+G175)/DONNEES!S31),0)</f>
        <v>0</v>
      </c>
      <c r="J175" s="451" t="str">
        <f>IFERROR(IF(SUM(H107:H112)&gt;0,SUM(L106+M106)/H106,""),0)</f>
        <v/>
      </c>
      <c r="K175" s="177"/>
    </row>
    <row r="176" spans="1:11" hidden="1" x14ac:dyDescent="1.2">
      <c r="A176" s="259"/>
      <c r="B176" s="260" t="s">
        <v>379</v>
      </c>
      <c r="C176" s="247" t="s">
        <v>300</v>
      </c>
      <c r="D176" s="254">
        <f>I113</f>
        <v>0</v>
      </c>
      <c r="E176" s="254">
        <f>J113</f>
        <v>0</v>
      </c>
      <c r="F176" s="254">
        <v>0</v>
      </c>
      <c r="G176" s="254">
        <v>0</v>
      </c>
      <c r="H176" s="254">
        <f t="shared" si="8"/>
        <v>0</v>
      </c>
      <c r="I176" s="248">
        <f>IFERROR(IF(SUM(H114:H119)&gt;0,SUM(F176+D176+E176+G176)/F40,SUM(F176+D176+E176+G176)/DONNEES!S32),0)</f>
        <v>0</v>
      </c>
      <c r="J176" s="451" t="str">
        <f>IFERROR(IF(SUM(H114:H119)&gt;0,SUM(L113+M113)/H113,""),0)</f>
        <v/>
      </c>
      <c r="K176" s="177"/>
    </row>
    <row r="177" spans="1:244" hidden="1" x14ac:dyDescent="1.2">
      <c r="A177" s="259"/>
      <c r="B177" s="260" t="s">
        <v>380</v>
      </c>
      <c r="C177" s="247" t="s">
        <v>301</v>
      </c>
      <c r="D177" s="254">
        <f>I120</f>
        <v>0</v>
      </c>
      <c r="E177" s="254">
        <f>J120</f>
        <v>0</v>
      </c>
      <c r="F177" s="254">
        <v>0</v>
      </c>
      <c r="G177" s="254">
        <v>0</v>
      </c>
      <c r="H177" s="254">
        <f t="shared" si="8"/>
        <v>0</v>
      </c>
      <c r="I177" s="248">
        <f>IFERROR(IF(SUM(H121:H126)&gt;0,SUM(F177+D177+E177+G177)/F41,SUM(F177+D177+E177+G177)/DONNEES!S33),0)</f>
        <v>0</v>
      </c>
      <c r="J177" s="451" t="str">
        <f>IFERROR(IF(SUM(H121:H126)&gt;0,SUM(L120+M120)/H120,""),0)</f>
        <v/>
      </c>
      <c r="K177" s="177"/>
    </row>
    <row r="178" spans="1:244" hidden="1" x14ac:dyDescent="1.2">
      <c r="A178" s="259"/>
      <c r="B178" s="260" t="s">
        <v>381</v>
      </c>
      <c r="C178" s="247" t="s">
        <v>302</v>
      </c>
      <c r="D178" s="254">
        <f>I127</f>
        <v>0</v>
      </c>
      <c r="E178" s="254">
        <f>J127</f>
        <v>0</v>
      </c>
      <c r="F178" s="254">
        <v>0</v>
      </c>
      <c r="G178" s="254">
        <v>0</v>
      </c>
      <c r="H178" s="254">
        <f t="shared" si="8"/>
        <v>0</v>
      </c>
      <c r="I178" s="248">
        <f>IFERROR(IF(SUM(H128:H133)&gt;0,SUM(F178+D178+E178+G178)/F42,SUM(F178+D178+E178+G178)/DONNEES!S34),0)</f>
        <v>0</v>
      </c>
      <c r="J178" s="451" t="str">
        <f>IFERROR(IF(SUM(H128:H133)&gt;0,SUM(L127+M127)/H127,""),0)</f>
        <v/>
      </c>
      <c r="K178" s="177"/>
    </row>
    <row r="179" spans="1:244" hidden="1" x14ac:dyDescent="1.2">
      <c r="A179" s="259"/>
      <c r="B179" s="260" t="s">
        <v>382</v>
      </c>
      <c r="C179" s="247" t="s">
        <v>327</v>
      </c>
      <c r="D179" s="254">
        <f>I134+I135+I136+I137+I138+I139+I140</f>
        <v>0</v>
      </c>
      <c r="E179" s="254">
        <f>J134+J135+J136+J137+J138+J139+J140</f>
        <v>0</v>
      </c>
      <c r="F179" s="254">
        <v>0</v>
      </c>
      <c r="G179" s="254">
        <v>0</v>
      </c>
      <c r="H179" s="254">
        <f t="shared" si="8"/>
        <v>0</v>
      </c>
      <c r="I179" s="248">
        <f>IFERROR((F179+D179+E179+G179)/F43,0)</f>
        <v>0</v>
      </c>
      <c r="J179" s="246"/>
      <c r="K179" s="177"/>
    </row>
    <row r="180" spans="1:244" ht="84" hidden="1" x14ac:dyDescent="1.2">
      <c r="A180" s="259"/>
      <c r="B180" s="261" t="s">
        <v>383</v>
      </c>
      <c r="C180" s="250" t="s">
        <v>482</v>
      </c>
      <c r="D180" s="254">
        <f>SUM(D172:D179)</f>
        <v>0</v>
      </c>
      <c r="E180" s="254">
        <f>SUM(E172:E179)</f>
        <v>0</v>
      </c>
      <c r="F180" s="254">
        <f>SUM(F172:F179)</f>
        <v>0</v>
      </c>
      <c r="G180" s="254">
        <f>SUM(G172:G179)</f>
        <v>0</v>
      </c>
      <c r="H180" s="254">
        <f t="shared" ref="H180:H185" si="9">D180+E180+F180+G180</f>
        <v>0</v>
      </c>
      <c r="I180" s="248">
        <f>IFERROR((F180+E180+D180+G180)/(D45+E45),0)</f>
        <v>0</v>
      </c>
      <c r="J180" s="246"/>
      <c r="K180" s="177"/>
    </row>
    <row r="181" spans="1:244" ht="166.5" hidden="1" x14ac:dyDescent="1.2">
      <c r="A181" s="259"/>
      <c r="B181" s="261" t="s">
        <v>384</v>
      </c>
      <c r="C181" s="250" t="s">
        <v>483</v>
      </c>
      <c r="D181" s="356">
        <f>IF(D180&lt;=0,D169,(D180-D169-D171))</f>
        <v>0</v>
      </c>
      <c r="E181" s="356">
        <f>IF(E180&lt;=0,E169,(E180-E169-E171))</f>
        <v>0</v>
      </c>
      <c r="F181" s="356">
        <f>(F169-F171)+F180</f>
        <v>0</v>
      </c>
      <c r="G181" s="356">
        <f>(G169-G171)+G180</f>
        <v>0</v>
      </c>
      <c r="H181" s="356">
        <f t="shared" si="9"/>
        <v>0</v>
      </c>
      <c r="I181" s="252"/>
      <c r="J181" s="253"/>
      <c r="K181" s="177"/>
    </row>
    <row r="182" spans="1:244" hidden="1" x14ac:dyDescent="1.2">
      <c r="A182" s="259"/>
      <c r="B182" s="260" t="s">
        <v>385</v>
      </c>
      <c r="C182" s="320" t="s">
        <v>654</v>
      </c>
      <c r="D182" s="254">
        <v>0</v>
      </c>
      <c r="E182" s="254">
        <v>0</v>
      </c>
      <c r="F182" s="254">
        <v>0</v>
      </c>
      <c r="G182" s="254">
        <v>0</v>
      </c>
      <c r="H182" s="254">
        <f>SUM(D182+E182+F182+G182)</f>
        <v>0</v>
      </c>
      <c r="I182" s="252"/>
      <c r="J182" s="253"/>
      <c r="K182" s="177"/>
    </row>
    <row r="183" spans="1:244" hidden="1" x14ac:dyDescent="1.2">
      <c r="A183" s="259"/>
      <c r="B183" s="261" t="s">
        <v>386</v>
      </c>
      <c r="C183" s="250" t="s">
        <v>180</v>
      </c>
      <c r="D183" s="356">
        <f>D181+D182</f>
        <v>0</v>
      </c>
      <c r="E183" s="356">
        <f>E181+E182</f>
        <v>0</v>
      </c>
      <c r="F183" s="356">
        <f>F181+F182</f>
        <v>0</v>
      </c>
      <c r="G183" s="356">
        <f>G181+G182</f>
        <v>0</v>
      </c>
      <c r="H183" s="356">
        <f t="shared" si="9"/>
        <v>0</v>
      </c>
      <c r="I183" s="252"/>
      <c r="J183" s="253"/>
      <c r="K183" s="177"/>
    </row>
    <row r="184" spans="1:244" hidden="1" x14ac:dyDescent="1.2">
      <c r="A184" s="259"/>
      <c r="B184" s="260" t="s">
        <v>387</v>
      </c>
      <c r="C184" s="247" t="s">
        <v>41</v>
      </c>
      <c r="D184" s="356">
        <f>D169*D10</f>
        <v>0</v>
      </c>
      <c r="E184" s="356">
        <f>E169*E10</f>
        <v>0</v>
      </c>
      <c r="F184" s="254">
        <f>F169*D10</f>
        <v>0</v>
      </c>
      <c r="G184" s="254">
        <f>G169*E10</f>
        <v>0</v>
      </c>
      <c r="H184" s="254">
        <f>D184+E184+F184+G184</f>
        <v>0</v>
      </c>
      <c r="I184" s="252"/>
      <c r="J184" s="253"/>
      <c r="K184" s="177"/>
    </row>
    <row r="185" spans="1:244" hidden="1" x14ac:dyDescent="1.2">
      <c r="A185" s="259"/>
      <c r="B185" s="260" t="s">
        <v>388</v>
      </c>
      <c r="C185" s="247" t="s">
        <v>328</v>
      </c>
      <c r="D185" s="356">
        <f>D180*D10</f>
        <v>0</v>
      </c>
      <c r="E185" s="356">
        <f>E180*E10</f>
        <v>0</v>
      </c>
      <c r="F185" s="358">
        <f>F180*D10</f>
        <v>0</v>
      </c>
      <c r="G185" s="358">
        <f>G180*E10</f>
        <v>0</v>
      </c>
      <c r="H185" s="254">
        <f t="shared" si="9"/>
        <v>0</v>
      </c>
      <c r="I185" s="252"/>
      <c r="J185" s="253"/>
      <c r="K185" s="177"/>
    </row>
    <row r="186" spans="1:244" hidden="1" x14ac:dyDescent="1.2">
      <c r="A186" s="259"/>
      <c r="B186" s="260" t="s">
        <v>389</v>
      </c>
      <c r="C186" s="320" t="s">
        <v>655</v>
      </c>
      <c r="D186" s="254">
        <f>(D182*D10)</f>
        <v>0</v>
      </c>
      <c r="E186" s="254">
        <f>(E182*E10)</f>
        <v>0</v>
      </c>
      <c r="F186" s="254">
        <f>(F182*D10)</f>
        <v>0</v>
      </c>
      <c r="G186" s="254">
        <f>(G182*E10)</f>
        <v>0</v>
      </c>
      <c r="H186" s="254">
        <f>SUM(D186+E186+F186+G186)</f>
        <v>0</v>
      </c>
      <c r="I186" s="252"/>
      <c r="J186" s="253"/>
      <c r="K186" s="177"/>
    </row>
    <row r="187" spans="1:244" ht="166.5" hidden="1" x14ac:dyDescent="1.2">
      <c r="A187" s="259"/>
      <c r="B187" s="260" t="s">
        <v>390</v>
      </c>
      <c r="C187" s="247" t="s">
        <v>146</v>
      </c>
      <c r="D187" s="356">
        <f>D171*D10</f>
        <v>0</v>
      </c>
      <c r="E187" s="356">
        <f>E171*E10</f>
        <v>0</v>
      </c>
      <c r="F187" s="356">
        <f>F171*D10</f>
        <v>0</v>
      </c>
      <c r="G187" s="356">
        <f>G171*E10</f>
        <v>0</v>
      </c>
      <c r="H187" s="254">
        <f>D187+E187+F187+G187</f>
        <v>0</v>
      </c>
      <c r="I187" s="252"/>
      <c r="J187" s="253"/>
      <c r="K187" s="177"/>
    </row>
    <row r="188" spans="1:244" hidden="1" x14ac:dyDescent="1.2">
      <c r="A188" s="259"/>
      <c r="B188" s="260" t="s">
        <v>391</v>
      </c>
      <c r="C188" s="255" t="s">
        <v>198</v>
      </c>
      <c r="D188" s="356">
        <f>D170*D10</f>
        <v>0</v>
      </c>
      <c r="E188" s="356">
        <f>E170*E10</f>
        <v>0</v>
      </c>
      <c r="F188" s="356">
        <f>F170*D10</f>
        <v>0</v>
      </c>
      <c r="G188" s="356">
        <f>G170*E10</f>
        <v>0</v>
      </c>
      <c r="H188" s="254">
        <f>D188+E188+F188+G188</f>
        <v>0</v>
      </c>
      <c r="I188" s="252"/>
      <c r="J188" s="253"/>
      <c r="K188" s="177"/>
    </row>
    <row r="189" spans="1:244" ht="84" hidden="1" x14ac:dyDescent="1.2">
      <c r="A189" s="259"/>
      <c r="B189" s="261" t="s">
        <v>392</v>
      </c>
      <c r="C189" s="250" t="s">
        <v>510</v>
      </c>
      <c r="D189" s="356">
        <f>SUM(D184:D186)-D187</f>
        <v>0</v>
      </c>
      <c r="E189" s="356">
        <f>SUM(E184:E186)-E187</f>
        <v>0</v>
      </c>
      <c r="F189" s="356">
        <f>SUM(F184:F186)-F187</f>
        <v>0</v>
      </c>
      <c r="G189" s="356">
        <f>SUM(G184:G186)-G187</f>
        <v>0</v>
      </c>
      <c r="H189" s="356">
        <f>SUM(H184:H186)-H187</f>
        <v>0</v>
      </c>
      <c r="I189" s="252"/>
      <c r="J189" s="253"/>
      <c r="K189" s="177"/>
    </row>
    <row r="190" spans="1:244" hidden="1" x14ac:dyDescent="1.2">
      <c r="A190" s="259"/>
      <c r="B190" s="249" t="s">
        <v>393</v>
      </c>
      <c r="C190" s="250" t="s">
        <v>151</v>
      </c>
      <c r="D190" s="357">
        <f>D183+D189</f>
        <v>0</v>
      </c>
      <c r="E190" s="357">
        <f>E183+E189</f>
        <v>0</v>
      </c>
      <c r="F190" s="357">
        <f>F183+F189</f>
        <v>0</v>
      </c>
      <c r="G190" s="357">
        <f>G183+G189</f>
        <v>0</v>
      </c>
      <c r="H190" s="357">
        <f>H183+H189</f>
        <v>0</v>
      </c>
      <c r="I190" s="252"/>
      <c r="J190" s="253"/>
      <c r="K190" s="177"/>
    </row>
    <row r="191" spans="1:244" hidden="1" x14ac:dyDescent="1.2">
      <c r="A191" s="259"/>
      <c r="B191" s="262"/>
      <c r="C191" s="321"/>
      <c r="D191" s="359"/>
      <c r="E191" s="359"/>
      <c r="F191" s="359"/>
      <c r="G191" s="359"/>
      <c r="H191" s="360"/>
      <c r="I191" s="263"/>
      <c r="J191" s="264"/>
      <c r="K191" s="265"/>
      <c r="L191" s="265"/>
      <c r="M191" s="265"/>
      <c r="N191" s="265"/>
      <c r="O191" s="265"/>
      <c r="P191" s="265"/>
      <c r="Q191" s="265"/>
      <c r="R191" s="265"/>
      <c r="S191" s="265"/>
      <c r="T191" s="265"/>
      <c r="U191" s="265"/>
      <c r="V191" s="265"/>
      <c r="W191" s="265"/>
      <c r="X191" s="265"/>
      <c r="Y191" s="265"/>
      <c r="Z191" s="265"/>
      <c r="AA191" s="265"/>
      <c r="AB191" s="265"/>
      <c r="AC191" s="265"/>
      <c r="AD191" s="265"/>
      <c r="AE191" s="265"/>
      <c r="AF191" s="265"/>
      <c r="AG191" s="265"/>
      <c r="AH191" s="265"/>
      <c r="AI191" s="265"/>
      <c r="AJ191" s="265"/>
      <c r="AK191" s="265"/>
      <c r="AL191" s="265"/>
      <c r="AM191" s="265"/>
      <c r="AN191" s="265"/>
      <c r="AO191" s="265"/>
      <c r="AP191" s="265"/>
      <c r="AQ191" s="265"/>
      <c r="AR191" s="265"/>
      <c r="AS191" s="265"/>
      <c r="AT191" s="265"/>
      <c r="AU191" s="265"/>
      <c r="AV191" s="265"/>
      <c r="AW191" s="265"/>
      <c r="AX191" s="265"/>
      <c r="AY191" s="265"/>
      <c r="AZ191" s="265"/>
      <c r="BA191" s="265"/>
      <c r="BB191" s="265"/>
      <c r="BC191" s="265"/>
      <c r="BD191" s="265"/>
      <c r="BE191" s="265"/>
      <c r="BF191" s="265"/>
      <c r="BG191" s="265"/>
      <c r="BH191" s="265"/>
      <c r="BI191" s="265"/>
      <c r="BJ191" s="265"/>
      <c r="BK191" s="265"/>
      <c r="BL191" s="265"/>
      <c r="BM191" s="265"/>
      <c r="BN191" s="265"/>
      <c r="BO191" s="265"/>
      <c r="BP191" s="265"/>
      <c r="BQ191" s="265"/>
      <c r="BR191" s="265"/>
      <c r="BS191" s="265"/>
      <c r="BT191" s="265"/>
      <c r="BU191" s="265"/>
      <c r="BV191" s="265"/>
      <c r="BW191" s="265"/>
      <c r="BX191" s="265"/>
      <c r="BY191" s="265"/>
      <c r="BZ191" s="265"/>
      <c r="CA191" s="265"/>
      <c r="CB191" s="265"/>
      <c r="CC191" s="265"/>
      <c r="CD191" s="265"/>
      <c r="CE191" s="265"/>
      <c r="CF191" s="265"/>
      <c r="CG191" s="265"/>
      <c r="CH191" s="265"/>
      <c r="CI191" s="265"/>
      <c r="CJ191" s="265"/>
      <c r="CK191" s="265"/>
      <c r="CL191" s="265"/>
      <c r="CM191" s="265"/>
      <c r="CN191" s="265"/>
      <c r="CO191" s="265"/>
      <c r="CP191" s="265"/>
      <c r="CQ191" s="265"/>
      <c r="CR191" s="265"/>
      <c r="CS191" s="265"/>
      <c r="CT191" s="265"/>
      <c r="CU191" s="265"/>
      <c r="CV191" s="265"/>
      <c r="CW191" s="265"/>
      <c r="CX191" s="265"/>
      <c r="CY191" s="265"/>
      <c r="CZ191" s="265"/>
      <c r="DA191" s="265"/>
      <c r="DB191" s="265"/>
      <c r="DC191" s="265"/>
      <c r="DD191" s="265"/>
      <c r="DE191" s="265"/>
      <c r="DF191" s="265"/>
      <c r="DG191" s="265"/>
      <c r="DH191" s="265"/>
      <c r="DI191" s="265"/>
      <c r="DJ191" s="265"/>
      <c r="DK191" s="265"/>
      <c r="DL191" s="265"/>
      <c r="DM191" s="265"/>
      <c r="DN191" s="265"/>
      <c r="DO191" s="265"/>
      <c r="DP191" s="265"/>
      <c r="DQ191" s="265"/>
      <c r="DR191" s="265"/>
      <c r="DS191" s="265"/>
      <c r="DT191" s="265"/>
      <c r="DU191" s="265"/>
      <c r="DV191" s="265"/>
      <c r="DW191" s="265"/>
      <c r="DX191" s="265"/>
      <c r="DY191" s="265"/>
      <c r="DZ191" s="265"/>
      <c r="EA191" s="265"/>
      <c r="EB191" s="265"/>
      <c r="EC191" s="265"/>
      <c r="ED191" s="265"/>
      <c r="EE191" s="265"/>
      <c r="EF191" s="265"/>
      <c r="EG191" s="265"/>
      <c r="EH191" s="265"/>
      <c r="EI191" s="265"/>
      <c r="EJ191" s="265"/>
      <c r="EK191" s="265"/>
      <c r="EL191" s="265"/>
      <c r="EM191" s="265"/>
      <c r="EN191" s="265"/>
      <c r="EO191" s="265"/>
      <c r="EP191" s="265"/>
      <c r="EQ191" s="265"/>
      <c r="ER191" s="265"/>
      <c r="ES191" s="265"/>
      <c r="ET191" s="265"/>
      <c r="EU191" s="265"/>
      <c r="EV191" s="265"/>
      <c r="EW191" s="265"/>
      <c r="EX191" s="265"/>
      <c r="EY191" s="265"/>
      <c r="EZ191" s="265"/>
      <c r="FA191" s="265"/>
      <c r="FB191" s="265"/>
      <c r="FC191" s="265"/>
      <c r="FD191" s="265"/>
      <c r="FE191" s="265"/>
      <c r="FF191" s="265"/>
      <c r="FG191" s="265"/>
      <c r="FH191" s="265"/>
      <c r="FI191" s="265"/>
      <c r="FJ191" s="265"/>
      <c r="FK191" s="265"/>
      <c r="FL191" s="265"/>
      <c r="FM191" s="265"/>
      <c r="FN191" s="265"/>
      <c r="FO191" s="265"/>
      <c r="FP191" s="265"/>
      <c r="FQ191" s="265"/>
      <c r="FR191" s="265"/>
      <c r="FS191" s="265"/>
      <c r="FT191" s="265"/>
      <c r="FU191" s="265"/>
      <c r="FV191" s="265"/>
      <c r="FW191" s="265"/>
      <c r="FX191" s="265"/>
      <c r="FY191" s="265"/>
      <c r="FZ191" s="265"/>
      <c r="GA191" s="265"/>
      <c r="GB191" s="265"/>
      <c r="GC191" s="265"/>
      <c r="GD191" s="265"/>
      <c r="GE191" s="265"/>
      <c r="GF191" s="265"/>
      <c r="GG191" s="265"/>
      <c r="GH191" s="265"/>
      <c r="GI191" s="265"/>
      <c r="GJ191" s="265"/>
      <c r="GK191" s="265"/>
      <c r="GL191" s="265"/>
      <c r="GM191" s="265"/>
      <c r="GN191" s="265"/>
      <c r="GO191" s="265"/>
      <c r="GP191" s="265"/>
      <c r="GQ191" s="265"/>
      <c r="GR191" s="265"/>
      <c r="GS191" s="265"/>
      <c r="GT191" s="265"/>
      <c r="GU191" s="265"/>
      <c r="GV191" s="265"/>
      <c r="GW191" s="265"/>
      <c r="GX191" s="265"/>
      <c r="GY191" s="265"/>
      <c r="GZ191" s="265"/>
      <c r="HA191" s="265"/>
      <c r="HB191" s="265"/>
      <c r="HC191" s="265"/>
      <c r="HD191" s="265"/>
      <c r="HE191" s="265"/>
      <c r="HF191" s="265"/>
      <c r="HG191" s="265"/>
      <c r="HH191" s="265"/>
      <c r="HI191" s="265"/>
      <c r="HJ191" s="265"/>
      <c r="HK191" s="265"/>
      <c r="HL191" s="265"/>
      <c r="HM191" s="265"/>
      <c r="HN191" s="265"/>
      <c r="HO191" s="265"/>
      <c r="HP191" s="265"/>
      <c r="HQ191" s="265"/>
      <c r="HR191" s="265"/>
      <c r="HS191" s="265"/>
      <c r="HT191" s="265"/>
      <c r="HU191" s="265"/>
      <c r="HV191" s="265"/>
      <c r="HW191" s="265"/>
      <c r="HX191" s="265"/>
      <c r="HY191" s="265"/>
      <c r="HZ191" s="265"/>
      <c r="IA191" s="265"/>
      <c r="IB191" s="265"/>
      <c r="IC191" s="265"/>
      <c r="ID191" s="265"/>
      <c r="IE191" s="265"/>
      <c r="IF191" s="265"/>
      <c r="IG191" s="265"/>
      <c r="IH191" s="265"/>
      <c r="II191" s="265"/>
      <c r="IJ191" s="265"/>
    </row>
    <row r="192" spans="1:244" hidden="1" x14ac:dyDescent="1.2">
      <c r="A192" s="266"/>
      <c r="B192" s="181" t="s">
        <v>432</v>
      </c>
      <c r="C192" s="322" t="s">
        <v>254</v>
      </c>
      <c r="D192" s="361"/>
      <c r="E192" s="361"/>
      <c r="F192" s="361"/>
      <c r="G192" s="361"/>
      <c r="H192" s="356">
        <f>D192+E192+F192+G192</f>
        <v>0</v>
      </c>
      <c r="I192" s="268"/>
      <c r="J192" s="269"/>
      <c r="K192" s="177"/>
    </row>
    <row r="193" spans="1:19" hidden="1" x14ac:dyDescent="1.2">
      <c r="A193" s="266"/>
      <c r="B193" s="270" t="s">
        <v>433</v>
      </c>
      <c r="C193" s="322"/>
      <c r="D193" s="362"/>
      <c r="E193" s="362"/>
      <c r="F193" s="361"/>
      <c r="G193" s="361"/>
      <c r="H193" s="356">
        <f t="shared" ref="H193:H206" si="10">D193+E193+F193+G193</f>
        <v>0</v>
      </c>
      <c r="I193" s="274"/>
      <c r="J193" s="269"/>
      <c r="K193" s="177"/>
    </row>
    <row r="194" spans="1:19" hidden="1" x14ac:dyDescent="1.2">
      <c r="A194" s="266"/>
      <c r="B194" s="181" t="s">
        <v>394</v>
      </c>
      <c r="C194" s="322"/>
      <c r="D194" s="361"/>
      <c r="E194" s="361"/>
      <c r="F194" s="361"/>
      <c r="G194" s="361"/>
      <c r="H194" s="356">
        <f t="shared" si="10"/>
        <v>0</v>
      </c>
      <c r="I194" s="268"/>
      <c r="J194" s="269"/>
      <c r="K194" s="177"/>
      <c r="S194" s="177">
        <f>(D194+E194+D196+E196+D198+D200+D206+E198+E200+E206)</f>
        <v>0</v>
      </c>
    </row>
    <row r="195" spans="1:19" hidden="1" x14ac:dyDescent="1.2">
      <c r="A195" s="266"/>
      <c r="B195" s="270" t="s">
        <v>395</v>
      </c>
      <c r="C195" s="323"/>
      <c r="D195" s="361"/>
      <c r="E195" s="361"/>
      <c r="F195" s="361"/>
      <c r="G195" s="361"/>
      <c r="H195" s="356">
        <f t="shared" si="10"/>
        <v>0</v>
      </c>
      <c r="I195" s="274"/>
      <c r="J195" s="275"/>
      <c r="K195" s="177"/>
    </row>
    <row r="196" spans="1:19" hidden="1" x14ac:dyDescent="1.2">
      <c r="A196" s="266"/>
      <c r="B196" s="270" t="s">
        <v>396</v>
      </c>
      <c r="C196" s="324"/>
      <c r="D196" s="361"/>
      <c r="E196" s="361"/>
      <c r="F196" s="361"/>
      <c r="G196" s="361"/>
      <c r="H196" s="356">
        <f t="shared" si="10"/>
        <v>0</v>
      </c>
      <c r="I196" s="276"/>
      <c r="J196" s="275"/>
      <c r="K196" s="177"/>
    </row>
    <row r="197" spans="1:19" hidden="1" x14ac:dyDescent="1.2">
      <c r="A197" s="266"/>
      <c r="B197" s="270" t="s">
        <v>397</v>
      </c>
      <c r="C197" s="324"/>
      <c r="D197" s="361"/>
      <c r="E197" s="361"/>
      <c r="F197" s="361"/>
      <c r="G197" s="361"/>
      <c r="H197" s="356">
        <f t="shared" si="10"/>
        <v>0</v>
      </c>
      <c r="I197" s="274"/>
      <c r="J197" s="275"/>
      <c r="K197" s="177"/>
    </row>
    <row r="198" spans="1:19" hidden="1" collapsed="1" x14ac:dyDescent="1.2">
      <c r="A198" s="266"/>
      <c r="B198" s="270" t="s">
        <v>398</v>
      </c>
      <c r="C198" s="324"/>
      <c r="D198" s="361"/>
      <c r="E198" s="361"/>
      <c r="F198" s="361"/>
      <c r="G198" s="361"/>
      <c r="H198" s="356">
        <f t="shared" si="10"/>
        <v>0</v>
      </c>
      <c r="I198" s="276"/>
      <c r="J198" s="275"/>
      <c r="K198" s="177"/>
    </row>
    <row r="199" spans="1:19" hidden="1" x14ac:dyDescent="1.2">
      <c r="A199" s="266"/>
      <c r="B199" s="270" t="s">
        <v>399</v>
      </c>
      <c r="C199" s="324"/>
      <c r="D199" s="361"/>
      <c r="E199" s="361"/>
      <c r="F199" s="361"/>
      <c r="G199" s="361"/>
      <c r="H199" s="356">
        <f t="shared" si="10"/>
        <v>0</v>
      </c>
      <c r="I199" s="274"/>
      <c r="J199" s="275"/>
      <c r="K199" s="177"/>
    </row>
    <row r="200" spans="1:19" hidden="1" x14ac:dyDescent="1.2">
      <c r="A200" s="266"/>
      <c r="B200" s="270" t="s">
        <v>400</v>
      </c>
      <c r="C200" s="324"/>
      <c r="D200" s="361"/>
      <c r="E200" s="361"/>
      <c r="F200" s="361"/>
      <c r="G200" s="361"/>
      <c r="H200" s="356">
        <f t="shared" si="10"/>
        <v>0</v>
      </c>
      <c r="I200" s="276"/>
      <c r="J200" s="275"/>
      <c r="K200" s="177"/>
    </row>
    <row r="201" spans="1:19" hidden="1" x14ac:dyDescent="1.2">
      <c r="A201" s="266"/>
      <c r="B201" s="270" t="s">
        <v>401</v>
      </c>
      <c r="C201" s="324"/>
      <c r="D201" s="361"/>
      <c r="E201" s="361"/>
      <c r="F201" s="361"/>
      <c r="G201" s="361"/>
      <c r="H201" s="356">
        <f t="shared" si="10"/>
        <v>0</v>
      </c>
      <c r="I201" s="274"/>
      <c r="J201" s="275"/>
      <c r="K201" s="177"/>
    </row>
    <row r="202" spans="1:19" hidden="1" x14ac:dyDescent="1.2">
      <c r="A202" s="266"/>
      <c r="B202" s="270" t="s">
        <v>402</v>
      </c>
      <c r="C202" s="324"/>
      <c r="D202" s="361"/>
      <c r="E202" s="361"/>
      <c r="F202" s="361"/>
      <c r="G202" s="361"/>
      <c r="H202" s="356">
        <f t="shared" si="10"/>
        <v>0</v>
      </c>
      <c r="I202" s="276"/>
      <c r="J202" s="275"/>
      <c r="K202" s="177"/>
    </row>
    <row r="203" spans="1:19" hidden="1" x14ac:dyDescent="1.2">
      <c r="A203" s="266"/>
      <c r="B203" s="270" t="s">
        <v>403</v>
      </c>
      <c r="C203" s="324"/>
      <c r="D203" s="361"/>
      <c r="E203" s="361"/>
      <c r="F203" s="361"/>
      <c r="G203" s="361"/>
      <c r="H203" s="356">
        <f t="shared" si="10"/>
        <v>0</v>
      </c>
      <c r="I203" s="274"/>
      <c r="J203" s="275"/>
      <c r="K203" s="177"/>
    </row>
    <row r="204" spans="1:19" hidden="1" x14ac:dyDescent="1.2">
      <c r="A204" s="266"/>
      <c r="B204" s="270" t="s">
        <v>404</v>
      </c>
      <c r="C204" s="324"/>
      <c r="D204" s="361"/>
      <c r="E204" s="361"/>
      <c r="F204" s="361"/>
      <c r="G204" s="361"/>
      <c r="H204" s="356">
        <f t="shared" si="10"/>
        <v>0</v>
      </c>
      <c r="I204" s="276"/>
      <c r="J204" s="275"/>
      <c r="K204" s="177"/>
    </row>
    <row r="205" spans="1:19" hidden="1" x14ac:dyDescent="1.2">
      <c r="A205" s="266"/>
      <c r="B205" s="270" t="s">
        <v>405</v>
      </c>
      <c r="C205" s="324"/>
      <c r="D205" s="361"/>
      <c r="E205" s="361"/>
      <c r="F205" s="361"/>
      <c r="G205" s="361"/>
      <c r="H205" s="356">
        <f t="shared" si="10"/>
        <v>0</v>
      </c>
      <c r="I205" s="277"/>
      <c r="J205" s="278"/>
      <c r="K205" s="177"/>
    </row>
    <row r="206" spans="1:19" hidden="1" x14ac:dyDescent="1.2">
      <c r="A206" s="266"/>
      <c r="B206" s="270" t="s">
        <v>425</v>
      </c>
      <c r="C206" s="324"/>
      <c r="D206" s="361"/>
      <c r="E206" s="361"/>
      <c r="F206" s="361"/>
      <c r="G206" s="361"/>
      <c r="H206" s="356">
        <f t="shared" si="10"/>
        <v>0</v>
      </c>
      <c r="I206" s="279"/>
      <c r="J206" s="177"/>
      <c r="K206" s="177"/>
    </row>
    <row r="207" spans="1:19" hidden="1" x14ac:dyDescent="1.2">
      <c r="A207" s="266"/>
      <c r="B207" s="181" t="s">
        <v>411</v>
      </c>
      <c r="C207" s="322"/>
      <c r="D207" s="267"/>
      <c r="E207" s="267"/>
      <c r="F207" s="267"/>
      <c r="G207" s="361"/>
      <c r="H207" s="251">
        <f t="shared" ref="H207:H221" si="11">D207+E207+F207+G207</f>
        <v>0</v>
      </c>
      <c r="I207" s="279"/>
      <c r="J207" s="177"/>
      <c r="K207" s="177"/>
    </row>
    <row r="208" spans="1:19" hidden="1" x14ac:dyDescent="1.2">
      <c r="A208" s="266"/>
      <c r="B208" s="270" t="s">
        <v>412</v>
      </c>
      <c r="C208" s="322"/>
      <c r="D208" s="271"/>
      <c r="E208" s="272"/>
      <c r="F208" s="273"/>
      <c r="G208" s="446"/>
      <c r="H208" s="251">
        <f t="shared" si="11"/>
        <v>0</v>
      </c>
      <c r="I208" s="279"/>
      <c r="J208" s="177"/>
      <c r="K208" s="177"/>
    </row>
    <row r="209" spans="1:11" hidden="1" x14ac:dyDescent="1.2">
      <c r="A209" s="266"/>
      <c r="B209" s="181" t="s">
        <v>413</v>
      </c>
      <c r="C209" s="322"/>
      <c r="D209" s="267"/>
      <c r="E209" s="267"/>
      <c r="F209" s="267"/>
      <c r="G209" s="267"/>
      <c r="H209" s="251">
        <f t="shared" si="11"/>
        <v>0</v>
      </c>
      <c r="I209" s="279"/>
      <c r="J209" s="177"/>
      <c r="K209" s="177"/>
    </row>
    <row r="210" spans="1:11" hidden="1" x14ac:dyDescent="1.2">
      <c r="A210" s="266"/>
      <c r="B210" s="270" t="s">
        <v>414</v>
      </c>
      <c r="C210" s="323"/>
      <c r="D210" s="273"/>
      <c r="E210" s="273"/>
      <c r="F210" s="273"/>
      <c r="G210" s="273"/>
      <c r="H210" s="251">
        <f t="shared" si="11"/>
        <v>0</v>
      </c>
      <c r="I210" s="279"/>
      <c r="J210" s="177"/>
      <c r="K210" s="177"/>
    </row>
    <row r="211" spans="1:11" hidden="1" x14ac:dyDescent="1.2">
      <c r="A211" s="266"/>
      <c r="B211" s="270" t="s">
        <v>415</v>
      </c>
      <c r="C211" s="324"/>
      <c r="D211" s="273"/>
      <c r="E211" s="273"/>
      <c r="F211" s="273"/>
      <c r="G211" s="273"/>
      <c r="H211" s="251">
        <f t="shared" si="11"/>
        <v>0</v>
      </c>
      <c r="I211" s="279"/>
      <c r="J211" s="177"/>
      <c r="K211" s="177"/>
    </row>
    <row r="212" spans="1:11" hidden="1" x14ac:dyDescent="1.2">
      <c r="A212" s="266"/>
      <c r="B212" s="270" t="s">
        <v>416</v>
      </c>
      <c r="C212" s="324"/>
      <c r="D212" s="273"/>
      <c r="E212" s="273"/>
      <c r="F212" s="273"/>
      <c r="G212" s="273"/>
      <c r="H212" s="251">
        <f t="shared" si="11"/>
        <v>0</v>
      </c>
      <c r="I212" s="279"/>
      <c r="J212" s="177"/>
      <c r="K212" s="177"/>
    </row>
    <row r="213" spans="1:11" hidden="1" x14ac:dyDescent="1.2">
      <c r="A213" s="266"/>
      <c r="B213" s="270" t="s">
        <v>417</v>
      </c>
      <c r="C213" s="324"/>
      <c r="D213" s="273"/>
      <c r="E213" s="273"/>
      <c r="F213" s="273"/>
      <c r="G213" s="273"/>
      <c r="H213" s="251">
        <f t="shared" si="11"/>
        <v>0</v>
      </c>
      <c r="I213" s="279"/>
      <c r="J213" s="177"/>
      <c r="K213" s="177"/>
    </row>
    <row r="214" spans="1:11" hidden="1" x14ac:dyDescent="1.2">
      <c r="A214" s="266"/>
      <c r="B214" s="270" t="s">
        <v>418</v>
      </c>
      <c r="C214" s="324"/>
      <c r="D214" s="273"/>
      <c r="E214" s="273"/>
      <c r="F214" s="273"/>
      <c r="G214" s="273"/>
      <c r="H214" s="251">
        <f t="shared" si="11"/>
        <v>0</v>
      </c>
      <c r="I214" s="279"/>
      <c r="J214" s="177"/>
      <c r="K214" s="177"/>
    </row>
    <row r="215" spans="1:11" hidden="1" x14ac:dyDescent="1.2">
      <c r="A215" s="266"/>
      <c r="B215" s="270" t="s">
        <v>419</v>
      </c>
      <c r="C215" s="324"/>
      <c r="D215" s="273"/>
      <c r="E215" s="273"/>
      <c r="F215" s="273"/>
      <c r="G215" s="273"/>
      <c r="H215" s="251">
        <f t="shared" si="11"/>
        <v>0</v>
      </c>
      <c r="I215" s="279"/>
      <c r="J215" s="177"/>
      <c r="K215" s="177"/>
    </row>
    <row r="216" spans="1:11" hidden="1" x14ac:dyDescent="1.2">
      <c r="A216" s="266"/>
      <c r="B216" s="270" t="s">
        <v>420</v>
      </c>
      <c r="C216" s="324"/>
      <c r="D216" s="273"/>
      <c r="E216" s="273"/>
      <c r="F216" s="273"/>
      <c r="G216" s="273"/>
      <c r="H216" s="251">
        <f t="shared" si="11"/>
        <v>0</v>
      </c>
      <c r="I216" s="279"/>
      <c r="J216" s="177"/>
      <c r="K216" s="177"/>
    </row>
    <row r="217" spans="1:11" hidden="1" x14ac:dyDescent="1.2">
      <c r="A217" s="266"/>
      <c r="B217" s="270" t="s">
        <v>421</v>
      </c>
      <c r="C217" s="324"/>
      <c r="D217" s="273"/>
      <c r="E217" s="273"/>
      <c r="F217" s="273"/>
      <c r="G217" s="273"/>
      <c r="H217" s="251">
        <f t="shared" si="11"/>
        <v>0</v>
      </c>
      <c r="I217" s="279"/>
      <c r="J217" s="177"/>
      <c r="K217" s="177"/>
    </row>
    <row r="218" spans="1:11" hidden="1" x14ac:dyDescent="1.2">
      <c r="A218" s="266"/>
      <c r="B218" s="270" t="s">
        <v>422</v>
      </c>
      <c r="C218" s="324"/>
      <c r="D218" s="273"/>
      <c r="E218" s="273"/>
      <c r="F218" s="273"/>
      <c r="G218" s="273"/>
      <c r="H218" s="251">
        <f t="shared" si="11"/>
        <v>0</v>
      </c>
      <c r="I218" s="279"/>
      <c r="J218" s="177"/>
      <c r="K218" s="177"/>
    </row>
    <row r="219" spans="1:11" hidden="1" x14ac:dyDescent="1.2">
      <c r="A219" s="266"/>
      <c r="B219" s="270" t="s">
        <v>423</v>
      </c>
      <c r="C219" s="324"/>
      <c r="D219" s="273"/>
      <c r="E219" s="273"/>
      <c r="F219" s="273"/>
      <c r="G219" s="273"/>
      <c r="H219" s="251">
        <f t="shared" si="11"/>
        <v>0</v>
      </c>
      <c r="I219" s="279"/>
      <c r="J219" s="177"/>
      <c r="K219" s="177"/>
    </row>
    <row r="220" spans="1:11" hidden="1" x14ac:dyDescent="1.2">
      <c r="A220" s="266"/>
      <c r="B220" s="270" t="s">
        <v>424</v>
      </c>
      <c r="C220" s="324"/>
      <c r="D220" s="273"/>
      <c r="E220" s="273"/>
      <c r="F220" s="273"/>
      <c r="G220" s="273"/>
      <c r="H220" s="251">
        <f t="shared" si="11"/>
        <v>0</v>
      </c>
      <c r="I220" s="279"/>
      <c r="J220" s="177"/>
      <c r="K220" s="177"/>
    </row>
    <row r="221" spans="1:11" hidden="1" x14ac:dyDescent="1.2">
      <c r="A221" s="266"/>
      <c r="B221" s="270" t="s">
        <v>426</v>
      </c>
      <c r="C221" s="324"/>
      <c r="D221" s="273"/>
      <c r="E221" s="273"/>
      <c r="F221" s="273"/>
      <c r="G221" s="273"/>
      <c r="H221" s="251">
        <f t="shared" si="11"/>
        <v>0</v>
      </c>
      <c r="I221" s="279"/>
      <c r="J221" s="177"/>
      <c r="K221" s="177"/>
    </row>
    <row r="222" spans="1:11" hidden="1" x14ac:dyDescent="1.2">
      <c r="A222" s="266"/>
      <c r="B222" s="181" t="s">
        <v>406</v>
      </c>
      <c r="C222" s="325" t="s">
        <v>45</v>
      </c>
      <c r="D222" s="281"/>
      <c r="E222" s="282"/>
      <c r="F222" s="281"/>
      <c r="G222" s="448">
        <v>0</v>
      </c>
      <c r="H222" s="251">
        <f>E222+G222</f>
        <v>0</v>
      </c>
      <c r="I222" s="540"/>
      <c r="J222" s="541"/>
      <c r="K222" s="177"/>
    </row>
    <row r="223" spans="1:11" hidden="1" x14ac:dyDescent="1.2">
      <c r="A223" s="266"/>
      <c r="B223" s="181" t="s">
        <v>407</v>
      </c>
      <c r="C223" s="325" t="s">
        <v>150</v>
      </c>
      <c r="D223" s="281"/>
      <c r="E223" s="282"/>
      <c r="F223" s="281"/>
      <c r="G223" s="448">
        <v>0</v>
      </c>
      <c r="H223" s="251">
        <f>E223+G223</f>
        <v>0</v>
      </c>
      <c r="I223" s="177"/>
      <c r="J223" s="177"/>
      <c r="K223" s="177"/>
    </row>
    <row r="224" spans="1:11" ht="84" hidden="1" x14ac:dyDescent="1.2">
      <c r="A224" s="266"/>
      <c r="B224" s="181" t="s">
        <v>408</v>
      </c>
      <c r="C224" s="325" t="s">
        <v>484</v>
      </c>
      <c r="D224" s="281"/>
      <c r="E224" s="283">
        <f>SUM(H192+H193+H194+H195+H196+H197+H198+H199+H200+H201+H202+H203+H204+H205+H206+H222+H223)</f>
        <v>0</v>
      </c>
      <c r="F224" s="284"/>
      <c r="G224" s="285"/>
      <c r="H224" s="195">
        <f>E224</f>
        <v>0</v>
      </c>
      <c r="I224" s="177"/>
      <c r="J224" s="177"/>
      <c r="K224" s="177"/>
    </row>
    <row r="225" spans="1:11" x14ac:dyDescent="1.2">
      <c r="A225" s="266"/>
      <c r="B225" s="181" t="s">
        <v>409</v>
      </c>
      <c r="C225" s="325" t="s">
        <v>481</v>
      </c>
      <c r="D225" s="281"/>
      <c r="E225" s="271">
        <f>SUM(D168+E168+F168+G168)</f>
        <v>222445.20659999998</v>
      </c>
      <c r="F225" s="177"/>
      <c r="G225" s="240"/>
      <c r="H225" s="195">
        <f>E225</f>
        <v>222445.20659999998</v>
      </c>
      <c r="I225" s="240"/>
      <c r="J225" s="240"/>
      <c r="K225" s="177"/>
    </row>
    <row r="226" spans="1:11" ht="84" thickBot="1" x14ac:dyDescent="1.25">
      <c r="A226" s="266"/>
      <c r="B226" s="181" t="s">
        <v>410</v>
      </c>
      <c r="C226" s="325" t="s">
        <v>47</v>
      </c>
      <c r="D226" s="281"/>
      <c r="E226" s="271">
        <f>SUM(F147+F158+F160+F162+F163+F164+G147+G158+G160+G162+G163+G164)-(F149+G149+F165+G165)</f>
        <v>216785.70681999999</v>
      </c>
      <c r="F226" s="177"/>
      <c r="G226" s="240"/>
      <c r="H226" s="195">
        <f>E226</f>
        <v>216785.70681999999</v>
      </c>
      <c r="I226" s="240"/>
      <c r="K226" s="177"/>
    </row>
    <row r="227" spans="1:11" ht="84" hidden="1" thickBot="1" x14ac:dyDescent="1.25">
      <c r="A227" s="286"/>
      <c r="B227" s="181" t="s">
        <v>463</v>
      </c>
      <c r="C227" s="325" t="s">
        <v>45</v>
      </c>
      <c r="D227" s="281"/>
      <c r="E227" s="282"/>
      <c r="F227" s="281"/>
      <c r="G227" s="448">
        <v>0</v>
      </c>
      <c r="H227" s="287">
        <f>G227+E227</f>
        <v>0</v>
      </c>
      <c r="I227" s="268"/>
      <c r="J227" s="269"/>
      <c r="K227" s="177"/>
    </row>
    <row r="228" spans="1:11" ht="84" hidden="1" thickBot="1" x14ac:dyDescent="1.25">
      <c r="A228" s="286"/>
      <c r="B228" s="181" t="s">
        <v>464</v>
      </c>
      <c r="C228" s="325" t="s">
        <v>150</v>
      </c>
      <c r="D228" s="281"/>
      <c r="E228" s="288"/>
      <c r="F228" s="281"/>
      <c r="G228" s="448">
        <v>0</v>
      </c>
      <c r="H228" s="287">
        <f>G228+E228</f>
        <v>0</v>
      </c>
      <c r="I228" s="268"/>
      <c r="J228" s="269"/>
      <c r="K228" s="177"/>
    </row>
    <row r="229" spans="1:11" ht="84.75" hidden="1" thickBot="1" x14ac:dyDescent="1.25">
      <c r="A229" s="286"/>
      <c r="B229" s="181" t="s">
        <v>465</v>
      </c>
      <c r="C229" s="325" t="s">
        <v>484</v>
      </c>
      <c r="D229" s="281"/>
      <c r="E229" s="283">
        <f>SUM(H207:H221)+H227+H228</f>
        <v>0</v>
      </c>
      <c r="F229" s="285"/>
      <c r="G229" s="285"/>
      <c r="H229" s="195">
        <f>F229+E229</f>
        <v>0</v>
      </c>
      <c r="I229" s="177"/>
      <c r="J229" s="177"/>
      <c r="K229" s="177"/>
    </row>
    <row r="230" spans="1:11" ht="84" hidden="1" thickBot="1" x14ac:dyDescent="1.25">
      <c r="A230" s="286"/>
      <c r="B230" s="181" t="s">
        <v>466</v>
      </c>
      <c r="C230" s="325" t="s">
        <v>46</v>
      </c>
      <c r="D230" s="281"/>
      <c r="E230" s="271">
        <f>SUM(D190+E190+F190+G190)</f>
        <v>0</v>
      </c>
      <c r="H230" s="195">
        <f>E230</f>
        <v>0</v>
      </c>
      <c r="I230" s="240"/>
      <c r="J230" s="240"/>
      <c r="K230" s="177"/>
    </row>
    <row r="231" spans="1:11" ht="84" hidden="1" thickBot="1" x14ac:dyDescent="1.25">
      <c r="A231" s="279"/>
      <c r="B231" s="181" t="s">
        <v>467</v>
      </c>
      <c r="C231" s="325" t="s">
        <v>47</v>
      </c>
      <c r="D231" s="281"/>
      <c r="E231" s="271">
        <f>SUM(F169+F180+F182+F184+F185+F186+G169+G180+G182+G184+G185+G186)-(F171+G171+F187+G187)</f>
        <v>0</v>
      </c>
      <c r="H231" s="195">
        <f>E231</f>
        <v>0</v>
      </c>
      <c r="I231" s="240"/>
      <c r="J231" s="240"/>
      <c r="K231" s="177"/>
    </row>
    <row r="232" spans="1:11" ht="84" thickTop="1" x14ac:dyDescent="1.2">
      <c r="A232" s="279"/>
      <c r="B232" s="409"/>
      <c r="C232" s="410"/>
      <c r="D232" s="411"/>
      <c r="E232" s="412"/>
      <c r="F232" s="563" t="s">
        <v>641</v>
      </c>
      <c r="G232" s="564"/>
      <c r="H232" s="344">
        <v>1</v>
      </c>
      <c r="I232" s="240"/>
      <c r="K232" s="177"/>
    </row>
    <row r="233" spans="1:11" x14ac:dyDescent="1.2">
      <c r="A233" s="279"/>
      <c r="B233" s="413"/>
      <c r="C233" s="414"/>
      <c r="D233" s="415"/>
      <c r="E233" s="416"/>
      <c r="F233" s="427">
        <f>F145</f>
        <v>0.1</v>
      </c>
      <c r="G233" s="428">
        <f>G145</f>
        <v>0.2</v>
      </c>
      <c r="H233" s="344">
        <v>1</v>
      </c>
      <c r="J233" s="240"/>
      <c r="K233" s="177"/>
    </row>
    <row r="234" spans="1:11" ht="84" thickBot="1" x14ac:dyDescent="1.25">
      <c r="B234" s="289" t="s">
        <v>473</v>
      </c>
      <c r="C234" s="326" t="s">
        <v>610</v>
      </c>
      <c r="D234" s="281"/>
      <c r="E234" s="404">
        <f>E225-E226</f>
        <v>5659.4997799999837</v>
      </c>
      <c r="F234" s="406">
        <f>SUM(D150:D157)+D160+D163+D164-D149-D165</f>
        <v>5659.4997799999865</v>
      </c>
      <c r="G234" s="407">
        <f>SUM(E150:E157)+E160+E163+E164-E149-E165</f>
        <v>-2.7284841053187847E-12</v>
      </c>
      <c r="H234" s="208">
        <f>E234</f>
        <v>5659.4997799999837</v>
      </c>
      <c r="I234" s="213"/>
      <c r="J234" s="213"/>
      <c r="K234" s="177"/>
    </row>
    <row r="235" spans="1:11" ht="84" hidden="1" thickBot="1" x14ac:dyDescent="1.25">
      <c r="B235" s="417" t="s">
        <v>491</v>
      </c>
      <c r="C235" s="418" t="s">
        <v>611</v>
      </c>
      <c r="D235" s="419"/>
      <c r="E235" s="420">
        <f>SUM(E230-E231)</f>
        <v>0</v>
      </c>
      <c r="F235" s="421">
        <f>SUM(D172:D179)+D182+D185+D186-D171-D187</f>
        <v>0</v>
      </c>
      <c r="G235" s="422">
        <f>SUM(E172:E179)+E182+E185+E186-E171-E187</f>
        <v>0</v>
      </c>
      <c r="H235" s="208">
        <f>E235</f>
        <v>0</v>
      </c>
      <c r="I235" s="213"/>
      <c r="J235" s="213"/>
      <c r="K235" s="177"/>
    </row>
    <row r="236" spans="1:11" ht="84" thickTop="1" x14ac:dyDescent="1.2">
      <c r="B236" s="429" t="s">
        <v>511</v>
      </c>
      <c r="C236" s="430" t="s">
        <v>620</v>
      </c>
      <c r="D236" s="431"/>
      <c r="E236" s="432">
        <f>F236+G236</f>
        <v>5659.4997799999837</v>
      </c>
      <c r="F236" s="433">
        <f>SUM(D150:D157)+D160+D163+D164-D149-D165-SUM(D192:D206)-SUM(F238:F279)</f>
        <v>5659.4997799999865</v>
      </c>
      <c r="G236" s="434">
        <f>SUM(E150:E157)+E160+E163+E164-E149-E165-SUM(E192:E206)-SUM(G238:G279)</f>
        <v>-2.7284841053187847E-12</v>
      </c>
      <c r="H236" s="208">
        <f t="shared" ref="H236:H330" si="12">E236</f>
        <v>5659.4997799999837</v>
      </c>
      <c r="I236" s="213"/>
      <c r="J236" s="213"/>
      <c r="K236" s="177"/>
    </row>
    <row r="237" spans="1:11" hidden="1" x14ac:dyDescent="1.2">
      <c r="B237" s="435" t="s">
        <v>617</v>
      </c>
      <c r="C237" s="436" t="s">
        <v>621</v>
      </c>
      <c r="D237" s="437"/>
      <c r="E237" s="438">
        <f>SUM(D192:E206)</f>
        <v>0</v>
      </c>
      <c r="F237" s="439">
        <f>SUM(D192:D206)</f>
        <v>0</v>
      </c>
      <c r="G237" s="440">
        <f>SUM(E192:E206)</f>
        <v>0</v>
      </c>
      <c r="H237" s="208">
        <f>E237</f>
        <v>0</v>
      </c>
      <c r="I237" s="213"/>
      <c r="J237" s="213"/>
      <c r="K237" s="177"/>
    </row>
    <row r="238" spans="1:11" hidden="1" x14ac:dyDescent="1.2">
      <c r="B238" s="435" t="s">
        <v>625</v>
      </c>
      <c r="C238" s="436" t="str">
        <f>"mandat"&amp;" "&amp;"ST"&amp;" "&amp;"TF"&amp;" "&amp;E30</f>
        <v>mandat ST TF 0</v>
      </c>
      <c r="D238" s="437"/>
      <c r="E238" s="438">
        <f>F238+G238</f>
        <v>0</v>
      </c>
      <c r="F238" s="439">
        <f>IF(D30="ST TVA autoliquidée",I30,((I30*$D$10)+I30))</f>
        <v>0</v>
      </c>
      <c r="G238" s="440">
        <f t="shared" ref="G238:G243" si="13">IF(D30="ST TVA autoliquidée",J30,((J30*$E$10)+J30))</f>
        <v>0</v>
      </c>
      <c r="H238" s="208">
        <f>E238</f>
        <v>0</v>
      </c>
      <c r="I238" s="213"/>
      <c r="J238" s="213"/>
      <c r="K238" s="177"/>
    </row>
    <row r="239" spans="1:11" hidden="1" x14ac:dyDescent="1.2">
      <c r="B239" s="435" t="s">
        <v>625</v>
      </c>
      <c r="C239" s="436" t="str">
        <f t="shared" ref="C239:C243" si="14">"mandat"&amp;" "&amp;"ST"&amp;" "&amp;"TF"&amp;" "&amp;E31</f>
        <v>mandat ST TF 0</v>
      </c>
      <c r="D239" s="437"/>
      <c r="E239" s="438">
        <f t="shared" ref="E239:E279" si="15">F239+G239</f>
        <v>0</v>
      </c>
      <c r="F239" s="439">
        <f t="shared" ref="F239:F243" si="16">IF(D31="ST TVA autoliquidée",I31,((I31*$D$10)+I31))</f>
        <v>0</v>
      </c>
      <c r="G239" s="440">
        <f t="shared" si="13"/>
        <v>0</v>
      </c>
      <c r="H239" s="208">
        <f t="shared" ref="H239:H279" si="17">E239</f>
        <v>0</v>
      </c>
      <c r="I239" s="213"/>
      <c r="J239" s="213"/>
      <c r="K239" s="177"/>
    </row>
    <row r="240" spans="1:11" hidden="1" x14ac:dyDescent="1.2">
      <c r="B240" s="435" t="s">
        <v>625</v>
      </c>
      <c r="C240" s="436" t="str">
        <f t="shared" si="14"/>
        <v>mandat ST TF 0</v>
      </c>
      <c r="D240" s="437"/>
      <c r="E240" s="438">
        <f t="shared" si="15"/>
        <v>0</v>
      </c>
      <c r="F240" s="439">
        <f t="shared" si="16"/>
        <v>0</v>
      </c>
      <c r="G240" s="440">
        <f t="shared" si="13"/>
        <v>0</v>
      </c>
      <c r="H240" s="208">
        <f t="shared" si="17"/>
        <v>0</v>
      </c>
      <c r="I240" s="213"/>
      <c r="J240" s="213"/>
      <c r="K240" s="177"/>
    </row>
    <row r="241" spans="2:11" hidden="1" x14ac:dyDescent="1.2">
      <c r="B241" s="435" t="s">
        <v>625</v>
      </c>
      <c r="C241" s="436" t="str">
        <f t="shared" si="14"/>
        <v>mandat ST TF 0</v>
      </c>
      <c r="D241" s="437"/>
      <c r="E241" s="438">
        <f t="shared" si="15"/>
        <v>0</v>
      </c>
      <c r="F241" s="439">
        <f t="shared" si="16"/>
        <v>0</v>
      </c>
      <c r="G241" s="440">
        <f t="shared" si="13"/>
        <v>0</v>
      </c>
      <c r="H241" s="208">
        <f t="shared" si="17"/>
        <v>0</v>
      </c>
      <c r="I241" s="213"/>
      <c r="J241" s="213"/>
      <c r="K241" s="177"/>
    </row>
    <row r="242" spans="2:11" hidden="1" x14ac:dyDescent="1.2">
      <c r="B242" s="435" t="s">
        <v>625</v>
      </c>
      <c r="C242" s="436" t="str">
        <f t="shared" si="14"/>
        <v>mandat ST TF 0</v>
      </c>
      <c r="D242" s="437"/>
      <c r="E242" s="438">
        <f t="shared" si="15"/>
        <v>0</v>
      </c>
      <c r="F242" s="439">
        <f t="shared" si="16"/>
        <v>0</v>
      </c>
      <c r="G242" s="440">
        <f t="shared" si="13"/>
        <v>0</v>
      </c>
      <c r="H242" s="208">
        <f t="shared" si="17"/>
        <v>0</v>
      </c>
      <c r="I242" s="213"/>
      <c r="J242" s="213"/>
      <c r="K242" s="177"/>
    </row>
    <row r="243" spans="2:11" hidden="1" x14ac:dyDescent="1.2">
      <c r="B243" s="435" t="s">
        <v>625</v>
      </c>
      <c r="C243" s="436" t="str">
        <f t="shared" si="14"/>
        <v>mandat ST TF 0</v>
      </c>
      <c r="D243" s="437"/>
      <c r="E243" s="438">
        <f t="shared" si="15"/>
        <v>0</v>
      </c>
      <c r="F243" s="439">
        <f t="shared" si="16"/>
        <v>0</v>
      </c>
      <c r="G243" s="440">
        <f t="shared" si="13"/>
        <v>0</v>
      </c>
      <c r="H243" s="208">
        <f t="shared" si="17"/>
        <v>0</v>
      </c>
      <c r="I243" s="213"/>
      <c r="J243" s="213"/>
      <c r="K243" s="177"/>
    </row>
    <row r="244" spans="2:11" hidden="1" x14ac:dyDescent="1.2">
      <c r="B244" s="435" t="s">
        <v>625</v>
      </c>
      <c r="C244" s="436" t="str">
        <f t="shared" ref="C244:C249" si="18">"mandat"&amp;" "&amp;"ST"&amp;" "&amp;"TO1"&amp;" "&amp;E37</f>
        <v>mandat ST TO1 0</v>
      </c>
      <c r="D244" s="437"/>
      <c r="E244" s="438">
        <f t="shared" si="15"/>
        <v>0</v>
      </c>
      <c r="F244" s="439">
        <f>IF(D37="ST TVA autoliquidée",I37,((I37*$D$10)+I37))</f>
        <v>0</v>
      </c>
      <c r="G244" s="440">
        <f t="shared" ref="G244:G249" si="19">IF(D37="ST TVA autoliquidée",J37,((J37*$E$10)+J37))</f>
        <v>0</v>
      </c>
      <c r="H244" s="208">
        <f t="shared" si="17"/>
        <v>0</v>
      </c>
      <c r="I244" s="213"/>
      <c r="J244" s="213"/>
      <c r="K244" s="177"/>
    </row>
    <row r="245" spans="2:11" hidden="1" x14ac:dyDescent="1.2">
      <c r="B245" s="435" t="s">
        <v>625</v>
      </c>
      <c r="C245" s="436" t="str">
        <f t="shared" si="18"/>
        <v>mandat ST TO1 0</v>
      </c>
      <c r="D245" s="437"/>
      <c r="E245" s="438">
        <f t="shared" si="15"/>
        <v>0</v>
      </c>
      <c r="F245" s="439">
        <f t="shared" ref="F245:F249" si="20">IF(D38="ST TVA autoliquidée",I38,((I38*$D$10)+I38))</f>
        <v>0</v>
      </c>
      <c r="G245" s="440">
        <f t="shared" si="19"/>
        <v>0</v>
      </c>
      <c r="H245" s="208">
        <f t="shared" si="17"/>
        <v>0</v>
      </c>
      <c r="I245" s="213"/>
      <c r="J245" s="213"/>
      <c r="K245" s="177"/>
    </row>
    <row r="246" spans="2:11" hidden="1" x14ac:dyDescent="1.2">
      <c r="B246" s="435" t="s">
        <v>625</v>
      </c>
      <c r="C246" s="436" t="str">
        <f t="shared" si="18"/>
        <v>mandat ST TO1 0</v>
      </c>
      <c r="D246" s="437"/>
      <c r="E246" s="438">
        <f t="shared" si="15"/>
        <v>0</v>
      </c>
      <c r="F246" s="439">
        <f t="shared" si="20"/>
        <v>0</v>
      </c>
      <c r="G246" s="440">
        <f t="shared" si="19"/>
        <v>0</v>
      </c>
      <c r="H246" s="208">
        <f t="shared" si="17"/>
        <v>0</v>
      </c>
      <c r="I246" s="213"/>
      <c r="J246" s="213"/>
      <c r="K246" s="177"/>
    </row>
    <row r="247" spans="2:11" hidden="1" x14ac:dyDescent="1.2">
      <c r="B247" s="435" t="s">
        <v>625</v>
      </c>
      <c r="C247" s="436" t="str">
        <f t="shared" si="18"/>
        <v>mandat ST TO1 0</v>
      </c>
      <c r="D247" s="437"/>
      <c r="E247" s="438">
        <f t="shared" si="15"/>
        <v>0</v>
      </c>
      <c r="F247" s="439">
        <f t="shared" si="20"/>
        <v>0</v>
      </c>
      <c r="G247" s="440">
        <f t="shared" si="19"/>
        <v>0</v>
      </c>
      <c r="H247" s="208">
        <f t="shared" si="17"/>
        <v>0</v>
      </c>
      <c r="I247" s="213"/>
      <c r="J247" s="213"/>
      <c r="K247" s="177"/>
    </row>
    <row r="248" spans="2:11" hidden="1" x14ac:dyDescent="1.2">
      <c r="B248" s="435" t="s">
        <v>625</v>
      </c>
      <c r="C248" s="436" t="str">
        <f t="shared" si="18"/>
        <v>mandat ST TO1 0</v>
      </c>
      <c r="D248" s="437"/>
      <c r="E248" s="438">
        <f t="shared" si="15"/>
        <v>0</v>
      </c>
      <c r="F248" s="439">
        <f t="shared" si="20"/>
        <v>0</v>
      </c>
      <c r="G248" s="440">
        <f t="shared" si="19"/>
        <v>0</v>
      </c>
      <c r="H248" s="208">
        <f t="shared" si="17"/>
        <v>0</v>
      </c>
      <c r="I248" s="213"/>
      <c r="J248" s="213"/>
      <c r="K248" s="177"/>
    </row>
    <row r="249" spans="2:11" hidden="1" x14ac:dyDescent="1.2">
      <c r="B249" s="435" t="s">
        <v>625</v>
      </c>
      <c r="C249" s="436" t="str">
        <f t="shared" si="18"/>
        <v>mandat ST TO1 0</v>
      </c>
      <c r="D249" s="437"/>
      <c r="E249" s="438">
        <f t="shared" si="15"/>
        <v>0</v>
      </c>
      <c r="F249" s="439">
        <f t="shared" si="20"/>
        <v>0</v>
      </c>
      <c r="G249" s="440">
        <f t="shared" si="19"/>
        <v>0</v>
      </c>
      <c r="H249" s="208">
        <f t="shared" si="17"/>
        <v>0</v>
      </c>
      <c r="I249" s="213"/>
      <c r="J249" s="213"/>
      <c r="K249" s="177"/>
    </row>
    <row r="250" spans="2:11" hidden="1" x14ac:dyDescent="1.2">
      <c r="B250" s="435" t="s">
        <v>625</v>
      </c>
      <c r="C250" s="436" t="str">
        <f t="shared" ref="C250:C255" si="21">"mandat"&amp;" "&amp;"ST"&amp;" "&amp;"TO2"&amp;" "&amp;E44</f>
        <v>mandat ST TO2 0</v>
      </c>
      <c r="D250" s="437"/>
      <c r="E250" s="438">
        <f t="shared" si="15"/>
        <v>0</v>
      </c>
      <c r="F250" s="439">
        <f>IF(D44="ST TVA autoliquidée",I44,((I44*$D$10)+I44))</f>
        <v>0</v>
      </c>
      <c r="G250" s="440">
        <f t="shared" ref="G250:G255" si="22">IF(D44="ST TVA autoliquidée",J44,((J44*$E$10)+J44))</f>
        <v>0</v>
      </c>
      <c r="H250" s="208">
        <f t="shared" si="17"/>
        <v>0</v>
      </c>
      <c r="I250" s="213"/>
      <c r="J250" s="213"/>
      <c r="K250" s="177"/>
    </row>
    <row r="251" spans="2:11" hidden="1" x14ac:dyDescent="1.2">
      <c r="B251" s="435" t="s">
        <v>625</v>
      </c>
      <c r="C251" s="436" t="str">
        <f t="shared" si="21"/>
        <v>mandat ST TO2 0</v>
      </c>
      <c r="D251" s="437"/>
      <c r="E251" s="438">
        <f t="shared" si="15"/>
        <v>0</v>
      </c>
      <c r="F251" s="439">
        <f t="shared" ref="F251:F255" si="23">IF(D45="ST TVA autoliquidée",I45,((I45*$D$10)+I45))</f>
        <v>0</v>
      </c>
      <c r="G251" s="440">
        <f t="shared" si="22"/>
        <v>0</v>
      </c>
      <c r="H251" s="208">
        <f t="shared" si="17"/>
        <v>0</v>
      </c>
      <c r="I251" s="213"/>
      <c r="J251" s="213"/>
      <c r="K251" s="177"/>
    </row>
    <row r="252" spans="2:11" hidden="1" x14ac:dyDescent="1.2">
      <c r="B252" s="435" t="s">
        <v>625</v>
      </c>
      <c r="C252" s="436" t="str">
        <f t="shared" si="21"/>
        <v>mandat ST TO2 0</v>
      </c>
      <c r="D252" s="437"/>
      <c r="E252" s="438">
        <f t="shared" si="15"/>
        <v>0</v>
      </c>
      <c r="F252" s="439">
        <f t="shared" si="23"/>
        <v>0</v>
      </c>
      <c r="G252" s="440">
        <f t="shared" si="22"/>
        <v>0</v>
      </c>
      <c r="H252" s="208">
        <f t="shared" si="17"/>
        <v>0</v>
      </c>
      <c r="I252" s="213"/>
      <c r="J252" s="213"/>
      <c r="K252" s="177"/>
    </row>
    <row r="253" spans="2:11" hidden="1" x14ac:dyDescent="1.2">
      <c r="B253" s="435" t="s">
        <v>625</v>
      </c>
      <c r="C253" s="436" t="str">
        <f t="shared" si="21"/>
        <v>mandat ST TO2 0</v>
      </c>
      <c r="D253" s="437"/>
      <c r="E253" s="438">
        <f t="shared" si="15"/>
        <v>0</v>
      </c>
      <c r="F253" s="439">
        <f t="shared" si="23"/>
        <v>0</v>
      </c>
      <c r="G253" s="440">
        <f t="shared" si="22"/>
        <v>0</v>
      </c>
      <c r="H253" s="208">
        <f t="shared" si="17"/>
        <v>0</v>
      </c>
      <c r="I253" s="213"/>
      <c r="J253" s="213"/>
      <c r="K253" s="177"/>
    </row>
    <row r="254" spans="2:11" hidden="1" x14ac:dyDescent="1.2">
      <c r="B254" s="435" t="s">
        <v>625</v>
      </c>
      <c r="C254" s="436" t="str">
        <f t="shared" si="21"/>
        <v>mandat ST TO2 0</v>
      </c>
      <c r="D254" s="437"/>
      <c r="E254" s="438">
        <f t="shared" si="15"/>
        <v>0</v>
      </c>
      <c r="F254" s="439">
        <f t="shared" si="23"/>
        <v>0</v>
      </c>
      <c r="G254" s="440">
        <f t="shared" si="22"/>
        <v>0</v>
      </c>
      <c r="H254" s="208">
        <f t="shared" si="17"/>
        <v>0</v>
      </c>
      <c r="I254" s="213"/>
      <c r="J254" s="213"/>
      <c r="K254" s="177"/>
    </row>
    <row r="255" spans="2:11" hidden="1" x14ac:dyDescent="1.2">
      <c r="B255" s="435" t="s">
        <v>625</v>
      </c>
      <c r="C255" s="436" t="str">
        <f t="shared" si="21"/>
        <v>mandat ST TO2 0</v>
      </c>
      <c r="D255" s="437"/>
      <c r="E255" s="438">
        <f t="shared" si="15"/>
        <v>0</v>
      </c>
      <c r="F255" s="439">
        <f t="shared" si="23"/>
        <v>0</v>
      </c>
      <c r="G255" s="440">
        <f t="shared" si="22"/>
        <v>0</v>
      </c>
      <c r="H255" s="208">
        <f t="shared" si="17"/>
        <v>0</v>
      </c>
      <c r="I255" s="213"/>
      <c r="J255" s="213"/>
      <c r="K255" s="177"/>
    </row>
    <row r="256" spans="2:11" hidden="1" x14ac:dyDescent="1.2">
      <c r="B256" s="435" t="s">
        <v>625</v>
      </c>
      <c r="C256" s="436" t="str">
        <f t="shared" ref="C256:C261" si="24">"mandat"&amp;" "&amp;"ST"&amp;" "&amp;"TO3"&amp;" "&amp;E51</f>
        <v>mandat ST TO3 0</v>
      </c>
      <c r="D256" s="437"/>
      <c r="E256" s="438">
        <f t="shared" si="15"/>
        <v>0</v>
      </c>
      <c r="F256" s="439">
        <f>IF(D51="ST TVA autoliquidée",I51,((I51*$D$10)+I51))</f>
        <v>0</v>
      </c>
      <c r="G256" s="440">
        <f t="shared" ref="G256:G261" si="25">IF(D51="ST TVA autoliquidée",J51,((J51*$E$10)+J51))</f>
        <v>0</v>
      </c>
      <c r="H256" s="208">
        <f t="shared" si="17"/>
        <v>0</v>
      </c>
      <c r="I256" s="213"/>
      <c r="J256" s="213"/>
      <c r="K256" s="177"/>
    </row>
    <row r="257" spans="2:11" hidden="1" x14ac:dyDescent="1.2">
      <c r="B257" s="435" t="s">
        <v>625</v>
      </c>
      <c r="C257" s="436" t="str">
        <f t="shared" si="24"/>
        <v>mandat ST TO3 0</v>
      </c>
      <c r="D257" s="437"/>
      <c r="E257" s="438">
        <f t="shared" si="15"/>
        <v>0</v>
      </c>
      <c r="F257" s="439">
        <f t="shared" ref="F257:F261" si="26">IF(D52="ST TVA autoliquidée",I52,((I52*$D$10)+I52))</f>
        <v>0</v>
      </c>
      <c r="G257" s="440">
        <f t="shared" si="25"/>
        <v>0</v>
      </c>
      <c r="H257" s="208">
        <f t="shared" si="17"/>
        <v>0</v>
      </c>
      <c r="I257" s="213"/>
      <c r="J257" s="213"/>
      <c r="K257" s="177"/>
    </row>
    <row r="258" spans="2:11" hidden="1" x14ac:dyDescent="1.2">
      <c r="B258" s="435" t="s">
        <v>625</v>
      </c>
      <c r="C258" s="436" t="str">
        <f t="shared" si="24"/>
        <v>mandat ST TO3 0</v>
      </c>
      <c r="D258" s="437"/>
      <c r="E258" s="438">
        <f t="shared" si="15"/>
        <v>0</v>
      </c>
      <c r="F258" s="439">
        <f t="shared" si="26"/>
        <v>0</v>
      </c>
      <c r="G258" s="440">
        <f t="shared" si="25"/>
        <v>0</v>
      </c>
      <c r="H258" s="208">
        <f t="shared" si="17"/>
        <v>0</v>
      </c>
      <c r="I258" s="213"/>
      <c r="J258" s="213"/>
      <c r="K258" s="177"/>
    </row>
    <row r="259" spans="2:11" hidden="1" x14ac:dyDescent="1.2">
      <c r="B259" s="435" t="s">
        <v>625</v>
      </c>
      <c r="C259" s="436" t="str">
        <f t="shared" si="24"/>
        <v>mandat ST TO3 0</v>
      </c>
      <c r="D259" s="437"/>
      <c r="E259" s="438">
        <f t="shared" si="15"/>
        <v>0</v>
      </c>
      <c r="F259" s="439">
        <f t="shared" si="26"/>
        <v>0</v>
      </c>
      <c r="G259" s="440">
        <f t="shared" si="25"/>
        <v>0</v>
      </c>
      <c r="H259" s="208">
        <f t="shared" si="17"/>
        <v>0</v>
      </c>
      <c r="I259" s="213"/>
      <c r="J259" s="213"/>
      <c r="K259" s="177"/>
    </row>
    <row r="260" spans="2:11" hidden="1" x14ac:dyDescent="1.2">
      <c r="B260" s="435" t="s">
        <v>625</v>
      </c>
      <c r="C260" s="436" t="str">
        <f t="shared" si="24"/>
        <v>mandat ST TO3 0</v>
      </c>
      <c r="D260" s="437"/>
      <c r="E260" s="438">
        <f t="shared" si="15"/>
        <v>0</v>
      </c>
      <c r="F260" s="439">
        <f t="shared" si="26"/>
        <v>0</v>
      </c>
      <c r="G260" s="440">
        <f t="shared" si="25"/>
        <v>0</v>
      </c>
      <c r="H260" s="208">
        <f t="shared" si="17"/>
        <v>0</v>
      </c>
      <c r="I260" s="213"/>
      <c r="J260" s="213"/>
      <c r="K260" s="177"/>
    </row>
    <row r="261" spans="2:11" hidden="1" x14ac:dyDescent="1.2">
      <c r="B261" s="435" t="s">
        <v>625</v>
      </c>
      <c r="C261" s="436" t="str">
        <f t="shared" si="24"/>
        <v>mandat ST TO3 0</v>
      </c>
      <c r="D261" s="437"/>
      <c r="E261" s="438">
        <f t="shared" si="15"/>
        <v>0</v>
      </c>
      <c r="F261" s="439">
        <f t="shared" si="26"/>
        <v>0</v>
      </c>
      <c r="G261" s="440">
        <f t="shared" si="25"/>
        <v>0</v>
      </c>
      <c r="H261" s="208">
        <f t="shared" si="17"/>
        <v>0</v>
      </c>
      <c r="I261" s="213"/>
      <c r="J261" s="213"/>
      <c r="K261" s="177"/>
    </row>
    <row r="262" spans="2:11" hidden="1" x14ac:dyDescent="1.2">
      <c r="B262" s="435" t="s">
        <v>625</v>
      </c>
      <c r="C262" s="436" t="str">
        <f t="shared" ref="C262:C267" si="27">"mandat"&amp;" "&amp;"ST"&amp;" "&amp;"TO4"&amp;" "&amp;E58</f>
        <v>mandat ST TO4 0</v>
      </c>
      <c r="D262" s="437"/>
      <c r="E262" s="438">
        <f t="shared" si="15"/>
        <v>0</v>
      </c>
      <c r="F262" s="439">
        <f>IF(D58="ST TVA autoliquidée",I58,((I58*$D$10)+I58))</f>
        <v>0</v>
      </c>
      <c r="G262" s="440">
        <f t="shared" ref="G262:G267" si="28">IF(D58="ST TVA autoliquidée",J58,((J58*$E$10)+J58))</f>
        <v>0</v>
      </c>
      <c r="H262" s="208">
        <f t="shared" si="17"/>
        <v>0</v>
      </c>
      <c r="I262" s="213"/>
      <c r="J262" s="213"/>
      <c r="K262" s="177"/>
    </row>
    <row r="263" spans="2:11" hidden="1" x14ac:dyDescent="1.2">
      <c r="B263" s="435" t="s">
        <v>625</v>
      </c>
      <c r="C263" s="436" t="str">
        <f t="shared" si="27"/>
        <v>mandat ST TO4 0</v>
      </c>
      <c r="D263" s="437"/>
      <c r="E263" s="438">
        <f t="shared" si="15"/>
        <v>0</v>
      </c>
      <c r="F263" s="439">
        <f t="shared" ref="F263:F267" si="29">IF(D59="ST TVA autoliquidée",I59,((I59*$D$10)+I59))</f>
        <v>0</v>
      </c>
      <c r="G263" s="440">
        <f t="shared" si="28"/>
        <v>0</v>
      </c>
      <c r="H263" s="208">
        <f t="shared" si="17"/>
        <v>0</v>
      </c>
      <c r="I263" s="213"/>
      <c r="J263" s="213"/>
      <c r="K263" s="177"/>
    </row>
    <row r="264" spans="2:11" hidden="1" x14ac:dyDescent="1.2">
      <c r="B264" s="435" t="s">
        <v>625</v>
      </c>
      <c r="C264" s="436" t="str">
        <f t="shared" si="27"/>
        <v>mandat ST TO4 0</v>
      </c>
      <c r="D264" s="437"/>
      <c r="E264" s="438">
        <f t="shared" si="15"/>
        <v>0</v>
      </c>
      <c r="F264" s="439">
        <f t="shared" si="29"/>
        <v>0</v>
      </c>
      <c r="G264" s="440">
        <f t="shared" si="28"/>
        <v>0</v>
      </c>
      <c r="H264" s="208">
        <f t="shared" si="17"/>
        <v>0</v>
      </c>
      <c r="I264" s="213"/>
      <c r="J264" s="213"/>
      <c r="K264" s="177"/>
    </row>
    <row r="265" spans="2:11" hidden="1" x14ac:dyDescent="1.2">
      <c r="B265" s="435" t="s">
        <v>625</v>
      </c>
      <c r="C265" s="436" t="str">
        <f t="shared" si="27"/>
        <v>mandat ST TO4 0</v>
      </c>
      <c r="D265" s="437"/>
      <c r="E265" s="438">
        <f t="shared" si="15"/>
        <v>0</v>
      </c>
      <c r="F265" s="439">
        <f t="shared" si="29"/>
        <v>0</v>
      </c>
      <c r="G265" s="440">
        <f t="shared" si="28"/>
        <v>0</v>
      </c>
      <c r="H265" s="208">
        <f t="shared" si="17"/>
        <v>0</v>
      </c>
      <c r="I265" s="213"/>
      <c r="J265" s="213"/>
      <c r="K265" s="177"/>
    </row>
    <row r="266" spans="2:11" hidden="1" x14ac:dyDescent="1.2">
      <c r="B266" s="435" t="s">
        <v>625</v>
      </c>
      <c r="C266" s="436" t="str">
        <f t="shared" si="27"/>
        <v>mandat ST TO4 0</v>
      </c>
      <c r="D266" s="437"/>
      <c r="E266" s="438">
        <f t="shared" si="15"/>
        <v>0</v>
      </c>
      <c r="F266" s="439">
        <f t="shared" si="29"/>
        <v>0</v>
      </c>
      <c r="G266" s="440">
        <f t="shared" si="28"/>
        <v>0</v>
      </c>
      <c r="H266" s="208">
        <f t="shared" si="17"/>
        <v>0</v>
      </c>
      <c r="I266" s="213"/>
      <c r="J266" s="213"/>
      <c r="K266" s="177"/>
    </row>
    <row r="267" spans="2:11" hidden="1" x14ac:dyDescent="1.2">
      <c r="B267" s="435" t="s">
        <v>625</v>
      </c>
      <c r="C267" s="436" t="str">
        <f t="shared" si="27"/>
        <v>mandat ST TO4 0</v>
      </c>
      <c r="D267" s="437"/>
      <c r="E267" s="438">
        <f t="shared" si="15"/>
        <v>0</v>
      </c>
      <c r="F267" s="439">
        <f t="shared" si="29"/>
        <v>0</v>
      </c>
      <c r="G267" s="440">
        <f t="shared" si="28"/>
        <v>0</v>
      </c>
      <c r="H267" s="208">
        <f t="shared" si="17"/>
        <v>0</v>
      </c>
      <c r="I267" s="213"/>
      <c r="J267" s="213"/>
      <c r="K267" s="177"/>
    </row>
    <row r="268" spans="2:11" hidden="1" x14ac:dyDescent="1.2">
      <c r="B268" s="435" t="s">
        <v>625</v>
      </c>
      <c r="C268" s="436" t="str">
        <f t="shared" ref="C268:C273" si="30">"mandat"&amp;" "&amp;"ST"&amp;" "&amp;"TO5"&amp;" "&amp;E65</f>
        <v>mandat ST TO5 0</v>
      </c>
      <c r="D268" s="437"/>
      <c r="E268" s="438">
        <f t="shared" si="15"/>
        <v>0</v>
      </c>
      <c r="F268" s="439">
        <f>IF(D65="ST TVA autoliquidée",I65,((I65*$D$10)+I65))</f>
        <v>0</v>
      </c>
      <c r="G268" s="440">
        <f t="shared" ref="G268:G273" si="31">IF(D65="ST TVA autoliquidée",J65,((J65*$E$10)+J65))</f>
        <v>0</v>
      </c>
      <c r="H268" s="208">
        <f t="shared" si="17"/>
        <v>0</v>
      </c>
      <c r="I268" s="213"/>
      <c r="J268" s="213"/>
      <c r="K268" s="177"/>
    </row>
    <row r="269" spans="2:11" hidden="1" x14ac:dyDescent="1.2">
      <c r="B269" s="435" t="s">
        <v>625</v>
      </c>
      <c r="C269" s="436" t="str">
        <f t="shared" si="30"/>
        <v>mandat ST TO5 0</v>
      </c>
      <c r="D269" s="437"/>
      <c r="E269" s="438">
        <f t="shared" si="15"/>
        <v>0</v>
      </c>
      <c r="F269" s="439">
        <f t="shared" ref="F269:F273" si="32">IF(D66="ST TVA autoliquidée",I66,((I66*$D$10)+I66))</f>
        <v>0</v>
      </c>
      <c r="G269" s="440">
        <f t="shared" si="31"/>
        <v>0</v>
      </c>
      <c r="H269" s="208">
        <f t="shared" si="17"/>
        <v>0</v>
      </c>
      <c r="I269" s="213"/>
      <c r="J269" s="213"/>
      <c r="K269" s="177"/>
    </row>
    <row r="270" spans="2:11" hidden="1" x14ac:dyDescent="1.2">
      <c r="B270" s="435" t="s">
        <v>625</v>
      </c>
      <c r="C270" s="436" t="str">
        <f t="shared" si="30"/>
        <v>mandat ST TO5 0</v>
      </c>
      <c r="D270" s="437"/>
      <c r="E270" s="438">
        <f t="shared" si="15"/>
        <v>0</v>
      </c>
      <c r="F270" s="439">
        <f t="shared" si="32"/>
        <v>0</v>
      </c>
      <c r="G270" s="440">
        <f t="shared" si="31"/>
        <v>0</v>
      </c>
      <c r="H270" s="208">
        <f t="shared" si="17"/>
        <v>0</v>
      </c>
      <c r="I270" s="213"/>
      <c r="J270" s="213"/>
      <c r="K270" s="177"/>
    </row>
    <row r="271" spans="2:11" hidden="1" x14ac:dyDescent="1.2">
      <c r="B271" s="435" t="s">
        <v>625</v>
      </c>
      <c r="C271" s="436" t="str">
        <f t="shared" si="30"/>
        <v>mandat ST TO5 0</v>
      </c>
      <c r="D271" s="437"/>
      <c r="E271" s="438">
        <f t="shared" si="15"/>
        <v>0</v>
      </c>
      <c r="F271" s="439">
        <f t="shared" si="32"/>
        <v>0</v>
      </c>
      <c r="G271" s="440">
        <f t="shared" si="31"/>
        <v>0</v>
      </c>
      <c r="H271" s="208">
        <f t="shared" si="17"/>
        <v>0</v>
      </c>
      <c r="I271" s="213"/>
      <c r="J271" s="213"/>
      <c r="K271" s="177"/>
    </row>
    <row r="272" spans="2:11" hidden="1" x14ac:dyDescent="1.2">
      <c r="B272" s="435" t="s">
        <v>625</v>
      </c>
      <c r="C272" s="436" t="str">
        <f t="shared" si="30"/>
        <v>mandat ST TO5 0</v>
      </c>
      <c r="D272" s="437"/>
      <c r="E272" s="438">
        <f t="shared" si="15"/>
        <v>0</v>
      </c>
      <c r="F272" s="439">
        <f t="shared" si="32"/>
        <v>0</v>
      </c>
      <c r="G272" s="440">
        <f t="shared" si="31"/>
        <v>0</v>
      </c>
      <c r="H272" s="208">
        <f t="shared" si="17"/>
        <v>0</v>
      </c>
      <c r="I272" s="213"/>
      <c r="J272" s="213"/>
      <c r="K272" s="177"/>
    </row>
    <row r="273" spans="2:11" hidden="1" x14ac:dyDescent="1.2">
      <c r="B273" s="435" t="s">
        <v>625</v>
      </c>
      <c r="C273" s="436" t="str">
        <f t="shared" si="30"/>
        <v>mandat ST TO5 0</v>
      </c>
      <c r="D273" s="437"/>
      <c r="E273" s="438">
        <f t="shared" si="15"/>
        <v>0</v>
      </c>
      <c r="F273" s="439">
        <f t="shared" si="32"/>
        <v>0</v>
      </c>
      <c r="G273" s="440">
        <f t="shared" si="31"/>
        <v>0</v>
      </c>
      <c r="H273" s="208">
        <f t="shared" si="17"/>
        <v>0</v>
      </c>
      <c r="I273" s="213"/>
      <c r="J273" s="213"/>
      <c r="K273" s="177"/>
    </row>
    <row r="274" spans="2:11" hidden="1" x14ac:dyDescent="1.2">
      <c r="B274" s="435" t="s">
        <v>625</v>
      </c>
      <c r="C274" s="436" t="str">
        <f t="shared" ref="C274:C279" si="33">"mandat"&amp;" "&amp;"ST"&amp;" "&amp;"TO6"&amp;" "&amp;E72</f>
        <v>mandat ST TO6 0</v>
      </c>
      <c r="D274" s="437"/>
      <c r="E274" s="438">
        <f t="shared" si="15"/>
        <v>0</v>
      </c>
      <c r="F274" s="439">
        <f>IF(D72="ST TVA autoliquidée",I72,((I72*$D$10)+I72))</f>
        <v>0</v>
      </c>
      <c r="G274" s="440">
        <f t="shared" ref="G274:G279" si="34">IF(D72="ST TVA autoliquidée",J72,((J72*$E$10)+J72))</f>
        <v>0</v>
      </c>
      <c r="H274" s="208">
        <f t="shared" si="17"/>
        <v>0</v>
      </c>
      <c r="I274" s="213"/>
      <c r="J274" s="213"/>
      <c r="K274" s="177"/>
    </row>
    <row r="275" spans="2:11" hidden="1" x14ac:dyDescent="1.2">
      <c r="B275" s="435" t="s">
        <v>625</v>
      </c>
      <c r="C275" s="436" t="str">
        <f t="shared" si="33"/>
        <v>mandat ST TO6 0</v>
      </c>
      <c r="D275" s="437"/>
      <c r="E275" s="438">
        <f t="shared" si="15"/>
        <v>0</v>
      </c>
      <c r="F275" s="439">
        <f t="shared" ref="F275:F279" si="35">IF(D73="ST TVA autoliquidée",I73,((I73*$D$10)+I73))</f>
        <v>0</v>
      </c>
      <c r="G275" s="440">
        <f t="shared" si="34"/>
        <v>0</v>
      </c>
      <c r="H275" s="208">
        <f t="shared" si="17"/>
        <v>0</v>
      </c>
      <c r="I275" s="213"/>
      <c r="J275" s="213"/>
      <c r="K275" s="177"/>
    </row>
    <row r="276" spans="2:11" hidden="1" x14ac:dyDescent="1.2">
      <c r="B276" s="435" t="s">
        <v>625</v>
      </c>
      <c r="C276" s="436" t="str">
        <f t="shared" si="33"/>
        <v>mandat ST TO6 0</v>
      </c>
      <c r="D276" s="437"/>
      <c r="E276" s="438">
        <f t="shared" si="15"/>
        <v>0</v>
      </c>
      <c r="F276" s="439">
        <f t="shared" si="35"/>
        <v>0</v>
      </c>
      <c r="G276" s="440">
        <f t="shared" si="34"/>
        <v>0</v>
      </c>
      <c r="H276" s="208">
        <f t="shared" si="17"/>
        <v>0</v>
      </c>
      <c r="I276" s="213"/>
      <c r="J276" s="213"/>
      <c r="K276" s="177"/>
    </row>
    <row r="277" spans="2:11" hidden="1" x14ac:dyDescent="1.2">
      <c r="B277" s="435" t="s">
        <v>625</v>
      </c>
      <c r="C277" s="436" t="str">
        <f t="shared" si="33"/>
        <v>mandat ST TO6 0</v>
      </c>
      <c r="D277" s="437"/>
      <c r="E277" s="438">
        <f t="shared" si="15"/>
        <v>0</v>
      </c>
      <c r="F277" s="439">
        <f t="shared" si="35"/>
        <v>0</v>
      </c>
      <c r="G277" s="440">
        <f t="shared" si="34"/>
        <v>0</v>
      </c>
      <c r="H277" s="208">
        <f t="shared" si="17"/>
        <v>0</v>
      </c>
      <c r="I277" s="213"/>
      <c r="J277" s="213"/>
      <c r="K277" s="177"/>
    </row>
    <row r="278" spans="2:11" hidden="1" x14ac:dyDescent="1.2">
      <c r="B278" s="435" t="s">
        <v>625</v>
      </c>
      <c r="C278" s="436" t="str">
        <f t="shared" si="33"/>
        <v>mandat ST TO6 0</v>
      </c>
      <c r="D278" s="437"/>
      <c r="E278" s="438">
        <f t="shared" si="15"/>
        <v>0</v>
      </c>
      <c r="F278" s="439">
        <f t="shared" si="35"/>
        <v>0</v>
      </c>
      <c r="G278" s="440">
        <f t="shared" si="34"/>
        <v>0</v>
      </c>
      <c r="H278" s="208">
        <f t="shared" si="17"/>
        <v>0</v>
      </c>
      <c r="I278" s="213"/>
      <c r="J278" s="213"/>
      <c r="K278" s="177"/>
    </row>
    <row r="279" spans="2:11" hidden="1" x14ac:dyDescent="1.2">
      <c r="B279" s="435" t="s">
        <v>625</v>
      </c>
      <c r="C279" s="436" t="str">
        <f t="shared" si="33"/>
        <v>mandat ST TO6 0</v>
      </c>
      <c r="D279" s="437"/>
      <c r="E279" s="438">
        <f t="shared" si="15"/>
        <v>0</v>
      </c>
      <c r="F279" s="439">
        <f t="shared" si="35"/>
        <v>0</v>
      </c>
      <c r="G279" s="440">
        <f t="shared" si="34"/>
        <v>0</v>
      </c>
      <c r="H279" s="208">
        <f t="shared" si="17"/>
        <v>0</v>
      </c>
      <c r="I279" s="213"/>
      <c r="J279" s="213"/>
      <c r="K279" s="177"/>
    </row>
    <row r="280" spans="2:11" ht="166.5" hidden="1" x14ac:dyDescent="1.2">
      <c r="B280" s="435" t="s">
        <v>511</v>
      </c>
      <c r="C280" s="464" t="s">
        <v>642</v>
      </c>
      <c r="D280" s="437"/>
      <c r="E280" s="438">
        <f>F280+G280</f>
        <v>0</v>
      </c>
      <c r="F280" s="439">
        <f>AE59</f>
        <v>0</v>
      </c>
      <c r="G280" s="440">
        <f>AE60</f>
        <v>0</v>
      </c>
      <c r="H280" s="208">
        <f t="shared" ref="H280:H282" si="36">E280</f>
        <v>0</v>
      </c>
      <c r="I280" s="213"/>
      <c r="J280" s="213"/>
      <c r="K280" s="177"/>
    </row>
    <row r="281" spans="2:11" hidden="1" x14ac:dyDescent="1.2">
      <c r="B281" s="435" t="s">
        <v>618</v>
      </c>
      <c r="C281" s="436" t="s">
        <v>622</v>
      </c>
      <c r="D281" s="437"/>
      <c r="E281" s="438">
        <f>E235-E282-W54-W55</f>
        <v>0</v>
      </c>
      <c r="F281" s="439">
        <f>SUM(D172:D179)+D182+D185+D186-D171-D187-SUM(D207:D221)-SUM(F283:F324)</f>
        <v>0</v>
      </c>
      <c r="G281" s="469">
        <f>SUM(E172:E179)+E182+E185+E186-E171-E187-SUM(E207:E221)-SUM(G283:G324)</f>
        <v>0</v>
      </c>
      <c r="H281" s="208">
        <f t="shared" si="36"/>
        <v>0</v>
      </c>
      <c r="I281" s="213"/>
      <c r="J281" s="213"/>
      <c r="K281" s="177"/>
    </row>
    <row r="282" spans="2:11" hidden="1" x14ac:dyDescent="1.2">
      <c r="B282" s="435" t="s">
        <v>618</v>
      </c>
      <c r="C282" s="436" t="s">
        <v>623</v>
      </c>
      <c r="D282" s="437"/>
      <c r="E282" s="438">
        <f>SUM(D207:E221)</f>
        <v>0</v>
      </c>
      <c r="F282" s="439">
        <f>SUM(D207:D221)</f>
        <v>0</v>
      </c>
      <c r="G282" s="440">
        <f>SUM(E207:E221)</f>
        <v>0</v>
      </c>
      <c r="H282" s="208">
        <f t="shared" si="36"/>
        <v>0</v>
      </c>
      <c r="I282" s="213"/>
      <c r="J282" s="213"/>
      <c r="K282" s="177"/>
    </row>
    <row r="283" spans="2:11" hidden="1" x14ac:dyDescent="1.2">
      <c r="B283" s="435" t="s">
        <v>626</v>
      </c>
      <c r="C283" s="436" t="str">
        <f t="shared" ref="C283:C288" si="37">"mandat"&amp;" "&amp;"ST"&amp;" "&amp;"TF"&amp;" "&amp;E86</f>
        <v>mandat ST TF 0</v>
      </c>
      <c r="D283" s="437"/>
      <c r="E283" s="438">
        <f>F283+G283</f>
        <v>0</v>
      </c>
      <c r="F283" s="439">
        <f t="shared" ref="F283:F288" si="38">IF(D86="ST TVA autoliquidée",I86,((I86*$D$10)+I86))</f>
        <v>0</v>
      </c>
      <c r="G283" s="440">
        <f t="shared" ref="G283:G288" si="39">IF(D86="ST TVA autoliquidée",J86,((J86*$E$10)+J86))</f>
        <v>0</v>
      </c>
      <c r="H283" s="208">
        <f>E283</f>
        <v>0</v>
      </c>
      <c r="I283" s="213"/>
      <c r="J283" s="213"/>
      <c r="K283" s="177"/>
    </row>
    <row r="284" spans="2:11" hidden="1" x14ac:dyDescent="1.2">
      <c r="B284" s="435" t="s">
        <v>626</v>
      </c>
      <c r="C284" s="436" t="str">
        <f t="shared" si="37"/>
        <v>mandat ST TF 0</v>
      </c>
      <c r="D284" s="437"/>
      <c r="E284" s="438">
        <f t="shared" ref="E284:E288" si="40">F284+G284</f>
        <v>0</v>
      </c>
      <c r="F284" s="439">
        <f t="shared" si="38"/>
        <v>0</v>
      </c>
      <c r="G284" s="440">
        <f t="shared" si="39"/>
        <v>0</v>
      </c>
      <c r="H284" s="208">
        <f t="shared" ref="H284:H325" si="41">E284</f>
        <v>0</v>
      </c>
      <c r="I284" s="213"/>
      <c r="J284" s="213"/>
      <c r="K284" s="177"/>
    </row>
    <row r="285" spans="2:11" hidden="1" x14ac:dyDescent="1.2">
      <c r="B285" s="435" t="s">
        <v>626</v>
      </c>
      <c r="C285" s="436" t="str">
        <f t="shared" si="37"/>
        <v>mandat ST TF 0</v>
      </c>
      <c r="D285" s="437"/>
      <c r="E285" s="438">
        <f t="shared" si="40"/>
        <v>0</v>
      </c>
      <c r="F285" s="439">
        <f t="shared" si="38"/>
        <v>0</v>
      </c>
      <c r="G285" s="440">
        <f t="shared" si="39"/>
        <v>0</v>
      </c>
      <c r="H285" s="208">
        <f t="shared" si="41"/>
        <v>0</v>
      </c>
      <c r="I285" s="213"/>
      <c r="J285" s="213"/>
      <c r="K285" s="177"/>
    </row>
    <row r="286" spans="2:11" hidden="1" x14ac:dyDescent="1.2">
      <c r="B286" s="435" t="s">
        <v>626</v>
      </c>
      <c r="C286" s="436" t="str">
        <f t="shared" si="37"/>
        <v>mandat ST TF 0</v>
      </c>
      <c r="D286" s="437"/>
      <c r="E286" s="438">
        <f t="shared" si="40"/>
        <v>0</v>
      </c>
      <c r="F286" s="439">
        <f t="shared" si="38"/>
        <v>0</v>
      </c>
      <c r="G286" s="440">
        <f t="shared" si="39"/>
        <v>0</v>
      </c>
      <c r="H286" s="208">
        <f t="shared" si="41"/>
        <v>0</v>
      </c>
      <c r="I286" s="213"/>
      <c r="J286" s="213"/>
      <c r="K286" s="177"/>
    </row>
    <row r="287" spans="2:11" hidden="1" x14ac:dyDescent="1.2">
      <c r="B287" s="435" t="s">
        <v>626</v>
      </c>
      <c r="C287" s="436" t="str">
        <f t="shared" si="37"/>
        <v>mandat ST TF 0</v>
      </c>
      <c r="D287" s="437"/>
      <c r="E287" s="438">
        <f t="shared" si="40"/>
        <v>0</v>
      </c>
      <c r="F287" s="439">
        <f t="shared" si="38"/>
        <v>0</v>
      </c>
      <c r="G287" s="440">
        <f t="shared" si="39"/>
        <v>0</v>
      </c>
      <c r="H287" s="208">
        <f t="shared" si="41"/>
        <v>0</v>
      </c>
      <c r="I287" s="213"/>
      <c r="J287" s="213"/>
      <c r="K287" s="177"/>
    </row>
    <row r="288" spans="2:11" hidden="1" x14ac:dyDescent="1.2">
      <c r="B288" s="435" t="s">
        <v>626</v>
      </c>
      <c r="C288" s="436" t="str">
        <f t="shared" si="37"/>
        <v>mandat ST TF 0</v>
      </c>
      <c r="D288" s="437"/>
      <c r="E288" s="438">
        <f t="shared" si="40"/>
        <v>0</v>
      </c>
      <c r="F288" s="439">
        <f t="shared" si="38"/>
        <v>0</v>
      </c>
      <c r="G288" s="440">
        <f t="shared" si="39"/>
        <v>0</v>
      </c>
      <c r="H288" s="208">
        <f t="shared" si="41"/>
        <v>0</v>
      </c>
      <c r="I288" s="213"/>
      <c r="J288" s="213"/>
      <c r="K288" s="177"/>
    </row>
    <row r="289" spans="2:11" hidden="1" x14ac:dyDescent="1.2">
      <c r="B289" s="435" t="s">
        <v>626</v>
      </c>
      <c r="C289" s="436" t="str">
        <f t="shared" ref="C289:C294" si="42">"mandat"&amp;" "&amp;"ST"&amp;" "&amp;"TO1"&amp;" "&amp;E93</f>
        <v>mandat ST TO1 0</v>
      </c>
      <c r="D289" s="437"/>
      <c r="E289" s="438">
        <f t="shared" ref="E289" si="43">F289+G289</f>
        <v>0</v>
      </c>
      <c r="F289" s="439">
        <f t="shared" ref="F289:F294" si="44">IF(D93="ST TVA autoliquidée",I93,((I93*$D$10)+I93))</f>
        <v>0</v>
      </c>
      <c r="G289" s="440">
        <f t="shared" ref="G289:G294" si="45">IF(D93="ST TVA autoliquidée",J93,((J93*$E$10)+J93))</f>
        <v>0</v>
      </c>
      <c r="H289" s="208">
        <f t="shared" si="41"/>
        <v>0</v>
      </c>
      <c r="I289" s="213"/>
      <c r="J289" s="213"/>
      <c r="K289" s="177"/>
    </row>
    <row r="290" spans="2:11" hidden="1" x14ac:dyDescent="1.2">
      <c r="B290" s="435" t="s">
        <v>626</v>
      </c>
      <c r="C290" s="436" t="str">
        <f t="shared" si="42"/>
        <v>mandat ST TO1 0</v>
      </c>
      <c r="D290" s="437"/>
      <c r="E290" s="438">
        <f t="shared" ref="E290:E294" si="46">F290+G290</f>
        <v>0</v>
      </c>
      <c r="F290" s="439">
        <f t="shared" si="44"/>
        <v>0</v>
      </c>
      <c r="G290" s="440">
        <f t="shared" si="45"/>
        <v>0</v>
      </c>
      <c r="H290" s="208">
        <f t="shared" si="41"/>
        <v>0</v>
      </c>
      <c r="I290" s="213"/>
      <c r="J290" s="213"/>
      <c r="K290" s="177"/>
    </row>
    <row r="291" spans="2:11" hidden="1" x14ac:dyDescent="1.2">
      <c r="B291" s="435" t="s">
        <v>626</v>
      </c>
      <c r="C291" s="436" t="str">
        <f t="shared" si="42"/>
        <v>mandat ST TO1 0</v>
      </c>
      <c r="D291" s="437"/>
      <c r="E291" s="438">
        <f t="shared" si="46"/>
        <v>0</v>
      </c>
      <c r="F291" s="439">
        <f t="shared" si="44"/>
        <v>0</v>
      </c>
      <c r="G291" s="440">
        <f t="shared" si="45"/>
        <v>0</v>
      </c>
      <c r="H291" s="208">
        <f t="shared" si="41"/>
        <v>0</v>
      </c>
      <c r="I291" s="213"/>
      <c r="J291" s="213"/>
      <c r="K291" s="177"/>
    </row>
    <row r="292" spans="2:11" hidden="1" x14ac:dyDescent="1.2">
      <c r="B292" s="435" t="s">
        <v>626</v>
      </c>
      <c r="C292" s="436" t="str">
        <f t="shared" si="42"/>
        <v>mandat ST TO1 0</v>
      </c>
      <c r="D292" s="437"/>
      <c r="E292" s="438">
        <f t="shared" si="46"/>
        <v>0</v>
      </c>
      <c r="F292" s="439">
        <f t="shared" si="44"/>
        <v>0</v>
      </c>
      <c r="G292" s="440">
        <f t="shared" si="45"/>
        <v>0</v>
      </c>
      <c r="H292" s="208">
        <f t="shared" si="41"/>
        <v>0</v>
      </c>
      <c r="I292" s="213"/>
      <c r="J292" s="213"/>
      <c r="K292" s="177"/>
    </row>
    <row r="293" spans="2:11" hidden="1" x14ac:dyDescent="1.2">
      <c r="B293" s="435" t="s">
        <v>626</v>
      </c>
      <c r="C293" s="436" t="str">
        <f t="shared" si="42"/>
        <v>mandat ST TO1 0</v>
      </c>
      <c r="D293" s="437"/>
      <c r="E293" s="438">
        <f t="shared" si="46"/>
        <v>0</v>
      </c>
      <c r="F293" s="439">
        <f t="shared" si="44"/>
        <v>0</v>
      </c>
      <c r="G293" s="440">
        <f t="shared" si="45"/>
        <v>0</v>
      </c>
      <c r="H293" s="208">
        <f t="shared" si="41"/>
        <v>0</v>
      </c>
      <c r="I293" s="213"/>
      <c r="J293" s="213"/>
      <c r="K293" s="177"/>
    </row>
    <row r="294" spans="2:11" hidden="1" x14ac:dyDescent="1.2">
      <c r="B294" s="435" t="s">
        <v>626</v>
      </c>
      <c r="C294" s="436" t="str">
        <f t="shared" si="42"/>
        <v>mandat ST TO1 0</v>
      </c>
      <c r="D294" s="437"/>
      <c r="E294" s="438">
        <f t="shared" si="46"/>
        <v>0</v>
      </c>
      <c r="F294" s="439">
        <f t="shared" si="44"/>
        <v>0</v>
      </c>
      <c r="G294" s="440">
        <f t="shared" si="45"/>
        <v>0</v>
      </c>
      <c r="H294" s="208">
        <f t="shared" si="41"/>
        <v>0</v>
      </c>
      <c r="I294" s="213"/>
      <c r="J294" s="213"/>
      <c r="K294" s="177"/>
    </row>
    <row r="295" spans="2:11" hidden="1" x14ac:dyDescent="1.2">
      <c r="B295" s="435" t="s">
        <v>626</v>
      </c>
      <c r="C295" s="436" t="str">
        <f t="shared" ref="C295:C300" si="47">"mandat"&amp;" "&amp;"ST"&amp;" "&amp;"TO2"&amp;" "&amp;E100</f>
        <v>mandat ST TO2 0</v>
      </c>
      <c r="D295" s="437"/>
      <c r="E295" s="438">
        <f t="shared" ref="E295" si="48">F295+G295</f>
        <v>0</v>
      </c>
      <c r="F295" s="439">
        <f t="shared" ref="F295:F300" si="49">IF(D100="ST TVA autoliquidée",I100,((I100*$D$10)+I100))</f>
        <v>0</v>
      </c>
      <c r="G295" s="440">
        <f t="shared" ref="G295:G300" si="50">IF(D100="ST TVA autoliquidée",J100,((J100*$E$10)+J100))</f>
        <v>0</v>
      </c>
      <c r="H295" s="208">
        <f t="shared" si="41"/>
        <v>0</v>
      </c>
      <c r="I295" s="213"/>
      <c r="J295" s="213"/>
      <c r="K295" s="177"/>
    </row>
    <row r="296" spans="2:11" hidden="1" x14ac:dyDescent="1.2">
      <c r="B296" s="435" t="s">
        <v>626</v>
      </c>
      <c r="C296" s="436" t="str">
        <f t="shared" si="47"/>
        <v>mandat ST TO2 0</v>
      </c>
      <c r="D296" s="437"/>
      <c r="E296" s="438">
        <f t="shared" ref="E296:E301" si="51">F296+G296</f>
        <v>0</v>
      </c>
      <c r="F296" s="439">
        <f t="shared" si="49"/>
        <v>0</v>
      </c>
      <c r="G296" s="440">
        <f t="shared" si="50"/>
        <v>0</v>
      </c>
      <c r="H296" s="208">
        <f t="shared" si="41"/>
        <v>0</v>
      </c>
      <c r="I296" s="213"/>
      <c r="J296" s="213"/>
      <c r="K296" s="177"/>
    </row>
    <row r="297" spans="2:11" hidden="1" x14ac:dyDescent="1.2">
      <c r="B297" s="435" t="s">
        <v>626</v>
      </c>
      <c r="C297" s="436" t="str">
        <f t="shared" si="47"/>
        <v>mandat ST TO2 0</v>
      </c>
      <c r="D297" s="437"/>
      <c r="E297" s="438">
        <f t="shared" si="51"/>
        <v>0</v>
      </c>
      <c r="F297" s="439">
        <f t="shared" si="49"/>
        <v>0</v>
      </c>
      <c r="G297" s="440">
        <f t="shared" si="50"/>
        <v>0</v>
      </c>
      <c r="H297" s="208">
        <f t="shared" si="41"/>
        <v>0</v>
      </c>
      <c r="I297" s="213"/>
      <c r="J297" s="213"/>
      <c r="K297" s="177"/>
    </row>
    <row r="298" spans="2:11" hidden="1" x14ac:dyDescent="1.2">
      <c r="B298" s="435" t="s">
        <v>626</v>
      </c>
      <c r="C298" s="436" t="str">
        <f t="shared" si="47"/>
        <v>mandat ST TO2 0</v>
      </c>
      <c r="D298" s="437"/>
      <c r="E298" s="438">
        <f t="shared" si="51"/>
        <v>0</v>
      </c>
      <c r="F298" s="439">
        <f t="shared" si="49"/>
        <v>0</v>
      </c>
      <c r="G298" s="440">
        <f t="shared" si="50"/>
        <v>0</v>
      </c>
      <c r="H298" s="208">
        <f t="shared" si="41"/>
        <v>0</v>
      </c>
      <c r="I298" s="213"/>
      <c r="J298" s="213"/>
      <c r="K298" s="177"/>
    </row>
    <row r="299" spans="2:11" hidden="1" x14ac:dyDescent="1.2">
      <c r="B299" s="435" t="s">
        <v>626</v>
      </c>
      <c r="C299" s="436" t="str">
        <f t="shared" si="47"/>
        <v>mandat ST TO2 0</v>
      </c>
      <c r="D299" s="437"/>
      <c r="E299" s="438">
        <f t="shared" si="51"/>
        <v>0</v>
      </c>
      <c r="F299" s="439">
        <f t="shared" si="49"/>
        <v>0</v>
      </c>
      <c r="G299" s="440">
        <f t="shared" si="50"/>
        <v>0</v>
      </c>
      <c r="H299" s="208">
        <f t="shared" si="41"/>
        <v>0</v>
      </c>
      <c r="I299" s="213"/>
      <c r="J299" s="213"/>
      <c r="K299" s="177"/>
    </row>
    <row r="300" spans="2:11" hidden="1" x14ac:dyDescent="1.2">
      <c r="B300" s="435" t="s">
        <v>626</v>
      </c>
      <c r="C300" s="436" t="str">
        <f t="shared" si="47"/>
        <v>mandat ST TO2 0</v>
      </c>
      <c r="D300" s="437"/>
      <c r="E300" s="438">
        <f t="shared" si="51"/>
        <v>0</v>
      </c>
      <c r="F300" s="439">
        <f t="shared" si="49"/>
        <v>0</v>
      </c>
      <c r="G300" s="440">
        <f t="shared" si="50"/>
        <v>0</v>
      </c>
      <c r="H300" s="208">
        <f t="shared" si="41"/>
        <v>0</v>
      </c>
      <c r="I300" s="213"/>
      <c r="J300" s="213"/>
      <c r="K300" s="177"/>
    </row>
    <row r="301" spans="2:11" hidden="1" x14ac:dyDescent="1.2">
      <c r="B301" s="435" t="s">
        <v>626</v>
      </c>
      <c r="C301" s="436" t="str">
        <f t="shared" ref="C301:C306" si="52">"mandat"&amp;" "&amp;"ST"&amp;" "&amp;"TO3"&amp;" "&amp;E107</f>
        <v>mandat ST TO3 0</v>
      </c>
      <c r="D301" s="437"/>
      <c r="E301" s="438">
        <f t="shared" si="51"/>
        <v>0</v>
      </c>
      <c r="F301" s="439">
        <f t="shared" ref="F301:F306" si="53">IF(D107="ST TVA autoliquidée",I107,((I107*$D$10)+I107))</f>
        <v>0</v>
      </c>
      <c r="G301" s="440">
        <f t="shared" ref="G301:G306" si="54">IF(D107="ST TVA autoliquidée",J107,((J107*$E$10)+J107))</f>
        <v>0</v>
      </c>
      <c r="H301" s="208">
        <f t="shared" si="41"/>
        <v>0</v>
      </c>
      <c r="I301" s="213"/>
      <c r="J301" s="213"/>
      <c r="K301" s="177"/>
    </row>
    <row r="302" spans="2:11" hidden="1" x14ac:dyDescent="1.2">
      <c r="B302" s="435" t="s">
        <v>626</v>
      </c>
      <c r="C302" s="436" t="str">
        <f t="shared" si="52"/>
        <v>mandat ST TO3 0</v>
      </c>
      <c r="D302" s="437"/>
      <c r="E302" s="438">
        <f t="shared" ref="E302:E306" si="55">F302+G302</f>
        <v>0</v>
      </c>
      <c r="F302" s="439">
        <f t="shared" si="53"/>
        <v>0</v>
      </c>
      <c r="G302" s="440">
        <f t="shared" si="54"/>
        <v>0</v>
      </c>
      <c r="H302" s="208">
        <f t="shared" si="41"/>
        <v>0</v>
      </c>
      <c r="I302" s="213"/>
      <c r="J302" s="213"/>
      <c r="K302" s="177"/>
    </row>
    <row r="303" spans="2:11" hidden="1" x14ac:dyDescent="1.2">
      <c r="B303" s="435" t="s">
        <v>626</v>
      </c>
      <c r="C303" s="436" t="str">
        <f t="shared" si="52"/>
        <v>mandat ST TO3 0</v>
      </c>
      <c r="D303" s="437"/>
      <c r="E303" s="438">
        <f t="shared" si="55"/>
        <v>0</v>
      </c>
      <c r="F303" s="439">
        <f t="shared" si="53"/>
        <v>0</v>
      </c>
      <c r="G303" s="440">
        <f t="shared" si="54"/>
        <v>0</v>
      </c>
      <c r="H303" s="208">
        <f t="shared" si="41"/>
        <v>0</v>
      </c>
      <c r="I303" s="213"/>
      <c r="J303" s="213"/>
      <c r="K303" s="177"/>
    </row>
    <row r="304" spans="2:11" hidden="1" x14ac:dyDescent="1.2">
      <c r="B304" s="435" t="s">
        <v>626</v>
      </c>
      <c r="C304" s="436" t="str">
        <f t="shared" si="52"/>
        <v>mandat ST TO3 0</v>
      </c>
      <c r="D304" s="437"/>
      <c r="E304" s="438">
        <f t="shared" si="55"/>
        <v>0</v>
      </c>
      <c r="F304" s="439">
        <f t="shared" si="53"/>
        <v>0</v>
      </c>
      <c r="G304" s="440">
        <f t="shared" si="54"/>
        <v>0</v>
      </c>
      <c r="H304" s="208">
        <f t="shared" si="41"/>
        <v>0</v>
      </c>
      <c r="I304" s="213"/>
      <c r="J304" s="213"/>
      <c r="K304" s="177"/>
    </row>
    <row r="305" spans="2:11" hidden="1" x14ac:dyDescent="1.2">
      <c r="B305" s="435" t="s">
        <v>626</v>
      </c>
      <c r="C305" s="436" t="str">
        <f t="shared" si="52"/>
        <v>mandat ST TO3 0</v>
      </c>
      <c r="D305" s="437"/>
      <c r="E305" s="438">
        <f t="shared" si="55"/>
        <v>0</v>
      </c>
      <c r="F305" s="439">
        <f t="shared" si="53"/>
        <v>0</v>
      </c>
      <c r="G305" s="440">
        <f t="shared" si="54"/>
        <v>0</v>
      </c>
      <c r="H305" s="208">
        <f t="shared" si="41"/>
        <v>0</v>
      </c>
      <c r="I305" s="213"/>
      <c r="J305" s="213"/>
      <c r="K305" s="177"/>
    </row>
    <row r="306" spans="2:11" hidden="1" x14ac:dyDescent="1.2">
      <c r="B306" s="435" t="s">
        <v>626</v>
      </c>
      <c r="C306" s="436" t="str">
        <f t="shared" si="52"/>
        <v>mandat ST TO3 0</v>
      </c>
      <c r="D306" s="437"/>
      <c r="E306" s="438">
        <f t="shared" si="55"/>
        <v>0</v>
      </c>
      <c r="F306" s="439">
        <f t="shared" si="53"/>
        <v>0</v>
      </c>
      <c r="G306" s="440">
        <f t="shared" si="54"/>
        <v>0</v>
      </c>
      <c r="H306" s="208">
        <f t="shared" si="41"/>
        <v>0</v>
      </c>
      <c r="I306" s="213"/>
      <c r="J306" s="213"/>
      <c r="K306" s="177"/>
    </row>
    <row r="307" spans="2:11" hidden="1" x14ac:dyDescent="1.2">
      <c r="B307" s="435" t="s">
        <v>626</v>
      </c>
      <c r="C307" s="436" t="str">
        <f t="shared" ref="C307:C312" si="56">"mandat"&amp;" "&amp;"ST"&amp;" "&amp;"TO4"&amp;" "&amp;E114</f>
        <v>mandat ST TO4 0</v>
      </c>
      <c r="D307" s="437"/>
      <c r="E307" s="438">
        <f t="shared" ref="E307" si="57">F307+G307</f>
        <v>0</v>
      </c>
      <c r="F307" s="439">
        <f t="shared" ref="F307:F312" si="58">IF(D114="ST TVA autoliquidée",I114,((I114*$D$10)+I114))</f>
        <v>0</v>
      </c>
      <c r="G307" s="440">
        <f t="shared" ref="G307:G312" si="59">IF(D114="ST TVA autoliquidée",J114,((J114*$E$10)+J114))</f>
        <v>0</v>
      </c>
      <c r="H307" s="208">
        <f t="shared" si="41"/>
        <v>0</v>
      </c>
      <c r="I307" s="213"/>
      <c r="J307" s="213"/>
      <c r="K307" s="177"/>
    </row>
    <row r="308" spans="2:11" hidden="1" x14ac:dyDescent="1.2">
      <c r="B308" s="435" t="s">
        <v>626</v>
      </c>
      <c r="C308" s="436" t="str">
        <f t="shared" si="56"/>
        <v>mandat ST TO4 0</v>
      </c>
      <c r="D308" s="437"/>
      <c r="E308" s="438">
        <f t="shared" ref="E308:E313" si="60">F308+G308</f>
        <v>0</v>
      </c>
      <c r="F308" s="439">
        <f t="shared" si="58"/>
        <v>0</v>
      </c>
      <c r="G308" s="440">
        <f t="shared" si="59"/>
        <v>0</v>
      </c>
      <c r="H308" s="208">
        <f t="shared" si="41"/>
        <v>0</v>
      </c>
      <c r="I308" s="213"/>
      <c r="J308" s="213"/>
      <c r="K308" s="177"/>
    </row>
    <row r="309" spans="2:11" hidden="1" x14ac:dyDescent="1.2">
      <c r="B309" s="435" t="s">
        <v>626</v>
      </c>
      <c r="C309" s="436" t="str">
        <f t="shared" si="56"/>
        <v>mandat ST TO4 0</v>
      </c>
      <c r="D309" s="437"/>
      <c r="E309" s="438">
        <f t="shared" si="60"/>
        <v>0</v>
      </c>
      <c r="F309" s="439">
        <f t="shared" si="58"/>
        <v>0</v>
      </c>
      <c r="G309" s="440">
        <f t="shared" si="59"/>
        <v>0</v>
      </c>
      <c r="H309" s="208">
        <f t="shared" si="41"/>
        <v>0</v>
      </c>
      <c r="I309" s="213"/>
      <c r="J309" s="213"/>
      <c r="K309" s="177"/>
    </row>
    <row r="310" spans="2:11" hidden="1" x14ac:dyDescent="1.2">
      <c r="B310" s="435" t="s">
        <v>626</v>
      </c>
      <c r="C310" s="436" t="str">
        <f t="shared" si="56"/>
        <v>mandat ST TO4 0</v>
      </c>
      <c r="D310" s="437"/>
      <c r="E310" s="438">
        <f t="shared" si="60"/>
        <v>0</v>
      </c>
      <c r="F310" s="439">
        <f t="shared" si="58"/>
        <v>0</v>
      </c>
      <c r="G310" s="440">
        <f t="shared" si="59"/>
        <v>0</v>
      </c>
      <c r="H310" s="208">
        <f t="shared" si="41"/>
        <v>0</v>
      </c>
      <c r="I310" s="213"/>
      <c r="J310" s="213"/>
      <c r="K310" s="177"/>
    </row>
    <row r="311" spans="2:11" hidden="1" x14ac:dyDescent="1.2">
      <c r="B311" s="435" t="s">
        <v>626</v>
      </c>
      <c r="C311" s="436" t="str">
        <f t="shared" si="56"/>
        <v>mandat ST TO4 0</v>
      </c>
      <c r="D311" s="437"/>
      <c r="E311" s="438">
        <f t="shared" si="60"/>
        <v>0</v>
      </c>
      <c r="F311" s="439">
        <f t="shared" si="58"/>
        <v>0</v>
      </c>
      <c r="G311" s="440">
        <f t="shared" si="59"/>
        <v>0</v>
      </c>
      <c r="H311" s="208">
        <f t="shared" si="41"/>
        <v>0</v>
      </c>
      <c r="I311" s="213"/>
      <c r="J311" s="213"/>
      <c r="K311" s="177"/>
    </row>
    <row r="312" spans="2:11" hidden="1" x14ac:dyDescent="1.2">
      <c r="B312" s="435" t="s">
        <v>626</v>
      </c>
      <c r="C312" s="436" t="str">
        <f t="shared" si="56"/>
        <v>mandat ST TO4 0</v>
      </c>
      <c r="D312" s="437"/>
      <c r="E312" s="438">
        <f t="shared" si="60"/>
        <v>0</v>
      </c>
      <c r="F312" s="439">
        <f t="shared" si="58"/>
        <v>0</v>
      </c>
      <c r="G312" s="440">
        <f t="shared" si="59"/>
        <v>0</v>
      </c>
      <c r="H312" s="208">
        <f t="shared" si="41"/>
        <v>0</v>
      </c>
      <c r="I312" s="213"/>
      <c r="J312" s="213"/>
      <c r="K312" s="177"/>
    </row>
    <row r="313" spans="2:11" hidden="1" x14ac:dyDescent="1.2">
      <c r="B313" s="435" t="s">
        <v>626</v>
      </c>
      <c r="C313" s="436" t="str">
        <f t="shared" ref="C313:C318" si="61">"mandat"&amp;" "&amp;"ST"&amp;" "&amp;"TO5"&amp;" "&amp;E121</f>
        <v>mandat ST TO5 0</v>
      </c>
      <c r="D313" s="437"/>
      <c r="E313" s="438">
        <f t="shared" si="60"/>
        <v>0</v>
      </c>
      <c r="F313" s="439">
        <f t="shared" ref="F313:F318" si="62">IF(D121="ST TVA autoliquidée",I121,((I121*$D$10)+I121))</f>
        <v>0</v>
      </c>
      <c r="G313" s="440">
        <f t="shared" ref="G313:G318" si="63">IF(D121="ST TVA autoliquidée",J121,((J121*$E$10)+J121))</f>
        <v>0</v>
      </c>
      <c r="H313" s="208">
        <f t="shared" si="41"/>
        <v>0</v>
      </c>
      <c r="I313" s="213"/>
      <c r="J313" s="213"/>
      <c r="K313" s="177"/>
    </row>
    <row r="314" spans="2:11" hidden="1" x14ac:dyDescent="1.2">
      <c r="B314" s="435" t="s">
        <v>626</v>
      </c>
      <c r="C314" s="436" t="str">
        <f t="shared" si="61"/>
        <v>mandat ST TO5 0</v>
      </c>
      <c r="D314" s="437"/>
      <c r="E314" s="438">
        <f t="shared" ref="E314:E319" si="64">F314+G314</f>
        <v>0</v>
      </c>
      <c r="F314" s="439">
        <f t="shared" si="62"/>
        <v>0</v>
      </c>
      <c r="G314" s="440">
        <f t="shared" si="63"/>
        <v>0</v>
      </c>
      <c r="H314" s="208">
        <f t="shared" si="41"/>
        <v>0</v>
      </c>
      <c r="I314" s="213"/>
      <c r="J314" s="213"/>
      <c r="K314" s="177"/>
    </row>
    <row r="315" spans="2:11" hidden="1" x14ac:dyDescent="1.2">
      <c r="B315" s="435" t="s">
        <v>626</v>
      </c>
      <c r="C315" s="436" t="str">
        <f t="shared" si="61"/>
        <v>mandat ST TO5 0</v>
      </c>
      <c r="D315" s="437"/>
      <c r="E315" s="438">
        <f t="shared" si="64"/>
        <v>0</v>
      </c>
      <c r="F315" s="439">
        <f t="shared" si="62"/>
        <v>0</v>
      </c>
      <c r="G315" s="440">
        <f t="shared" si="63"/>
        <v>0</v>
      </c>
      <c r="H315" s="208">
        <f t="shared" si="41"/>
        <v>0</v>
      </c>
      <c r="I315" s="213"/>
      <c r="J315" s="213"/>
      <c r="K315" s="177"/>
    </row>
    <row r="316" spans="2:11" hidden="1" x14ac:dyDescent="1.2">
      <c r="B316" s="435" t="s">
        <v>626</v>
      </c>
      <c r="C316" s="436" t="str">
        <f t="shared" si="61"/>
        <v>mandat ST TO5 0</v>
      </c>
      <c r="D316" s="437"/>
      <c r="E316" s="438">
        <f t="shared" si="64"/>
        <v>0</v>
      </c>
      <c r="F316" s="439">
        <f t="shared" si="62"/>
        <v>0</v>
      </c>
      <c r="G316" s="440">
        <f t="shared" si="63"/>
        <v>0</v>
      </c>
      <c r="H316" s="208">
        <f t="shared" si="41"/>
        <v>0</v>
      </c>
      <c r="I316" s="213"/>
      <c r="J316" s="213"/>
      <c r="K316" s="177"/>
    </row>
    <row r="317" spans="2:11" hidden="1" x14ac:dyDescent="1.2">
      <c r="B317" s="435" t="s">
        <v>626</v>
      </c>
      <c r="C317" s="436" t="str">
        <f t="shared" si="61"/>
        <v>mandat ST TO5 0</v>
      </c>
      <c r="D317" s="437"/>
      <c r="E317" s="438">
        <f t="shared" si="64"/>
        <v>0</v>
      </c>
      <c r="F317" s="439">
        <f t="shared" si="62"/>
        <v>0</v>
      </c>
      <c r="G317" s="440">
        <f t="shared" si="63"/>
        <v>0</v>
      </c>
      <c r="H317" s="208">
        <f t="shared" si="41"/>
        <v>0</v>
      </c>
      <c r="I317" s="213"/>
      <c r="J317" s="213"/>
      <c r="K317" s="177"/>
    </row>
    <row r="318" spans="2:11" hidden="1" x14ac:dyDescent="1.2">
      <c r="B318" s="435" t="s">
        <v>626</v>
      </c>
      <c r="C318" s="436" t="str">
        <f t="shared" si="61"/>
        <v>mandat ST TO5 0</v>
      </c>
      <c r="D318" s="437"/>
      <c r="E318" s="438">
        <f t="shared" si="64"/>
        <v>0</v>
      </c>
      <c r="F318" s="439">
        <f t="shared" si="62"/>
        <v>0</v>
      </c>
      <c r="G318" s="440">
        <f t="shared" si="63"/>
        <v>0</v>
      </c>
      <c r="H318" s="208">
        <f t="shared" si="41"/>
        <v>0</v>
      </c>
      <c r="I318" s="213"/>
      <c r="J318" s="213"/>
      <c r="K318" s="177"/>
    </row>
    <row r="319" spans="2:11" hidden="1" x14ac:dyDescent="1.2">
      <c r="B319" s="435" t="s">
        <v>626</v>
      </c>
      <c r="C319" s="436" t="str">
        <f t="shared" ref="C319:C324" si="65">"mandat"&amp;" "&amp;"ST"&amp;" "&amp;"TO6"&amp;" "&amp;E128</f>
        <v>mandat ST TO6 0</v>
      </c>
      <c r="D319" s="437"/>
      <c r="E319" s="438">
        <f t="shared" si="64"/>
        <v>0</v>
      </c>
      <c r="F319" s="439">
        <f t="shared" ref="F319:F324" si="66">IF(D128="ST TVA autoliquidée",I128,((I128*$D$10)+I128))</f>
        <v>0</v>
      </c>
      <c r="G319" s="440">
        <f t="shared" ref="G319:G324" si="67">IF(D128="ST TVA autoliquidée",J128,((J128*$E$10)+J128))</f>
        <v>0</v>
      </c>
      <c r="H319" s="208">
        <f t="shared" si="41"/>
        <v>0</v>
      </c>
      <c r="I319" s="213"/>
      <c r="J319" s="213"/>
      <c r="K319" s="177"/>
    </row>
    <row r="320" spans="2:11" hidden="1" x14ac:dyDescent="1.2">
      <c r="B320" s="435" t="s">
        <v>626</v>
      </c>
      <c r="C320" s="436" t="str">
        <f t="shared" si="65"/>
        <v>mandat ST TO6 0</v>
      </c>
      <c r="D320" s="437"/>
      <c r="E320" s="438">
        <f t="shared" ref="E320:E324" si="68">F320+G320</f>
        <v>0</v>
      </c>
      <c r="F320" s="439">
        <f t="shared" si="66"/>
        <v>0</v>
      </c>
      <c r="G320" s="440">
        <f t="shared" si="67"/>
        <v>0</v>
      </c>
      <c r="H320" s="208">
        <f t="shared" si="41"/>
        <v>0</v>
      </c>
      <c r="I320" s="213"/>
      <c r="J320" s="213"/>
      <c r="K320" s="177"/>
    </row>
    <row r="321" spans="2:41" hidden="1" x14ac:dyDescent="1.2">
      <c r="B321" s="435" t="s">
        <v>626</v>
      </c>
      <c r="C321" s="436" t="str">
        <f t="shared" si="65"/>
        <v>mandat ST TO6 0</v>
      </c>
      <c r="D321" s="437"/>
      <c r="E321" s="438">
        <f t="shared" si="68"/>
        <v>0</v>
      </c>
      <c r="F321" s="439">
        <f t="shared" si="66"/>
        <v>0</v>
      </c>
      <c r="G321" s="440">
        <f t="shared" si="67"/>
        <v>0</v>
      </c>
      <c r="H321" s="208">
        <f t="shared" si="41"/>
        <v>0</v>
      </c>
      <c r="I321" s="213"/>
      <c r="J321" s="213"/>
      <c r="K321" s="177"/>
    </row>
    <row r="322" spans="2:41" hidden="1" x14ac:dyDescent="1.2">
      <c r="B322" s="435" t="s">
        <v>626</v>
      </c>
      <c r="C322" s="436" t="str">
        <f t="shared" si="65"/>
        <v>mandat ST TO6 0</v>
      </c>
      <c r="D322" s="437"/>
      <c r="E322" s="438">
        <f t="shared" si="68"/>
        <v>0</v>
      </c>
      <c r="F322" s="439">
        <f t="shared" si="66"/>
        <v>0</v>
      </c>
      <c r="G322" s="440">
        <f t="shared" si="67"/>
        <v>0</v>
      </c>
      <c r="H322" s="208">
        <f t="shared" si="41"/>
        <v>0</v>
      </c>
      <c r="I322" s="213"/>
      <c r="J322" s="213"/>
      <c r="K322" s="177"/>
    </row>
    <row r="323" spans="2:41" hidden="1" x14ac:dyDescent="1.2">
      <c r="B323" s="435" t="s">
        <v>626</v>
      </c>
      <c r="C323" s="436" t="str">
        <f t="shared" si="65"/>
        <v>mandat ST TO6 0</v>
      </c>
      <c r="D323" s="437"/>
      <c r="E323" s="438">
        <f t="shared" si="68"/>
        <v>0</v>
      </c>
      <c r="F323" s="439">
        <f t="shared" si="66"/>
        <v>0</v>
      </c>
      <c r="G323" s="440">
        <f t="shared" si="67"/>
        <v>0</v>
      </c>
      <c r="H323" s="208">
        <f t="shared" si="41"/>
        <v>0</v>
      </c>
      <c r="I323" s="213"/>
      <c r="J323" s="213"/>
      <c r="K323" s="177"/>
    </row>
    <row r="324" spans="2:41" hidden="1" x14ac:dyDescent="1.2">
      <c r="B324" s="435" t="s">
        <v>626</v>
      </c>
      <c r="C324" s="436" t="str">
        <f t="shared" si="65"/>
        <v>mandat ST TO6 0</v>
      </c>
      <c r="D324" s="437"/>
      <c r="E324" s="438">
        <f t="shared" si="68"/>
        <v>0</v>
      </c>
      <c r="F324" s="439">
        <f t="shared" si="66"/>
        <v>0</v>
      </c>
      <c r="G324" s="440">
        <f t="shared" si="67"/>
        <v>0</v>
      </c>
      <c r="H324" s="208">
        <f t="shared" si="41"/>
        <v>0</v>
      </c>
      <c r="I324" s="213"/>
      <c r="J324" s="213"/>
      <c r="K324" s="177"/>
    </row>
    <row r="325" spans="2:41" ht="167.25" hidden="1" thickBot="1" x14ac:dyDescent="1.25">
      <c r="B325" s="441" t="s">
        <v>618</v>
      </c>
      <c r="C325" s="468" t="s">
        <v>624</v>
      </c>
      <c r="D325" s="442"/>
      <c r="E325" s="443">
        <f>F325+G325</f>
        <v>0</v>
      </c>
      <c r="F325" s="444">
        <f>AI61</f>
        <v>0</v>
      </c>
      <c r="G325" s="445">
        <f>AI62</f>
        <v>0</v>
      </c>
      <c r="H325" s="208">
        <f t="shared" si="41"/>
        <v>0</v>
      </c>
      <c r="I325" s="213"/>
      <c r="J325" s="213"/>
      <c r="K325" s="177"/>
    </row>
    <row r="326" spans="2:41" hidden="1" x14ac:dyDescent="1.2">
      <c r="B326" s="423" t="s">
        <v>492</v>
      </c>
      <c r="C326" s="424" t="s">
        <v>494</v>
      </c>
      <c r="D326" s="425"/>
      <c r="E326" s="426">
        <f>(D148+E148+D166+E166)</f>
        <v>0</v>
      </c>
      <c r="F326" s="461">
        <f>SUM(D148+D166)</f>
        <v>0</v>
      </c>
      <c r="G326" s="462">
        <f>SUM(E148+E166)</f>
        <v>0</v>
      </c>
      <c r="H326" s="208">
        <f t="shared" si="12"/>
        <v>0</v>
      </c>
      <c r="I326" s="177"/>
      <c r="J326" s="177"/>
      <c r="K326" s="177"/>
    </row>
    <row r="327" spans="2:41" ht="84" hidden="1" thickBot="1" x14ac:dyDescent="1.25">
      <c r="B327" s="289" t="s">
        <v>493</v>
      </c>
      <c r="C327" s="326" t="s">
        <v>495</v>
      </c>
      <c r="D327" s="281"/>
      <c r="E327" s="405">
        <f>D170+E170+D188+E188</f>
        <v>0</v>
      </c>
      <c r="F327" s="408">
        <f>SUM(D170+D188)</f>
        <v>0</v>
      </c>
      <c r="G327" s="453">
        <f>SUM(E170+E188)</f>
        <v>0</v>
      </c>
      <c r="H327" s="208">
        <f t="shared" si="12"/>
        <v>0</v>
      </c>
      <c r="I327" s="177"/>
      <c r="J327" s="177"/>
      <c r="K327" s="177"/>
    </row>
    <row r="328" spans="2:41" hidden="1" x14ac:dyDescent="1.2">
      <c r="B328" s="290" t="s">
        <v>498</v>
      </c>
      <c r="C328" s="327" t="s">
        <v>496</v>
      </c>
      <c r="D328" s="530"/>
      <c r="E328" s="531"/>
      <c r="F328" s="177"/>
      <c r="G328" s="291"/>
      <c r="H328" s="208">
        <f t="shared" si="12"/>
        <v>0</v>
      </c>
      <c r="I328" s="177"/>
      <c r="J328" s="177"/>
      <c r="K328" s="177"/>
    </row>
    <row r="329" spans="2:41" hidden="1" x14ac:dyDescent="1.2">
      <c r="B329" s="290" t="s">
        <v>499</v>
      </c>
      <c r="C329" s="327" t="s">
        <v>497</v>
      </c>
      <c r="D329" s="530"/>
      <c r="E329" s="531"/>
      <c r="F329" s="177"/>
      <c r="G329" s="291"/>
      <c r="H329" s="208">
        <f t="shared" si="12"/>
        <v>0</v>
      </c>
      <c r="I329" s="177"/>
      <c r="J329" s="177"/>
      <c r="K329" s="177"/>
    </row>
    <row r="330" spans="2:41" hidden="1" x14ac:dyDescent="1.2">
      <c r="B330" s="292">
        <v>20</v>
      </c>
      <c r="C330" s="328" t="s">
        <v>248</v>
      </c>
      <c r="D330" s="529"/>
      <c r="E330" s="529"/>
      <c r="F330" s="177"/>
      <c r="G330" s="291"/>
      <c r="H330" s="208">
        <f t="shared" si="12"/>
        <v>0</v>
      </c>
      <c r="I330" s="177"/>
      <c r="J330" s="177"/>
      <c r="K330" s="177"/>
    </row>
    <row r="331" spans="2:41" hidden="1" x14ac:dyDescent="1.2">
      <c r="B331" s="293"/>
      <c r="C331" s="294"/>
      <c r="D331" s="532"/>
      <c r="E331" s="532"/>
      <c r="F331" s="177"/>
      <c r="G331" s="291"/>
      <c r="H331" s="195">
        <f>IF(D332="",0,1)</f>
        <v>0</v>
      </c>
      <c r="I331" s="177"/>
      <c r="J331" s="177"/>
      <c r="K331" s="177"/>
    </row>
    <row r="332" spans="2:41" hidden="1" x14ac:dyDescent="1.2">
      <c r="B332" s="181">
        <v>20</v>
      </c>
      <c r="C332" s="280" t="str">
        <f>IF(F1="DGD","Refaction","Ne rien inscrire avant le DGD")</f>
        <v>Ne rien inscrire avant le DGD</v>
      </c>
      <c r="D332" s="528"/>
      <c r="E332" s="528"/>
      <c r="F332" s="177"/>
      <c r="G332" s="291"/>
      <c r="H332" s="195">
        <f>D332</f>
        <v>0</v>
      </c>
      <c r="I332" s="177"/>
      <c r="J332" s="177"/>
      <c r="K332" s="177"/>
    </row>
    <row r="333" spans="2:41" x14ac:dyDescent="1.2">
      <c r="B333" s="388">
        <f>E326+E327</f>
        <v>0</v>
      </c>
      <c r="C333" s="389">
        <f>E234+E235</f>
        <v>5659.4997799999837</v>
      </c>
      <c r="D333" s="353"/>
      <c r="E333" s="353"/>
      <c r="F333" s="177"/>
      <c r="G333" s="291"/>
      <c r="H333" s="195"/>
      <c r="I333" s="177"/>
      <c r="J333" s="177"/>
      <c r="K333" s="177"/>
    </row>
    <row r="334" spans="2:41" x14ac:dyDescent="1.2">
      <c r="B334" s="402">
        <f>D149+E149+D165+E165+D171+E171+D187+E187</f>
        <v>0</v>
      </c>
      <c r="C334" s="527" t="s">
        <v>639</v>
      </c>
      <c r="D334" s="527"/>
      <c r="E334" s="527"/>
      <c r="F334" s="527"/>
      <c r="G334" s="527"/>
      <c r="H334" s="527"/>
      <c r="I334" s="527"/>
      <c r="J334" s="366" t="s">
        <v>322</v>
      </c>
      <c r="K334" s="177"/>
    </row>
    <row r="335" spans="2:41" ht="260.25" customHeight="1" x14ac:dyDescent="1.2">
      <c r="B335" s="177"/>
      <c r="C335" s="403" t="str">
        <f>IF(C160="ACTUALISATION","Les montants ci-après s'entendent hors actualisation",IF(C160="REVISION","Les montants ci-après s'entendent hors révision",""))</f>
        <v>Les montants ci-après s'entendent hors révision</v>
      </c>
      <c r="D335" s="329" t="s">
        <v>52</v>
      </c>
      <c r="E335" s="295" t="s">
        <v>640</v>
      </c>
      <c r="F335" s="295" t="s">
        <v>500</v>
      </c>
      <c r="G335" s="295" t="str">
        <f>IF(G422&gt;0,"Montant de la TVA autoliquidée à mandater","")</f>
        <v/>
      </c>
      <c r="H335" s="295" t="s">
        <v>57</v>
      </c>
      <c r="I335" s="296" t="s">
        <v>58</v>
      </c>
      <c r="J335" s="364" t="s">
        <v>609</v>
      </c>
      <c r="K335" s="177"/>
      <c r="AH335" s="176"/>
      <c r="AO335" s="295" t="s">
        <v>508</v>
      </c>
    </row>
    <row r="336" spans="2:41" x14ac:dyDescent="1.2">
      <c r="B336" s="177"/>
      <c r="C336" s="315" t="str">
        <f>D29</f>
        <v>Titulaire_</v>
      </c>
      <c r="D336" s="313" t="str">
        <f>IF(E29&lt;&gt;0,E29,"")</f>
        <v>toto</v>
      </c>
      <c r="E336" s="314">
        <f>(I29+J29+I36+J36+I43+J43+I50+J50+I57+J57+I64+J64+I71+J71+I78+J78+I79+J79+I80+J80+I81+J81+I82+J82+I83+J83+I84+J84)</f>
        <v>5000</v>
      </c>
      <c r="F336" s="314">
        <f>SUM(E336+W20+W21)</f>
        <v>5500</v>
      </c>
      <c r="G336" s="384">
        <f>SUMIF(C338:C385,"ST TVA autoliquidée",G338:G385)</f>
        <v>0</v>
      </c>
      <c r="H336" s="314">
        <f>AO336+E336</f>
        <v>82976.2</v>
      </c>
      <c r="I336" s="316">
        <f>J336-H336</f>
        <v>429173.35000000003</v>
      </c>
      <c r="J336" s="365">
        <f>H29+H36+H43+H50+H57+H64+H71+H78+H79+H80+H81+H82+H83+H84</f>
        <v>512149.55000000005</v>
      </c>
      <c r="K336" s="177"/>
      <c r="AH336" s="176"/>
      <c r="AO336" s="314">
        <v>77976.2</v>
      </c>
    </row>
    <row r="337" spans="2:41" hidden="1" x14ac:dyDescent="1.2">
      <c r="B337" s="177"/>
      <c r="C337" s="315" t="str">
        <f>D85</f>
        <v>Cotraitant_1</v>
      </c>
      <c r="D337" s="313" t="str">
        <f>IF(E85&lt;&gt;0,E85,"")</f>
        <v/>
      </c>
      <c r="E337" s="314">
        <f>(I85+J85+I92+J92+I99+J99+I106+J106+I113+J113+I120+J120+I127+J127+I134+I135+I136+I137+I138+I139+I140+J134+J135+J136+J137+J138+J139+J140)</f>
        <v>0</v>
      </c>
      <c r="F337" s="314">
        <f>SUM(E337+W23+W24)</f>
        <v>0</v>
      </c>
      <c r="G337" s="447">
        <f>SUMIF(C386:C421,"ST TVA autoliquidée",G386:G421)</f>
        <v>0</v>
      </c>
      <c r="H337" s="314">
        <f>AO337+E337</f>
        <v>0</v>
      </c>
      <c r="I337" s="316">
        <f>J337-H337</f>
        <v>0</v>
      </c>
      <c r="J337" s="365">
        <f>H85+H92+H99+H106+H113+H120+H127+H134+H135+H136+H137+H138+H139+H140</f>
        <v>0</v>
      </c>
      <c r="K337" s="177"/>
      <c r="AH337" s="176"/>
      <c r="AO337" s="314">
        <v>0</v>
      </c>
    </row>
    <row r="338" spans="2:41" hidden="1" x14ac:dyDescent="1.2">
      <c r="B338" s="297" t="str">
        <f t="shared" ref="B338:D343" si="69">C30</f>
        <v>Tranche_FERME</v>
      </c>
      <c r="C338" s="297">
        <f t="shared" si="69"/>
        <v>0</v>
      </c>
      <c r="D338" s="297">
        <f t="shared" si="69"/>
        <v>0</v>
      </c>
      <c r="E338" s="317">
        <f t="shared" ref="E338:E343" si="70">I30+J30</f>
        <v>0</v>
      </c>
      <c r="F338" s="317">
        <f t="shared" ref="F338:F343" si="71">IF(C338="ST TVA autoliquidée",E338,((I30*$D$10)+I30)+((J30*$E$10)+J30))</f>
        <v>0</v>
      </c>
      <c r="G338" s="454">
        <f t="shared" ref="G338:G369" si="72">IF(C338="ST TVA autoliquidée",((I30*$D$10)+(J30*$E$10)),0)</f>
        <v>0</v>
      </c>
      <c r="H338" s="314">
        <f>AO338+E338</f>
        <v>0</v>
      </c>
      <c r="I338" s="316">
        <f>J338-H338</f>
        <v>0</v>
      </c>
      <c r="J338" s="365">
        <f t="shared" ref="J338:J343" si="73">H30</f>
        <v>0</v>
      </c>
      <c r="K338" s="177" t="str">
        <f>IF(C338="ST TVA autoliquidée",E338*0.2,"")</f>
        <v/>
      </c>
      <c r="AH338" s="176"/>
      <c r="AO338" s="314">
        <v>0</v>
      </c>
    </row>
    <row r="339" spans="2:41" hidden="1" x14ac:dyDescent="1.2">
      <c r="B339" s="297" t="str">
        <f t="shared" si="69"/>
        <v>Tranche_FERME</v>
      </c>
      <c r="C339" s="297">
        <f t="shared" si="69"/>
        <v>0</v>
      </c>
      <c r="D339" s="297">
        <f t="shared" si="69"/>
        <v>0</v>
      </c>
      <c r="E339" s="317">
        <f t="shared" si="70"/>
        <v>0</v>
      </c>
      <c r="F339" s="317">
        <f t="shared" si="71"/>
        <v>0</v>
      </c>
      <c r="G339" s="454">
        <f t="shared" si="72"/>
        <v>0</v>
      </c>
      <c r="H339" s="314">
        <f t="shared" ref="H339:H402" si="74">AO339+E339</f>
        <v>0</v>
      </c>
      <c r="I339" s="316">
        <f t="shared" ref="I339:I379" si="75">J339-H339</f>
        <v>0</v>
      </c>
      <c r="J339" s="365">
        <f t="shared" si="73"/>
        <v>0</v>
      </c>
      <c r="K339" s="177" t="str">
        <f t="shared" ref="K339:K380" si="76">IF(C339="ST TVA non-autoliquidée",E339*0.2,"")</f>
        <v/>
      </c>
      <c r="AH339" s="176"/>
      <c r="AO339" s="314">
        <v>0</v>
      </c>
    </row>
    <row r="340" spans="2:41" hidden="1" x14ac:dyDescent="1.2">
      <c r="B340" s="297" t="str">
        <f t="shared" si="69"/>
        <v>Tranche_FERME</v>
      </c>
      <c r="C340" s="297">
        <f t="shared" si="69"/>
        <v>0</v>
      </c>
      <c r="D340" s="297">
        <f t="shared" si="69"/>
        <v>0</v>
      </c>
      <c r="E340" s="317">
        <f t="shared" si="70"/>
        <v>0</v>
      </c>
      <c r="F340" s="317">
        <f t="shared" si="71"/>
        <v>0</v>
      </c>
      <c r="G340" s="454">
        <f t="shared" si="72"/>
        <v>0</v>
      </c>
      <c r="H340" s="314">
        <f t="shared" si="74"/>
        <v>0</v>
      </c>
      <c r="I340" s="316">
        <f t="shared" si="75"/>
        <v>0</v>
      </c>
      <c r="J340" s="365">
        <f t="shared" si="73"/>
        <v>0</v>
      </c>
      <c r="K340" s="177" t="str">
        <f t="shared" si="76"/>
        <v/>
      </c>
      <c r="AH340" s="176"/>
      <c r="AO340" s="314">
        <v>0</v>
      </c>
    </row>
    <row r="341" spans="2:41" hidden="1" x14ac:dyDescent="1.2">
      <c r="B341" s="297" t="str">
        <f t="shared" si="69"/>
        <v>Tranche_FERME</v>
      </c>
      <c r="C341" s="297">
        <f t="shared" si="69"/>
        <v>0</v>
      </c>
      <c r="D341" s="297">
        <f t="shared" si="69"/>
        <v>0</v>
      </c>
      <c r="E341" s="317">
        <f t="shared" si="70"/>
        <v>0</v>
      </c>
      <c r="F341" s="317">
        <f t="shared" si="71"/>
        <v>0</v>
      </c>
      <c r="G341" s="454">
        <f t="shared" si="72"/>
        <v>0</v>
      </c>
      <c r="H341" s="314">
        <f t="shared" si="74"/>
        <v>0</v>
      </c>
      <c r="I341" s="316">
        <f t="shared" si="75"/>
        <v>0</v>
      </c>
      <c r="J341" s="365">
        <f t="shared" si="73"/>
        <v>0</v>
      </c>
      <c r="K341" s="177" t="str">
        <f t="shared" si="76"/>
        <v/>
      </c>
      <c r="AH341" s="176"/>
      <c r="AO341" s="314">
        <v>0</v>
      </c>
    </row>
    <row r="342" spans="2:41" hidden="1" x14ac:dyDescent="1.2">
      <c r="B342" s="297" t="str">
        <f t="shared" si="69"/>
        <v>Tranche_FERME</v>
      </c>
      <c r="C342" s="297">
        <f t="shared" si="69"/>
        <v>0</v>
      </c>
      <c r="D342" s="297">
        <f t="shared" si="69"/>
        <v>0</v>
      </c>
      <c r="E342" s="317">
        <f t="shared" si="70"/>
        <v>0</v>
      </c>
      <c r="F342" s="317">
        <f t="shared" si="71"/>
        <v>0</v>
      </c>
      <c r="G342" s="454">
        <f t="shared" si="72"/>
        <v>0</v>
      </c>
      <c r="H342" s="314">
        <f t="shared" si="74"/>
        <v>0</v>
      </c>
      <c r="I342" s="316">
        <f t="shared" si="75"/>
        <v>0</v>
      </c>
      <c r="J342" s="365">
        <f t="shared" si="73"/>
        <v>0</v>
      </c>
      <c r="K342" s="177" t="str">
        <f t="shared" si="76"/>
        <v/>
      </c>
      <c r="AH342" s="176"/>
      <c r="AO342" s="314">
        <v>0</v>
      </c>
    </row>
    <row r="343" spans="2:41" hidden="1" x14ac:dyDescent="1.2">
      <c r="B343" s="297" t="str">
        <f t="shared" si="69"/>
        <v>Tranche_FERME</v>
      </c>
      <c r="C343" s="297">
        <f t="shared" si="69"/>
        <v>0</v>
      </c>
      <c r="D343" s="297">
        <f t="shared" si="69"/>
        <v>0</v>
      </c>
      <c r="E343" s="317">
        <f t="shared" si="70"/>
        <v>0</v>
      </c>
      <c r="F343" s="317">
        <f t="shared" si="71"/>
        <v>0</v>
      </c>
      <c r="G343" s="454">
        <f t="shared" si="72"/>
        <v>0</v>
      </c>
      <c r="H343" s="314">
        <f t="shared" si="74"/>
        <v>0</v>
      </c>
      <c r="I343" s="316">
        <f t="shared" si="75"/>
        <v>0</v>
      </c>
      <c r="J343" s="365">
        <f t="shared" si="73"/>
        <v>0</v>
      </c>
      <c r="K343" s="177" t="str">
        <f t="shared" si="76"/>
        <v/>
      </c>
      <c r="AH343" s="176"/>
      <c r="AO343" s="314">
        <v>0</v>
      </c>
    </row>
    <row r="344" spans="2:41" hidden="1" x14ac:dyDescent="1.2">
      <c r="B344" s="297" t="str">
        <f t="shared" ref="B344:D349" si="77">C37</f>
        <v>Tranche_OPTIONNELLE_1</v>
      </c>
      <c r="C344" s="297">
        <f t="shared" si="77"/>
        <v>0</v>
      </c>
      <c r="D344" s="297">
        <f t="shared" si="77"/>
        <v>0</v>
      </c>
      <c r="E344" s="317">
        <f t="shared" ref="E344:E349" si="78">I37+J37</f>
        <v>0</v>
      </c>
      <c r="F344" s="317">
        <f t="shared" ref="F344:F349" si="79">IF(C344="ST TVA autoliquidée",E344,((I37*$D$10)+I37)+((J37*$E$10)+J37))</f>
        <v>0</v>
      </c>
      <c r="G344" s="454">
        <f t="shared" si="72"/>
        <v>0</v>
      </c>
      <c r="H344" s="314">
        <f t="shared" si="74"/>
        <v>0</v>
      </c>
      <c r="I344" s="316">
        <f t="shared" si="75"/>
        <v>0</v>
      </c>
      <c r="J344" s="365">
        <f t="shared" ref="J344:J349" si="80">H37</f>
        <v>0</v>
      </c>
      <c r="K344" s="177" t="str">
        <f t="shared" si="76"/>
        <v/>
      </c>
      <c r="AH344" s="176"/>
      <c r="AO344" s="314">
        <v>0</v>
      </c>
    </row>
    <row r="345" spans="2:41" hidden="1" x14ac:dyDescent="1.2">
      <c r="B345" s="297" t="str">
        <f t="shared" si="77"/>
        <v>Tranche_OPTIONNELLE_1</v>
      </c>
      <c r="C345" s="297">
        <f t="shared" si="77"/>
        <v>0</v>
      </c>
      <c r="D345" s="297">
        <f t="shared" si="77"/>
        <v>0</v>
      </c>
      <c r="E345" s="317">
        <f t="shared" si="78"/>
        <v>0</v>
      </c>
      <c r="F345" s="317">
        <f t="shared" si="79"/>
        <v>0</v>
      </c>
      <c r="G345" s="454">
        <f t="shared" si="72"/>
        <v>0</v>
      </c>
      <c r="H345" s="314">
        <f t="shared" si="74"/>
        <v>0</v>
      </c>
      <c r="I345" s="316">
        <f t="shared" si="75"/>
        <v>0</v>
      </c>
      <c r="J345" s="365">
        <f t="shared" si="80"/>
        <v>0</v>
      </c>
      <c r="K345" s="177" t="str">
        <f t="shared" si="76"/>
        <v/>
      </c>
      <c r="AH345" s="176"/>
      <c r="AO345" s="314">
        <v>0</v>
      </c>
    </row>
    <row r="346" spans="2:41" hidden="1" x14ac:dyDescent="1.2">
      <c r="B346" s="297" t="str">
        <f t="shared" si="77"/>
        <v>Tranche_OPTIONNELLE_1</v>
      </c>
      <c r="C346" s="297">
        <f t="shared" si="77"/>
        <v>0</v>
      </c>
      <c r="D346" s="297">
        <f t="shared" si="77"/>
        <v>0</v>
      </c>
      <c r="E346" s="317">
        <f t="shared" si="78"/>
        <v>0</v>
      </c>
      <c r="F346" s="317">
        <f t="shared" si="79"/>
        <v>0</v>
      </c>
      <c r="G346" s="454">
        <f t="shared" si="72"/>
        <v>0</v>
      </c>
      <c r="H346" s="314">
        <f t="shared" si="74"/>
        <v>0</v>
      </c>
      <c r="I346" s="316">
        <f t="shared" si="75"/>
        <v>0</v>
      </c>
      <c r="J346" s="365">
        <f t="shared" si="80"/>
        <v>0</v>
      </c>
      <c r="K346" s="177" t="str">
        <f t="shared" si="76"/>
        <v/>
      </c>
      <c r="AH346" s="176"/>
      <c r="AO346" s="314">
        <v>0</v>
      </c>
    </row>
    <row r="347" spans="2:41" hidden="1" x14ac:dyDescent="1.2">
      <c r="B347" s="297" t="str">
        <f t="shared" si="77"/>
        <v>Tranche_OPTIONNELLE_1</v>
      </c>
      <c r="C347" s="297">
        <f t="shared" si="77"/>
        <v>0</v>
      </c>
      <c r="D347" s="297">
        <f t="shared" si="77"/>
        <v>0</v>
      </c>
      <c r="E347" s="317">
        <f t="shared" si="78"/>
        <v>0</v>
      </c>
      <c r="F347" s="317">
        <f t="shared" si="79"/>
        <v>0</v>
      </c>
      <c r="G347" s="454">
        <f t="shared" si="72"/>
        <v>0</v>
      </c>
      <c r="H347" s="314">
        <f t="shared" si="74"/>
        <v>0</v>
      </c>
      <c r="I347" s="316">
        <f t="shared" si="75"/>
        <v>0</v>
      </c>
      <c r="J347" s="365">
        <f t="shared" si="80"/>
        <v>0</v>
      </c>
      <c r="K347" s="177" t="str">
        <f t="shared" si="76"/>
        <v/>
      </c>
      <c r="AH347" s="176"/>
      <c r="AO347" s="314">
        <v>0</v>
      </c>
    </row>
    <row r="348" spans="2:41" hidden="1" x14ac:dyDescent="1.2">
      <c r="B348" s="297" t="str">
        <f t="shared" si="77"/>
        <v>Tranche_OPTIONNELLE_1</v>
      </c>
      <c r="C348" s="297">
        <f t="shared" si="77"/>
        <v>0</v>
      </c>
      <c r="D348" s="297">
        <f t="shared" si="77"/>
        <v>0</v>
      </c>
      <c r="E348" s="317">
        <f t="shared" si="78"/>
        <v>0</v>
      </c>
      <c r="F348" s="317">
        <f t="shared" si="79"/>
        <v>0</v>
      </c>
      <c r="G348" s="454">
        <f t="shared" si="72"/>
        <v>0</v>
      </c>
      <c r="H348" s="314">
        <f t="shared" si="74"/>
        <v>0</v>
      </c>
      <c r="I348" s="316">
        <f t="shared" si="75"/>
        <v>0</v>
      </c>
      <c r="J348" s="365">
        <f t="shared" si="80"/>
        <v>0</v>
      </c>
      <c r="K348" s="177" t="str">
        <f t="shared" si="76"/>
        <v/>
      </c>
      <c r="AH348" s="176"/>
      <c r="AO348" s="314">
        <v>0</v>
      </c>
    </row>
    <row r="349" spans="2:41" hidden="1" x14ac:dyDescent="1.2">
      <c r="B349" s="297" t="str">
        <f t="shared" si="77"/>
        <v>Tranche_OPTIONNELLE_1</v>
      </c>
      <c r="C349" s="297">
        <f t="shared" si="77"/>
        <v>0</v>
      </c>
      <c r="D349" s="297">
        <f t="shared" si="77"/>
        <v>0</v>
      </c>
      <c r="E349" s="317">
        <f t="shared" si="78"/>
        <v>0</v>
      </c>
      <c r="F349" s="317">
        <f t="shared" si="79"/>
        <v>0</v>
      </c>
      <c r="G349" s="454">
        <f t="shared" si="72"/>
        <v>0</v>
      </c>
      <c r="H349" s="314">
        <f t="shared" si="74"/>
        <v>0</v>
      </c>
      <c r="I349" s="316">
        <f t="shared" si="75"/>
        <v>0</v>
      </c>
      <c r="J349" s="365">
        <f t="shared" si="80"/>
        <v>0</v>
      </c>
      <c r="K349" s="177" t="str">
        <f t="shared" si="76"/>
        <v/>
      </c>
      <c r="AH349" s="176"/>
      <c r="AO349" s="314">
        <v>0</v>
      </c>
    </row>
    <row r="350" spans="2:41" hidden="1" x14ac:dyDescent="1.2">
      <c r="B350" s="297" t="str">
        <f t="shared" ref="B350:D355" si="81">C44</f>
        <v>Tranche_OPTIONNELLE_2</v>
      </c>
      <c r="C350" s="297">
        <f t="shared" si="81"/>
        <v>0</v>
      </c>
      <c r="D350" s="297">
        <f t="shared" si="81"/>
        <v>0</v>
      </c>
      <c r="E350" s="317">
        <f t="shared" ref="E350:E355" si="82">I44+J44</f>
        <v>0</v>
      </c>
      <c r="F350" s="317">
        <f t="shared" ref="F350:F355" si="83">IF(C350="ST TVA autoliquidée",E350,((I44*$D$10)+I44)+((J44*$E$10)+J44))</f>
        <v>0</v>
      </c>
      <c r="G350" s="454">
        <f t="shared" si="72"/>
        <v>0</v>
      </c>
      <c r="H350" s="314">
        <f t="shared" si="74"/>
        <v>0</v>
      </c>
      <c r="I350" s="316">
        <f t="shared" si="75"/>
        <v>0</v>
      </c>
      <c r="J350" s="365">
        <f t="shared" ref="J350:J355" si="84">H44</f>
        <v>0</v>
      </c>
      <c r="K350" s="177" t="str">
        <f t="shared" si="76"/>
        <v/>
      </c>
      <c r="AH350" s="176"/>
      <c r="AO350" s="314">
        <v>0</v>
      </c>
    </row>
    <row r="351" spans="2:41" hidden="1" x14ac:dyDescent="1.2">
      <c r="B351" s="297" t="str">
        <f t="shared" si="81"/>
        <v>Tranche_OPTIONNELLE_2</v>
      </c>
      <c r="C351" s="297">
        <f t="shared" si="81"/>
        <v>0</v>
      </c>
      <c r="D351" s="297">
        <f t="shared" si="81"/>
        <v>0</v>
      </c>
      <c r="E351" s="317">
        <f t="shared" si="82"/>
        <v>0</v>
      </c>
      <c r="F351" s="317">
        <f t="shared" si="83"/>
        <v>0</v>
      </c>
      <c r="G351" s="454">
        <f t="shared" si="72"/>
        <v>0</v>
      </c>
      <c r="H351" s="314">
        <f t="shared" si="74"/>
        <v>0</v>
      </c>
      <c r="I351" s="316">
        <f t="shared" si="75"/>
        <v>0</v>
      </c>
      <c r="J351" s="365">
        <f t="shared" si="84"/>
        <v>0</v>
      </c>
      <c r="K351" s="177" t="str">
        <f t="shared" si="76"/>
        <v/>
      </c>
      <c r="AH351" s="176"/>
      <c r="AO351" s="314">
        <v>0</v>
      </c>
    </row>
    <row r="352" spans="2:41" hidden="1" x14ac:dyDescent="1.2">
      <c r="B352" s="297" t="str">
        <f t="shared" si="81"/>
        <v>Tranche_OPTIONNELLE_2</v>
      </c>
      <c r="C352" s="297">
        <f t="shared" si="81"/>
        <v>0</v>
      </c>
      <c r="D352" s="297">
        <f t="shared" si="81"/>
        <v>0</v>
      </c>
      <c r="E352" s="317">
        <f t="shared" si="82"/>
        <v>0</v>
      </c>
      <c r="F352" s="317">
        <f t="shared" si="83"/>
        <v>0</v>
      </c>
      <c r="G352" s="454">
        <f t="shared" si="72"/>
        <v>0</v>
      </c>
      <c r="H352" s="314">
        <f t="shared" si="74"/>
        <v>0</v>
      </c>
      <c r="I352" s="316">
        <f t="shared" si="75"/>
        <v>0</v>
      </c>
      <c r="J352" s="365">
        <f t="shared" si="84"/>
        <v>0</v>
      </c>
      <c r="K352" s="177" t="str">
        <f t="shared" si="76"/>
        <v/>
      </c>
      <c r="AH352" s="176"/>
      <c r="AO352" s="314">
        <v>0</v>
      </c>
    </row>
    <row r="353" spans="2:41" hidden="1" x14ac:dyDescent="1.2">
      <c r="B353" s="297" t="str">
        <f t="shared" si="81"/>
        <v>Tranche_OPTIONNELLE_2</v>
      </c>
      <c r="C353" s="297">
        <f t="shared" si="81"/>
        <v>0</v>
      </c>
      <c r="D353" s="297">
        <f t="shared" si="81"/>
        <v>0</v>
      </c>
      <c r="E353" s="317">
        <f t="shared" si="82"/>
        <v>0</v>
      </c>
      <c r="F353" s="317">
        <f t="shared" si="83"/>
        <v>0</v>
      </c>
      <c r="G353" s="454">
        <f t="shared" si="72"/>
        <v>0</v>
      </c>
      <c r="H353" s="314">
        <f t="shared" si="74"/>
        <v>0</v>
      </c>
      <c r="I353" s="316">
        <f t="shared" si="75"/>
        <v>0</v>
      </c>
      <c r="J353" s="365">
        <f t="shared" si="84"/>
        <v>0</v>
      </c>
      <c r="K353" s="177" t="str">
        <f t="shared" si="76"/>
        <v/>
      </c>
      <c r="AH353" s="176"/>
      <c r="AO353" s="314">
        <v>0</v>
      </c>
    </row>
    <row r="354" spans="2:41" hidden="1" x14ac:dyDescent="1.2">
      <c r="B354" s="297" t="str">
        <f t="shared" si="81"/>
        <v>Tranche_OPTIONNELLE_2</v>
      </c>
      <c r="C354" s="297">
        <f t="shared" si="81"/>
        <v>0</v>
      </c>
      <c r="D354" s="297">
        <f t="shared" si="81"/>
        <v>0</v>
      </c>
      <c r="E354" s="317">
        <f t="shared" si="82"/>
        <v>0</v>
      </c>
      <c r="F354" s="317">
        <f t="shared" si="83"/>
        <v>0</v>
      </c>
      <c r="G354" s="454">
        <f t="shared" si="72"/>
        <v>0</v>
      </c>
      <c r="H354" s="314">
        <f t="shared" si="74"/>
        <v>0</v>
      </c>
      <c r="I354" s="316">
        <f t="shared" si="75"/>
        <v>0</v>
      </c>
      <c r="J354" s="365">
        <f t="shared" si="84"/>
        <v>0</v>
      </c>
      <c r="K354" s="177" t="str">
        <f t="shared" si="76"/>
        <v/>
      </c>
      <c r="AH354" s="176"/>
      <c r="AO354" s="314">
        <v>0</v>
      </c>
    </row>
    <row r="355" spans="2:41" hidden="1" x14ac:dyDescent="1.2">
      <c r="B355" s="297" t="str">
        <f t="shared" si="81"/>
        <v>Tranche_OPTIONNELLE_2</v>
      </c>
      <c r="C355" s="297">
        <f t="shared" si="81"/>
        <v>0</v>
      </c>
      <c r="D355" s="297">
        <f t="shared" si="81"/>
        <v>0</v>
      </c>
      <c r="E355" s="317">
        <f t="shared" si="82"/>
        <v>0</v>
      </c>
      <c r="F355" s="317">
        <f t="shared" si="83"/>
        <v>0</v>
      </c>
      <c r="G355" s="454">
        <f t="shared" si="72"/>
        <v>0</v>
      </c>
      <c r="H355" s="314">
        <f t="shared" si="74"/>
        <v>0</v>
      </c>
      <c r="I355" s="316">
        <f t="shared" si="75"/>
        <v>0</v>
      </c>
      <c r="J355" s="365">
        <f t="shared" si="84"/>
        <v>0</v>
      </c>
      <c r="K355" s="177" t="str">
        <f t="shared" si="76"/>
        <v/>
      </c>
      <c r="AH355" s="176"/>
      <c r="AO355" s="314">
        <v>0</v>
      </c>
    </row>
    <row r="356" spans="2:41" hidden="1" x14ac:dyDescent="1.2">
      <c r="B356" s="297" t="str">
        <f t="shared" ref="B356:D361" si="85">C51</f>
        <v>Tranche_OPTIONNELLE_3</v>
      </c>
      <c r="C356" s="297">
        <f t="shared" si="85"/>
        <v>0</v>
      </c>
      <c r="D356" s="297">
        <f t="shared" si="85"/>
        <v>0</v>
      </c>
      <c r="E356" s="317">
        <f t="shared" ref="E356:E361" si="86">I51+J51</f>
        <v>0</v>
      </c>
      <c r="F356" s="317">
        <f t="shared" ref="F356:F361" si="87">IF(C356="ST TVA autoliquidée",E356,((I51*$D$10)+I51)+((J51*$E$10)+J51))</f>
        <v>0</v>
      </c>
      <c r="G356" s="454">
        <f t="shared" si="72"/>
        <v>0</v>
      </c>
      <c r="H356" s="314">
        <f t="shared" si="74"/>
        <v>0</v>
      </c>
      <c r="I356" s="316">
        <f t="shared" si="75"/>
        <v>0</v>
      </c>
      <c r="J356" s="365">
        <f t="shared" ref="J356:J361" si="88">H51</f>
        <v>0</v>
      </c>
      <c r="K356" s="177" t="str">
        <f t="shared" si="76"/>
        <v/>
      </c>
      <c r="AH356" s="176"/>
      <c r="AO356" s="314">
        <v>0</v>
      </c>
    </row>
    <row r="357" spans="2:41" hidden="1" x14ac:dyDescent="1.2">
      <c r="B357" s="297" t="str">
        <f t="shared" si="85"/>
        <v>Tranche_OPTIONNELLE_3</v>
      </c>
      <c r="C357" s="297">
        <f t="shared" si="85"/>
        <v>0</v>
      </c>
      <c r="D357" s="297">
        <f t="shared" si="85"/>
        <v>0</v>
      </c>
      <c r="E357" s="317">
        <f t="shared" si="86"/>
        <v>0</v>
      </c>
      <c r="F357" s="317">
        <f t="shared" si="87"/>
        <v>0</v>
      </c>
      <c r="G357" s="454">
        <f t="shared" si="72"/>
        <v>0</v>
      </c>
      <c r="H357" s="314">
        <f t="shared" si="74"/>
        <v>0</v>
      </c>
      <c r="I357" s="316">
        <f t="shared" si="75"/>
        <v>0</v>
      </c>
      <c r="J357" s="365">
        <f t="shared" si="88"/>
        <v>0</v>
      </c>
      <c r="K357" s="177" t="str">
        <f t="shared" si="76"/>
        <v/>
      </c>
      <c r="AH357" s="176"/>
      <c r="AO357" s="314">
        <v>0</v>
      </c>
    </row>
    <row r="358" spans="2:41" hidden="1" x14ac:dyDescent="1.2">
      <c r="B358" s="297" t="str">
        <f t="shared" si="85"/>
        <v>Tranche_OPTIONNELLE_3</v>
      </c>
      <c r="C358" s="297">
        <f t="shared" si="85"/>
        <v>0</v>
      </c>
      <c r="D358" s="297">
        <f t="shared" si="85"/>
        <v>0</v>
      </c>
      <c r="E358" s="317">
        <f t="shared" si="86"/>
        <v>0</v>
      </c>
      <c r="F358" s="317">
        <f t="shared" si="87"/>
        <v>0</v>
      </c>
      <c r="G358" s="454">
        <f t="shared" si="72"/>
        <v>0</v>
      </c>
      <c r="H358" s="314">
        <f t="shared" si="74"/>
        <v>0</v>
      </c>
      <c r="I358" s="316">
        <f t="shared" si="75"/>
        <v>0</v>
      </c>
      <c r="J358" s="365">
        <f t="shared" si="88"/>
        <v>0</v>
      </c>
      <c r="K358" s="177" t="str">
        <f t="shared" si="76"/>
        <v/>
      </c>
      <c r="AH358" s="176"/>
      <c r="AO358" s="314">
        <v>0</v>
      </c>
    </row>
    <row r="359" spans="2:41" hidden="1" x14ac:dyDescent="1.2">
      <c r="B359" s="297" t="str">
        <f t="shared" si="85"/>
        <v>Tranche_OPTIONNELLE_3</v>
      </c>
      <c r="C359" s="297">
        <f t="shared" si="85"/>
        <v>0</v>
      </c>
      <c r="D359" s="297">
        <f t="shared" si="85"/>
        <v>0</v>
      </c>
      <c r="E359" s="317">
        <f t="shared" si="86"/>
        <v>0</v>
      </c>
      <c r="F359" s="317">
        <f t="shared" si="87"/>
        <v>0</v>
      </c>
      <c r="G359" s="454">
        <f t="shared" si="72"/>
        <v>0</v>
      </c>
      <c r="H359" s="314">
        <f t="shared" si="74"/>
        <v>0</v>
      </c>
      <c r="I359" s="316">
        <f t="shared" si="75"/>
        <v>0</v>
      </c>
      <c r="J359" s="365">
        <f t="shared" si="88"/>
        <v>0</v>
      </c>
      <c r="K359" s="177" t="str">
        <f t="shared" si="76"/>
        <v/>
      </c>
      <c r="AH359" s="176"/>
      <c r="AO359" s="314">
        <v>0</v>
      </c>
    </row>
    <row r="360" spans="2:41" hidden="1" x14ac:dyDescent="1.2">
      <c r="B360" s="297" t="str">
        <f t="shared" si="85"/>
        <v>Tranche_OPTIONNELLE_3</v>
      </c>
      <c r="C360" s="297">
        <f t="shared" si="85"/>
        <v>0</v>
      </c>
      <c r="D360" s="297">
        <f t="shared" si="85"/>
        <v>0</v>
      </c>
      <c r="E360" s="317">
        <f t="shared" si="86"/>
        <v>0</v>
      </c>
      <c r="F360" s="317">
        <f t="shared" si="87"/>
        <v>0</v>
      </c>
      <c r="G360" s="454">
        <f t="shared" si="72"/>
        <v>0</v>
      </c>
      <c r="H360" s="314">
        <f t="shared" si="74"/>
        <v>0</v>
      </c>
      <c r="I360" s="316">
        <f t="shared" si="75"/>
        <v>0</v>
      </c>
      <c r="J360" s="365">
        <f t="shared" si="88"/>
        <v>0</v>
      </c>
      <c r="K360" s="177" t="str">
        <f t="shared" si="76"/>
        <v/>
      </c>
      <c r="AH360" s="176"/>
      <c r="AO360" s="314">
        <v>0</v>
      </c>
    </row>
    <row r="361" spans="2:41" hidden="1" x14ac:dyDescent="1.2">
      <c r="B361" s="297" t="str">
        <f t="shared" si="85"/>
        <v>Tranche_OPTIONNELLE_3</v>
      </c>
      <c r="C361" s="297">
        <f t="shared" si="85"/>
        <v>0</v>
      </c>
      <c r="D361" s="297">
        <f t="shared" si="85"/>
        <v>0</v>
      </c>
      <c r="E361" s="317">
        <f t="shared" si="86"/>
        <v>0</v>
      </c>
      <c r="F361" s="317">
        <f t="shared" si="87"/>
        <v>0</v>
      </c>
      <c r="G361" s="454">
        <f t="shared" si="72"/>
        <v>0</v>
      </c>
      <c r="H361" s="314">
        <f t="shared" si="74"/>
        <v>0</v>
      </c>
      <c r="I361" s="316">
        <f t="shared" si="75"/>
        <v>0</v>
      </c>
      <c r="J361" s="365">
        <f t="shared" si="88"/>
        <v>0</v>
      </c>
      <c r="K361" s="177" t="str">
        <f t="shared" si="76"/>
        <v/>
      </c>
      <c r="AH361" s="176"/>
      <c r="AO361" s="314">
        <v>0</v>
      </c>
    </row>
    <row r="362" spans="2:41" hidden="1" x14ac:dyDescent="1.2">
      <c r="B362" s="297" t="str">
        <f t="shared" ref="B362:D367" si="89">C58</f>
        <v>Tranche_OPTIONNELLE_4</v>
      </c>
      <c r="C362" s="297">
        <f t="shared" si="89"/>
        <v>0</v>
      </c>
      <c r="D362" s="297">
        <f t="shared" si="89"/>
        <v>0</v>
      </c>
      <c r="E362" s="317">
        <f t="shared" ref="E362:E367" si="90">I58+J58</f>
        <v>0</v>
      </c>
      <c r="F362" s="317">
        <f t="shared" ref="F362:F367" si="91">IF(C362="ST TVA autoliquidée",E362,((I58*$D$10)+I58)+((J58*$E$10)+J58))</f>
        <v>0</v>
      </c>
      <c r="G362" s="454">
        <f t="shared" si="72"/>
        <v>0</v>
      </c>
      <c r="H362" s="314">
        <f t="shared" si="74"/>
        <v>0</v>
      </c>
      <c r="I362" s="316">
        <f t="shared" si="75"/>
        <v>0</v>
      </c>
      <c r="J362" s="365">
        <f t="shared" ref="J362:J367" si="92">H58</f>
        <v>0</v>
      </c>
      <c r="K362" s="177" t="str">
        <f t="shared" si="76"/>
        <v/>
      </c>
      <c r="AH362" s="176"/>
      <c r="AO362" s="314">
        <v>0</v>
      </c>
    </row>
    <row r="363" spans="2:41" hidden="1" x14ac:dyDescent="1.2">
      <c r="B363" s="297" t="str">
        <f t="shared" si="89"/>
        <v>Tranche_OPTIONNELLE_4</v>
      </c>
      <c r="C363" s="297">
        <f t="shared" si="89"/>
        <v>0</v>
      </c>
      <c r="D363" s="297">
        <f t="shared" si="89"/>
        <v>0</v>
      </c>
      <c r="E363" s="317">
        <v>0</v>
      </c>
      <c r="F363" s="317">
        <f t="shared" si="91"/>
        <v>0</v>
      </c>
      <c r="G363" s="454">
        <f t="shared" si="72"/>
        <v>0</v>
      </c>
      <c r="H363" s="314">
        <f t="shared" si="74"/>
        <v>0</v>
      </c>
      <c r="I363" s="316">
        <f t="shared" si="75"/>
        <v>0</v>
      </c>
      <c r="J363" s="365">
        <f t="shared" si="92"/>
        <v>0</v>
      </c>
      <c r="K363" s="177" t="str">
        <f t="shared" si="76"/>
        <v/>
      </c>
      <c r="AH363" s="176"/>
      <c r="AO363" s="314">
        <v>0</v>
      </c>
    </row>
    <row r="364" spans="2:41" hidden="1" x14ac:dyDescent="1.2">
      <c r="B364" s="297" t="str">
        <f t="shared" si="89"/>
        <v>Tranche_OPTIONNELLE_4</v>
      </c>
      <c r="C364" s="297">
        <f t="shared" si="89"/>
        <v>0</v>
      </c>
      <c r="D364" s="297">
        <f t="shared" si="89"/>
        <v>0</v>
      </c>
      <c r="E364" s="317">
        <f t="shared" si="90"/>
        <v>0</v>
      </c>
      <c r="F364" s="317">
        <f t="shared" si="91"/>
        <v>0</v>
      </c>
      <c r="G364" s="454">
        <f t="shared" si="72"/>
        <v>0</v>
      </c>
      <c r="H364" s="314">
        <f t="shared" si="74"/>
        <v>0</v>
      </c>
      <c r="I364" s="316">
        <f t="shared" si="75"/>
        <v>0</v>
      </c>
      <c r="J364" s="365">
        <f t="shared" si="92"/>
        <v>0</v>
      </c>
      <c r="K364" s="177" t="str">
        <f t="shared" si="76"/>
        <v/>
      </c>
      <c r="AH364" s="176"/>
      <c r="AO364" s="314">
        <v>0</v>
      </c>
    </row>
    <row r="365" spans="2:41" hidden="1" x14ac:dyDescent="1.2">
      <c r="B365" s="297" t="str">
        <f t="shared" si="89"/>
        <v>Tranche_OPTIONNELLE_4</v>
      </c>
      <c r="C365" s="297">
        <f t="shared" si="89"/>
        <v>0</v>
      </c>
      <c r="D365" s="297">
        <f t="shared" si="89"/>
        <v>0</v>
      </c>
      <c r="E365" s="317">
        <f t="shared" si="90"/>
        <v>0</v>
      </c>
      <c r="F365" s="317">
        <f t="shared" si="91"/>
        <v>0</v>
      </c>
      <c r="G365" s="454">
        <f t="shared" si="72"/>
        <v>0</v>
      </c>
      <c r="H365" s="314">
        <f t="shared" si="74"/>
        <v>0</v>
      </c>
      <c r="I365" s="316">
        <f t="shared" si="75"/>
        <v>0</v>
      </c>
      <c r="J365" s="365">
        <f t="shared" si="92"/>
        <v>0</v>
      </c>
      <c r="K365" s="177" t="str">
        <f t="shared" si="76"/>
        <v/>
      </c>
      <c r="AH365" s="176"/>
      <c r="AO365" s="314">
        <v>0</v>
      </c>
    </row>
    <row r="366" spans="2:41" hidden="1" x14ac:dyDescent="1.2">
      <c r="B366" s="297" t="str">
        <f t="shared" si="89"/>
        <v>Tranche_OPTIONNELLE_4</v>
      </c>
      <c r="C366" s="297">
        <f t="shared" si="89"/>
        <v>0</v>
      </c>
      <c r="D366" s="297">
        <f t="shared" si="89"/>
        <v>0</v>
      </c>
      <c r="E366" s="317">
        <f t="shared" si="90"/>
        <v>0</v>
      </c>
      <c r="F366" s="317">
        <f t="shared" si="91"/>
        <v>0</v>
      </c>
      <c r="G366" s="454">
        <f t="shared" si="72"/>
        <v>0</v>
      </c>
      <c r="H366" s="314">
        <f t="shared" si="74"/>
        <v>0</v>
      </c>
      <c r="I366" s="316">
        <f t="shared" si="75"/>
        <v>0</v>
      </c>
      <c r="J366" s="365">
        <f t="shared" si="92"/>
        <v>0</v>
      </c>
      <c r="K366" s="177" t="str">
        <f t="shared" si="76"/>
        <v/>
      </c>
      <c r="AH366" s="176"/>
      <c r="AO366" s="314">
        <v>0</v>
      </c>
    </row>
    <row r="367" spans="2:41" hidden="1" x14ac:dyDescent="1.2">
      <c r="B367" s="297" t="str">
        <f t="shared" si="89"/>
        <v>Tranche_OPTIONNELLE_4</v>
      </c>
      <c r="C367" s="297">
        <f t="shared" si="89"/>
        <v>0</v>
      </c>
      <c r="D367" s="297">
        <f t="shared" si="89"/>
        <v>0</v>
      </c>
      <c r="E367" s="317">
        <f t="shared" si="90"/>
        <v>0</v>
      </c>
      <c r="F367" s="317">
        <f t="shared" si="91"/>
        <v>0</v>
      </c>
      <c r="G367" s="454">
        <f t="shared" si="72"/>
        <v>0</v>
      </c>
      <c r="H367" s="314">
        <f t="shared" si="74"/>
        <v>0</v>
      </c>
      <c r="I367" s="316">
        <f t="shared" si="75"/>
        <v>0</v>
      </c>
      <c r="J367" s="365">
        <f t="shared" si="92"/>
        <v>0</v>
      </c>
      <c r="K367" s="177" t="str">
        <f t="shared" si="76"/>
        <v/>
      </c>
      <c r="AH367" s="176"/>
      <c r="AO367" s="314">
        <v>0</v>
      </c>
    </row>
    <row r="368" spans="2:41" hidden="1" x14ac:dyDescent="1.2">
      <c r="B368" s="297" t="str">
        <f t="shared" ref="B368:D373" si="93">C65</f>
        <v>Tranche_OPTIONNELLE_5</v>
      </c>
      <c r="C368" s="297">
        <f t="shared" si="93"/>
        <v>0</v>
      </c>
      <c r="D368" s="297">
        <f t="shared" si="93"/>
        <v>0</v>
      </c>
      <c r="E368" s="317">
        <f t="shared" ref="E368:E373" si="94">I65+J65</f>
        <v>0</v>
      </c>
      <c r="F368" s="317">
        <f t="shared" ref="F368:F373" si="95">IF(C368="ST TVA autoliquidée",E368,((I65*$D$10)+I65)+((J65*$E$10)+J65))</f>
        <v>0</v>
      </c>
      <c r="G368" s="454">
        <f t="shared" si="72"/>
        <v>0</v>
      </c>
      <c r="H368" s="314">
        <f t="shared" si="74"/>
        <v>0</v>
      </c>
      <c r="I368" s="316">
        <f t="shared" si="75"/>
        <v>0</v>
      </c>
      <c r="J368" s="365">
        <f t="shared" ref="J368:J373" si="96">H65</f>
        <v>0</v>
      </c>
      <c r="K368" s="177" t="str">
        <f t="shared" si="76"/>
        <v/>
      </c>
      <c r="AH368" s="176"/>
      <c r="AO368" s="314">
        <v>0</v>
      </c>
    </row>
    <row r="369" spans="1:41" hidden="1" x14ac:dyDescent="1.2">
      <c r="B369" s="297" t="str">
        <f t="shared" si="93"/>
        <v>Tranche_OPTIONNELLE_5</v>
      </c>
      <c r="C369" s="297">
        <f t="shared" si="93"/>
        <v>0</v>
      </c>
      <c r="D369" s="297">
        <f t="shared" si="93"/>
        <v>0</v>
      </c>
      <c r="E369" s="317">
        <f t="shared" si="94"/>
        <v>0</v>
      </c>
      <c r="F369" s="317">
        <f t="shared" si="95"/>
        <v>0</v>
      </c>
      <c r="G369" s="454">
        <f t="shared" si="72"/>
        <v>0</v>
      </c>
      <c r="H369" s="314">
        <f t="shared" si="74"/>
        <v>0</v>
      </c>
      <c r="I369" s="316">
        <f t="shared" si="75"/>
        <v>0</v>
      </c>
      <c r="J369" s="365">
        <f t="shared" si="96"/>
        <v>0</v>
      </c>
      <c r="K369" s="177" t="str">
        <f t="shared" si="76"/>
        <v/>
      </c>
      <c r="AH369" s="176"/>
      <c r="AO369" s="314">
        <v>0</v>
      </c>
    </row>
    <row r="370" spans="1:41" hidden="1" x14ac:dyDescent="1.2">
      <c r="B370" s="297" t="str">
        <f t="shared" si="93"/>
        <v>Tranche_OPTIONNELLE_5</v>
      </c>
      <c r="C370" s="297">
        <f t="shared" si="93"/>
        <v>0</v>
      </c>
      <c r="D370" s="297">
        <f t="shared" si="93"/>
        <v>0</v>
      </c>
      <c r="E370" s="317">
        <f t="shared" si="94"/>
        <v>0</v>
      </c>
      <c r="F370" s="317">
        <f t="shared" si="95"/>
        <v>0</v>
      </c>
      <c r="G370" s="454">
        <f t="shared" ref="G370:G401" si="97">IF(C370="ST TVA autoliquidée",((I62*$D$10)+(J62*$E$10)),0)</f>
        <v>0</v>
      </c>
      <c r="H370" s="314">
        <f t="shared" si="74"/>
        <v>0</v>
      </c>
      <c r="I370" s="316">
        <f t="shared" si="75"/>
        <v>0</v>
      </c>
      <c r="J370" s="365">
        <f t="shared" si="96"/>
        <v>0</v>
      </c>
      <c r="K370" s="177" t="str">
        <f t="shared" si="76"/>
        <v/>
      </c>
      <c r="AH370" s="176"/>
      <c r="AO370" s="314">
        <v>0</v>
      </c>
    </row>
    <row r="371" spans="1:41" hidden="1" x14ac:dyDescent="1.2">
      <c r="B371" s="297" t="str">
        <f t="shared" si="93"/>
        <v>Tranche_OPTIONNELLE_5</v>
      </c>
      <c r="C371" s="297">
        <f t="shared" si="93"/>
        <v>0</v>
      </c>
      <c r="D371" s="297">
        <f t="shared" si="93"/>
        <v>0</v>
      </c>
      <c r="E371" s="317">
        <f t="shared" si="94"/>
        <v>0</v>
      </c>
      <c r="F371" s="317">
        <f t="shared" si="95"/>
        <v>0</v>
      </c>
      <c r="G371" s="454">
        <f t="shared" si="97"/>
        <v>0</v>
      </c>
      <c r="H371" s="314">
        <f t="shared" si="74"/>
        <v>0</v>
      </c>
      <c r="I371" s="316">
        <f t="shared" si="75"/>
        <v>0</v>
      </c>
      <c r="J371" s="365">
        <f t="shared" si="96"/>
        <v>0</v>
      </c>
      <c r="K371" s="177" t="str">
        <f t="shared" si="76"/>
        <v/>
      </c>
      <c r="AH371" s="176"/>
      <c r="AO371" s="314">
        <v>0</v>
      </c>
    </row>
    <row r="372" spans="1:41" hidden="1" x14ac:dyDescent="1.2">
      <c r="B372" s="297" t="str">
        <f t="shared" si="93"/>
        <v>Tranche_OPTIONNELLE_5</v>
      </c>
      <c r="C372" s="297">
        <f t="shared" si="93"/>
        <v>0</v>
      </c>
      <c r="D372" s="297">
        <f t="shared" si="93"/>
        <v>0</v>
      </c>
      <c r="E372" s="317">
        <f t="shared" si="94"/>
        <v>0</v>
      </c>
      <c r="F372" s="317">
        <f t="shared" si="95"/>
        <v>0</v>
      </c>
      <c r="G372" s="454">
        <f t="shared" si="97"/>
        <v>0</v>
      </c>
      <c r="H372" s="314">
        <f t="shared" si="74"/>
        <v>0</v>
      </c>
      <c r="I372" s="316">
        <f t="shared" si="75"/>
        <v>0</v>
      </c>
      <c r="J372" s="365">
        <f t="shared" si="96"/>
        <v>0</v>
      </c>
      <c r="K372" s="177" t="str">
        <f t="shared" si="76"/>
        <v/>
      </c>
      <c r="AH372" s="176"/>
      <c r="AO372" s="314">
        <v>0</v>
      </c>
    </row>
    <row r="373" spans="1:41" hidden="1" x14ac:dyDescent="1.2">
      <c r="B373" s="297" t="str">
        <f t="shared" si="93"/>
        <v>Tranche_OPTIONNELLE_5</v>
      </c>
      <c r="C373" s="297">
        <f t="shared" si="93"/>
        <v>0</v>
      </c>
      <c r="D373" s="297">
        <f t="shared" si="93"/>
        <v>0</v>
      </c>
      <c r="E373" s="317">
        <f t="shared" si="94"/>
        <v>0</v>
      </c>
      <c r="F373" s="317">
        <f t="shared" si="95"/>
        <v>0</v>
      </c>
      <c r="G373" s="454">
        <f t="shared" si="97"/>
        <v>0</v>
      </c>
      <c r="H373" s="314">
        <f t="shared" si="74"/>
        <v>0</v>
      </c>
      <c r="I373" s="316">
        <f t="shared" si="75"/>
        <v>0</v>
      </c>
      <c r="J373" s="365">
        <f t="shared" si="96"/>
        <v>0</v>
      </c>
      <c r="K373" s="177" t="str">
        <f t="shared" si="76"/>
        <v/>
      </c>
      <c r="AH373" s="176"/>
      <c r="AO373" s="314">
        <v>0</v>
      </c>
    </row>
    <row r="374" spans="1:41" hidden="1" x14ac:dyDescent="1.2">
      <c r="B374" s="297" t="str">
        <f t="shared" ref="B374:D379" si="98">C72</f>
        <v>Tranche_OPTIONNELLE_6</v>
      </c>
      <c r="C374" s="297">
        <f t="shared" si="98"/>
        <v>0</v>
      </c>
      <c r="D374" s="297">
        <f t="shared" si="98"/>
        <v>0</v>
      </c>
      <c r="E374" s="317">
        <f t="shared" ref="E374:E379" si="99">I72+J72</f>
        <v>0</v>
      </c>
      <c r="F374" s="317">
        <f t="shared" ref="F374:F379" si="100">IF(C374="ST TVA autoliquidée",E374,((I72*$D$10)+I72)+((J72*$E$10)+J72))</f>
        <v>0</v>
      </c>
      <c r="G374" s="454">
        <f t="shared" si="97"/>
        <v>0</v>
      </c>
      <c r="H374" s="314">
        <f t="shared" si="74"/>
        <v>0</v>
      </c>
      <c r="I374" s="316">
        <f t="shared" si="75"/>
        <v>0</v>
      </c>
      <c r="J374" s="365">
        <f t="shared" ref="J374:J379" si="101">H72</f>
        <v>0</v>
      </c>
      <c r="K374" s="177" t="str">
        <f t="shared" si="76"/>
        <v/>
      </c>
      <c r="AH374" s="176"/>
      <c r="AO374" s="314">
        <v>0</v>
      </c>
    </row>
    <row r="375" spans="1:41" hidden="1" x14ac:dyDescent="1.2">
      <c r="B375" s="297" t="str">
        <f t="shared" si="98"/>
        <v>Tranche_OPTIONNELLE_6</v>
      </c>
      <c r="C375" s="297">
        <f t="shared" si="98"/>
        <v>0</v>
      </c>
      <c r="D375" s="297">
        <f t="shared" si="98"/>
        <v>0</v>
      </c>
      <c r="E375" s="317">
        <f t="shared" si="99"/>
        <v>0</v>
      </c>
      <c r="F375" s="317">
        <f t="shared" si="100"/>
        <v>0</v>
      </c>
      <c r="G375" s="454">
        <f t="shared" si="97"/>
        <v>0</v>
      </c>
      <c r="H375" s="314">
        <f t="shared" si="74"/>
        <v>0</v>
      </c>
      <c r="I375" s="316">
        <f t="shared" si="75"/>
        <v>0</v>
      </c>
      <c r="J375" s="365">
        <f t="shared" si="101"/>
        <v>0</v>
      </c>
      <c r="K375" s="177" t="str">
        <f t="shared" si="76"/>
        <v/>
      </c>
      <c r="AH375" s="176"/>
      <c r="AO375" s="314">
        <v>0</v>
      </c>
    </row>
    <row r="376" spans="1:41" hidden="1" x14ac:dyDescent="1.2">
      <c r="B376" s="297" t="str">
        <f t="shared" si="98"/>
        <v>Tranche_OPTIONNELLE_6</v>
      </c>
      <c r="C376" s="297">
        <f t="shared" si="98"/>
        <v>0</v>
      </c>
      <c r="D376" s="297">
        <f t="shared" si="98"/>
        <v>0</v>
      </c>
      <c r="E376" s="317">
        <f t="shared" si="99"/>
        <v>0</v>
      </c>
      <c r="F376" s="317">
        <f t="shared" si="100"/>
        <v>0</v>
      </c>
      <c r="G376" s="454">
        <f t="shared" si="97"/>
        <v>0</v>
      </c>
      <c r="H376" s="314">
        <f t="shared" si="74"/>
        <v>0</v>
      </c>
      <c r="I376" s="316">
        <f t="shared" si="75"/>
        <v>0</v>
      </c>
      <c r="J376" s="365">
        <f t="shared" si="101"/>
        <v>0</v>
      </c>
      <c r="K376" s="177" t="str">
        <f t="shared" si="76"/>
        <v/>
      </c>
      <c r="AH376" s="176"/>
      <c r="AO376" s="314">
        <v>0</v>
      </c>
    </row>
    <row r="377" spans="1:41" hidden="1" x14ac:dyDescent="1.2">
      <c r="B377" s="297" t="str">
        <f t="shared" si="98"/>
        <v>Tranche_OPTIONNELLE_6</v>
      </c>
      <c r="C377" s="297">
        <f t="shared" si="98"/>
        <v>0</v>
      </c>
      <c r="D377" s="297">
        <f t="shared" si="98"/>
        <v>0</v>
      </c>
      <c r="E377" s="317">
        <f t="shared" si="99"/>
        <v>0</v>
      </c>
      <c r="F377" s="317">
        <f t="shared" si="100"/>
        <v>0</v>
      </c>
      <c r="G377" s="454">
        <f t="shared" si="97"/>
        <v>0</v>
      </c>
      <c r="H377" s="314">
        <f t="shared" si="74"/>
        <v>0</v>
      </c>
      <c r="I377" s="316">
        <f t="shared" si="75"/>
        <v>0</v>
      </c>
      <c r="J377" s="365">
        <f t="shared" si="101"/>
        <v>0</v>
      </c>
      <c r="K377" s="177" t="str">
        <f t="shared" si="76"/>
        <v/>
      </c>
      <c r="AH377" s="176"/>
      <c r="AO377" s="314">
        <v>0</v>
      </c>
    </row>
    <row r="378" spans="1:41" hidden="1" x14ac:dyDescent="1.2">
      <c r="B378" s="297" t="str">
        <f t="shared" si="98"/>
        <v>Tranche_OPTIONNELLE_6</v>
      </c>
      <c r="C378" s="297">
        <f t="shared" si="98"/>
        <v>0</v>
      </c>
      <c r="D378" s="297">
        <f t="shared" si="98"/>
        <v>0</v>
      </c>
      <c r="E378" s="317">
        <f t="shared" si="99"/>
        <v>0</v>
      </c>
      <c r="F378" s="317">
        <f t="shared" si="100"/>
        <v>0</v>
      </c>
      <c r="G378" s="454">
        <f t="shared" si="97"/>
        <v>0</v>
      </c>
      <c r="H378" s="314">
        <f t="shared" si="74"/>
        <v>0</v>
      </c>
      <c r="I378" s="316">
        <f t="shared" si="75"/>
        <v>0</v>
      </c>
      <c r="J378" s="365">
        <f t="shared" si="101"/>
        <v>0</v>
      </c>
      <c r="K378" s="177" t="str">
        <f t="shared" si="76"/>
        <v/>
      </c>
      <c r="AH378" s="176"/>
      <c r="AO378" s="314">
        <v>0</v>
      </c>
    </row>
    <row r="379" spans="1:41" hidden="1" x14ac:dyDescent="1.2">
      <c r="B379" s="297" t="str">
        <f t="shared" si="98"/>
        <v>Tranche_OPTIONNELLE_6</v>
      </c>
      <c r="C379" s="297">
        <f t="shared" si="98"/>
        <v>0</v>
      </c>
      <c r="D379" s="297">
        <f t="shared" si="98"/>
        <v>0</v>
      </c>
      <c r="E379" s="317">
        <f t="shared" si="99"/>
        <v>0</v>
      </c>
      <c r="F379" s="317">
        <f t="shared" si="100"/>
        <v>0</v>
      </c>
      <c r="G379" s="454">
        <f t="shared" si="97"/>
        <v>0</v>
      </c>
      <c r="H379" s="314">
        <f t="shared" si="74"/>
        <v>0</v>
      </c>
      <c r="I379" s="316">
        <f t="shared" si="75"/>
        <v>0</v>
      </c>
      <c r="J379" s="365">
        <f t="shared" si="101"/>
        <v>0</v>
      </c>
      <c r="K379" s="177" t="str">
        <f t="shared" si="76"/>
        <v/>
      </c>
      <c r="AH379" s="176"/>
      <c r="AO379" s="314">
        <v>0</v>
      </c>
    </row>
    <row r="380" spans="1:41" s="300" customFormat="1" hidden="1" x14ac:dyDescent="1.2">
      <c r="A380" s="298"/>
      <c r="B380" s="297" t="str">
        <f t="shared" ref="B380:C385" si="102">C72</f>
        <v>Tranche_OPTIONNELLE_6</v>
      </c>
      <c r="C380" s="297">
        <f t="shared" si="102"/>
        <v>0</v>
      </c>
      <c r="D380" s="297">
        <f t="shared" ref="D380:D385" si="103">E86</f>
        <v>0</v>
      </c>
      <c r="E380" s="317">
        <f t="shared" ref="E380:E385" si="104">I86+J86</f>
        <v>0</v>
      </c>
      <c r="F380" s="317">
        <f t="shared" ref="F380:F385" si="105">IF(C380="ST TVA autoliquidée",E380,((I86*$D$10)+I86)+((J86*$E$10)+J86))</f>
        <v>0</v>
      </c>
      <c r="G380" s="454">
        <f t="shared" si="97"/>
        <v>0</v>
      </c>
      <c r="H380" s="314">
        <f t="shared" si="74"/>
        <v>0</v>
      </c>
      <c r="I380" s="316">
        <f>J380-H380</f>
        <v>0</v>
      </c>
      <c r="J380" s="365">
        <f t="shared" ref="J380:J385" si="106">H86</f>
        <v>0</v>
      </c>
      <c r="K380" s="201" t="str">
        <f t="shared" si="76"/>
        <v/>
      </c>
      <c r="L380" s="177"/>
      <c r="M380" s="177"/>
      <c r="N380" s="177"/>
      <c r="O380" s="177"/>
      <c r="P380" s="177"/>
      <c r="Q380" s="201"/>
      <c r="R380" s="201"/>
      <c r="S380" s="201"/>
      <c r="T380" s="201"/>
      <c r="U380" s="201"/>
      <c r="V380" s="201"/>
      <c r="W380" s="299"/>
      <c r="X380" s="201"/>
      <c r="Y380" s="201"/>
      <c r="Z380" s="201"/>
      <c r="AA380" s="201"/>
      <c r="AB380" s="201"/>
      <c r="AC380" s="201"/>
      <c r="AD380" s="201"/>
      <c r="AE380" s="201"/>
      <c r="AF380" s="201"/>
      <c r="AG380" s="201"/>
      <c r="AO380" s="314">
        <v>0</v>
      </c>
    </row>
    <row r="381" spans="1:41" hidden="1" x14ac:dyDescent="1.2">
      <c r="B381" s="297" t="str">
        <f t="shared" si="102"/>
        <v>Tranche_OPTIONNELLE_6</v>
      </c>
      <c r="C381" s="297">
        <f t="shared" si="102"/>
        <v>0</v>
      </c>
      <c r="D381" s="297">
        <f t="shared" si="103"/>
        <v>0</v>
      </c>
      <c r="E381" s="317">
        <f t="shared" si="104"/>
        <v>0</v>
      </c>
      <c r="F381" s="317">
        <f t="shared" si="105"/>
        <v>0</v>
      </c>
      <c r="G381" s="454">
        <f t="shared" si="97"/>
        <v>0</v>
      </c>
      <c r="H381" s="314">
        <f t="shared" si="74"/>
        <v>0</v>
      </c>
      <c r="I381" s="316">
        <f t="shared" ref="I381:I421" si="107">J381-H381</f>
        <v>0</v>
      </c>
      <c r="J381" s="365">
        <f t="shared" si="106"/>
        <v>0</v>
      </c>
      <c r="K381" s="177"/>
      <c r="AH381" s="176"/>
      <c r="AO381" s="314">
        <v>0</v>
      </c>
    </row>
    <row r="382" spans="1:41" hidden="1" x14ac:dyDescent="1.2">
      <c r="B382" s="297" t="str">
        <f t="shared" si="102"/>
        <v>Tranche_OPTIONNELLE_6</v>
      </c>
      <c r="C382" s="297">
        <f t="shared" si="102"/>
        <v>0</v>
      </c>
      <c r="D382" s="297">
        <f t="shared" si="103"/>
        <v>0</v>
      </c>
      <c r="E382" s="317">
        <f t="shared" si="104"/>
        <v>0</v>
      </c>
      <c r="F382" s="317">
        <f t="shared" si="105"/>
        <v>0</v>
      </c>
      <c r="G382" s="454">
        <f t="shared" si="97"/>
        <v>0</v>
      </c>
      <c r="H382" s="314">
        <f t="shared" si="74"/>
        <v>0</v>
      </c>
      <c r="I382" s="316">
        <f t="shared" si="107"/>
        <v>0</v>
      </c>
      <c r="J382" s="365">
        <f t="shared" si="106"/>
        <v>0</v>
      </c>
      <c r="K382" s="177"/>
      <c r="AH382" s="176"/>
      <c r="AO382" s="314">
        <v>0</v>
      </c>
    </row>
    <row r="383" spans="1:41" hidden="1" x14ac:dyDescent="1.2">
      <c r="B383" s="297" t="str">
        <f t="shared" si="102"/>
        <v>Tranche_OPTIONNELLE_6</v>
      </c>
      <c r="C383" s="297">
        <f t="shared" si="102"/>
        <v>0</v>
      </c>
      <c r="D383" s="297">
        <f t="shared" si="103"/>
        <v>0</v>
      </c>
      <c r="E383" s="317">
        <f t="shared" si="104"/>
        <v>0</v>
      </c>
      <c r="F383" s="317">
        <f t="shared" si="105"/>
        <v>0</v>
      </c>
      <c r="G383" s="454">
        <f t="shared" si="97"/>
        <v>0</v>
      </c>
      <c r="H383" s="314">
        <f t="shared" si="74"/>
        <v>0</v>
      </c>
      <c r="I383" s="316">
        <f t="shared" si="107"/>
        <v>0</v>
      </c>
      <c r="J383" s="365">
        <f t="shared" si="106"/>
        <v>0</v>
      </c>
      <c r="K383" s="177"/>
      <c r="AH383" s="176"/>
      <c r="AO383" s="314">
        <v>0</v>
      </c>
    </row>
    <row r="384" spans="1:41" hidden="1" x14ac:dyDescent="1.2">
      <c r="B384" s="297" t="str">
        <f t="shared" si="102"/>
        <v>Tranche_OPTIONNELLE_6</v>
      </c>
      <c r="C384" s="297">
        <f t="shared" si="102"/>
        <v>0</v>
      </c>
      <c r="D384" s="297">
        <f t="shared" si="103"/>
        <v>0</v>
      </c>
      <c r="E384" s="317">
        <f t="shared" si="104"/>
        <v>0</v>
      </c>
      <c r="F384" s="317">
        <f t="shared" si="105"/>
        <v>0</v>
      </c>
      <c r="G384" s="454">
        <f t="shared" si="97"/>
        <v>0</v>
      </c>
      <c r="H384" s="314">
        <f t="shared" si="74"/>
        <v>0</v>
      </c>
      <c r="I384" s="316">
        <f t="shared" si="107"/>
        <v>0</v>
      </c>
      <c r="J384" s="365">
        <f t="shared" si="106"/>
        <v>0</v>
      </c>
      <c r="K384" s="177"/>
      <c r="AH384" s="176"/>
      <c r="AO384" s="314">
        <v>0</v>
      </c>
    </row>
    <row r="385" spans="2:41" hidden="1" x14ac:dyDescent="1.2">
      <c r="B385" s="297" t="str">
        <f t="shared" si="102"/>
        <v>Tranche_OPTIONNELLE_6</v>
      </c>
      <c r="C385" s="297">
        <f t="shared" si="102"/>
        <v>0</v>
      </c>
      <c r="D385" s="297">
        <f t="shared" si="103"/>
        <v>0</v>
      </c>
      <c r="E385" s="317">
        <f t="shared" si="104"/>
        <v>0</v>
      </c>
      <c r="F385" s="317">
        <f t="shared" si="105"/>
        <v>0</v>
      </c>
      <c r="G385" s="454">
        <f t="shared" si="97"/>
        <v>0</v>
      </c>
      <c r="H385" s="314">
        <f t="shared" si="74"/>
        <v>0</v>
      </c>
      <c r="I385" s="316">
        <f t="shared" si="107"/>
        <v>0</v>
      </c>
      <c r="J385" s="365">
        <f t="shared" si="106"/>
        <v>0</v>
      </c>
      <c r="K385" s="177"/>
      <c r="AH385" s="176"/>
      <c r="AO385" s="314">
        <v>0</v>
      </c>
    </row>
    <row r="386" spans="2:41" hidden="1" x14ac:dyDescent="1.2">
      <c r="B386" s="297" t="str">
        <f t="shared" ref="B386:C391" si="108">C86</f>
        <v>Tranche_FERME</v>
      </c>
      <c r="C386" s="297">
        <f t="shared" si="108"/>
        <v>0</v>
      </c>
      <c r="D386" s="297">
        <f t="shared" ref="D386:D391" si="109">E93</f>
        <v>0</v>
      </c>
      <c r="E386" s="317">
        <f t="shared" ref="E386:E391" si="110">I93+J93</f>
        <v>0</v>
      </c>
      <c r="F386" s="317">
        <f t="shared" ref="F386:F391" si="111">IF(C386="ST TVA autoliquidée",E386,((I93*$D$10)+I93)+((J93*$E$10)+J93))</f>
        <v>0</v>
      </c>
      <c r="G386" s="454">
        <f t="shared" si="97"/>
        <v>0</v>
      </c>
      <c r="H386" s="314">
        <f t="shared" si="74"/>
        <v>0</v>
      </c>
      <c r="I386" s="316">
        <f t="shared" si="107"/>
        <v>0</v>
      </c>
      <c r="J386" s="365">
        <f t="shared" ref="J386:J391" si="112">H93</f>
        <v>0</v>
      </c>
      <c r="K386" s="177"/>
      <c r="AH386" s="176"/>
      <c r="AO386" s="314">
        <v>0</v>
      </c>
    </row>
    <row r="387" spans="2:41" hidden="1" x14ac:dyDescent="1.2">
      <c r="B387" s="297" t="str">
        <f t="shared" si="108"/>
        <v>Tranche_FERME</v>
      </c>
      <c r="C387" s="297">
        <f t="shared" si="108"/>
        <v>0</v>
      </c>
      <c r="D387" s="297">
        <f t="shared" si="109"/>
        <v>0</v>
      </c>
      <c r="E387" s="317">
        <f t="shared" si="110"/>
        <v>0</v>
      </c>
      <c r="F387" s="317">
        <f t="shared" si="111"/>
        <v>0</v>
      </c>
      <c r="G387" s="454">
        <f t="shared" si="97"/>
        <v>0</v>
      </c>
      <c r="H387" s="314">
        <f t="shared" si="74"/>
        <v>0</v>
      </c>
      <c r="I387" s="316">
        <f t="shared" si="107"/>
        <v>0</v>
      </c>
      <c r="J387" s="365">
        <f t="shared" si="112"/>
        <v>0</v>
      </c>
      <c r="K387" s="177"/>
      <c r="AH387" s="176"/>
      <c r="AO387" s="314">
        <v>0</v>
      </c>
    </row>
    <row r="388" spans="2:41" hidden="1" x14ac:dyDescent="1.2">
      <c r="B388" s="297" t="str">
        <f t="shared" si="108"/>
        <v>Tranche_FERME</v>
      </c>
      <c r="C388" s="297">
        <f t="shared" si="108"/>
        <v>0</v>
      </c>
      <c r="D388" s="297">
        <f t="shared" si="109"/>
        <v>0</v>
      </c>
      <c r="E388" s="317">
        <f t="shared" si="110"/>
        <v>0</v>
      </c>
      <c r="F388" s="317">
        <f t="shared" si="111"/>
        <v>0</v>
      </c>
      <c r="G388" s="454">
        <f t="shared" si="97"/>
        <v>0</v>
      </c>
      <c r="H388" s="314">
        <f t="shared" si="74"/>
        <v>0</v>
      </c>
      <c r="I388" s="316">
        <f t="shared" si="107"/>
        <v>0</v>
      </c>
      <c r="J388" s="365">
        <f t="shared" si="112"/>
        <v>0</v>
      </c>
      <c r="K388" s="177"/>
      <c r="AH388" s="176"/>
      <c r="AO388" s="314">
        <v>0</v>
      </c>
    </row>
    <row r="389" spans="2:41" hidden="1" x14ac:dyDescent="1.2">
      <c r="B389" s="297" t="str">
        <f t="shared" si="108"/>
        <v>Tranche_FERME</v>
      </c>
      <c r="C389" s="297">
        <f t="shared" si="108"/>
        <v>0</v>
      </c>
      <c r="D389" s="297">
        <f t="shared" si="109"/>
        <v>0</v>
      </c>
      <c r="E389" s="317">
        <f t="shared" si="110"/>
        <v>0</v>
      </c>
      <c r="F389" s="317">
        <f t="shared" si="111"/>
        <v>0</v>
      </c>
      <c r="G389" s="454">
        <f t="shared" si="97"/>
        <v>0</v>
      </c>
      <c r="H389" s="314">
        <f t="shared" si="74"/>
        <v>0</v>
      </c>
      <c r="I389" s="316">
        <f t="shared" si="107"/>
        <v>0</v>
      </c>
      <c r="J389" s="365">
        <f t="shared" si="112"/>
        <v>0</v>
      </c>
      <c r="K389" s="177"/>
      <c r="AH389" s="176"/>
      <c r="AO389" s="314">
        <v>0</v>
      </c>
    </row>
    <row r="390" spans="2:41" hidden="1" x14ac:dyDescent="1.2">
      <c r="B390" s="297" t="str">
        <f t="shared" si="108"/>
        <v>Tranche_FERME</v>
      </c>
      <c r="C390" s="297">
        <f t="shared" si="108"/>
        <v>0</v>
      </c>
      <c r="D390" s="297">
        <f t="shared" si="109"/>
        <v>0</v>
      </c>
      <c r="E390" s="317">
        <f t="shared" si="110"/>
        <v>0</v>
      </c>
      <c r="F390" s="317">
        <f t="shared" si="111"/>
        <v>0</v>
      </c>
      <c r="G390" s="454">
        <f t="shared" si="97"/>
        <v>0</v>
      </c>
      <c r="H390" s="314">
        <f t="shared" si="74"/>
        <v>0</v>
      </c>
      <c r="I390" s="316">
        <f t="shared" si="107"/>
        <v>0</v>
      </c>
      <c r="J390" s="365">
        <f t="shared" si="112"/>
        <v>0</v>
      </c>
      <c r="K390" s="177"/>
      <c r="AH390" s="176"/>
      <c r="AO390" s="314">
        <v>0</v>
      </c>
    </row>
    <row r="391" spans="2:41" hidden="1" x14ac:dyDescent="1.2">
      <c r="B391" s="297" t="str">
        <f t="shared" si="108"/>
        <v>Tranche_FERME</v>
      </c>
      <c r="C391" s="297">
        <f t="shared" si="108"/>
        <v>0</v>
      </c>
      <c r="D391" s="297">
        <f t="shared" si="109"/>
        <v>0</v>
      </c>
      <c r="E391" s="317">
        <f t="shared" si="110"/>
        <v>0</v>
      </c>
      <c r="F391" s="317">
        <f t="shared" si="111"/>
        <v>0</v>
      </c>
      <c r="G391" s="454">
        <f t="shared" si="97"/>
        <v>0</v>
      </c>
      <c r="H391" s="314">
        <f t="shared" si="74"/>
        <v>0</v>
      </c>
      <c r="I391" s="316">
        <f t="shared" si="107"/>
        <v>0</v>
      </c>
      <c r="J391" s="365">
        <f t="shared" si="112"/>
        <v>0</v>
      </c>
      <c r="K391" s="177"/>
      <c r="AH391" s="176"/>
      <c r="AO391" s="314">
        <v>0</v>
      </c>
    </row>
    <row r="392" spans="2:41" hidden="1" x14ac:dyDescent="1.2">
      <c r="B392" s="297" t="str">
        <f t="shared" ref="B392:C397" si="113">C93</f>
        <v>Tranche_OPTIONNELLE_1</v>
      </c>
      <c r="C392" s="297">
        <f t="shared" si="113"/>
        <v>0</v>
      </c>
      <c r="D392" s="297">
        <f t="shared" ref="D392:D397" si="114">E100</f>
        <v>0</v>
      </c>
      <c r="E392" s="317">
        <f t="shared" ref="E392:E397" si="115">I100+J100</f>
        <v>0</v>
      </c>
      <c r="F392" s="317">
        <f t="shared" ref="F392:F397" si="116">IF(C392="ST TVA autoliquidée",E392,((I100*$D$10)+I100)+((J100*$E$10)+J100))</f>
        <v>0</v>
      </c>
      <c r="G392" s="454">
        <f t="shared" si="97"/>
        <v>0</v>
      </c>
      <c r="H392" s="314">
        <f t="shared" si="74"/>
        <v>0</v>
      </c>
      <c r="I392" s="316">
        <f t="shared" si="107"/>
        <v>0</v>
      </c>
      <c r="J392" s="365">
        <f t="shared" ref="J392:J397" si="117">H100</f>
        <v>0</v>
      </c>
      <c r="K392" s="177"/>
      <c r="AH392" s="176"/>
      <c r="AO392" s="314">
        <v>0</v>
      </c>
    </row>
    <row r="393" spans="2:41" hidden="1" x14ac:dyDescent="1.2">
      <c r="B393" s="297" t="str">
        <f t="shared" si="113"/>
        <v>Tranche_OPTIONNELLE_1</v>
      </c>
      <c r="C393" s="297">
        <f t="shared" si="113"/>
        <v>0</v>
      </c>
      <c r="D393" s="297">
        <f t="shared" si="114"/>
        <v>0</v>
      </c>
      <c r="E393" s="317">
        <f t="shared" si="115"/>
        <v>0</v>
      </c>
      <c r="F393" s="317">
        <f t="shared" si="116"/>
        <v>0</v>
      </c>
      <c r="G393" s="454">
        <f t="shared" si="97"/>
        <v>0</v>
      </c>
      <c r="H393" s="314">
        <f t="shared" si="74"/>
        <v>0</v>
      </c>
      <c r="I393" s="316">
        <f t="shared" si="107"/>
        <v>0</v>
      </c>
      <c r="J393" s="365">
        <f t="shared" si="117"/>
        <v>0</v>
      </c>
      <c r="K393" s="177"/>
      <c r="AH393" s="176"/>
      <c r="AO393" s="314">
        <v>0</v>
      </c>
    </row>
    <row r="394" spans="2:41" hidden="1" x14ac:dyDescent="1.2">
      <c r="B394" s="297" t="str">
        <f t="shared" si="113"/>
        <v>Tranche_OPTIONNELLE_1</v>
      </c>
      <c r="C394" s="297">
        <f t="shared" si="113"/>
        <v>0</v>
      </c>
      <c r="D394" s="297">
        <f t="shared" si="114"/>
        <v>0</v>
      </c>
      <c r="E394" s="317">
        <f t="shared" si="115"/>
        <v>0</v>
      </c>
      <c r="F394" s="317">
        <f t="shared" si="116"/>
        <v>0</v>
      </c>
      <c r="G394" s="454">
        <f t="shared" si="97"/>
        <v>0</v>
      </c>
      <c r="H394" s="314">
        <f t="shared" si="74"/>
        <v>0</v>
      </c>
      <c r="I394" s="316">
        <f t="shared" si="107"/>
        <v>0</v>
      </c>
      <c r="J394" s="365">
        <f t="shared" si="117"/>
        <v>0</v>
      </c>
      <c r="K394" s="177"/>
      <c r="AH394" s="176"/>
      <c r="AO394" s="314">
        <v>0</v>
      </c>
    </row>
    <row r="395" spans="2:41" hidden="1" x14ac:dyDescent="1.2">
      <c r="B395" s="297" t="str">
        <f t="shared" si="113"/>
        <v>Tranche_OPTIONNELLE_1</v>
      </c>
      <c r="C395" s="297">
        <f t="shared" si="113"/>
        <v>0</v>
      </c>
      <c r="D395" s="297">
        <f t="shared" si="114"/>
        <v>0</v>
      </c>
      <c r="E395" s="317">
        <f t="shared" si="115"/>
        <v>0</v>
      </c>
      <c r="F395" s="317">
        <f t="shared" si="116"/>
        <v>0</v>
      </c>
      <c r="G395" s="454">
        <f t="shared" si="97"/>
        <v>0</v>
      </c>
      <c r="H395" s="314">
        <f t="shared" si="74"/>
        <v>0</v>
      </c>
      <c r="I395" s="316">
        <f t="shared" si="107"/>
        <v>0</v>
      </c>
      <c r="J395" s="365">
        <f t="shared" si="117"/>
        <v>0</v>
      </c>
      <c r="K395" s="177"/>
      <c r="AH395" s="176"/>
      <c r="AO395" s="314">
        <v>0</v>
      </c>
    </row>
    <row r="396" spans="2:41" hidden="1" x14ac:dyDescent="1.2">
      <c r="B396" s="297" t="str">
        <f t="shared" si="113"/>
        <v>Tranche_OPTIONNELLE_1</v>
      </c>
      <c r="C396" s="297">
        <f t="shared" si="113"/>
        <v>0</v>
      </c>
      <c r="D396" s="297">
        <f t="shared" si="114"/>
        <v>0</v>
      </c>
      <c r="E396" s="317">
        <f t="shared" si="115"/>
        <v>0</v>
      </c>
      <c r="F396" s="317">
        <f t="shared" si="116"/>
        <v>0</v>
      </c>
      <c r="G396" s="454">
        <f t="shared" si="97"/>
        <v>0</v>
      </c>
      <c r="H396" s="314">
        <f t="shared" si="74"/>
        <v>0</v>
      </c>
      <c r="I396" s="316">
        <f t="shared" si="107"/>
        <v>0</v>
      </c>
      <c r="J396" s="365">
        <f t="shared" si="117"/>
        <v>0</v>
      </c>
      <c r="K396" s="177"/>
      <c r="AH396" s="176"/>
      <c r="AO396" s="314">
        <v>0</v>
      </c>
    </row>
    <row r="397" spans="2:41" hidden="1" x14ac:dyDescent="1.2">
      <c r="B397" s="297" t="str">
        <f t="shared" si="113"/>
        <v>Tranche_OPTIONNELLE_1</v>
      </c>
      <c r="C397" s="297">
        <f t="shared" si="113"/>
        <v>0</v>
      </c>
      <c r="D397" s="297">
        <f t="shared" si="114"/>
        <v>0</v>
      </c>
      <c r="E397" s="317">
        <f t="shared" si="115"/>
        <v>0</v>
      </c>
      <c r="F397" s="317">
        <f t="shared" si="116"/>
        <v>0</v>
      </c>
      <c r="G397" s="454">
        <f t="shared" si="97"/>
        <v>0</v>
      </c>
      <c r="H397" s="314">
        <f t="shared" si="74"/>
        <v>0</v>
      </c>
      <c r="I397" s="316">
        <f t="shared" si="107"/>
        <v>0</v>
      </c>
      <c r="J397" s="365">
        <f t="shared" si="117"/>
        <v>0</v>
      </c>
      <c r="K397" s="177"/>
      <c r="AH397" s="176"/>
      <c r="AO397" s="314">
        <v>0</v>
      </c>
    </row>
    <row r="398" spans="2:41" hidden="1" x14ac:dyDescent="1.2">
      <c r="B398" s="297" t="str">
        <f t="shared" ref="B398:C403" si="118">C100</f>
        <v>Tranche_OPTIONNELLE_2</v>
      </c>
      <c r="C398" s="297">
        <f t="shared" si="118"/>
        <v>0</v>
      </c>
      <c r="D398" s="297">
        <f t="shared" ref="D398:D403" si="119">E107</f>
        <v>0</v>
      </c>
      <c r="E398" s="317">
        <f t="shared" ref="E398:E403" si="120">I107+J107</f>
        <v>0</v>
      </c>
      <c r="F398" s="317">
        <f t="shared" ref="F398:F403" si="121">IF(C398="ST TVA autoliquidée",E398,((I107*$D$10)+I107)+((J107*$E$10)+J107))</f>
        <v>0</v>
      </c>
      <c r="G398" s="454">
        <f t="shared" si="97"/>
        <v>0</v>
      </c>
      <c r="H398" s="314">
        <f t="shared" si="74"/>
        <v>0</v>
      </c>
      <c r="I398" s="316">
        <f t="shared" si="107"/>
        <v>0</v>
      </c>
      <c r="J398" s="365">
        <f t="shared" ref="J398:J403" si="122">H107</f>
        <v>0</v>
      </c>
      <c r="K398" s="177"/>
      <c r="AH398" s="176"/>
      <c r="AO398" s="314">
        <v>0</v>
      </c>
    </row>
    <row r="399" spans="2:41" hidden="1" x14ac:dyDescent="1.2">
      <c r="B399" s="297" t="str">
        <f t="shared" si="118"/>
        <v>Tranche_OPTIONNELLE_2</v>
      </c>
      <c r="C399" s="297">
        <f t="shared" si="118"/>
        <v>0</v>
      </c>
      <c r="D399" s="297">
        <f t="shared" si="119"/>
        <v>0</v>
      </c>
      <c r="E399" s="317">
        <f t="shared" si="120"/>
        <v>0</v>
      </c>
      <c r="F399" s="317">
        <f t="shared" si="121"/>
        <v>0</v>
      </c>
      <c r="G399" s="454">
        <f t="shared" si="97"/>
        <v>0</v>
      </c>
      <c r="H399" s="314">
        <f t="shared" si="74"/>
        <v>0</v>
      </c>
      <c r="I399" s="316">
        <f t="shared" si="107"/>
        <v>0</v>
      </c>
      <c r="J399" s="365">
        <f t="shared" si="122"/>
        <v>0</v>
      </c>
      <c r="K399" s="177"/>
      <c r="AH399" s="176"/>
      <c r="AO399" s="314">
        <v>0</v>
      </c>
    </row>
    <row r="400" spans="2:41" hidden="1" x14ac:dyDescent="1.2">
      <c r="B400" s="297" t="str">
        <f t="shared" si="118"/>
        <v>Tranche_OPTIONNELLE_2</v>
      </c>
      <c r="C400" s="297">
        <f t="shared" si="118"/>
        <v>0</v>
      </c>
      <c r="D400" s="297">
        <f t="shared" si="119"/>
        <v>0</v>
      </c>
      <c r="E400" s="317">
        <f t="shared" si="120"/>
        <v>0</v>
      </c>
      <c r="F400" s="317">
        <f t="shared" si="121"/>
        <v>0</v>
      </c>
      <c r="G400" s="454">
        <f t="shared" si="97"/>
        <v>0</v>
      </c>
      <c r="H400" s="314">
        <f t="shared" si="74"/>
        <v>0</v>
      </c>
      <c r="I400" s="316">
        <f t="shared" si="107"/>
        <v>0</v>
      </c>
      <c r="J400" s="365">
        <f t="shared" si="122"/>
        <v>0</v>
      </c>
      <c r="K400" s="177"/>
      <c r="AH400" s="176"/>
      <c r="AO400" s="314">
        <v>0</v>
      </c>
    </row>
    <row r="401" spans="2:41" hidden="1" x14ac:dyDescent="1.2">
      <c r="B401" s="297" t="str">
        <f t="shared" si="118"/>
        <v>Tranche_OPTIONNELLE_2</v>
      </c>
      <c r="C401" s="297">
        <f t="shared" si="118"/>
        <v>0</v>
      </c>
      <c r="D401" s="297">
        <f t="shared" si="119"/>
        <v>0</v>
      </c>
      <c r="E401" s="317">
        <f t="shared" si="120"/>
        <v>0</v>
      </c>
      <c r="F401" s="317">
        <f t="shared" si="121"/>
        <v>0</v>
      </c>
      <c r="G401" s="454">
        <f t="shared" si="97"/>
        <v>0</v>
      </c>
      <c r="H401" s="314">
        <f t="shared" si="74"/>
        <v>0</v>
      </c>
      <c r="I401" s="316">
        <f t="shared" si="107"/>
        <v>0</v>
      </c>
      <c r="J401" s="365">
        <f t="shared" si="122"/>
        <v>0</v>
      </c>
      <c r="K401" s="177"/>
      <c r="AH401" s="176"/>
      <c r="AO401" s="314">
        <v>0</v>
      </c>
    </row>
    <row r="402" spans="2:41" hidden="1" x14ac:dyDescent="1.2">
      <c r="B402" s="297" t="str">
        <f t="shared" si="118"/>
        <v>Tranche_OPTIONNELLE_2</v>
      </c>
      <c r="C402" s="297">
        <f t="shared" si="118"/>
        <v>0</v>
      </c>
      <c r="D402" s="297">
        <f t="shared" si="119"/>
        <v>0</v>
      </c>
      <c r="E402" s="317">
        <f t="shared" si="120"/>
        <v>0</v>
      </c>
      <c r="F402" s="317">
        <f t="shared" si="121"/>
        <v>0</v>
      </c>
      <c r="G402" s="454">
        <f t="shared" ref="G402:G421" si="123">IF(C402="ST TVA autoliquidée",((I94*$D$10)+(J94*$E$10)),0)</f>
        <v>0</v>
      </c>
      <c r="H402" s="314">
        <f t="shared" si="74"/>
        <v>0</v>
      </c>
      <c r="I402" s="316">
        <f t="shared" si="107"/>
        <v>0</v>
      </c>
      <c r="J402" s="365">
        <f t="shared" si="122"/>
        <v>0</v>
      </c>
      <c r="K402" s="177"/>
      <c r="AH402" s="176"/>
      <c r="AO402" s="314">
        <v>0</v>
      </c>
    </row>
    <row r="403" spans="2:41" hidden="1" x14ac:dyDescent="1.2">
      <c r="B403" s="297" t="str">
        <f t="shared" si="118"/>
        <v>Tranche_OPTIONNELLE_2</v>
      </c>
      <c r="C403" s="297">
        <f t="shared" si="118"/>
        <v>0</v>
      </c>
      <c r="D403" s="297">
        <f t="shared" si="119"/>
        <v>0</v>
      </c>
      <c r="E403" s="317">
        <f t="shared" si="120"/>
        <v>0</v>
      </c>
      <c r="F403" s="317">
        <f t="shared" si="121"/>
        <v>0</v>
      </c>
      <c r="G403" s="454">
        <f t="shared" si="123"/>
        <v>0</v>
      </c>
      <c r="H403" s="314">
        <f t="shared" ref="H403:H421" si="124">AO403+E403</f>
        <v>0</v>
      </c>
      <c r="I403" s="316">
        <f t="shared" si="107"/>
        <v>0</v>
      </c>
      <c r="J403" s="365">
        <f t="shared" si="122"/>
        <v>0</v>
      </c>
      <c r="K403" s="177"/>
      <c r="AH403" s="176"/>
      <c r="AO403" s="314">
        <v>0</v>
      </c>
    </row>
    <row r="404" spans="2:41" hidden="1" x14ac:dyDescent="1.2">
      <c r="B404" s="297" t="str">
        <f t="shared" ref="B404:C409" si="125">C107</f>
        <v>Tranche_OPTIONNELLE_3</v>
      </c>
      <c r="C404" s="297">
        <f t="shared" si="125"/>
        <v>0</v>
      </c>
      <c r="D404" s="297">
        <f t="shared" ref="D404:D409" si="126">E114</f>
        <v>0</v>
      </c>
      <c r="E404" s="317">
        <f t="shared" ref="E404:E409" si="127">I114+J114</f>
        <v>0</v>
      </c>
      <c r="F404" s="317">
        <f t="shared" ref="F404:F409" si="128">IF(C404="ST TVA autoliquidée",E404,((I114*$D$10)+I114)+((J114*$E$10)+J114))</f>
        <v>0</v>
      </c>
      <c r="G404" s="454">
        <f t="shared" si="123"/>
        <v>0</v>
      </c>
      <c r="H404" s="314">
        <f t="shared" si="124"/>
        <v>0</v>
      </c>
      <c r="I404" s="316">
        <f t="shared" si="107"/>
        <v>0</v>
      </c>
      <c r="J404" s="365">
        <f t="shared" ref="J404:J409" si="129">H114</f>
        <v>0</v>
      </c>
      <c r="K404" s="177"/>
      <c r="AH404" s="176"/>
      <c r="AO404" s="314">
        <v>0</v>
      </c>
    </row>
    <row r="405" spans="2:41" hidden="1" x14ac:dyDescent="1.2">
      <c r="B405" s="297" t="str">
        <f t="shared" si="125"/>
        <v>Tranche_OPTIONNELLE_3</v>
      </c>
      <c r="C405" s="297">
        <f t="shared" si="125"/>
        <v>0</v>
      </c>
      <c r="D405" s="297">
        <f t="shared" si="126"/>
        <v>0</v>
      </c>
      <c r="E405" s="317">
        <f t="shared" si="127"/>
        <v>0</v>
      </c>
      <c r="F405" s="317">
        <f t="shared" si="128"/>
        <v>0</v>
      </c>
      <c r="G405" s="454">
        <f t="shared" si="123"/>
        <v>0</v>
      </c>
      <c r="H405" s="314">
        <f t="shared" si="124"/>
        <v>0</v>
      </c>
      <c r="I405" s="316">
        <f t="shared" si="107"/>
        <v>0</v>
      </c>
      <c r="J405" s="365">
        <f t="shared" si="129"/>
        <v>0</v>
      </c>
      <c r="K405" s="177"/>
      <c r="AH405" s="176"/>
      <c r="AO405" s="314">
        <v>0</v>
      </c>
    </row>
    <row r="406" spans="2:41" hidden="1" x14ac:dyDescent="1.2">
      <c r="B406" s="297" t="str">
        <f t="shared" si="125"/>
        <v>Tranche_OPTIONNELLE_3</v>
      </c>
      <c r="C406" s="297">
        <f t="shared" si="125"/>
        <v>0</v>
      </c>
      <c r="D406" s="297">
        <f t="shared" si="126"/>
        <v>0</v>
      </c>
      <c r="E406" s="317">
        <f t="shared" si="127"/>
        <v>0</v>
      </c>
      <c r="F406" s="317">
        <f t="shared" si="128"/>
        <v>0</v>
      </c>
      <c r="G406" s="454">
        <f t="shared" si="123"/>
        <v>0</v>
      </c>
      <c r="H406" s="314">
        <f t="shared" si="124"/>
        <v>0</v>
      </c>
      <c r="I406" s="316">
        <f t="shared" si="107"/>
        <v>0</v>
      </c>
      <c r="J406" s="365">
        <f t="shared" si="129"/>
        <v>0</v>
      </c>
      <c r="K406" s="177"/>
      <c r="AH406" s="176"/>
      <c r="AO406" s="314">
        <v>0</v>
      </c>
    </row>
    <row r="407" spans="2:41" hidden="1" x14ac:dyDescent="1.2">
      <c r="B407" s="297" t="str">
        <f t="shared" si="125"/>
        <v>Tranche_OPTIONNELLE_3</v>
      </c>
      <c r="C407" s="297">
        <f t="shared" si="125"/>
        <v>0</v>
      </c>
      <c r="D407" s="297">
        <f t="shared" si="126"/>
        <v>0</v>
      </c>
      <c r="E407" s="317">
        <f t="shared" si="127"/>
        <v>0</v>
      </c>
      <c r="F407" s="317">
        <f t="shared" si="128"/>
        <v>0</v>
      </c>
      <c r="G407" s="454">
        <f t="shared" si="123"/>
        <v>0</v>
      </c>
      <c r="H407" s="314">
        <f t="shared" si="124"/>
        <v>0</v>
      </c>
      <c r="I407" s="316">
        <f t="shared" si="107"/>
        <v>0</v>
      </c>
      <c r="J407" s="365">
        <f t="shared" si="129"/>
        <v>0</v>
      </c>
      <c r="K407" s="177"/>
      <c r="AH407" s="176"/>
      <c r="AO407" s="314">
        <v>0</v>
      </c>
    </row>
    <row r="408" spans="2:41" hidden="1" x14ac:dyDescent="1.2">
      <c r="B408" s="297" t="str">
        <f t="shared" si="125"/>
        <v>Tranche_OPTIONNELLE_3</v>
      </c>
      <c r="C408" s="297">
        <f t="shared" si="125"/>
        <v>0</v>
      </c>
      <c r="D408" s="297">
        <f t="shared" si="126"/>
        <v>0</v>
      </c>
      <c r="E408" s="317">
        <f t="shared" si="127"/>
        <v>0</v>
      </c>
      <c r="F408" s="317">
        <f t="shared" si="128"/>
        <v>0</v>
      </c>
      <c r="G408" s="454">
        <f t="shared" si="123"/>
        <v>0</v>
      </c>
      <c r="H408" s="314">
        <f t="shared" si="124"/>
        <v>0</v>
      </c>
      <c r="I408" s="316">
        <f t="shared" si="107"/>
        <v>0</v>
      </c>
      <c r="J408" s="365">
        <f t="shared" si="129"/>
        <v>0</v>
      </c>
      <c r="K408" s="177"/>
      <c r="AH408" s="176"/>
      <c r="AO408" s="314">
        <v>0</v>
      </c>
    </row>
    <row r="409" spans="2:41" hidden="1" x14ac:dyDescent="1.2">
      <c r="B409" s="297" t="str">
        <f t="shared" si="125"/>
        <v>Tranche_OPTIONNELLE_3</v>
      </c>
      <c r="C409" s="297">
        <f t="shared" si="125"/>
        <v>0</v>
      </c>
      <c r="D409" s="297">
        <f t="shared" si="126"/>
        <v>0</v>
      </c>
      <c r="E409" s="317">
        <f t="shared" si="127"/>
        <v>0</v>
      </c>
      <c r="F409" s="317">
        <f t="shared" si="128"/>
        <v>0</v>
      </c>
      <c r="G409" s="454">
        <f t="shared" si="123"/>
        <v>0</v>
      </c>
      <c r="H409" s="314">
        <f t="shared" si="124"/>
        <v>0</v>
      </c>
      <c r="I409" s="316">
        <f t="shared" si="107"/>
        <v>0</v>
      </c>
      <c r="J409" s="365">
        <f t="shared" si="129"/>
        <v>0</v>
      </c>
      <c r="K409" s="177"/>
      <c r="AH409" s="176"/>
      <c r="AO409" s="314">
        <v>0</v>
      </c>
    </row>
    <row r="410" spans="2:41" hidden="1" x14ac:dyDescent="1.2">
      <c r="B410" s="297" t="str">
        <f t="shared" ref="B410:C415" si="130">C114</f>
        <v>Tranche_OPTIONNELLE_4</v>
      </c>
      <c r="C410" s="297">
        <f t="shared" si="130"/>
        <v>0</v>
      </c>
      <c r="D410" s="297">
        <f t="shared" ref="D410:D415" si="131">E121</f>
        <v>0</v>
      </c>
      <c r="E410" s="317">
        <f t="shared" ref="E410:E415" si="132">I121+J121</f>
        <v>0</v>
      </c>
      <c r="F410" s="317">
        <f t="shared" ref="F410:F415" si="133">IF(C410="ST TVA autoliquidée",E410,((I121*$D$10)+I121)+((J121*$E$10)+J121))</f>
        <v>0</v>
      </c>
      <c r="G410" s="454">
        <f t="shared" si="123"/>
        <v>0</v>
      </c>
      <c r="H410" s="314">
        <f t="shared" si="124"/>
        <v>0</v>
      </c>
      <c r="I410" s="316">
        <f t="shared" si="107"/>
        <v>0</v>
      </c>
      <c r="J410" s="365">
        <f t="shared" ref="J410:J415" si="134">H121</f>
        <v>0</v>
      </c>
      <c r="K410" s="177"/>
      <c r="AH410" s="176"/>
      <c r="AO410" s="314">
        <v>0</v>
      </c>
    </row>
    <row r="411" spans="2:41" hidden="1" x14ac:dyDescent="1.2">
      <c r="B411" s="297" t="str">
        <f t="shared" si="130"/>
        <v>Tranche_OPTIONNELLE_4</v>
      </c>
      <c r="C411" s="297">
        <f t="shared" si="130"/>
        <v>0</v>
      </c>
      <c r="D411" s="297">
        <f t="shared" si="131"/>
        <v>0</v>
      </c>
      <c r="E411" s="317">
        <f t="shared" si="132"/>
        <v>0</v>
      </c>
      <c r="F411" s="317">
        <f t="shared" si="133"/>
        <v>0</v>
      </c>
      <c r="G411" s="454">
        <f t="shared" si="123"/>
        <v>0</v>
      </c>
      <c r="H411" s="314">
        <f t="shared" si="124"/>
        <v>0</v>
      </c>
      <c r="I411" s="316">
        <f t="shared" si="107"/>
        <v>0</v>
      </c>
      <c r="J411" s="365">
        <f t="shared" si="134"/>
        <v>0</v>
      </c>
      <c r="K411" s="177"/>
      <c r="AH411" s="176"/>
      <c r="AO411" s="314">
        <v>0</v>
      </c>
    </row>
    <row r="412" spans="2:41" hidden="1" x14ac:dyDescent="1.2">
      <c r="B412" s="297" t="str">
        <f t="shared" si="130"/>
        <v>Tranche_OPTIONNELLE_4</v>
      </c>
      <c r="C412" s="297">
        <f t="shared" si="130"/>
        <v>0</v>
      </c>
      <c r="D412" s="297">
        <f t="shared" si="131"/>
        <v>0</v>
      </c>
      <c r="E412" s="317">
        <f t="shared" si="132"/>
        <v>0</v>
      </c>
      <c r="F412" s="317">
        <f t="shared" si="133"/>
        <v>0</v>
      </c>
      <c r="G412" s="454">
        <f t="shared" si="123"/>
        <v>0</v>
      </c>
      <c r="H412" s="314">
        <f t="shared" si="124"/>
        <v>0</v>
      </c>
      <c r="I412" s="316">
        <f t="shared" si="107"/>
        <v>0</v>
      </c>
      <c r="J412" s="365">
        <f t="shared" si="134"/>
        <v>0</v>
      </c>
      <c r="K412" s="177"/>
      <c r="AH412" s="176"/>
      <c r="AO412" s="314">
        <v>0</v>
      </c>
    </row>
    <row r="413" spans="2:41" hidden="1" x14ac:dyDescent="1.2">
      <c r="B413" s="297" t="str">
        <f t="shared" si="130"/>
        <v>Tranche_OPTIONNELLE_4</v>
      </c>
      <c r="C413" s="297">
        <f t="shared" si="130"/>
        <v>0</v>
      </c>
      <c r="D413" s="297">
        <f t="shared" si="131"/>
        <v>0</v>
      </c>
      <c r="E413" s="317">
        <f t="shared" si="132"/>
        <v>0</v>
      </c>
      <c r="F413" s="317">
        <f t="shared" si="133"/>
        <v>0</v>
      </c>
      <c r="G413" s="454">
        <f t="shared" si="123"/>
        <v>0</v>
      </c>
      <c r="H413" s="314">
        <f t="shared" si="124"/>
        <v>0</v>
      </c>
      <c r="I413" s="316">
        <f t="shared" si="107"/>
        <v>0</v>
      </c>
      <c r="J413" s="365">
        <f t="shared" si="134"/>
        <v>0</v>
      </c>
      <c r="K413" s="177"/>
      <c r="AH413" s="176"/>
      <c r="AO413" s="314">
        <v>0</v>
      </c>
    </row>
    <row r="414" spans="2:41" hidden="1" x14ac:dyDescent="1.2">
      <c r="B414" s="297" t="str">
        <f t="shared" si="130"/>
        <v>Tranche_OPTIONNELLE_4</v>
      </c>
      <c r="C414" s="297">
        <f t="shared" si="130"/>
        <v>0</v>
      </c>
      <c r="D414" s="297">
        <f t="shared" si="131"/>
        <v>0</v>
      </c>
      <c r="E414" s="317">
        <f t="shared" si="132"/>
        <v>0</v>
      </c>
      <c r="F414" s="317">
        <f t="shared" si="133"/>
        <v>0</v>
      </c>
      <c r="G414" s="454">
        <f t="shared" si="123"/>
        <v>0</v>
      </c>
      <c r="H414" s="314">
        <f t="shared" si="124"/>
        <v>0</v>
      </c>
      <c r="I414" s="316">
        <f t="shared" si="107"/>
        <v>0</v>
      </c>
      <c r="J414" s="365">
        <f t="shared" si="134"/>
        <v>0</v>
      </c>
      <c r="K414" s="177"/>
      <c r="AH414" s="176"/>
      <c r="AO414" s="314">
        <v>0</v>
      </c>
    </row>
    <row r="415" spans="2:41" hidden="1" x14ac:dyDescent="1.2">
      <c r="B415" s="297" t="str">
        <f t="shared" si="130"/>
        <v>Tranche_OPTIONNELLE_4</v>
      </c>
      <c r="C415" s="297">
        <f t="shared" si="130"/>
        <v>0</v>
      </c>
      <c r="D415" s="297">
        <f t="shared" si="131"/>
        <v>0</v>
      </c>
      <c r="E415" s="317">
        <f t="shared" si="132"/>
        <v>0</v>
      </c>
      <c r="F415" s="317">
        <f t="shared" si="133"/>
        <v>0</v>
      </c>
      <c r="G415" s="454">
        <f t="shared" si="123"/>
        <v>0</v>
      </c>
      <c r="H415" s="314">
        <f t="shared" si="124"/>
        <v>0</v>
      </c>
      <c r="I415" s="316">
        <f t="shared" si="107"/>
        <v>0</v>
      </c>
      <c r="J415" s="365">
        <f t="shared" si="134"/>
        <v>0</v>
      </c>
      <c r="K415" s="177"/>
      <c r="AH415" s="176"/>
      <c r="AO415" s="314">
        <v>0</v>
      </c>
    </row>
    <row r="416" spans="2:41" hidden="1" x14ac:dyDescent="1.2">
      <c r="B416" s="297" t="str">
        <f t="shared" ref="B416:C421" si="135">C121</f>
        <v>Tranche_OPTIONNELLE_5</v>
      </c>
      <c r="C416" s="297">
        <f t="shared" si="135"/>
        <v>0</v>
      </c>
      <c r="D416" s="297">
        <f t="shared" ref="D416:D421" si="136">E128</f>
        <v>0</v>
      </c>
      <c r="E416" s="317">
        <f t="shared" ref="E416:E421" si="137">I128+J128</f>
        <v>0</v>
      </c>
      <c r="F416" s="317">
        <f t="shared" ref="F416:F421" si="138">IF(C416="ST TVA autoliquidée",E416,((I128*$D$10)+I128)+((J128*$E$10)+J128))</f>
        <v>0</v>
      </c>
      <c r="G416" s="454">
        <f t="shared" si="123"/>
        <v>0</v>
      </c>
      <c r="H416" s="314">
        <f t="shared" si="124"/>
        <v>0</v>
      </c>
      <c r="I416" s="316">
        <f t="shared" si="107"/>
        <v>0</v>
      </c>
      <c r="J416" s="365">
        <f t="shared" ref="J416:J421" si="139">H128</f>
        <v>0</v>
      </c>
      <c r="K416" s="177"/>
      <c r="AH416" s="176"/>
      <c r="AO416" s="314">
        <v>0</v>
      </c>
    </row>
    <row r="417" spans="2:41" hidden="1" x14ac:dyDescent="1.2">
      <c r="B417" s="297" t="str">
        <f t="shared" si="135"/>
        <v>Tranche_OPTIONNELLE_5</v>
      </c>
      <c r="C417" s="297">
        <f t="shared" si="135"/>
        <v>0</v>
      </c>
      <c r="D417" s="297">
        <f t="shared" si="136"/>
        <v>0</v>
      </c>
      <c r="E417" s="317">
        <f t="shared" si="137"/>
        <v>0</v>
      </c>
      <c r="F417" s="317">
        <f t="shared" si="138"/>
        <v>0</v>
      </c>
      <c r="G417" s="454">
        <f t="shared" si="123"/>
        <v>0</v>
      </c>
      <c r="H417" s="314">
        <f t="shared" si="124"/>
        <v>0</v>
      </c>
      <c r="I417" s="316">
        <f t="shared" si="107"/>
        <v>0</v>
      </c>
      <c r="J417" s="365">
        <f t="shared" si="139"/>
        <v>0</v>
      </c>
      <c r="K417" s="177"/>
      <c r="AH417" s="176"/>
      <c r="AO417" s="314">
        <v>0</v>
      </c>
    </row>
    <row r="418" spans="2:41" hidden="1" x14ac:dyDescent="1.2">
      <c r="B418" s="297" t="str">
        <f t="shared" si="135"/>
        <v>Tranche_OPTIONNELLE_5</v>
      </c>
      <c r="C418" s="297">
        <f t="shared" si="135"/>
        <v>0</v>
      </c>
      <c r="D418" s="297">
        <f t="shared" si="136"/>
        <v>0</v>
      </c>
      <c r="E418" s="317">
        <f t="shared" si="137"/>
        <v>0</v>
      </c>
      <c r="F418" s="317">
        <f t="shared" si="138"/>
        <v>0</v>
      </c>
      <c r="G418" s="454">
        <f t="shared" si="123"/>
        <v>0</v>
      </c>
      <c r="H418" s="314">
        <f t="shared" si="124"/>
        <v>0</v>
      </c>
      <c r="I418" s="316">
        <f t="shared" si="107"/>
        <v>0</v>
      </c>
      <c r="J418" s="365">
        <f t="shared" si="139"/>
        <v>0</v>
      </c>
      <c r="K418" s="177"/>
      <c r="AH418" s="176"/>
      <c r="AO418" s="314">
        <v>0</v>
      </c>
    </row>
    <row r="419" spans="2:41" hidden="1" x14ac:dyDescent="1.2">
      <c r="B419" s="297" t="str">
        <f t="shared" si="135"/>
        <v>Tranche_OPTIONNELLE_5</v>
      </c>
      <c r="C419" s="297">
        <f t="shared" si="135"/>
        <v>0</v>
      </c>
      <c r="D419" s="297">
        <f t="shared" si="136"/>
        <v>0</v>
      </c>
      <c r="E419" s="317">
        <f t="shared" si="137"/>
        <v>0</v>
      </c>
      <c r="F419" s="317">
        <f t="shared" si="138"/>
        <v>0</v>
      </c>
      <c r="G419" s="454">
        <f t="shared" si="123"/>
        <v>0</v>
      </c>
      <c r="H419" s="314">
        <f t="shared" si="124"/>
        <v>0</v>
      </c>
      <c r="I419" s="316">
        <f t="shared" si="107"/>
        <v>0</v>
      </c>
      <c r="J419" s="365">
        <f t="shared" si="139"/>
        <v>0</v>
      </c>
      <c r="K419" s="177"/>
      <c r="AH419" s="176"/>
      <c r="AO419" s="314">
        <v>0</v>
      </c>
    </row>
    <row r="420" spans="2:41" hidden="1" x14ac:dyDescent="1.2">
      <c r="B420" s="297" t="str">
        <f t="shared" si="135"/>
        <v>Tranche_OPTIONNELLE_5</v>
      </c>
      <c r="C420" s="297">
        <f t="shared" si="135"/>
        <v>0</v>
      </c>
      <c r="D420" s="297">
        <f t="shared" si="136"/>
        <v>0</v>
      </c>
      <c r="E420" s="317">
        <f t="shared" si="137"/>
        <v>0</v>
      </c>
      <c r="F420" s="317">
        <f t="shared" si="138"/>
        <v>0</v>
      </c>
      <c r="G420" s="454">
        <f t="shared" si="123"/>
        <v>0</v>
      </c>
      <c r="H420" s="314">
        <f t="shared" si="124"/>
        <v>0</v>
      </c>
      <c r="I420" s="316">
        <f t="shared" si="107"/>
        <v>0</v>
      </c>
      <c r="J420" s="365">
        <f t="shared" si="139"/>
        <v>0</v>
      </c>
      <c r="K420" s="177"/>
      <c r="AH420" s="176"/>
      <c r="AO420" s="314">
        <v>0</v>
      </c>
    </row>
    <row r="421" spans="2:41" hidden="1" x14ac:dyDescent="1.2">
      <c r="B421" s="455" t="str">
        <f t="shared" si="135"/>
        <v>Tranche_OPTIONNELLE_5</v>
      </c>
      <c r="C421" s="455">
        <f t="shared" si="135"/>
        <v>0</v>
      </c>
      <c r="D421" s="455">
        <f t="shared" si="136"/>
        <v>0</v>
      </c>
      <c r="E421" s="456">
        <f t="shared" si="137"/>
        <v>0</v>
      </c>
      <c r="F421" s="456">
        <f t="shared" si="138"/>
        <v>0</v>
      </c>
      <c r="G421" s="457">
        <f t="shared" si="123"/>
        <v>0</v>
      </c>
      <c r="H421" s="458">
        <f t="shared" si="124"/>
        <v>0</v>
      </c>
      <c r="I421" s="459">
        <f t="shared" si="107"/>
        <v>0</v>
      </c>
      <c r="J421" s="460">
        <f t="shared" si="139"/>
        <v>0</v>
      </c>
      <c r="K421" s="177"/>
      <c r="AH421" s="176"/>
      <c r="AO421" s="314">
        <v>0</v>
      </c>
    </row>
    <row r="422" spans="2:41" x14ac:dyDescent="1.2">
      <c r="G422" s="390">
        <f>SUM(G338:G421)</f>
        <v>0</v>
      </c>
      <c r="K422" s="178"/>
      <c r="L422" s="178"/>
      <c r="M422" s="178"/>
      <c r="N422" s="178"/>
      <c r="AO422" s="176">
        <v>0</v>
      </c>
    </row>
    <row r="423" spans="2:41" x14ac:dyDescent="1.2">
      <c r="B423" s="279"/>
      <c r="C423" s="330" t="s">
        <v>501</v>
      </c>
      <c r="D423" s="331" t="s">
        <v>504</v>
      </c>
      <c r="E423" s="331" t="s">
        <v>506</v>
      </c>
      <c r="F423" s="330" t="s">
        <v>501</v>
      </c>
      <c r="G423" s="331" t="s">
        <v>536</v>
      </c>
      <c r="H423" s="383" t="s">
        <v>506</v>
      </c>
      <c r="J423" s="177"/>
      <c r="K423" s="177"/>
      <c r="AO423" s="176" t="s">
        <v>661</v>
      </c>
    </row>
    <row r="424" spans="2:41" x14ac:dyDescent="1.2">
      <c r="B424" s="279"/>
      <c r="C424" s="337"/>
      <c r="D424" s="338"/>
      <c r="E424" s="343" t="s">
        <v>322</v>
      </c>
      <c r="F424" s="385" t="s">
        <v>336</v>
      </c>
      <c r="G424" s="338"/>
      <c r="H424" s="339"/>
      <c r="J424" s="177"/>
      <c r="K424" s="177"/>
    </row>
    <row r="425" spans="2:41" x14ac:dyDescent="1.2">
      <c r="B425" s="279"/>
      <c r="C425" s="335" t="s">
        <v>502</v>
      </c>
      <c r="D425" s="342"/>
      <c r="E425" s="345">
        <v>127058.1208</v>
      </c>
      <c r="F425" s="386"/>
      <c r="G425" s="379"/>
      <c r="H425" s="380"/>
      <c r="J425" s="177"/>
      <c r="K425" s="177"/>
    </row>
    <row r="426" spans="2:41" hidden="1" x14ac:dyDescent="1.2">
      <c r="C426" s="335" t="s">
        <v>503</v>
      </c>
      <c r="D426" s="342"/>
      <c r="E426" s="346"/>
      <c r="F426" s="387"/>
      <c r="G426" s="381"/>
      <c r="H426" s="382"/>
      <c r="J426" s="177"/>
      <c r="K426" s="177"/>
    </row>
    <row r="427" spans="2:41" x14ac:dyDescent="1.2">
      <c r="B427" s="177"/>
      <c r="C427" s="333">
        <v>1</v>
      </c>
      <c r="D427" s="342"/>
      <c r="E427" s="350">
        <v>72131.68578</v>
      </c>
      <c r="F427" s="333">
        <v>1</v>
      </c>
      <c r="G427" s="332"/>
      <c r="H427" s="347">
        <v>0</v>
      </c>
      <c r="J427" s="177"/>
      <c r="K427" s="177"/>
    </row>
    <row r="428" spans="2:41" x14ac:dyDescent="1.2">
      <c r="B428" s="177"/>
      <c r="C428" s="333">
        <v>2</v>
      </c>
      <c r="D428" s="342"/>
      <c r="E428" s="350">
        <v>13891.499779999984</v>
      </c>
      <c r="F428" s="333">
        <v>2</v>
      </c>
      <c r="G428" s="332"/>
      <c r="H428" s="347">
        <v>0</v>
      </c>
      <c r="J428" s="177"/>
      <c r="K428" s="177"/>
    </row>
    <row r="429" spans="2:41" x14ac:dyDescent="1.2">
      <c r="B429" s="177"/>
      <c r="C429" s="333">
        <v>3</v>
      </c>
      <c r="D429" s="342"/>
      <c r="E429" s="350">
        <v>3704.3997799999779</v>
      </c>
      <c r="F429" s="333">
        <v>3</v>
      </c>
      <c r="G429" s="332"/>
      <c r="H429" s="347">
        <v>0</v>
      </c>
      <c r="J429" s="177"/>
      <c r="K429" s="177"/>
    </row>
    <row r="430" spans="2:41" hidden="1" x14ac:dyDescent="1.2">
      <c r="B430" s="177"/>
      <c r="C430" s="333">
        <v>4</v>
      </c>
      <c r="D430" s="342"/>
      <c r="E430" s="350"/>
      <c r="F430" s="333">
        <v>4</v>
      </c>
      <c r="G430" s="332"/>
      <c r="H430" s="347"/>
      <c r="J430" s="177"/>
      <c r="K430" s="177"/>
    </row>
    <row r="431" spans="2:41" hidden="1" x14ac:dyDescent="1.2">
      <c r="B431" s="177"/>
      <c r="C431" s="333">
        <v>5</v>
      </c>
      <c r="D431" s="342"/>
      <c r="E431" s="350"/>
      <c r="F431" s="333">
        <v>5</v>
      </c>
      <c r="G431" s="332"/>
      <c r="H431" s="347"/>
      <c r="J431" s="177"/>
      <c r="K431" s="177"/>
    </row>
    <row r="432" spans="2:41" hidden="1" x14ac:dyDescent="1.2">
      <c r="B432" s="177"/>
      <c r="C432" s="333">
        <v>6</v>
      </c>
      <c r="D432" s="342"/>
      <c r="E432" s="350"/>
      <c r="F432" s="333">
        <v>6</v>
      </c>
      <c r="G432" s="332"/>
      <c r="H432" s="347"/>
      <c r="J432" s="177"/>
      <c r="K432" s="177"/>
    </row>
    <row r="433" spans="2:11" hidden="1" x14ac:dyDescent="1.2">
      <c r="B433" s="177"/>
      <c r="C433" s="333">
        <v>7</v>
      </c>
      <c r="D433" s="342"/>
      <c r="E433" s="350"/>
      <c r="F433" s="333">
        <v>7</v>
      </c>
      <c r="G433" s="332"/>
      <c r="H433" s="347"/>
      <c r="J433" s="177"/>
      <c r="K433" s="177"/>
    </row>
    <row r="434" spans="2:11" hidden="1" x14ac:dyDescent="1.2">
      <c r="B434" s="177"/>
      <c r="C434" s="333">
        <v>8</v>
      </c>
      <c r="D434" s="342"/>
      <c r="E434" s="350"/>
      <c r="F434" s="333">
        <v>8</v>
      </c>
      <c r="G434" s="332"/>
      <c r="H434" s="347"/>
      <c r="J434" s="177"/>
      <c r="K434" s="177"/>
    </row>
    <row r="435" spans="2:11" hidden="1" x14ac:dyDescent="1.2">
      <c r="B435" s="177"/>
      <c r="C435" s="333">
        <v>9</v>
      </c>
      <c r="D435" s="342"/>
      <c r="E435" s="350"/>
      <c r="F435" s="333">
        <v>9</v>
      </c>
      <c r="G435" s="332"/>
      <c r="H435" s="347"/>
      <c r="J435" s="177"/>
      <c r="K435" s="177"/>
    </row>
    <row r="436" spans="2:11" hidden="1" x14ac:dyDescent="1.2">
      <c r="B436" s="177"/>
      <c r="C436" s="333">
        <v>10</v>
      </c>
      <c r="D436" s="342"/>
      <c r="E436" s="350"/>
      <c r="F436" s="333">
        <v>10</v>
      </c>
      <c r="G436" s="332"/>
      <c r="H436" s="347"/>
      <c r="J436" s="177"/>
      <c r="K436" s="177"/>
    </row>
    <row r="437" spans="2:11" hidden="1" x14ac:dyDescent="1.2">
      <c r="B437" s="177"/>
      <c r="C437" s="333">
        <v>11</v>
      </c>
      <c r="D437" s="342"/>
      <c r="E437" s="350"/>
      <c r="F437" s="333">
        <v>11</v>
      </c>
      <c r="G437" s="332"/>
      <c r="H437" s="347"/>
      <c r="J437" s="177"/>
      <c r="K437" s="177"/>
    </row>
    <row r="438" spans="2:11" hidden="1" x14ac:dyDescent="1.2">
      <c r="B438" s="177"/>
      <c r="C438" s="333">
        <v>12</v>
      </c>
      <c r="D438" s="342"/>
      <c r="E438" s="350"/>
      <c r="F438" s="333">
        <v>12</v>
      </c>
      <c r="G438" s="332"/>
      <c r="H438" s="347"/>
      <c r="J438" s="177"/>
      <c r="K438" s="177"/>
    </row>
    <row r="439" spans="2:11" hidden="1" x14ac:dyDescent="1.2">
      <c r="C439" s="333">
        <v>13</v>
      </c>
      <c r="D439" s="342"/>
      <c r="E439" s="350"/>
      <c r="F439" s="333">
        <v>13</v>
      </c>
      <c r="G439" s="332"/>
      <c r="H439" s="347"/>
    </row>
    <row r="440" spans="2:11" hidden="1" x14ac:dyDescent="1.2">
      <c r="C440" s="333">
        <v>14</v>
      </c>
      <c r="D440" s="342"/>
      <c r="E440" s="350"/>
      <c r="F440" s="333">
        <v>14</v>
      </c>
      <c r="G440" s="332"/>
      <c r="H440" s="347"/>
    </row>
    <row r="441" spans="2:11" hidden="1" x14ac:dyDescent="1.2">
      <c r="C441" s="333">
        <v>15</v>
      </c>
      <c r="D441" s="342"/>
      <c r="E441" s="350"/>
      <c r="F441" s="333">
        <v>15</v>
      </c>
      <c r="G441" s="332"/>
      <c r="H441" s="347"/>
    </row>
    <row r="442" spans="2:11" hidden="1" x14ac:dyDescent="1.2">
      <c r="C442" s="333">
        <v>16</v>
      </c>
      <c r="D442" s="342"/>
      <c r="E442" s="350"/>
      <c r="F442" s="333">
        <v>16</v>
      </c>
      <c r="G442" s="332"/>
      <c r="H442" s="347"/>
    </row>
    <row r="443" spans="2:11" hidden="1" x14ac:dyDescent="1.2">
      <c r="C443" s="333">
        <v>17</v>
      </c>
      <c r="D443" s="342"/>
      <c r="E443" s="350"/>
      <c r="F443" s="333">
        <v>17</v>
      </c>
      <c r="G443" s="332"/>
      <c r="H443" s="347"/>
    </row>
    <row r="444" spans="2:11" hidden="1" x14ac:dyDescent="1.2">
      <c r="C444" s="333">
        <v>18</v>
      </c>
      <c r="D444" s="342"/>
      <c r="E444" s="350"/>
      <c r="F444" s="333">
        <v>18</v>
      </c>
      <c r="G444" s="332"/>
      <c r="H444" s="347"/>
    </row>
    <row r="445" spans="2:11" hidden="1" x14ac:dyDescent="1.2">
      <c r="C445" s="333">
        <v>19</v>
      </c>
      <c r="D445" s="342"/>
      <c r="E445" s="350"/>
      <c r="F445" s="333">
        <v>19</v>
      </c>
      <c r="G445" s="332"/>
      <c r="H445" s="347"/>
    </row>
    <row r="446" spans="2:11" hidden="1" x14ac:dyDescent="1.2">
      <c r="C446" s="333">
        <v>20</v>
      </c>
      <c r="D446" s="342"/>
      <c r="E446" s="350"/>
      <c r="F446" s="333">
        <v>20</v>
      </c>
      <c r="G446" s="332"/>
      <c r="H446" s="347"/>
    </row>
    <row r="447" spans="2:11" hidden="1" x14ac:dyDescent="1.2">
      <c r="C447" s="333">
        <v>21</v>
      </c>
      <c r="D447" s="342"/>
      <c r="E447" s="350"/>
      <c r="F447" s="333">
        <v>21</v>
      </c>
      <c r="G447" s="332"/>
      <c r="H447" s="347"/>
    </row>
    <row r="448" spans="2:11" hidden="1" x14ac:dyDescent="1.2">
      <c r="C448" s="333">
        <v>22</v>
      </c>
      <c r="D448" s="342"/>
      <c r="E448" s="350"/>
      <c r="F448" s="333">
        <v>22</v>
      </c>
      <c r="G448" s="332"/>
      <c r="H448" s="347"/>
    </row>
    <row r="449" spans="3:8" hidden="1" x14ac:dyDescent="1.2">
      <c r="C449" s="333">
        <v>23</v>
      </c>
      <c r="D449" s="342"/>
      <c r="E449" s="350"/>
      <c r="F449" s="333">
        <v>23</v>
      </c>
      <c r="G449" s="332"/>
      <c r="H449" s="347"/>
    </row>
    <row r="450" spans="3:8" hidden="1" x14ac:dyDescent="1.2">
      <c r="C450" s="333">
        <v>24</v>
      </c>
      <c r="D450" s="342"/>
      <c r="E450" s="350"/>
      <c r="F450" s="333">
        <v>24</v>
      </c>
      <c r="G450" s="332"/>
      <c r="H450" s="347"/>
    </row>
    <row r="451" spans="3:8" hidden="1" x14ac:dyDescent="1.2">
      <c r="C451" s="333">
        <v>25</v>
      </c>
      <c r="D451" s="342"/>
      <c r="E451" s="350"/>
      <c r="F451" s="333">
        <v>25</v>
      </c>
      <c r="G451" s="332"/>
      <c r="H451" s="347"/>
    </row>
    <row r="452" spans="3:8" hidden="1" x14ac:dyDescent="1.2">
      <c r="C452" s="333">
        <v>26</v>
      </c>
      <c r="D452" s="342"/>
      <c r="E452" s="350"/>
      <c r="F452" s="333">
        <v>26</v>
      </c>
      <c r="G452" s="332"/>
      <c r="H452" s="347"/>
    </row>
    <row r="453" spans="3:8" hidden="1" x14ac:dyDescent="1.2">
      <c r="C453" s="333">
        <v>27</v>
      </c>
      <c r="D453" s="342"/>
      <c r="E453" s="350"/>
      <c r="F453" s="333">
        <v>27</v>
      </c>
      <c r="G453" s="332"/>
      <c r="H453" s="347"/>
    </row>
    <row r="454" spans="3:8" hidden="1" x14ac:dyDescent="1.2">
      <c r="C454" s="333">
        <v>28</v>
      </c>
      <c r="D454" s="342"/>
      <c r="E454" s="350"/>
      <c r="F454" s="333">
        <v>28</v>
      </c>
      <c r="G454" s="332"/>
      <c r="H454" s="347"/>
    </row>
    <row r="455" spans="3:8" hidden="1" x14ac:dyDescent="1.2">
      <c r="C455" s="333">
        <v>29</v>
      </c>
      <c r="D455" s="342"/>
      <c r="E455" s="350"/>
      <c r="F455" s="333">
        <v>29</v>
      </c>
      <c r="G455" s="332"/>
      <c r="H455" s="347"/>
    </row>
    <row r="456" spans="3:8" hidden="1" x14ac:dyDescent="1.2">
      <c r="C456" s="333">
        <v>30</v>
      </c>
      <c r="D456" s="342"/>
      <c r="E456" s="350"/>
      <c r="F456" s="333">
        <v>30</v>
      </c>
      <c r="G456" s="332"/>
      <c r="H456" s="347"/>
    </row>
    <row r="457" spans="3:8" hidden="1" x14ac:dyDescent="1.2">
      <c r="C457" s="333">
        <v>31</v>
      </c>
      <c r="D457" s="342"/>
      <c r="E457" s="350"/>
      <c r="F457" s="333">
        <v>31</v>
      </c>
      <c r="G457" s="332"/>
      <c r="H457" s="347"/>
    </row>
    <row r="458" spans="3:8" hidden="1" x14ac:dyDescent="1.2">
      <c r="C458" s="333">
        <v>32</v>
      </c>
      <c r="D458" s="342"/>
      <c r="E458" s="350"/>
      <c r="F458" s="333">
        <v>32</v>
      </c>
      <c r="G458" s="332"/>
      <c r="H458" s="347"/>
    </row>
    <row r="459" spans="3:8" hidden="1" x14ac:dyDescent="1.2">
      <c r="C459" s="333">
        <v>33</v>
      </c>
      <c r="D459" s="342"/>
      <c r="E459" s="350"/>
      <c r="F459" s="333">
        <v>33</v>
      </c>
      <c r="G459" s="332"/>
      <c r="H459" s="347"/>
    </row>
    <row r="460" spans="3:8" hidden="1" x14ac:dyDescent="1.2">
      <c r="C460" s="333">
        <v>34</v>
      </c>
      <c r="D460" s="342"/>
      <c r="E460" s="350"/>
      <c r="F460" s="333">
        <v>34</v>
      </c>
      <c r="G460" s="332"/>
      <c r="H460" s="347"/>
    </row>
    <row r="461" spans="3:8" hidden="1" x14ac:dyDescent="1.2">
      <c r="C461" s="333">
        <v>35</v>
      </c>
      <c r="D461" s="342"/>
      <c r="E461" s="350"/>
      <c r="F461" s="333">
        <v>35</v>
      </c>
      <c r="G461" s="332"/>
      <c r="H461" s="347"/>
    </row>
    <row r="462" spans="3:8" hidden="1" x14ac:dyDescent="1.2">
      <c r="C462" s="333">
        <v>36</v>
      </c>
      <c r="D462" s="342"/>
      <c r="E462" s="350"/>
      <c r="F462" s="333">
        <v>36</v>
      </c>
      <c r="G462" s="332"/>
      <c r="H462" s="347"/>
    </row>
    <row r="463" spans="3:8" hidden="1" x14ac:dyDescent="1.2">
      <c r="C463" s="333">
        <v>37</v>
      </c>
      <c r="D463" s="342"/>
      <c r="E463" s="350"/>
      <c r="F463" s="333">
        <v>37</v>
      </c>
      <c r="G463" s="332"/>
      <c r="H463" s="347"/>
    </row>
    <row r="464" spans="3:8" hidden="1" x14ac:dyDescent="1.2">
      <c r="C464" s="333">
        <v>38</v>
      </c>
      <c r="D464" s="342"/>
      <c r="E464" s="350"/>
      <c r="F464" s="333">
        <v>38</v>
      </c>
      <c r="G464" s="334"/>
      <c r="H464" s="348"/>
    </row>
    <row r="465" spans="3:14" hidden="1" x14ac:dyDescent="1.2">
      <c r="C465" s="333">
        <v>39</v>
      </c>
      <c r="D465" s="342"/>
      <c r="E465" s="350"/>
      <c r="F465" s="333">
        <v>39</v>
      </c>
      <c r="G465" s="332"/>
      <c r="H465" s="347"/>
    </row>
    <row r="466" spans="3:14" hidden="1" x14ac:dyDescent="1.2">
      <c r="C466" s="336">
        <v>40</v>
      </c>
      <c r="D466" s="342"/>
      <c r="E466" s="363"/>
      <c r="F466" s="333">
        <v>40</v>
      </c>
      <c r="G466" s="336"/>
      <c r="H466" s="345"/>
      <c r="K466" s="178"/>
      <c r="L466" s="178"/>
      <c r="M466" s="178"/>
      <c r="N466" s="178"/>
    </row>
    <row r="468" spans="3:14" x14ac:dyDescent="1.2">
      <c r="C468" s="330" t="s">
        <v>501</v>
      </c>
      <c r="D468" s="331" t="s">
        <v>505</v>
      </c>
      <c r="E468" s="331" t="s">
        <v>506</v>
      </c>
      <c r="F468" s="330" t="s">
        <v>501</v>
      </c>
      <c r="G468" s="331" t="s">
        <v>507</v>
      </c>
      <c r="H468" s="331" t="s">
        <v>506</v>
      </c>
    </row>
    <row r="469" spans="3:14" x14ac:dyDescent="1.2">
      <c r="C469" s="340"/>
      <c r="D469" s="340"/>
      <c r="E469" s="351" t="s">
        <v>322</v>
      </c>
      <c r="F469" s="340"/>
      <c r="G469" s="340"/>
      <c r="H469" s="340"/>
    </row>
    <row r="470" spans="3:14" hidden="1" x14ac:dyDescent="1.2">
      <c r="C470" s="341"/>
      <c r="D470" s="342"/>
      <c r="E470" s="349"/>
      <c r="F470" s="342"/>
      <c r="G470" s="342"/>
      <c r="H470" s="350"/>
    </row>
    <row r="471" spans="3:14" hidden="1" x14ac:dyDescent="1.2">
      <c r="C471" s="341"/>
      <c r="D471" s="342"/>
      <c r="E471" s="349"/>
      <c r="F471" s="342"/>
      <c r="G471" s="342"/>
      <c r="H471" s="350"/>
    </row>
    <row r="472" spans="3:14" hidden="1" x14ac:dyDescent="1.2">
      <c r="C472" s="341"/>
      <c r="D472" s="342"/>
      <c r="E472" s="349"/>
      <c r="F472" s="342"/>
      <c r="G472" s="342"/>
      <c r="H472" s="350"/>
    </row>
    <row r="473" spans="3:14" hidden="1" x14ac:dyDescent="1.2">
      <c r="C473" s="341"/>
      <c r="D473" s="342"/>
      <c r="E473" s="349"/>
      <c r="F473" s="342"/>
      <c r="G473" s="342"/>
      <c r="H473" s="350"/>
    </row>
    <row r="474" spans="3:14" hidden="1" x14ac:dyDescent="1.2">
      <c r="C474" s="341"/>
      <c r="D474" s="342"/>
      <c r="E474" s="349"/>
      <c r="F474" s="342"/>
      <c r="G474" s="342"/>
      <c r="H474" s="350"/>
    </row>
    <row r="475" spans="3:14" hidden="1" x14ac:dyDescent="1.2">
      <c r="C475" s="341"/>
      <c r="D475" s="342"/>
      <c r="E475" s="349"/>
      <c r="F475" s="342"/>
      <c r="G475" s="342"/>
      <c r="H475" s="350"/>
    </row>
    <row r="476" spans="3:14" hidden="1" x14ac:dyDescent="1.2">
      <c r="C476" s="341"/>
      <c r="D476" s="342"/>
      <c r="E476" s="349"/>
      <c r="F476" s="342"/>
      <c r="G476" s="342"/>
      <c r="H476" s="350"/>
    </row>
    <row r="477" spans="3:14" hidden="1" x14ac:dyDescent="1.2">
      <c r="C477" s="341"/>
      <c r="D477" s="342"/>
      <c r="E477" s="349"/>
      <c r="F477" s="342"/>
      <c r="G477" s="342"/>
      <c r="H477" s="350"/>
    </row>
    <row r="478" spans="3:14" hidden="1" x14ac:dyDescent="1.2">
      <c r="C478" s="341"/>
      <c r="D478" s="342"/>
      <c r="E478" s="349"/>
      <c r="F478" s="342"/>
      <c r="G478" s="342"/>
      <c r="H478" s="350"/>
    </row>
    <row r="479" spans="3:14" x14ac:dyDescent="1.2">
      <c r="E479" s="352"/>
    </row>
    <row r="480" spans="3:14" ht="154.5" hidden="1" customHeight="1" x14ac:dyDescent="1.2">
      <c r="C480" s="565" t="s">
        <v>596</v>
      </c>
      <c r="D480" s="566"/>
      <c r="E480" s="566"/>
      <c r="F480" s="566"/>
      <c r="G480" s="566"/>
      <c r="H480" s="567"/>
    </row>
    <row r="481" spans="3:8" ht="409.5" hidden="1" customHeight="1" x14ac:dyDescent="1.2">
      <c r="C481" s="568" t="s">
        <v>597</v>
      </c>
      <c r="D481" s="570" t="s">
        <v>598</v>
      </c>
      <c r="E481" s="571"/>
      <c r="F481" s="572"/>
      <c r="G481" s="570" t="s">
        <v>599</v>
      </c>
      <c r="H481" s="579"/>
    </row>
    <row r="482" spans="3:8" hidden="1" x14ac:dyDescent="1.2">
      <c r="C482" s="569"/>
      <c r="D482" s="573"/>
      <c r="E482" s="574"/>
      <c r="F482" s="575"/>
      <c r="G482" s="580"/>
      <c r="H482" s="581"/>
    </row>
    <row r="483" spans="3:8" hidden="1" x14ac:dyDescent="1.2">
      <c r="C483" s="558"/>
      <c r="D483" s="576"/>
      <c r="E483" s="577"/>
      <c r="F483" s="578"/>
      <c r="G483" s="582"/>
      <c r="H483" s="583"/>
    </row>
    <row r="484" spans="3:8" hidden="1" x14ac:dyDescent="1.2">
      <c r="C484" s="565" t="s">
        <v>600</v>
      </c>
      <c r="D484" s="566"/>
      <c r="E484" s="566"/>
      <c r="F484" s="566"/>
      <c r="G484" s="566"/>
      <c r="H484" s="567"/>
    </row>
    <row r="485" spans="3:8" hidden="1" x14ac:dyDescent="1.2">
      <c r="C485" s="590"/>
      <c r="D485" s="593"/>
      <c r="E485" s="594"/>
      <c r="F485" s="595"/>
      <c r="G485" s="593"/>
      <c r="H485" s="595"/>
    </row>
    <row r="486" spans="3:8" hidden="1" x14ac:dyDescent="1.2">
      <c r="C486" s="591"/>
      <c r="D486" s="596"/>
      <c r="E486" s="597"/>
      <c r="F486" s="598"/>
      <c r="G486" s="596"/>
      <c r="H486" s="598"/>
    </row>
    <row r="487" spans="3:8" hidden="1" x14ac:dyDescent="1.2">
      <c r="C487" s="591"/>
      <c r="D487" s="596"/>
      <c r="E487" s="597"/>
      <c r="F487" s="598"/>
      <c r="G487" s="596"/>
      <c r="H487" s="598"/>
    </row>
    <row r="488" spans="3:8" hidden="1" x14ac:dyDescent="1.2">
      <c r="C488" s="591"/>
      <c r="D488" s="596"/>
      <c r="E488" s="597"/>
      <c r="F488" s="598"/>
      <c r="G488" s="596"/>
      <c r="H488" s="598"/>
    </row>
    <row r="489" spans="3:8" hidden="1" x14ac:dyDescent="1.2">
      <c r="C489" s="591"/>
      <c r="D489" s="596"/>
      <c r="E489" s="597"/>
      <c r="F489" s="598"/>
      <c r="G489" s="596"/>
      <c r="H489" s="598"/>
    </row>
    <row r="490" spans="3:8" hidden="1" x14ac:dyDescent="1.2">
      <c r="C490" s="592"/>
      <c r="D490" s="599"/>
      <c r="E490" s="600"/>
      <c r="F490" s="601"/>
      <c r="G490" s="599"/>
      <c r="H490" s="601"/>
    </row>
    <row r="491" spans="3:8" hidden="1" x14ac:dyDescent="1.2"/>
    <row r="492" spans="3:8" hidden="1" x14ac:dyDescent="1.2"/>
    <row r="493" spans="3:8" hidden="1" x14ac:dyDescent="1.2"/>
    <row r="494" spans="3:8" hidden="1" x14ac:dyDescent="1.2"/>
    <row r="495" spans="3:8" hidden="1" x14ac:dyDescent="1.2">
      <c r="C495" s="176">
        <v>2</v>
      </c>
      <c r="E495" s="176" t="s">
        <v>517</v>
      </c>
    </row>
    <row r="496" spans="3:8" hidden="1" x14ac:dyDescent="1.2"/>
    <row r="497" hidden="1" x14ac:dyDescent="1.2"/>
    <row r="498" hidden="1" x14ac:dyDescent="1.2"/>
    <row r="499" hidden="1" x14ac:dyDescent="1.2"/>
    <row r="500" hidden="1" x14ac:dyDescent="1.2"/>
    <row r="501" hidden="1" x14ac:dyDescent="1.2"/>
    <row r="502" hidden="1" x14ac:dyDescent="1.2"/>
    <row r="503" hidden="1" x14ac:dyDescent="1.2"/>
    <row r="504" hidden="1" x14ac:dyDescent="1.2"/>
    <row r="505" hidden="1" x14ac:dyDescent="1.2"/>
    <row r="506" hidden="1" x14ac:dyDescent="1.2"/>
    <row r="507" hidden="1" x14ac:dyDescent="1.2"/>
    <row r="508" hidden="1" x14ac:dyDescent="1.2"/>
    <row r="509" hidden="1" x14ac:dyDescent="1.2"/>
    <row r="510" hidden="1" x14ac:dyDescent="1.2"/>
    <row r="511" hidden="1" x14ac:dyDescent="1.2"/>
    <row r="512" hidden="1" x14ac:dyDescent="1.2"/>
    <row r="513" hidden="1" x14ac:dyDescent="1.2"/>
    <row r="514" hidden="1" x14ac:dyDescent="1.2"/>
    <row r="515" hidden="1" x14ac:dyDescent="1.2"/>
    <row r="516" hidden="1" x14ac:dyDescent="1.2"/>
    <row r="517" hidden="1" x14ac:dyDescent="1.2"/>
    <row r="518" hidden="1" x14ac:dyDescent="1.2"/>
    <row r="519" hidden="1" x14ac:dyDescent="1.2"/>
    <row r="520" hidden="1" x14ac:dyDescent="1.2"/>
    <row r="521" hidden="1" x14ac:dyDescent="1.2"/>
    <row r="522" hidden="1" x14ac:dyDescent="1.2"/>
    <row r="523" hidden="1" x14ac:dyDescent="1.2"/>
    <row r="524" hidden="1" x14ac:dyDescent="1.2"/>
    <row r="525" hidden="1" x14ac:dyDescent="1.2"/>
    <row r="526" hidden="1" x14ac:dyDescent="1.2"/>
    <row r="527" hidden="1" x14ac:dyDescent="1.2"/>
    <row r="528" hidden="1" x14ac:dyDescent="1.2"/>
    <row r="529" spans="6:8" hidden="1" x14ac:dyDescent="1.2"/>
    <row r="530" spans="6:8" hidden="1" x14ac:dyDescent="1.2"/>
    <row r="531" spans="6:8" hidden="1" x14ac:dyDescent="1.2"/>
    <row r="532" spans="6:8" hidden="1" x14ac:dyDescent="1.2"/>
    <row r="533" spans="6:8" hidden="1" x14ac:dyDescent="1.2"/>
    <row r="534" spans="6:8" hidden="1" x14ac:dyDescent="1.2"/>
    <row r="535" spans="6:8" hidden="1" x14ac:dyDescent="1.2"/>
    <row r="537" spans="6:8" x14ac:dyDescent="1.2">
      <c r="F537" s="586" t="s">
        <v>601</v>
      </c>
      <c r="G537" s="587"/>
      <c r="H537" s="579"/>
    </row>
    <row r="538" spans="6:8" x14ac:dyDescent="1.2">
      <c r="F538" s="582"/>
      <c r="G538" s="588"/>
      <c r="H538" s="583"/>
    </row>
    <row r="539" spans="6:8" x14ac:dyDescent="1.2">
      <c r="F539" s="586"/>
      <c r="G539" s="587"/>
      <c r="H539" s="579"/>
    </row>
    <row r="540" spans="6:8" x14ac:dyDescent="1.2">
      <c r="F540" s="580"/>
      <c r="G540" s="589"/>
      <c r="H540" s="581"/>
    </row>
    <row r="541" spans="6:8" x14ac:dyDescent="1.2">
      <c r="F541" s="580"/>
      <c r="G541" s="589"/>
      <c r="H541" s="581"/>
    </row>
    <row r="542" spans="6:8" x14ac:dyDescent="1.2">
      <c r="F542" s="580"/>
      <c r="G542" s="589"/>
      <c r="H542" s="581"/>
    </row>
    <row r="543" spans="6:8" x14ac:dyDescent="1.2">
      <c r="F543" s="580"/>
      <c r="G543" s="589"/>
      <c r="H543" s="581"/>
    </row>
    <row r="544" spans="6:8" x14ac:dyDescent="1.2">
      <c r="F544" s="580"/>
      <c r="G544" s="589"/>
      <c r="H544" s="581"/>
    </row>
    <row r="545" spans="2:8" x14ac:dyDescent="1.2">
      <c r="F545" s="580"/>
      <c r="G545" s="589"/>
      <c r="H545" s="581"/>
    </row>
    <row r="546" spans="2:8" x14ac:dyDescent="1.2">
      <c r="F546" s="582"/>
      <c r="G546" s="588"/>
      <c r="H546" s="583"/>
    </row>
    <row r="548" spans="2:8" x14ac:dyDescent="1.2">
      <c r="B548" s="240"/>
    </row>
    <row r="549" spans="2:8" x14ac:dyDescent="1.2">
      <c r="C549" s="463"/>
      <c r="D549" s="463"/>
      <c r="E549" s="463"/>
    </row>
    <row r="1233" spans="6:6" x14ac:dyDescent="1.2">
      <c r="F1233" s="176">
        <v>0</v>
      </c>
    </row>
    <row r="1236" spans="6:6" x14ac:dyDescent="1.2">
      <c r="F1236" s="176">
        <v>0</v>
      </c>
    </row>
  </sheetData>
  <sheetProtection algorithmName="SHA-512" hashValue="vxQekXoapZM7MBqzcv/yYlJMgpyPGtMlUxTVo5bqilqQhfR/Hr9v3naRX1LyRCbyeaAL6eacqwBQTV9vbuz5Ew==" saltValue="Tjc94/LegKuj/Vl5omd/YQ==" spinCount="100000" sheet="1" objects="1" scenarios="1" autoFilter="0"/>
  <mergeCells count="55">
    <mergeCell ref="AE60:AI60"/>
    <mergeCell ref="V59:V60"/>
    <mergeCell ref="C484:H484"/>
    <mergeCell ref="F537:H538"/>
    <mergeCell ref="F539:H546"/>
    <mergeCell ref="C485:C490"/>
    <mergeCell ref="D485:F490"/>
    <mergeCell ref="G485:H490"/>
    <mergeCell ref="D7:E7"/>
    <mergeCell ref="F7:G7"/>
    <mergeCell ref="F232:G232"/>
    <mergeCell ref="C480:H480"/>
    <mergeCell ref="C481:C483"/>
    <mergeCell ref="D481:F483"/>
    <mergeCell ref="G481:H483"/>
    <mergeCell ref="G12:I12"/>
    <mergeCell ref="G13:I13"/>
    <mergeCell ref="G14:I14"/>
    <mergeCell ref="G15:I15"/>
    <mergeCell ref="G16:I16"/>
    <mergeCell ref="G17:I17"/>
    <mergeCell ref="G19:I19"/>
    <mergeCell ref="G18:I18"/>
    <mergeCell ref="F1:G1"/>
    <mergeCell ref="I222:J222"/>
    <mergeCell ref="H4:I4"/>
    <mergeCell ref="E3:I3"/>
    <mergeCell ref="E2:I2"/>
    <mergeCell ref="E5:I5"/>
    <mergeCell ref="C9:F9"/>
    <mergeCell ref="E4:F4"/>
    <mergeCell ref="E6:I6"/>
    <mergeCell ref="C26:G26"/>
    <mergeCell ref="H1:I1"/>
    <mergeCell ref="D144:E144"/>
    <mergeCell ref="I26:J26"/>
    <mergeCell ref="C27:E27"/>
    <mergeCell ref="C144:C145"/>
    <mergeCell ref="H144:H145"/>
    <mergeCell ref="AO26:AP26"/>
    <mergeCell ref="C334:I334"/>
    <mergeCell ref="D332:E332"/>
    <mergeCell ref="D330:E330"/>
    <mergeCell ref="D328:E328"/>
    <mergeCell ref="D331:E331"/>
    <mergeCell ref="D329:E329"/>
    <mergeCell ref="L26:M26"/>
    <mergeCell ref="I144:I145"/>
    <mergeCell ref="J144:J145"/>
    <mergeCell ref="AB28:AF28"/>
    <mergeCell ref="AI47:AJ47"/>
    <mergeCell ref="AI48:AJ48"/>
    <mergeCell ref="AI43:AJ43"/>
    <mergeCell ref="AI44:AJ44"/>
    <mergeCell ref="AE59:AI59"/>
  </mergeCells>
  <dataValidations count="1">
    <dataValidation type="decimal" operator="greaterThanOrEqual" allowBlank="1" showInputMessage="1" showErrorMessage="1" sqref="D148:E157 F148:G156 D170:G178">
      <formula1>0</formula1>
    </dataValidation>
  </dataValidations>
  <pageMargins left="0.7" right="0.7" top="0.75" bottom="0.75" header="0.3" footer="0.3"/>
  <pageSetup paperSize="9" scale="10" orientation="landscape" r:id="rId1"/>
  <ignoredErrors>
    <ignoredError sqref="C339:C379 C338 I338 I379 I342 I343 I344 I348 I349 I350 I354 I355 I356 I359 I360 I361 I362 I366 I367 I371 I373 I377 I378 I339 I340 I341 I345 I346 I347 I351 I352 I353 I357 I358 I363 I364 I365 I368 I369 I370 I372 I374 I375 I376 G35:G47" calculatedColumn="1"/>
  </ignoredErrors>
  <drawing r:id="rId2"/>
  <legacyDrawing r:id="rId3"/>
  <tableParts count="6">
    <tablePart r:id="rId4"/>
    <tablePart r:id="rId5"/>
    <tablePart r:id="rId6"/>
    <tablePart r:id="rId7"/>
    <tablePart r:id="rId8"/>
    <tablePart r:id="rId9"/>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FF00"/>
  </sheetPr>
  <dimension ref="A1:Q157"/>
  <sheetViews>
    <sheetView zoomScaleNormal="100" workbookViewId="0">
      <selection activeCell="O53" sqref="O53"/>
    </sheetView>
  </sheetViews>
  <sheetFormatPr baseColWidth="10" defaultRowHeight="12.75" x14ac:dyDescent="0.2"/>
  <cols>
    <col min="1" max="1" width="12.7109375" style="33" customWidth="1"/>
    <col min="2" max="2" width="15.7109375" style="33" customWidth="1"/>
    <col min="3" max="4" width="15.7109375" style="31" customWidth="1"/>
    <col min="5" max="5" width="10.7109375" style="34" customWidth="1"/>
    <col min="6" max="6" width="10.7109375" style="30" customWidth="1"/>
    <col min="7" max="7" width="11.5703125" style="30" customWidth="1"/>
    <col min="8" max="8" width="26.7109375" style="30" bestFit="1" customWidth="1"/>
    <col min="9" max="9" width="14" style="30" customWidth="1"/>
    <col min="10" max="10" width="11.42578125" style="30"/>
    <col min="11" max="11" width="4.140625" style="30" bestFit="1" customWidth="1"/>
    <col min="12" max="255" width="11.42578125" style="30"/>
    <col min="256" max="256" width="12.7109375" style="30" customWidth="1"/>
    <col min="257" max="259" width="15.7109375" style="30" customWidth="1"/>
    <col min="260" max="261" width="10.7109375" style="30" customWidth="1"/>
    <col min="262" max="263" width="11.5703125" style="30" customWidth="1"/>
    <col min="264" max="264" width="14" style="30" customWidth="1"/>
    <col min="265" max="511" width="11.42578125" style="30"/>
    <col min="512" max="512" width="12.7109375" style="30" customWidth="1"/>
    <col min="513" max="515" width="15.7109375" style="30" customWidth="1"/>
    <col min="516" max="517" width="10.7109375" style="30" customWidth="1"/>
    <col min="518" max="519" width="11.5703125" style="30" customWidth="1"/>
    <col min="520" max="520" width="14" style="30" customWidth="1"/>
    <col min="521" max="767" width="11.42578125" style="30"/>
    <col min="768" max="768" width="12.7109375" style="30" customWidth="1"/>
    <col min="769" max="771" width="15.7109375" style="30" customWidth="1"/>
    <col min="772" max="773" width="10.7109375" style="30" customWidth="1"/>
    <col min="774" max="775" width="11.5703125" style="30" customWidth="1"/>
    <col min="776" max="776" width="14" style="30" customWidth="1"/>
    <col min="777" max="1023" width="11.42578125" style="30"/>
    <col min="1024" max="1024" width="12.7109375" style="30" customWidth="1"/>
    <col min="1025" max="1027" width="15.7109375" style="30" customWidth="1"/>
    <col min="1028" max="1029" width="10.7109375" style="30" customWidth="1"/>
    <col min="1030" max="1031" width="11.5703125" style="30" customWidth="1"/>
    <col min="1032" max="1032" width="14" style="30" customWidth="1"/>
    <col min="1033" max="1279" width="11.42578125" style="30"/>
    <col min="1280" max="1280" width="12.7109375" style="30" customWidth="1"/>
    <col min="1281" max="1283" width="15.7109375" style="30" customWidth="1"/>
    <col min="1284" max="1285" width="10.7109375" style="30" customWidth="1"/>
    <col min="1286" max="1287" width="11.5703125" style="30" customWidth="1"/>
    <col min="1288" max="1288" width="14" style="30" customWidth="1"/>
    <col min="1289" max="1535" width="11.42578125" style="30"/>
    <col min="1536" max="1536" width="12.7109375" style="30" customWidth="1"/>
    <col min="1537" max="1539" width="15.7109375" style="30" customWidth="1"/>
    <col min="1540" max="1541" width="10.7109375" style="30" customWidth="1"/>
    <col min="1542" max="1543" width="11.5703125" style="30" customWidth="1"/>
    <col min="1544" max="1544" width="14" style="30" customWidth="1"/>
    <col min="1545" max="1791" width="11.42578125" style="30"/>
    <col min="1792" max="1792" width="12.7109375" style="30" customWidth="1"/>
    <col min="1793" max="1795" width="15.7109375" style="30" customWidth="1"/>
    <col min="1796" max="1797" width="10.7109375" style="30" customWidth="1"/>
    <col min="1798" max="1799" width="11.5703125" style="30" customWidth="1"/>
    <col min="1800" max="1800" width="14" style="30" customWidth="1"/>
    <col min="1801" max="2047" width="11.42578125" style="30"/>
    <col min="2048" max="2048" width="12.7109375" style="30" customWidth="1"/>
    <col min="2049" max="2051" width="15.7109375" style="30" customWidth="1"/>
    <col min="2052" max="2053" width="10.7109375" style="30" customWidth="1"/>
    <col min="2054" max="2055" width="11.5703125" style="30" customWidth="1"/>
    <col min="2056" max="2056" width="14" style="30" customWidth="1"/>
    <col min="2057" max="2303" width="11.42578125" style="30"/>
    <col min="2304" max="2304" width="12.7109375" style="30" customWidth="1"/>
    <col min="2305" max="2307" width="15.7109375" style="30" customWidth="1"/>
    <col min="2308" max="2309" width="10.7109375" style="30" customWidth="1"/>
    <col min="2310" max="2311" width="11.5703125" style="30" customWidth="1"/>
    <col min="2312" max="2312" width="14" style="30" customWidth="1"/>
    <col min="2313" max="2559" width="11.42578125" style="30"/>
    <col min="2560" max="2560" width="12.7109375" style="30" customWidth="1"/>
    <col min="2561" max="2563" width="15.7109375" style="30" customWidth="1"/>
    <col min="2564" max="2565" width="10.7109375" style="30" customWidth="1"/>
    <col min="2566" max="2567" width="11.5703125" style="30" customWidth="1"/>
    <col min="2568" max="2568" width="14" style="30" customWidth="1"/>
    <col min="2569" max="2815" width="11.42578125" style="30"/>
    <col min="2816" max="2816" width="12.7109375" style="30" customWidth="1"/>
    <col min="2817" max="2819" width="15.7109375" style="30" customWidth="1"/>
    <col min="2820" max="2821" width="10.7109375" style="30" customWidth="1"/>
    <col min="2822" max="2823" width="11.5703125" style="30" customWidth="1"/>
    <col min="2824" max="2824" width="14" style="30" customWidth="1"/>
    <col min="2825" max="3071" width="11.42578125" style="30"/>
    <col min="3072" max="3072" width="12.7109375" style="30" customWidth="1"/>
    <col min="3073" max="3075" width="15.7109375" style="30" customWidth="1"/>
    <col min="3076" max="3077" width="10.7109375" style="30" customWidth="1"/>
    <col min="3078" max="3079" width="11.5703125" style="30" customWidth="1"/>
    <col min="3080" max="3080" width="14" style="30" customWidth="1"/>
    <col min="3081" max="3327" width="11.42578125" style="30"/>
    <col min="3328" max="3328" width="12.7109375" style="30" customWidth="1"/>
    <col min="3329" max="3331" width="15.7109375" style="30" customWidth="1"/>
    <col min="3332" max="3333" width="10.7109375" style="30" customWidth="1"/>
    <col min="3334" max="3335" width="11.5703125" style="30" customWidth="1"/>
    <col min="3336" max="3336" width="14" style="30" customWidth="1"/>
    <col min="3337" max="3583" width="11.42578125" style="30"/>
    <col min="3584" max="3584" width="12.7109375" style="30" customWidth="1"/>
    <col min="3585" max="3587" width="15.7109375" style="30" customWidth="1"/>
    <col min="3588" max="3589" width="10.7109375" style="30" customWidth="1"/>
    <col min="3590" max="3591" width="11.5703125" style="30" customWidth="1"/>
    <col min="3592" max="3592" width="14" style="30" customWidth="1"/>
    <col min="3593" max="3839" width="11.42578125" style="30"/>
    <col min="3840" max="3840" width="12.7109375" style="30" customWidth="1"/>
    <col min="3841" max="3843" width="15.7109375" style="30" customWidth="1"/>
    <col min="3844" max="3845" width="10.7109375" style="30" customWidth="1"/>
    <col min="3846" max="3847" width="11.5703125" style="30" customWidth="1"/>
    <col min="3848" max="3848" width="14" style="30" customWidth="1"/>
    <col min="3849" max="4095" width="11.42578125" style="30"/>
    <col min="4096" max="4096" width="12.7109375" style="30" customWidth="1"/>
    <col min="4097" max="4099" width="15.7109375" style="30" customWidth="1"/>
    <col min="4100" max="4101" width="10.7109375" style="30" customWidth="1"/>
    <col min="4102" max="4103" width="11.5703125" style="30" customWidth="1"/>
    <col min="4104" max="4104" width="14" style="30" customWidth="1"/>
    <col min="4105" max="4351" width="11.42578125" style="30"/>
    <col min="4352" max="4352" width="12.7109375" style="30" customWidth="1"/>
    <col min="4353" max="4355" width="15.7109375" style="30" customWidth="1"/>
    <col min="4356" max="4357" width="10.7109375" style="30" customWidth="1"/>
    <col min="4358" max="4359" width="11.5703125" style="30" customWidth="1"/>
    <col min="4360" max="4360" width="14" style="30" customWidth="1"/>
    <col min="4361" max="4607" width="11.42578125" style="30"/>
    <col min="4608" max="4608" width="12.7109375" style="30" customWidth="1"/>
    <col min="4609" max="4611" width="15.7109375" style="30" customWidth="1"/>
    <col min="4612" max="4613" width="10.7109375" style="30" customWidth="1"/>
    <col min="4614" max="4615" width="11.5703125" style="30" customWidth="1"/>
    <col min="4616" max="4616" width="14" style="30" customWidth="1"/>
    <col min="4617" max="4863" width="11.42578125" style="30"/>
    <col min="4864" max="4864" width="12.7109375" style="30" customWidth="1"/>
    <col min="4865" max="4867" width="15.7109375" style="30" customWidth="1"/>
    <col min="4868" max="4869" width="10.7109375" style="30" customWidth="1"/>
    <col min="4870" max="4871" width="11.5703125" style="30" customWidth="1"/>
    <col min="4872" max="4872" width="14" style="30" customWidth="1"/>
    <col min="4873" max="5119" width="11.42578125" style="30"/>
    <col min="5120" max="5120" width="12.7109375" style="30" customWidth="1"/>
    <col min="5121" max="5123" width="15.7109375" style="30" customWidth="1"/>
    <col min="5124" max="5125" width="10.7109375" style="30" customWidth="1"/>
    <col min="5126" max="5127" width="11.5703125" style="30" customWidth="1"/>
    <col min="5128" max="5128" width="14" style="30" customWidth="1"/>
    <col min="5129" max="5375" width="11.42578125" style="30"/>
    <col min="5376" max="5376" width="12.7109375" style="30" customWidth="1"/>
    <col min="5377" max="5379" width="15.7109375" style="30" customWidth="1"/>
    <col min="5380" max="5381" width="10.7109375" style="30" customWidth="1"/>
    <col min="5382" max="5383" width="11.5703125" style="30" customWidth="1"/>
    <col min="5384" max="5384" width="14" style="30" customWidth="1"/>
    <col min="5385" max="5631" width="11.42578125" style="30"/>
    <col min="5632" max="5632" width="12.7109375" style="30" customWidth="1"/>
    <col min="5633" max="5635" width="15.7109375" style="30" customWidth="1"/>
    <col min="5636" max="5637" width="10.7109375" style="30" customWidth="1"/>
    <col min="5638" max="5639" width="11.5703125" style="30" customWidth="1"/>
    <col min="5640" max="5640" width="14" style="30" customWidth="1"/>
    <col min="5641" max="5887" width="11.42578125" style="30"/>
    <col min="5888" max="5888" width="12.7109375" style="30" customWidth="1"/>
    <col min="5889" max="5891" width="15.7109375" style="30" customWidth="1"/>
    <col min="5892" max="5893" width="10.7109375" style="30" customWidth="1"/>
    <col min="5894" max="5895" width="11.5703125" style="30" customWidth="1"/>
    <col min="5896" max="5896" width="14" style="30" customWidth="1"/>
    <col min="5897" max="6143" width="11.42578125" style="30"/>
    <col min="6144" max="6144" width="12.7109375" style="30" customWidth="1"/>
    <col min="6145" max="6147" width="15.7109375" style="30" customWidth="1"/>
    <col min="6148" max="6149" width="10.7109375" style="30" customWidth="1"/>
    <col min="6150" max="6151" width="11.5703125" style="30" customWidth="1"/>
    <col min="6152" max="6152" width="14" style="30" customWidth="1"/>
    <col min="6153" max="6399" width="11.42578125" style="30"/>
    <col min="6400" max="6400" width="12.7109375" style="30" customWidth="1"/>
    <col min="6401" max="6403" width="15.7109375" style="30" customWidth="1"/>
    <col min="6404" max="6405" width="10.7109375" style="30" customWidth="1"/>
    <col min="6406" max="6407" width="11.5703125" style="30" customWidth="1"/>
    <col min="6408" max="6408" width="14" style="30" customWidth="1"/>
    <col min="6409" max="6655" width="11.42578125" style="30"/>
    <col min="6656" max="6656" width="12.7109375" style="30" customWidth="1"/>
    <col min="6657" max="6659" width="15.7109375" style="30" customWidth="1"/>
    <col min="6660" max="6661" width="10.7109375" style="30" customWidth="1"/>
    <col min="6662" max="6663" width="11.5703125" style="30" customWidth="1"/>
    <col min="6664" max="6664" width="14" style="30" customWidth="1"/>
    <col min="6665" max="6911" width="11.42578125" style="30"/>
    <col min="6912" max="6912" width="12.7109375" style="30" customWidth="1"/>
    <col min="6913" max="6915" width="15.7109375" style="30" customWidth="1"/>
    <col min="6916" max="6917" width="10.7109375" style="30" customWidth="1"/>
    <col min="6918" max="6919" width="11.5703125" style="30" customWidth="1"/>
    <col min="6920" max="6920" width="14" style="30" customWidth="1"/>
    <col min="6921" max="7167" width="11.42578125" style="30"/>
    <col min="7168" max="7168" width="12.7109375" style="30" customWidth="1"/>
    <col min="7169" max="7171" width="15.7109375" style="30" customWidth="1"/>
    <col min="7172" max="7173" width="10.7109375" style="30" customWidth="1"/>
    <col min="7174" max="7175" width="11.5703125" style="30" customWidth="1"/>
    <col min="7176" max="7176" width="14" style="30" customWidth="1"/>
    <col min="7177" max="7423" width="11.42578125" style="30"/>
    <col min="7424" max="7424" width="12.7109375" style="30" customWidth="1"/>
    <col min="7425" max="7427" width="15.7109375" style="30" customWidth="1"/>
    <col min="7428" max="7429" width="10.7109375" style="30" customWidth="1"/>
    <col min="7430" max="7431" width="11.5703125" style="30" customWidth="1"/>
    <col min="7432" max="7432" width="14" style="30" customWidth="1"/>
    <col min="7433" max="7679" width="11.42578125" style="30"/>
    <col min="7680" max="7680" width="12.7109375" style="30" customWidth="1"/>
    <col min="7681" max="7683" width="15.7109375" style="30" customWidth="1"/>
    <col min="7684" max="7685" width="10.7109375" style="30" customWidth="1"/>
    <col min="7686" max="7687" width="11.5703125" style="30" customWidth="1"/>
    <col min="7688" max="7688" width="14" style="30" customWidth="1"/>
    <col min="7689" max="7935" width="11.42578125" style="30"/>
    <col min="7936" max="7936" width="12.7109375" style="30" customWidth="1"/>
    <col min="7937" max="7939" width="15.7109375" style="30" customWidth="1"/>
    <col min="7940" max="7941" width="10.7109375" style="30" customWidth="1"/>
    <col min="7942" max="7943" width="11.5703125" style="30" customWidth="1"/>
    <col min="7944" max="7944" width="14" style="30" customWidth="1"/>
    <col min="7945" max="8191" width="11.42578125" style="30"/>
    <col min="8192" max="8192" width="12.7109375" style="30" customWidth="1"/>
    <col min="8193" max="8195" width="15.7109375" style="30" customWidth="1"/>
    <col min="8196" max="8197" width="10.7109375" style="30" customWidth="1"/>
    <col min="8198" max="8199" width="11.5703125" style="30" customWidth="1"/>
    <col min="8200" max="8200" width="14" style="30" customWidth="1"/>
    <col min="8201" max="8447" width="11.42578125" style="30"/>
    <col min="8448" max="8448" width="12.7109375" style="30" customWidth="1"/>
    <col min="8449" max="8451" width="15.7109375" style="30" customWidth="1"/>
    <col min="8452" max="8453" width="10.7109375" style="30" customWidth="1"/>
    <col min="8454" max="8455" width="11.5703125" style="30" customWidth="1"/>
    <col min="8456" max="8456" width="14" style="30" customWidth="1"/>
    <col min="8457" max="8703" width="11.42578125" style="30"/>
    <col min="8704" max="8704" width="12.7109375" style="30" customWidth="1"/>
    <col min="8705" max="8707" width="15.7109375" style="30" customWidth="1"/>
    <col min="8708" max="8709" width="10.7109375" style="30" customWidth="1"/>
    <col min="8710" max="8711" width="11.5703125" style="30" customWidth="1"/>
    <col min="8712" max="8712" width="14" style="30" customWidth="1"/>
    <col min="8713" max="8959" width="11.42578125" style="30"/>
    <col min="8960" max="8960" width="12.7109375" style="30" customWidth="1"/>
    <col min="8961" max="8963" width="15.7109375" style="30" customWidth="1"/>
    <col min="8964" max="8965" width="10.7109375" style="30" customWidth="1"/>
    <col min="8966" max="8967" width="11.5703125" style="30" customWidth="1"/>
    <col min="8968" max="8968" width="14" style="30" customWidth="1"/>
    <col min="8969" max="9215" width="11.42578125" style="30"/>
    <col min="9216" max="9216" width="12.7109375" style="30" customWidth="1"/>
    <col min="9217" max="9219" width="15.7109375" style="30" customWidth="1"/>
    <col min="9220" max="9221" width="10.7109375" style="30" customWidth="1"/>
    <col min="9222" max="9223" width="11.5703125" style="30" customWidth="1"/>
    <col min="9224" max="9224" width="14" style="30" customWidth="1"/>
    <col min="9225" max="9471" width="11.42578125" style="30"/>
    <col min="9472" max="9472" width="12.7109375" style="30" customWidth="1"/>
    <col min="9473" max="9475" width="15.7109375" style="30" customWidth="1"/>
    <col min="9476" max="9477" width="10.7109375" style="30" customWidth="1"/>
    <col min="9478" max="9479" width="11.5703125" style="30" customWidth="1"/>
    <col min="9480" max="9480" width="14" style="30" customWidth="1"/>
    <col min="9481" max="9727" width="11.42578125" style="30"/>
    <col min="9728" max="9728" width="12.7109375" style="30" customWidth="1"/>
    <col min="9729" max="9731" width="15.7109375" style="30" customWidth="1"/>
    <col min="9732" max="9733" width="10.7109375" style="30" customWidth="1"/>
    <col min="9734" max="9735" width="11.5703125" style="30" customWidth="1"/>
    <col min="9736" max="9736" width="14" style="30" customWidth="1"/>
    <col min="9737" max="9983" width="11.42578125" style="30"/>
    <col min="9984" max="9984" width="12.7109375" style="30" customWidth="1"/>
    <col min="9985" max="9987" width="15.7109375" style="30" customWidth="1"/>
    <col min="9988" max="9989" width="10.7109375" style="30" customWidth="1"/>
    <col min="9990" max="9991" width="11.5703125" style="30" customWidth="1"/>
    <col min="9992" max="9992" width="14" style="30" customWidth="1"/>
    <col min="9993" max="10239" width="11.42578125" style="30"/>
    <col min="10240" max="10240" width="12.7109375" style="30" customWidth="1"/>
    <col min="10241" max="10243" width="15.7109375" style="30" customWidth="1"/>
    <col min="10244" max="10245" width="10.7109375" style="30" customWidth="1"/>
    <col min="10246" max="10247" width="11.5703125" style="30" customWidth="1"/>
    <col min="10248" max="10248" width="14" style="30" customWidth="1"/>
    <col min="10249" max="10495" width="11.42578125" style="30"/>
    <col min="10496" max="10496" width="12.7109375" style="30" customWidth="1"/>
    <col min="10497" max="10499" width="15.7109375" style="30" customWidth="1"/>
    <col min="10500" max="10501" width="10.7109375" style="30" customWidth="1"/>
    <col min="10502" max="10503" width="11.5703125" style="30" customWidth="1"/>
    <col min="10504" max="10504" width="14" style="30" customWidth="1"/>
    <col min="10505" max="10751" width="11.42578125" style="30"/>
    <col min="10752" max="10752" width="12.7109375" style="30" customWidth="1"/>
    <col min="10753" max="10755" width="15.7109375" style="30" customWidth="1"/>
    <col min="10756" max="10757" width="10.7109375" style="30" customWidth="1"/>
    <col min="10758" max="10759" width="11.5703125" style="30" customWidth="1"/>
    <col min="10760" max="10760" width="14" style="30" customWidth="1"/>
    <col min="10761" max="11007" width="11.42578125" style="30"/>
    <col min="11008" max="11008" width="12.7109375" style="30" customWidth="1"/>
    <col min="11009" max="11011" width="15.7109375" style="30" customWidth="1"/>
    <col min="11012" max="11013" width="10.7109375" style="30" customWidth="1"/>
    <col min="11014" max="11015" width="11.5703125" style="30" customWidth="1"/>
    <col min="11016" max="11016" width="14" style="30" customWidth="1"/>
    <col min="11017" max="11263" width="11.42578125" style="30"/>
    <col min="11264" max="11264" width="12.7109375" style="30" customWidth="1"/>
    <col min="11265" max="11267" width="15.7109375" style="30" customWidth="1"/>
    <col min="11268" max="11269" width="10.7109375" style="30" customWidth="1"/>
    <col min="11270" max="11271" width="11.5703125" style="30" customWidth="1"/>
    <col min="11272" max="11272" width="14" style="30" customWidth="1"/>
    <col min="11273" max="11519" width="11.42578125" style="30"/>
    <col min="11520" max="11520" width="12.7109375" style="30" customWidth="1"/>
    <col min="11521" max="11523" width="15.7109375" style="30" customWidth="1"/>
    <col min="11524" max="11525" width="10.7109375" style="30" customWidth="1"/>
    <col min="11526" max="11527" width="11.5703125" style="30" customWidth="1"/>
    <col min="11528" max="11528" width="14" style="30" customWidth="1"/>
    <col min="11529" max="11775" width="11.42578125" style="30"/>
    <col min="11776" max="11776" width="12.7109375" style="30" customWidth="1"/>
    <col min="11777" max="11779" width="15.7109375" style="30" customWidth="1"/>
    <col min="11780" max="11781" width="10.7109375" style="30" customWidth="1"/>
    <col min="11782" max="11783" width="11.5703125" style="30" customWidth="1"/>
    <col min="11784" max="11784" width="14" style="30" customWidth="1"/>
    <col min="11785" max="12031" width="11.42578125" style="30"/>
    <col min="12032" max="12032" width="12.7109375" style="30" customWidth="1"/>
    <col min="12033" max="12035" width="15.7109375" style="30" customWidth="1"/>
    <col min="12036" max="12037" width="10.7109375" style="30" customWidth="1"/>
    <col min="12038" max="12039" width="11.5703125" style="30" customWidth="1"/>
    <col min="12040" max="12040" width="14" style="30" customWidth="1"/>
    <col min="12041" max="12287" width="11.42578125" style="30"/>
    <col min="12288" max="12288" width="12.7109375" style="30" customWidth="1"/>
    <col min="12289" max="12291" width="15.7109375" style="30" customWidth="1"/>
    <col min="12292" max="12293" width="10.7109375" style="30" customWidth="1"/>
    <col min="12294" max="12295" width="11.5703125" style="30" customWidth="1"/>
    <col min="12296" max="12296" width="14" style="30" customWidth="1"/>
    <col min="12297" max="12543" width="11.42578125" style="30"/>
    <col min="12544" max="12544" width="12.7109375" style="30" customWidth="1"/>
    <col min="12545" max="12547" width="15.7109375" style="30" customWidth="1"/>
    <col min="12548" max="12549" width="10.7109375" style="30" customWidth="1"/>
    <col min="12550" max="12551" width="11.5703125" style="30" customWidth="1"/>
    <col min="12552" max="12552" width="14" style="30" customWidth="1"/>
    <col min="12553" max="12799" width="11.42578125" style="30"/>
    <col min="12800" max="12800" width="12.7109375" style="30" customWidth="1"/>
    <col min="12801" max="12803" width="15.7109375" style="30" customWidth="1"/>
    <col min="12804" max="12805" width="10.7109375" style="30" customWidth="1"/>
    <col min="12806" max="12807" width="11.5703125" style="30" customWidth="1"/>
    <col min="12808" max="12808" width="14" style="30" customWidth="1"/>
    <col min="12809" max="13055" width="11.42578125" style="30"/>
    <col min="13056" max="13056" width="12.7109375" style="30" customWidth="1"/>
    <col min="13057" max="13059" width="15.7109375" style="30" customWidth="1"/>
    <col min="13060" max="13061" width="10.7109375" style="30" customWidth="1"/>
    <col min="13062" max="13063" width="11.5703125" style="30" customWidth="1"/>
    <col min="13064" max="13064" width="14" style="30" customWidth="1"/>
    <col min="13065" max="13311" width="11.42578125" style="30"/>
    <col min="13312" max="13312" width="12.7109375" style="30" customWidth="1"/>
    <col min="13313" max="13315" width="15.7109375" style="30" customWidth="1"/>
    <col min="13316" max="13317" width="10.7109375" style="30" customWidth="1"/>
    <col min="13318" max="13319" width="11.5703125" style="30" customWidth="1"/>
    <col min="13320" max="13320" width="14" style="30" customWidth="1"/>
    <col min="13321" max="13567" width="11.42578125" style="30"/>
    <col min="13568" max="13568" width="12.7109375" style="30" customWidth="1"/>
    <col min="13569" max="13571" width="15.7109375" style="30" customWidth="1"/>
    <col min="13572" max="13573" width="10.7109375" style="30" customWidth="1"/>
    <col min="13574" max="13575" width="11.5703125" style="30" customWidth="1"/>
    <col min="13576" max="13576" width="14" style="30" customWidth="1"/>
    <col min="13577" max="13823" width="11.42578125" style="30"/>
    <col min="13824" max="13824" width="12.7109375" style="30" customWidth="1"/>
    <col min="13825" max="13827" width="15.7109375" style="30" customWidth="1"/>
    <col min="13828" max="13829" width="10.7109375" style="30" customWidth="1"/>
    <col min="13830" max="13831" width="11.5703125" style="30" customWidth="1"/>
    <col min="13832" max="13832" width="14" style="30" customWidth="1"/>
    <col min="13833" max="14079" width="11.42578125" style="30"/>
    <col min="14080" max="14080" width="12.7109375" style="30" customWidth="1"/>
    <col min="14081" max="14083" width="15.7109375" style="30" customWidth="1"/>
    <col min="14084" max="14085" width="10.7109375" style="30" customWidth="1"/>
    <col min="14086" max="14087" width="11.5703125" style="30" customWidth="1"/>
    <col min="14088" max="14088" width="14" style="30" customWidth="1"/>
    <col min="14089" max="14335" width="11.42578125" style="30"/>
    <col min="14336" max="14336" width="12.7109375" style="30" customWidth="1"/>
    <col min="14337" max="14339" width="15.7109375" style="30" customWidth="1"/>
    <col min="14340" max="14341" width="10.7109375" style="30" customWidth="1"/>
    <col min="14342" max="14343" width="11.5703125" style="30" customWidth="1"/>
    <col min="14344" max="14344" width="14" style="30" customWidth="1"/>
    <col min="14345" max="14591" width="11.42578125" style="30"/>
    <col min="14592" max="14592" width="12.7109375" style="30" customWidth="1"/>
    <col min="14593" max="14595" width="15.7109375" style="30" customWidth="1"/>
    <col min="14596" max="14597" width="10.7109375" style="30" customWidth="1"/>
    <col min="14598" max="14599" width="11.5703125" style="30" customWidth="1"/>
    <col min="14600" max="14600" width="14" style="30" customWidth="1"/>
    <col min="14601" max="14847" width="11.42578125" style="30"/>
    <col min="14848" max="14848" width="12.7109375" style="30" customWidth="1"/>
    <col min="14849" max="14851" width="15.7109375" style="30" customWidth="1"/>
    <col min="14852" max="14853" width="10.7109375" style="30" customWidth="1"/>
    <col min="14854" max="14855" width="11.5703125" style="30" customWidth="1"/>
    <col min="14856" max="14856" width="14" style="30" customWidth="1"/>
    <col min="14857" max="15103" width="11.42578125" style="30"/>
    <col min="15104" max="15104" width="12.7109375" style="30" customWidth="1"/>
    <col min="15105" max="15107" width="15.7109375" style="30" customWidth="1"/>
    <col min="15108" max="15109" width="10.7109375" style="30" customWidth="1"/>
    <col min="15110" max="15111" width="11.5703125" style="30" customWidth="1"/>
    <col min="15112" max="15112" width="14" style="30" customWidth="1"/>
    <col min="15113" max="15359" width="11.42578125" style="30"/>
    <col min="15360" max="15360" width="12.7109375" style="30" customWidth="1"/>
    <col min="15361" max="15363" width="15.7109375" style="30" customWidth="1"/>
    <col min="15364" max="15365" width="10.7109375" style="30" customWidth="1"/>
    <col min="15366" max="15367" width="11.5703125" style="30" customWidth="1"/>
    <col min="15368" max="15368" width="14" style="30" customWidth="1"/>
    <col min="15369" max="15615" width="11.42578125" style="30"/>
    <col min="15616" max="15616" width="12.7109375" style="30" customWidth="1"/>
    <col min="15617" max="15619" width="15.7109375" style="30" customWidth="1"/>
    <col min="15620" max="15621" width="10.7109375" style="30" customWidth="1"/>
    <col min="15622" max="15623" width="11.5703125" style="30" customWidth="1"/>
    <col min="15624" max="15624" width="14" style="30" customWidth="1"/>
    <col min="15625" max="15871" width="11.42578125" style="30"/>
    <col min="15872" max="15872" width="12.7109375" style="30" customWidth="1"/>
    <col min="15873" max="15875" width="15.7109375" style="30" customWidth="1"/>
    <col min="15876" max="15877" width="10.7109375" style="30" customWidth="1"/>
    <col min="15878" max="15879" width="11.5703125" style="30" customWidth="1"/>
    <col min="15880" max="15880" width="14" style="30" customWidth="1"/>
    <col min="15881" max="16127" width="11.42578125" style="30"/>
    <col min="16128" max="16128" width="12.7109375" style="30" customWidth="1"/>
    <col min="16129" max="16131" width="15.7109375" style="30" customWidth="1"/>
    <col min="16132" max="16133" width="10.7109375" style="30" customWidth="1"/>
    <col min="16134" max="16135" width="11.5703125" style="30" customWidth="1"/>
    <col min="16136" max="16136" width="14" style="30" customWidth="1"/>
    <col min="16137" max="16384" width="11.42578125" style="30"/>
  </cols>
  <sheetData>
    <row r="1" spans="1:17" x14ac:dyDescent="0.2">
      <c r="A1" s="602" t="s">
        <v>162</v>
      </c>
      <c r="B1" s="602"/>
      <c r="C1" s="602"/>
      <c r="D1" s="602"/>
      <c r="E1" s="602"/>
      <c r="F1" s="602"/>
      <c r="G1" s="602"/>
      <c r="H1" s="602"/>
      <c r="I1" s="602"/>
      <c r="J1" s="602"/>
      <c r="Q1" s="30" t="s">
        <v>174</v>
      </c>
    </row>
    <row r="2" spans="1:17" x14ac:dyDescent="0.2">
      <c r="A2" s="83" t="s">
        <v>196</v>
      </c>
      <c r="B2" s="83" t="s">
        <v>197</v>
      </c>
      <c r="C2" s="83" t="str">
        <f>IF(DONNEES!E14="cn=x+(y*In/I)","Indice Mo","Indice Mo-3")</f>
        <v>Indice Mo</v>
      </c>
    </row>
    <row r="3" spans="1:17" ht="15" customHeight="1" x14ac:dyDescent="0.2">
      <c r="A3" s="122">
        <f>DONNEES!E13</f>
        <v>43191</v>
      </c>
      <c r="B3" s="84" t="str">
        <f>DONNEES!G13</f>
        <v>BT16b</v>
      </c>
      <c r="C3" s="101">
        <f>DONNEES!G14</f>
        <v>109.9</v>
      </c>
      <c r="E3" s="32"/>
      <c r="F3" s="32"/>
    </row>
    <row r="4" spans="1:17" ht="9.75" customHeight="1" thickBot="1" x14ac:dyDescent="0.25"/>
    <row r="5" spans="1:17" ht="38.25" customHeight="1" thickBot="1" x14ac:dyDescent="0.25">
      <c r="A5" s="604" t="s">
        <v>163</v>
      </c>
      <c r="B5" s="35" t="s">
        <v>199</v>
      </c>
      <c r="C5" s="35" t="s">
        <v>199</v>
      </c>
      <c r="D5" s="604" t="s">
        <v>164</v>
      </c>
      <c r="E5" s="604" t="str">
        <f>IF(DONNEES!E14="cn=x+(y*In/I)","BT Mo","BT Mo-3")</f>
        <v>BT Mo</v>
      </c>
      <c r="F5" s="606" t="str">
        <f>IF(DONNEES!E14="cn=x+(y*In/I)","BT M","BT M-3")</f>
        <v>BT M</v>
      </c>
      <c r="G5" s="608" t="s">
        <v>165</v>
      </c>
      <c r="H5" s="608" t="s">
        <v>166</v>
      </c>
      <c r="I5" s="87" t="s">
        <v>200</v>
      </c>
      <c r="J5" s="89" t="s">
        <v>200</v>
      </c>
      <c r="L5" s="173" t="s">
        <v>474</v>
      </c>
    </row>
    <row r="6" spans="1:17" ht="13.5" thickBot="1" x14ac:dyDescent="0.25">
      <c r="A6" s="605"/>
      <c r="B6" s="86">
        <f>DONNEES!C17</f>
        <v>0.1</v>
      </c>
      <c r="C6" s="86">
        <f>DONNEES!E17</f>
        <v>0.2</v>
      </c>
      <c r="D6" s="605"/>
      <c r="E6" s="605"/>
      <c r="F6" s="607"/>
      <c r="G6" s="609"/>
      <c r="H6" s="609"/>
      <c r="I6" s="88">
        <f>DONNEES!C17</f>
        <v>0.1</v>
      </c>
      <c r="J6" s="105">
        <f>DONNEES!E17</f>
        <v>0.2</v>
      </c>
      <c r="K6" s="106" t="s">
        <v>201</v>
      </c>
      <c r="L6" s="165">
        <v>1</v>
      </c>
    </row>
    <row r="7" spans="1:17" ht="21.75" customHeight="1" x14ac:dyDescent="0.2">
      <c r="A7" s="36">
        <v>1</v>
      </c>
      <c r="B7" s="304">
        <v>63726.2</v>
      </c>
      <c r="C7" s="304">
        <v>11250</v>
      </c>
      <c r="D7" s="114">
        <v>43586</v>
      </c>
      <c r="E7" s="305">
        <f>$C$3</f>
        <v>109.9</v>
      </c>
      <c r="F7" s="102">
        <v>113.6</v>
      </c>
      <c r="G7" s="306">
        <f>IFERROR(SUM(DONNEES!$I$13+(DONNEES!$I$14*F7/E7)),0)</f>
        <v>1.0286169244767969</v>
      </c>
      <c r="H7" s="307">
        <f>ROUND(G7,3)</f>
        <v>1.0289999999999999</v>
      </c>
      <c r="I7" s="308">
        <f>IF(AND(K7="D",F7&lt;&gt;0),((B7*(H7))-B7),"")</f>
        <v>1848.0597999999882</v>
      </c>
      <c r="J7" s="308">
        <f>IF(AND(K7="D",F7&lt;&gt;0),((C7*(H7))-C7),"")</f>
        <v>326.24999999999818</v>
      </c>
      <c r="K7" s="107" t="s">
        <v>167</v>
      </c>
      <c r="L7" s="302">
        <f>B7+C7</f>
        <v>74976.2</v>
      </c>
      <c r="O7" s="172"/>
    </row>
    <row r="8" spans="1:17" ht="21.75" customHeight="1" thickBot="1" x14ac:dyDescent="0.25">
      <c r="A8" s="36">
        <v>2</v>
      </c>
      <c r="B8" s="304">
        <v>5000</v>
      </c>
      <c r="C8" s="304">
        <v>3000</v>
      </c>
      <c r="D8" s="114">
        <v>43617</v>
      </c>
      <c r="E8" s="305">
        <f t="shared" ref="E8:E46" si="0">$C$3</f>
        <v>109.9</v>
      </c>
      <c r="F8" s="102">
        <v>113.7</v>
      </c>
      <c r="G8" s="306">
        <f>IFERROR(SUM(DONNEES!$I$13+(DONNEES!$I$14*F8/E8)),0)</f>
        <v>1.0293903548680619</v>
      </c>
      <c r="H8" s="307">
        <f t="shared" ref="H8:H14" si="1">ROUND(G8,3)</f>
        <v>1.0289999999999999</v>
      </c>
      <c r="I8" s="308">
        <f t="shared" ref="I8:I46" si="2">IF(AND(K8="D",F8&lt;&gt;0),((B8*(H8))-B8),"")</f>
        <v>145</v>
      </c>
      <c r="J8" s="308">
        <f t="shared" ref="J8:J46" si="3">IF(AND(K8="D",F8&lt;&gt;0),((C8*(H8))-C8),"")</f>
        <v>86.999999999999545</v>
      </c>
      <c r="K8" s="107" t="s">
        <v>167</v>
      </c>
      <c r="L8" s="302">
        <f t="shared" ref="L8:L46" si="4">B8+C8</f>
        <v>8000</v>
      </c>
      <c r="O8" s="172"/>
    </row>
    <row r="9" spans="1:17" ht="21.75" hidden="1" customHeight="1" x14ac:dyDescent="0.25">
      <c r="A9" s="36">
        <v>3</v>
      </c>
      <c r="B9" s="304"/>
      <c r="C9" s="304"/>
      <c r="D9" s="114">
        <v>43617</v>
      </c>
      <c r="E9" s="305">
        <f t="shared" si="0"/>
        <v>109.9</v>
      </c>
      <c r="F9" s="102"/>
      <c r="G9" s="306">
        <f>IFERROR(SUM(DONNEES!$I$13+(DONNEES!$I$14*F9/E9)),0)</f>
        <v>0.15</v>
      </c>
      <c r="H9" s="307">
        <f t="shared" si="1"/>
        <v>0.15</v>
      </c>
      <c r="I9" s="308" t="str">
        <f t="shared" si="2"/>
        <v/>
      </c>
      <c r="J9" s="308" t="str">
        <f t="shared" si="3"/>
        <v/>
      </c>
      <c r="K9" s="107"/>
      <c r="L9" s="302">
        <f t="shared" si="4"/>
        <v>0</v>
      </c>
      <c r="O9" s="172">
        <f t="shared" ref="O9:O46" si="5">B9+C9</f>
        <v>0</v>
      </c>
    </row>
    <row r="10" spans="1:17" ht="21.75" hidden="1" customHeight="1" x14ac:dyDescent="0.25">
      <c r="A10" s="36">
        <v>4</v>
      </c>
      <c r="B10" s="304"/>
      <c r="C10" s="304"/>
      <c r="D10" s="114"/>
      <c r="E10" s="305">
        <f t="shared" si="0"/>
        <v>109.9</v>
      </c>
      <c r="F10" s="102"/>
      <c r="G10" s="306">
        <f>IFERROR(SUM(DONNEES!$I$13+(DONNEES!$I$14*F10/E10)),0)</f>
        <v>0.15</v>
      </c>
      <c r="H10" s="307">
        <f t="shared" si="1"/>
        <v>0.15</v>
      </c>
      <c r="I10" s="308" t="str">
        <f t="shared" si="2"/>
        <v/>
      </c>
      <c r="J10" s="308" t="str">
        <f t="shared" si="3"/>
        <v/>
      </c>
      <c r="K10" s="107"/>
      <c r="L10" s="302">
        <f t="shared" si="4"/>
        <v>0</v>
      </c>
      <c r="O10" s="172">
        <f t="shared" si="5"/>
        <v>0</v>
      </c>
    </row>
    <row r="11" spans="1:17" ht="21.75" hidden="1" customHeight="1" x14ac:dyDescent="0.25">
      <c r="A11" s="36">
        <v>5</v>
      </c>
      <c r="B11" s="304"/>
      <c r="C11" s="304"/>
      <c r="D11" s="114"/>
      <c r="E11" s="305">
        <f t="shared" si="0"/>
        <v>109.9</v>
      </c>
      <c r="F11" s="102"/>
      <c r="G11" s="306">
        <f>IFERROR(SUM(DONNEES!$I$13+(DONNEES!$I$14*F11/E11)),0)</f>
        <v>0.15</v>
      </c>
      <c r="H11" s="307">
        <f t="shared" si="1"/>
        <v>0.15</v>
      </c>
      <c r="I11" s="308" t="str">
        <f t="shared" si="2"/>
        <v/>
      </c>
      <c r="J11" s="308" t="str">
        <f t="shared" si="3"/>
        <v/>
      </c>
      <c r="K11" s="107"/>
      <c r="L11" s="302">
        <f t="shared" si="4"/>
        <v>0</v>
      </c>
      <c r="O11" s="172">
        <f t="shared" si="5"/>
        <v>0</v>
      </c>
    </row>
    <row r="12" spans="1:17" ht="21.75" hidden="1" customHeight="1" x14ac:dyDescent="0.25">
      <c r="A12" s="36">
        <v>6</v>
      </c>
      <c r="B12" s="304"/>
      <c r="C12" s="304"/>
      <c r="D12" s="114"/>
      <c r="E12" s="305">
        <f t="shared" si="0"/>
        <v>109.9</v>
      </c>
      <c r="F12" s="102"/>
      <c r="G12" s="306">
        <f>IFERROR(SUM(DONNEES!$I$13+(DONNEES!$I$14*F12/E12)),0)</f>
        <v>0.15</v>
      </c>
      <c r="H12" s="307">
        <f t="shared" ref="H12" si="6">ROUND(G12,3)</f>
        <v>0.15</v>
      </c>
      <c r="I12" s="308" t="str">
        <f t="shared" ref="I12" si="7">IF(AND(K12="D",F12&lt;&gt;0),((B12*(H12))-B12),"")</f>
        <v/>
      </c>
      <c r="J12" s="308" t="str">
        <f t="shared" ref="J12" si="8">IF(AND(K12="D",F12&lt;&gt;0),((C12*(H12))-C12),"")</f>
        <v/>
      </c>
      <c r="K12" s="107"/>
      <c r="L12" s="302">
        <f t="shared" si="4"/>
        <v>0</v>
      </c>
      <c r="O12" s="172">
        <f t="shared" si="5"/>
        <v>0</v>
      </c>
    </row>
    <row r="13" spans="1:17" ht="21.75" hidden="1" customHeight="1" x14ac:dyDescent="0.25">
      <c r="A13" s="37">
        <v>7</v>
      </c>
      <c r="B13" s="304"/>
      <c r="C13" s="304"/>
      <c r="D13" s="115"/>
      <c r="E13" s="305">
        <f t="shared" si="0"/>
        <v>109.9</v>
      </c>
      <c r="F13" s="103"/>
      <c r="G13" s="306">
        <f>IFERROR(SUM(DONNEES!$I$13+(DONNEES!$I$14*F13/E13)),0)</f>
        <v>0.15</v>
      </c>
      <c r="H13" s="307">
        <f t="shared" si="1"/>
        <v>0.15</v>
      </c>
      <c r="I13" s="308" t="str">
        <f t="shared" si="2"/>
        <v/>
      </c>
      <c r="J13" s="308" t="str">
        <f t="shared" si="3"/>
        <v/>
      </c>
      <c r="K13" s="107"/>
      <c r="L13" s="302">
        <f t="shared" si="4"/>
        <v>0</v>
      </c>
      <c r="O13" s="172">
        <f t="shared" si="5"/>
        <v>0</v>
      </c>
    </row>
    <row r="14" spans="1:17" ht="21.75" hidden="1" customHeight="1" x14ac:dyDescent="0.25">
      <c r="A14" s="37">
        <v>8</v>
      </c>
      <c r="B14" s="304"/>
      <c r="C14" s="304"/>
      <c r="D14" s="115"/>
      <c r="E14" s="305">
        <f t="shared" si="0"/>
        <v>109.9</v>
      </c>
      <c r="F14" s="103"/>
      <c r="G14" s="306">
        <f>IFERROR(SUM(DONNEES!$I$13+(DONNEES!$I$14*F14/E14)),0)</f>
        <v>0.15</v>
      </c>
      <c r="H14" s="307">
        <f t="shared" si="1"/>
        <v>0.15</v>
      </c>
      <c r="I14" s="308" t="str">
        <f t="shared" si="2"/>
        <v/>
      </c>
      <c r="J14" s="308" t="str">
        <f t="shared" si="3"/>
        <v/>
      </c>
      <c r="K14" s="107"/>
      <c r="L14" s="302">
        <f t="shared" si="4"/>
        <v>0</v>
      </c>
      <c r="O14" s="172">
        <f t="shared" si="5"/>
        <v>0</v>
      </c>
    </row>
    <row r="15" spans="1:17" ht="21.75" hidden="1" customHeight="1" x14ac:dyDescent="0.25">
      <c r="A15" s="37">
        <v>9</v>
      </c>
      <c r="B15" s="304"/>
      <c r="C15" s="304"/>
      <c r="D15" s="115"/>
      <c r="E15" s="305">
        <f t="shared" si="0"/>
        <v>109.9</v>
      </c>
      <c r="F15" s="103"/>
      <c r="G15" s="306">
        <f>IFERROR(SUM(DONNEES!$I$13+(DONNEES!$I$14*F15/E15)),0)</f>
        <v>0.15</v>
      </c>
      <c r="H15" s="307">
        <f t="shared" ref="H15:H39" si="9">ROUND(G15,3)</f>
        <v>0.15</v>
      </c>
      <c r="I15" s="308" t="str">
        <f t="shared" si="2"/>
        <v/>
      </c>
      <c r="J15" s="308" t="str">
        <f t="shared" si="3"/>
        <v/>
      </c>
      <c r="K15" s="107"/>
      <c r="L15" s="302">
        <f t="shared" si="4"/>
        <v>0</v>
      </c>
      <c r="O15" s="172">
        <f t="shared" si="5"/>
        <v>0</v>
      </c>
    </row>
    <row r="16" spans="1:17" ht="21.75" hidden="1" customHeight="1" x14ac:dyDescent="0.25">
      <c r="A16" s="37">
        <v>10</v>
      </c>
      <c r="B16" s="304"/>
      <c r="C16" s="304"/>
      <c r="D16" s="115"/>
      <c r="E16" s="305">
        <f t="shared" si="0"/>
        <v>109.9</v>
      </c>
      <c r="F16" s="103"/>
      <c r="G16" s="306">
        <f>IFERROR(SUM(DONNEES!$I$13+(DONNEES!$I$14*F16/E16)),0)</f>
        <v>0.15</v>
      </c>
      <c r="H16" s="307">
        <f t="shared" si="9"/>
        <v>0.15</v>
      </c>
      <c r="I16" s="308" t="str">
        <f t="shared" si="2"/>
        <v/>
      </c>
      <c r="J16" s="308" t="str">
        <f t="shared" si="3"/>
        <v/>
      </c>
      <c r="K16" s="107"/>
      <c r="L16" s="302">
        <f t="shared" si="4"/>
        <v>0</v>
      </c>
      <c r="O16" s="172">
        <f t="shared" si="5"/>
        <v>0</v>
      </c>
    </row>
    <row r="17" spans="1:15" ht="21.75" hidden="1" customHeight="1" x14ac:dyDescent="0.25">
      <c r="A17" s="37">
        <v>11</v>
      </c>
      <c r="B17" s="304"/>
      <c r="C17" s="304"/>
      <c r="D17" s="115"/>
      <c r="E17" s="305">
        <f t="shared" si="0"/>
        <v>109.9</v>
      </c>
      <c r="F17" s="103"/>
      <c r="G17" s="306">
        <f>IFERROR(SUM(DONNEES!$I$13+(DONNEES!$I$14*F17/E17)),0)</f>
        <v>0.15</v>
      </c>
      <c r="H17" s="307">
        <f t="shared" si="9"/>
        <v>0.15</v>
      </c>
      <c r="I17" s="308" t="str">
        <f t="shared" si="2"/>
        <v/>
      </c>
      <c r="J17" s="308" t="str">
        <f t="shared" si="3"/>
        <v/>
      </c>
      <c r="K17" s="107"/>
      <c r="L17" s="302">
        <f t="shared" si="4"/>
        <v>0</v>
      </c>
      <c r="O17" s="172">
        <f t="shared" si="5"/>
        <v>0</v>
      </c>
    </row>
    <row r="18" spans="1:15" ht="21.75" hidden="1" customHeight="1" x14ac:dyDescent="0.25">
      <c r="A18" s="37">
        <v>12</v>
      </c>
      <c r="B18" s="304"/>
      <c r="C18" s="304"/>
      <c r="D18" s="115"/>
      <c r="E18" s="305">
        <f t="shared" si="0"/>
        <v>109.9</v>
      </c>
      <c r="F18" s="103"/>
      <c r="G18" s="306">
        <f>IFERROR(SUM(DONNEES!$I$13+(DONNEES!$I$14*F18/E18)),0)</f>
        <v>0.15</v>
      </c>
      <c r="H18" s="307">
        <f t="shared" si="9"/>
        <v>0.15</v>
      </c>
      <c r="I18" s="308" t="str">
        <f t="shared" si="2"/>
        <v/>
      </c>
      <c r="J18" s="308" t="str">
        <f t="shared" si="3"/>
        <v/>
      </c>
      <c r="K18" s="107"/>
      <c r="L18" s="302">
        <f t="shared" si="4"/>
        <v>0</v>
      </c>
      <c r="O18" s="172">
        <f t="shared" si="5"/>
        <v>0</v>
      </c>
    </row>
    <row r="19" spans="1:15" ht="21.75" hidden="1" customHeight="1" x14ac:dyDescent="0.25">
      <c r="A19" s="37">
        <v>13</v>
      </c>
      <c r="B19" s="304"/>
      <c r="C19" s="304"/>
      <c r="D19" s="115"/>
      <c r="E19" s="305">
        <f t="shared" si="0"/>
        <v>109.9</v>
      </c>
      <c r="F19" s="103"/>
      <c r="G19" s="306">
        <f>IFERROR(SUM(DONNEES!$I$13+(DONNEES!$I$14*F19/E19)),0)</f>
        <v>0.15</v>
      </c>
      <c r="H19" s="307">
        <f t="shared" si="9"/>
        <v>0.15</v>
      </c>
      <c r="I19" s="308" t="str">
        <f t="shared" si="2"/>
        <v/>
      </c>
      <c r="J19" s="308" t="str">
        <f t="shared" si="3"/>
        <v/>
      </c>
      <c r="K19" s="107"/>
      <c r="L19" s="302">
        <f t="shared" si="4"/>
        <v>0</v>
      </c>
      <c r="O19" s="172">
        <f t="shared" si="5"/>
        <v>0</v>
      </c>
    </row>
    <row r="20" spans="1:15" ht="21.75" hidden="1" customHeight="1" x14ac:dyDescent="0.25">
      <c r="A20" s="37">
        <v>14</v>
      </c>
      <c r="B20" s="304"/>
      <c r="C20" s="304"/>
      <c r="D20" s="115"/>
      <c r="E20" s="305">
        <f t="shared" si="0"/>
        <v>109.9</v>
      </c>
      <c r="F20" s="103"/>
      <c r="G20" s="306">
        <f>IFERROR(SUM(DONNEES!$I$13+(DONNEES!$I$14*F20/E20)),0)</f>
        <v>0.15</v>
      </c>
      <c r="H20" s="307">
        <f t="shared" si="9"/>
        <v>0.15</v>
      </c>
      <c r="I20" s="308" t="str">
        <f t="shared" si="2"/>
        <v/>
      </c>
      <c r="J20" s="308" t="str">
        <f t="shared" si="3"/>
        <v/>
      </c>
      <c r="K20" s="107"/>
      <c r="L20" s="302">
        <f t="shared" si="4"/>
        <v>0</v>
      </c>
      <c r="O20" s="172">
        <f t="shared" si="5"/>
        <v>0</v>
      </c>
    </row>
    <row r="21" spans="1:15" ht="21.75" hidden="1" customHeight="1" x14ac:dyDescent="0.25">
      <c r="A21" s="37">
        <v>15</v>
      </c>
      <c r="B21" s="304"/>
      <c r="C21" s="304"/>
      <c r="D21" s="115"/>
      <c r="E21" s="305">
        <f t="shared" si="0"/>
        <v>109.9</v>
      </c>
      <c r="F21" s="103"/>
      <c r="G21" s="306">
        <f>IFERROR(SUM(DONNEES!$I$13+(DONNEES!$I$14*F21/E21)),0)</f>
        <v>0.15</v>
      </c>
      <c r="H21" s="307">
        <f t="shared" si="9"/>
        <v>0.15</v>
      </c>
      <c r="I21" s="308" t="str">
        <f t="shared" si="2"/>
        <v/>
      </c>
      <c r="J21" s="308" t="str">
        <f t="shared" si="3"/>
        <v/>
      </c>
      <c r="K21" s="107"/>
      <c r="L21" s="302">
        <f t="shared" si="4"/>
        <v>0</v>
      </c>
      <c r="O21" s="172">
        <f t="shared" si="5"/>
        <v>0</v>
      </c>
    </row>
    <row r="22" spans="1:15" ht="21.75" hidden="1" customHeight="1" x14ac:dyDescent="0.25">
      <c r="A22" s="37">
        <v>16</v>
      </c>
      <c r="B22" s="304"/>
      <c r="C22" s="304"/>
      <c r="D22" s="115"/>
      <c r="E22" s="305">
        <f t="shared" si="0"/>
        <v>109.9</v>
      </c>
      <c r="F22" s="103"/>
      <c r="G22" s="306">
        <f>IFERROR(SUM(DONNEES!$I$13+(DONNEES!$I$14*F22/E22)),0)</f>
        <v>0.15</v>
      </c>
      <c r="H22" s="307">
        <f t="shared" si="9"/>
        <v>0.15</v>
      </c>
      <c r="I22" s="308" t="str">
        <f t="shared" si="2"/>
        <v/>
      </c>
      <c r="J22" s="308" t="str">
        <f t="shared" si="3"/>
        <v/>
      </c>
      <c r="K22" s="107"/>
      <c r="L22" s="302">
        <f t="shared" si="4"/>
        <v>0</v>
      </c>
      <c r="O22" s="172">
        <f t="shared" si="5"/>
        <v>0</v>
      </c>
    </row>
    <row r="23" spans="1:15" ht="21.75" hidden="1" customHeight="1" x14ac:dyDescent="0.25">
      <c r="A23" s="37">
        <v>17</v>
      </c>
      <c r="B23" s="304"/>
      <c r="C23" s="304"/>
      <c r="D23" s="115"/>
      <c r="E23" s="305">
        <f t="shared" si="0"/>
        <v>109.9</v>
      </c>
      <c r="F23" s="103"/>
      <c r="G23" s="306">
        <f>IFERROR(SUM(DONNEES!$I$13+(DONNEES!$I$14*F23/E23)),0)</f>
        <v>0.15</v>
      </c>
      <c r="H23" s="307">
        <f t="shared" si="9"/>
        <v>0.15</v>
      </c>
      <c r="I23" s="308" t="str">
        <f t="shared" si="2"/>
        <v/>
      </c>
      <c r="J23" s="308" t="str">
        <f t="shared" si="3"/>
        <v/>
      </c>
      <c r="K23" s="107"/>
      <c r="L23" s="302">
        <f t="shared" si="4"/>
        <v>0</v>
      </c>
      <c r="O23" s="172">
        <f t="shared" si="5"/>
        <v>0</v>
      </c>
    </row>
    <row r="24" spans="1:15" ht="21.75" hidden="1" customHeight="1" x14ac:dyDescent="0.25">
      <c r="A24" s="37">
        <v>18</v>
      </c>
      <c r="B24" s="304"/>
      <c r="C24" s="304"/>
      <c r="D24" s="115"/>
      <c r="E24" s="305">
        <f t="shared" si="0"/>
        <v>109.9</v>
      </c>
      <c r="F24" s="103"/>
      <c r="G24" s="306">
        <f>IFERROR(SUM(DONNEES!$I$13+(DONNEES!$I$14*F24/E24)),0)</f>
        <v>0.15</v>
      </c>
      <c r="H24" s="307">
        <f t="shared" si="9"/>
        <v>0.15</v>
      </c>
      <c r="I24" s="308" t="str">
        <f t="shared" si="2"/>
        <v/>
      </c>
      <c r="J24" s="308" t="str">
        <f t="shared" si="3"/>
        <v/>
      </c>
      <c r="K24" s="107"/>
      <c r="L24" s="302">
        <f t="shared" si="4"/>
        <v>0</v>
      </c>
      <c r="O24" s="172">
        <f t="shared" si="5"/>
        <v>0</v>
      </c>
    </row>
    <row r="25" spans="1:15" ht="21.75" hidden="1" customHeight="1" x14ac:dyDescent="0.25">
      <c r="A25" s="37">
        <v>19</v>
      </c>
      <c r="B25" s="304"/>
      <c r="C25" s="304"/>
      <c r="D25" s="115"/>
      <c r="E25" s="305">
        <f t="shared" si="0"/>
        <v>109.9</v>
      </c>
      <c r="F25" s="103"/>
      <c r="G25" s="306">
        <f>IFERROR(SUM(DONNEES!$I$13+(DONNEES!$I$14*F25/E25)),0)</f>
        <v>0.15</v>
      </c>
      <c r="H25" s="307">
        <f t="shared" si="9"/>
        <v>0.15</v>
      </c>
      <c r="I25" s="308" t="str">
        <f t="shared" si="2"/>
        <v/>
      </c>
      <c r="J25" s="308" t="str">
        <f t="shared" si="3"/>
        <v/>
      </c>
      <c r="K25" s="107"/>
      <c r="L25" s="302">
        <f t="shared" si="4"/>
        <v>0</v>
      </c>
      <c r="O25" s="172">
        <f t="shared" si="5"/>
        <v>0</v>
      </c>
    </row>
    <row r="26" spans="1:15" ht="21.75" hidden="1" customHeight="1" x14ac:dyDescent="0.25">
      <c r="A26" s="37">
        <v>20</v>
      </c>
      <c r="B26" s="304"/>
      <c r="C26" s="304"/>
      <c r="D26" s="115"/>
      <c r="E26" s="305">
        <f t="shared" si="0"/>
        <v>109.9</v>
      </c>
      <c r="F26" s="103"/>
      <c r="G26" s="306">
        <f>IFERROR(SUM(DONNEES!$I$13+(DONNEES!$I$14*F26/E26)),0)</f>
        <v>0.15</v>
      </c>
      <c r="H26" s="307">
        <f t="shared" si="9"/>
        <v>0.15</v>
      </c>
      <c r="I26" s="308" t="str">
        <f t="shared" si="2"/>
        <v/>
      </c>
      <c r="J26" s="308" t="str">
        <f t="shared" si="3"/>
        <v/>
      </c>
      <c r="K26" s="107"/>
      <c r="L26" s="302">
        <f t="shared" si="4"/>
        <v>0</v>
      </c>
      <c r="O26" s="172">
        <f t="shared" si="5"/>
        <v>0</v>
      </c>
    </row>
    <row r="27" spans="1:15" ht="21.75" hidden="1" customHeight="1" x14ac:dyDescent="0.25">
      <c r="A27" s="37">
        <v>21</v>
      </c>
      <c r="B27" s="304"/>
      <c r="C27" s="304"/>
      <c r="D27" s="115"/>
      <c r="E27" s="305">
        <f t="shared" si="0"/>
        <v>109.9</v>
      </c>
      <c r="F27" s="103"/>
      <c r="G27" s="306">
        <f>IFERROR(SUM(DONNEES!$I$13+(DONNEES!$I$14*F27/E27)),0)</f>
        <v>0.15</v>
      </c>
      <c r="H27" s="307">
        <f t="shared" si="9"/>
        <v>0.15</v>
      </c>
      <c r="I27" s="308" t="str">
        <f t="shared" si="2"/>
        <v/>
      </c>
      <c r="J27" s="308" t="str">
        <f t="shared" si="3"/>
        <v/>
      </c>
      <c r="K27" s="107"/>
      <c r="L27" s="302">
        <f t="shared" si="4"/>
        <v>0</v>
      </c>
      <c r="O27" s="172">
        <f t="shared" si="5"/>
        <v>0</v>
      </c>
    </row>
    <row r="28" spans="1:15" ht="21.75" hidden="1" customHeight="1" x14ac:dyDescent="0.25">
      <c r="A28" s="37">
        <v>22</v>
      </c>
      <c r="B28" s="304"/>
      <c r="C28" s="304"/>
      <c r="D28" s="115"/>
      <c r="E28" s="305">
        <f t="shared" si="0"/>
        <v>109.9</v>
      </c>
      <c r="F28" s="103"/>
      <c r="G28" s="306">
        <f>IFERROR(SUM(DONNEES!$I$13+(DONNEES!$I$14*F28/E28)),0)</f>
        <v>0.15</v>
      </c>
      <c r="H28" s="307">
        <f t="shared" si="9"/>
        <v>0.15</v>
      </c>
      <c r="I28" s="308" t="str">
        <f t="shared" si="2"/>
        <v/>
      </c>
      <c r="J28" s="308" t="str">
        <f t="shared" si="3"/>
        <v/>
      </c>
      <c r="K28" s="107"/>
      <c r="L28" s="302">
        <f t="shared" si="4"/>
        <v>0</v>
      </c>
      <c r="O28" s="172">
        <f t="shared" si="5"/>
        <v>0</v>
      </c>
    </row>
    <row r="29" spans="1:15" ht="21.75" hidden="1" customHeight="1" x14ac:dyDescent="0.25">
      <c r="A29" s="37">
        <v>23</v>
      </c>
      <c r="B29" s="304"/>
      <c r="C29" s="304"/>
      <c r="D29" s="115"/>
      <c r="E29" s="305">
        <f t="shared" si="0"/>
        <v>109.9</v>
      </c>
      <c r="F29" s="103"/>
      <c r="G29" s="306">
        <f>IFERROR(SUM(DONNEES!$I$13+(DONNEES!$I$14*F29/E29)),0)</f>
        <v>0.15</v>
      </c>
      <c r="H29" s="307">
        <f t="shared" si="9"/>
        <v>0.15</v>
      </c>
      <c r="I29" s="308" t="str">
        <f t="shared" si="2"/>
        <v/>
      </c>
      <c r="J29" s="308" t="str">
        <f t="shared" si="3"/>
        <v/>
      </c>
      <c r="K29" s="107"/>
      <c r="L29" s="302">
        <f t="shared" si="4"/>
        <v>0</v>
      </c>
      <c r="O29" s="172">
        <f t="shared" si="5"/>
        <v>0</v>
      </c>
    </row>
    <row r="30" spans="1:15" ht="21.75" hidden="1" customHeight="1" x14ac:dyDescent="0.25">
      <c r="A30" s="37">
        <v>24</v>
      </c>
      <c r="B30" s="304"/>
      <c r="C30" s="304"/>
      <c r="D30" s="115"/>
      <c r="E30" s="305">
        <f t="shared" si="0"/>
        <v>109.9</v>
      </c>
      <c r="F30" s="103"/>
      <c r="G30" s="306">
        <f>IFERROR(SUM(DONNEES!$I$13+(DONNEES!$I$14*F30/E30)),0)</f>
        <v>0.15</v>
      </c>
      <c r="H30" s="307">
        <f t="shared" si="9"/>
        <v>0.15</v>
      </c>
      <c r="I30" s="308" t="str">
        <f t="shared" si="2"/>
        <v/>
      </c>
      <c r="J30" s="308" t="str">
        <f t="shared" si="3"/>
        <v/>
      </c>
      <c r="K30" s="107"/>
      <c r="L30" s="302">
        <f t="shared" si="4"/>
        <v>0</v>
      </c>
      <c r="O30" s="172">
        <f t="shared" si="5"/>
        <v>0</v>
      </c>
    </row>
    <row r="31" spans="1:15" ht="21.75" hidden="1" customHeight="1" x14ac:dyDescent="0.25">
      <c r="A31" s="37">
        <v>25</v>
      </c>
      <c r="B31" s="304"/>
      <c r="C31" s="304"/>
      <c r="D31" s="115"/>
      <c r="E31" s="305">
        <f t="shared" si="0"/>
        <v>109.9</v>
      </c>
      <c r="F31" s="103"/>
      <c r="G31" s="306">
        <f>IFERROR(SUM(DONNEES!$I$13+(DONNEES!$I$14*F31/E31)),0)</f>
        <v>0.15</v>
      </c>
      <c r="H31" s="307">
        <f t="shared" si="9"/>
        <v>0.15</v>
      </c>
      <c r="I31" s="308" t="str">
        <f t="shared" si="2"/>
        <v/>
      </c>
      <c r="J31" s="308" t="str">
        <f t="shared" si="3"/>
        <v/>
      </c>
      <c r="K31" s="107"/>
      <c r="L31" s="302">
        <f t="shared" si="4"/>
        <v>0</v>
      </c>
      <c r="O31" s="172">
        <f t="shared" si="5"/>
        <v>0</v>
      </c>
    </row>
    <row r="32" spans="1:15" ht="21.75" hidden="1" customHeight="1" x14ac:dyDescent="0.25">
      <c r="A32" s="37">
        <v>26</v>
      </c>
      <c r="B32" s="304"/>
      <c r="C32" s="304"/>
      <c r="D32" s="115"/>
      <c r="E32" s="305">
        <f t="shared" si="0"/>
        <v>109.9</v>
      </c>
      <c r="F32" s="103"/>
      <c r="G32" s="306">
        <f>IFERROR(SUM(DONNEES!$I$13+(DONNEES!$I$14*F32/E32)),0)</f>
        <v>0.15</v>
      </c>
      <c r="H32" s="307">
        <f t="shared" si="9"/>
        <v>0.15</v>
      </c>
      <c r="I32" s="308" t="str">
        <f t="shared" si="2"/>
        <v/>
      </c>
      <c r="J32" s="308" t="str">
        <f t="shared" si="3"/>
        <v/>
      </c>
      <c r="K32" s="107"/>
      <c r="L32" s="302">
        <f t="shared" si="4"/>
        <v>0</v>
      </c>
      <c r="O32" s="172">
        <f t="shared" si="5"/>
        <v>0</v>
      </c>
    </row>
    <row r="33" spans="1:15" ht="21.75" hidden="1" customHeight="1" x14ac:dyDescent="0.25">
      <c r="A33" s="37">
        <v>27</v>
      </c>
      <c r="B33" s="304"/>
      <c r="C33" s="304"/>
      <c r="D33" s="115"/>
      <c r="E33" s="305">
        <f t="shared" si="0"/>
        <v>109.9</v>
      </c>
      <c r="F33" s="103"/>
      <c r="G33" s="306">
        <f>IFERROR(SUM(DONNEES!$I$13+(DONNEES!$I$14*F33/E33)),0)</f>
        <v>0.15</v>
      </c>
      <c r="H33" s="307">
        <f t="shared" si="9"/>
        <v>0.15</v>
      </c>
      <c r="I33" s="308" t="str">
        <f t="shared" si="2"/>
        <v/>
      </c>
      <c r="J33" s="308" t="str">
        <f t="shared" si="3"/>
        <v/>
      </c>
      <c r="K33" s="107"/>
      <c r="L33" s="302">
        <f t="shared" si="4"/>
        <v>0</v>
      </c>
      <c r="O33" s="172">
        <f t="shared" si="5"/>
        <v>0</v>
      </c>
    </row>
    <row r="34" spans="1:15" ht="21.75" hidden="1" customHeight="1" x14ac:dyDescent="0.25">
      <c r="A34" s="37">
        <v>28</v>
      </c>
      <c r="B34" s="304"/>
      <c r="C34" s="304"/>
      <c r="D34" s="115"/>
      <c r="E34" s="305">
        <f t="shared" si="0"/>
        <v>109.9</v>
      </c>
      <c r="F34" s="103"/>
      <c r="G34" s="306">
        <f>IFERROR(SUM(DONNEES!$I$13+(DONNEES!$I$14*F34/E34)),0)</f>
        <v>0.15</v>
      </c>
      <c r="H34" s="307">
        <f t="shared" si="9"/>
        <v>0.15</v>
      </c>
      <c r="I34" s="308" t="str">
        <f t="shared" si="2"/>
        <v/>
      </c>
      <c r="J34" s="308" t="str">
        <f t="shared" si="3"/>
        <v/>
      </c>
      <c r="K34" s="107"/>
      <c r="L34" s="302">
        <f t="shared" si="4"/>
        <v>0</v>
      </c>
      <c r="O34" s="172">
        <f t="shared" si="5"/>
        <v>0</v>
      </c>
    </row>
    <row r="35" spans="1:15" ht="21.75" hidden="1" customHeight="1" x14ac:dyDescent="0.25">
      <c r="A35" s="37">
        <v>29</v>
      </c>
      <c r="B35" s="304"/>
      <c r="C35" s="304"/>
      <c r="D35" s="115"/>
      <c r="E35" s="305">
        <f t="shared" si="0"/>
        <v>109.9</v>
      </c>
      <c r="F35" s="103"/>
      <c r="G35" s="306">
        <f>IFERROR(SUM(DONNEES!$I$13+(DONNEES!$I$14*F35/E35)),0)</f>
        <v>0.15</v>
      </c>
      <c r="H35" s="307">
        <f t="shared" si="9"/>
        <v>0.15</v>
      </c>
      <c r="I35" s="308" t="str">
        <f t="shared" si="2"/>
        <v/>
      </c>
      <c r="J35" s="308" t="str">
        <f t="shared" si="3"/>
        <v/>
      </c>
      <c r="K35" s="107"/>
      <c r="L35" s="302">
        <f t="shared" si="4"/>
        <v>0</v>
      </c>
      <c r="O35" s="172">
        <f t="shared" si="5"/>
        <v>0</v>
      </c>
    </row>
    <row r="36" spans="1:15" ht="21.75" hidden="1" customHeight="1" x14ac:dyDescent="0.25">
      <c r="A36" s="37">
        <v>30</v>
      </c>
      <c r="B36" s="304"/>
      <c r="C36" s="304"/>
      <c r="D36" s="115"/>
      <c r="E36" s="305">
        <f t="shared" si="0"/>
        <v>109.9</v>
      </c>
      <c r="F36" s="103"/>
      <c r="G36" s="306">
        <f>IFERROR(SUM(DONNEES!$I$13+(DONNEES!$I$14*F36/E36)),0)</f>
        <v>0.15</v>
      </c>
      <c r="H36" s="307">
        <f t="shared" si="9"/>
        <v>0.15</v>
      </c>
      <c r="I36" s="308" t="str">
        <f t="shared" si="2"/>
        <v/>
      </c>
      <c r="J36" s="308" t="str">
        <f t="shared" si="3"/>
        <v/>
      </c>
      <c r="K36" s="107"/>
      <c r="L36" s="302">
        <f t="shared" si="4"/>
        <v>0</v>
      </c>
      <c r="O36" s="172">
        <f t="shared" si="5"/>
        <v>0</v>
      </c>
    </row>
    <row r="37" spans="1:15" ht="21.75" hidden="1" customHeight="1" x14ac:dyDescent="0.25">
      <c r="A37" s="37">
        <v>31</v>
      </c>
      <c r="B37" s="304"/>
      <c r="C37" s="304"/>
      <c r="D37" s="115"/>
      <c r="E37" s="305">
        <f t="shared" si="0"/>
        <v>109.9</v>
      </c>
      <c r="F37" s="103"/>
      <c r="G37" s="306">
        <f>IFERROR(SUM(DONNEES!$I$13+(DONNEES!$I$14*F37/E37)),0)</f>
        <v>0.15</v>
      </c>
      <c r="H37" s="307">
        <f t="shared" si="9"/>
        <v>0.15</v>
      </c>
      <c r="I37" s="308" t="str">
        <f t="shared" si="2"/>
        <v/>
      </c>
      <c r="J37" s="308" t="str">
        <f t="shared" si="3"/>
        <v/>
      </c>
      <c r="K37" s="107"/>
      <c r="L37" s="302">
        <f t="shared" si="4"/>
        <v>0</v>
      </c>
      <c r="O37" s="172">
        <f t="shared" si="5"/>
        <v>0</v>
      </c>
    </row>
    <row r="38" spans="1:15" ht="21.75" hidden="1" customHeight="1" x14ac:dyDescent="0.25">
      <c r="A38" s="37">
        <v>32</v>
      </c>
      <c r="B38" s="304"/>
      <c r="C38" s="304"/>
      <c r="D38" s="115"/>
      <c r="E38" s="305">
        <f t="shared" si="0"/>
        <v>109.9</v>
      </c>
      <c r="F38" s="103"/>
      <c r="G38" s="306">
        <f>IFERROR(SUM(DONNEES!$I$13+(DONNEES!$I$14*F38/E38)),0)</f>
        <v>0.15</v>
      </c>
      <c r="H38" s="307">
        <f t="shared" si="9"/>
        <v>0.15</v>
      </c>
      <c r="I38" s="308" t="str">
        <f t="shared" si="2"/>
        <v/>
      </c>
      <c r="J38" s="308" t="str">
        <f t="shared" si="3"/>
        <v/>
      </c>
      <c r="K38" s="107"/>
      <c r="L38" s="302">
        <f t="shared" si="4"/>
        <v>0</v>
      </c>
      <c r="O38" s="172">
        <f t="shared" si="5"/>
        <v>0</v>
      </c>
    </row>
    <row r="39" spans="1:15" ht="21.75" hidden="1" customHeight="1" x14ac:dyDescent="0.25">
      <c r="A39" s="37">
        <v>33</v>
      </c>
      <c r="B39" s="304"/>
      <c r="C39" s="304"/>
      <c r="D39" s="115"/>
      <c r="E39" s="305">
        <f t="shared" si="0"/>
        <v>109.9</v>
      </c>
      <c r="F39" s="103"/>
      <c r="G39" s="306">
        <f>IFERROR(SUM(DONNEES!$I$13+(DONNEES!$I$14*F39/E39)),0)</f>
        <v>0.15</v>
      </c>
      <c r="H39" s="307">
        <f t="shared" si="9"/>
        <v>0.15</v>
      </c>
      <c r="I39" s="308" t="str">
        <f t="shared" si="2"/>
        <v/>
      </c>
      <c r="J39" s="308" t="str">
        <f t="shared" si="3"/>
        <v/>
      </c>
      <c r="K39" s="107"/>
      <c r="L39" s="302">
        <f t="shared" si="4"/>
        <v>0</v>
      </c>
      <c r="O39" s="172">
        <f t="shared" si="5"/>
        <v>0</v>
      </c>
    </row>
    <row r="40" spans="1:15" ht="21.75" hidden="1" customHeight="1" x14ac:dyDescent="0.25">
      <c r="A40" s="37">
        <v>34</v>
      </c>
      <c r="B40" s="304"/>
      <c r="C40" s="304"/>
      <c r="D40" s="115"/>
      <c r="E40" s="305">
        <f t="shared" si="0"/>
        <v>109.9</v>
      </c>
      <c r="F40" s="103"/>
      <c r="G40" s="306">
        <f>IFERROR(SUM(DONNEES!$I$13+(DONNEES!$I$14*F40/E40)),0)</f>
        <v>0.15</v>
      </c>
      <c r="H40" s="307">
        <f t="shared" ref="H40:H46" si="10">ROUND(G40,3)</f>
        <v>0.15</v>
      </c>
      <c r="I40" s="308" t="str">
        <f t="shared" si="2"/>
        <v/>
      </c>
      <c r="J40" s="308" t="str">
        <f t="shared" si="3"/>
        <v/>
      </c>
      <c r="K40" s="107"/>
      <c r="L40" s="302">
        <f t="shared" si="4"/>
        <v>0</v>
      </c>
      <c r="O40" s="172">
        <f t="shared" si="5"/>
        <v>0</v>
      </c>
    </row>
    <row r="41" spans="1:15" ht="21.75" hidden="1" customHeight="1" x14ac:dyDescent="0.25">
      <c r="A41" s="37">
        <v>35</v>
      </c>
      <c r="B41" s="304"/>
      <c r="C41" s="304"/>
      <c r="D41" s="115"/>
      <c r="E41" s="305">
        <f t="shared" si="0"/>
        <v>109.9</v>
      </c>
      <c r="F41" s="103"/>
      <c r="G41" s="306">
        <f>IFERROR(SUM(DONNEES!$I$13+(DONNEES!$I$14*F41/E41)),0)</f>
        <v>0.15</v>
      </c>
      <c r="H41" s="307">
        <f t="shared" si="10"/>
        <v>0.15</v>
      </c>
      <c r="I41" s="308" t="str">
        <f t="shared" si="2"/>
        <v/>
      </c>
      <c r="J41" s="308" t="str">
        <f t="shared" si="3"/>
        <v/>
      </c>
      <c r="K41" s="107"/>
      <c r="L41" s="302">
        <f t="shared" si="4"/>
        <v>0</v>
      </c>
      <c r="O41" s="172">
        <f t="shared" si="5"/>
        <v>0</v>
      </c>
    </row>
    <row r="42" spans="1:15" ht="21.75" hidden="1" customHeight="1" x14ac:dyDescent="0.25">
      <c r="A42" s="37">
        <v>36</v>
      </c>
      <c r="B42" s="304"/>
      <c r="C42" s="304"/>
      <c r="D42" s="115"/>
      <c r="E42" s="305">
        <f t="shared" si="0"/>
        <v>109.9</v>
      </c>
      <c r="F42" s="103"/>
      <c r="G42" s="306">
        <f>IFERROR(SUM(DONNEES!$I$13+(DONNEES!$I$14*F42/E42)),0)</f>
        <v>0.15</v>
      </c>
      <c r="H42" s="307">
        <f t="shared" si="10"/>
        <v>0.15</v>
      </c>
      <c r="I42" s="308" t="str">
        <f t="shared" si="2"/>
        <v/>
      </c>
      <c r="J42" s="308" t="str">
        <f t="shared" si="3"/>
        <v/>
      </c>
      <c r="K42" s="107"/>
      <c r="L42" s="302">
        <f t="shared" si="4"/>
        <v>0</v>
      </c>
      <c r="O42" s="172">
        <f t="shared" si="5"/>
        <v>0</v>
      </c>
    </row>
    <row r="43" spans="1:15" ht="21.75" hidden="1" customHeight="1" x14ac:dyDescent="0.25">
      <c r="A43" s="37">
        <v>37</v>
      </c>
      <c r="B43" s="304"/>
      <c r="C43" s="304"/>
      <c r="D43" s="115"/>
      <c r="E43" s="305">
        <f t="shared" si="0"/>
        <v>109.9</v>
      </c>
      <c r="F43" s="103"/>
      <c r="G43" s="306">
        <f>IFERROR(SUM(DONNEES!$I$13+(DONNEES!$I$14*F43/E43)),0)</f>
        <v>0.15</v>
      </c>
      <c r="H43" s="307">
        <f t="shared" si="10"/>
        <v>0.15</v>
      </c>
      <c r="I43" s="308" t="str">
        <f t="shared" si="2"/>
        <v/>
      </c>
      <c r="J43" s="308" t="str">
        <f t="shared" si="3"/>
        <v/>
      </c>
      <c r="K43" s="107"/>
      <c r="L43" s="302">
        <f t="shared" si="4"/>
        <v>0</v>
      </c>
      <c r="O43" s="172">
        <f t="shared" si="5"/>
        <v>0</v>
      </c>
    </row>
    <row r="44" spans="1:15" ht="21.75" hidden="1" customHeight="1" x14ac:dyDescent="0.25">
      <c r="A44" s="37">
        <v>38</v>
      </c>
      <c r="B44" s="304"/>
      <c r="C44" s="304"/>
      <c r="D44" s="115"/>
      <c r="E44" s="305">
        <f t="shared" si="0"/>
        <v>109.9</v>
      </c>
      <c r="F44" s="103"/>
      <c r="G44" s="306">
        <f>IFERROR(SUM(DONNEES!$I$13+(DONNEES!$I$14*F44/E44)),0)</f>
        <v>0.15</v>
      </c>
      <c r="H44" s="307">
        <f t="shared" si="10"/>
        <v>0.15</v>
      </c>
      <c r="I44" s="308" t="str">
        <f t="shared" si="2"/>
        <v/>
      </c>
      <c r="J44" s="308" t="str">
        <f t="shared" si="3"/>
        <v/>
      </c>
      <c r="K44" s="107"/>
      <c r="L44" s="302">
        <f t="shared" si="4"/>
        <v>0</v>
      </c>
      <c r="O44" s="172">
        <f t="shared" si="5"/>
        <v>0</v>
      </c>
    </row>
    <row r="45" spans="1:15" ht="21.75" hidden="1" customHeight="1" x14ac:dyDescent="0.25">
      <c r="A45" s="37">
        <v>39</v>
      </c>
      <c r="B45" s="304"/>
      <c r="C45" s="304"/>
      <c r="D45" s="115"/>
      <c r="E45" s="305">
        <f t="shared" si="0"/>
        <v>109.9</v>
      </c>
      <c r="F45" s="103"/>
      <c r="G45" s="306">
        <f>IFERROR(SUM(DONNEES!$I$13+(DONNEES!$I$14*F45/E45)),0)</f>
        <v>0.15</v>
      </c>
      <c r="H45" s="307">
        <f t="shared" si="10"/>
        <v>0.15</v>
      </c>
      <c r="I45" s="308" t="str">
        <f t="shared" si="2"/>
        <v/>
      </c>
      <c r="J45" s="308" t="str">
        <f t="shared" si="3"/>
        <v/>
      </c>
      <c r="K45" s="107"/>
      <c r="L45" s="302">
        <f t="shared" si="4"/>
        <v>0</v>
      </c>
      <c r="O45" s="172">
        <f t="shared" si="5"/>
        <v>0</v>
      </c>
    </row>
    <row r="46" spans="1:15" ht="21.75" hidden="1" customHeight="1" thickBot="1" x14ac:dyDescent="0.25">
      <c r="A46" s="37">
        <v>40</v>
      </c>
      <c r="B46" s="304"/>
      <c r="C46" s="304"/>
      <c r="D46" s="115"/>
      <c r="E46" s="305">
        <f t="shared" si="0"/>
        <v>109.9</v>
      </c>
      <c r="F46" s="103"/>
      <c r="G46" s="306">
        <f>IFERROR(SUM(DONNEES!$I$13+(DONNEES!$I$14*F46/E46)),0)</f>
        <v>0.15</v>
      </c>
      <c r="H46" s="307">
        <f t="shared" si="10"/>
        <v>0.15</v>
      </c>
      <c r="I46" s="308" t="str">
        <f t="shared" si="2"/>
        <v/>
      </c>
      <c r="J46" s="309" t="str">
        <f t="shared" si="3"/>
        <v/>
      </c>
      <c r="K46" s="107"/>
      <c r="L46" s="302">
        <f t="shared" si="4"/>
        <v>0</v>
      </c>
      <c r="O46" s="172">
        <f t="shared" si="5"/>
        <v>0</v>
      </c>
    </row>
    <row r="47" spans="1:15" s="44" customFormat="1" ht="19.5" customHeight="1" thickBot="1" x14ac:dyDescent="0.25">
      <c r="A47" s="38" t="s">
        <v>169</v>
      </c>
      <c r="B47" s="39">
        <f>SUM(B7:B46)</f>
        <v>68726.2</v>
      </c>
      <c r="C47" s="40">
        <f>SUM(C7:C46)</f>
        <v>14250</v>
      </c>
      <c r="D47" s="41"/>
      <c r="E47" s="42"/>
      <c r="F47" s="43"/>
      <c r="G47" s="30"/>
      <c r="H47" s="38" t="s">
        <v>169</v>
      </c>
      <c r="I47" s="39">
        <f>SUM(I7:I46)</f>
        <v>1993.0597999999882</v>
      </c>
      <c r="J47" s="168">
        <f>SUM(J7:J46)</f>
        <v>413.24999999999773</v>
      </c>
      <c r="K47" s="30"/>
      <c r="L47" s="167">
        <f>1</f>
        <v>1</v>
      </c>
    </row>
    <row r="48" spans="1:15" ht="18" customHeight="1" thickBot="1" x14ac:dyDescent="0.25">
      <c r="A48" s="45" t="s">
        <v>170</v>
      </c>
      <c r="B48" s="46">
        <f>B47*20/100</f>
        <v>13745.24</v>
      </c>
      <c r="C48" s="47">
        <f>C47*10/100</f>
        <v>1425</v>
      </c>
      <c r="E48" s="48"/>
      <c r="F48" s="49"/>
      <c r="H48" s="171" t="s">
        <v>170</v>
      </c>
      <c r="I48" s="39">
        <f>I47*$I$6</f>
        <v>199.30597999999884</v>
      </c>
      <c r="J48" s="169">
        <f>J47*$J$6</f>
        <v>82.649999999999551</v>
      </c>
      <c r="L48" s="165">
        <f>1</f>
        <v>1</v>
      </c>
    </row>
    <row r="49" spans="1:15" ht="18" customHeight="1" thickBot="1" x14ac:dyDescent="0.25">
      <c r="A49" s="45" t="s">
        <v>16</v>
      </c>
      <c r="B49" s="50">
        <f>B47+B48</f>
        <v>82471.44</v>
      </c>
      <c r="C49" s="51">
        <f>SUM(C47:C48)</f>
        <v>15675</v>
      </c>
      <c r="E49" s="48"/>
      <c r="F49" s="49"/>
      <c r="H49" s="171" t="s">
        <v>477</v>
      </c>
      <c r="I49" s="39">
        <f>SUM(I47:I48)</f>
        <v>2192.3657799999869</v>
      </c>
      <c r="J49" s="169">
        <f>SUM(J47:J48)</f>
        <v>495.89999999999725</v>
      </c>
      <c r="L49" s="165">
        <f>1</f>
        <v>1</v>
      </c>
    </row>
    <row r="50" spans="1:15" ht="18" customHeight="1" thickBot="1" x14ac:dyDescent="0.25">
      <c r="A50" s="52"/>
      <c r="B50" s="52"/>
      <c r="C50" s="49"/>
      <c r="E50" s="48"/>
      <c r="F50" s="49"/>
      <c r="H50" s="171" t="s">
        <v>478</v>
      </c>
      <c r="I50" s="39">
        <f>('CPP TITULAIRE-ST'!F160*I6)+'CPP TITULAIRE-ST'!F160</f>
        <v>2032.866</v>
      </c>
      <c r="J50" s="169">
        <f>('CPP TITULAIRE-ST'!G160*J6)+'CPP TITULAIRE-ST'!G160</f>
        <v>495.9</v>
      </c>
    </row>
    <row r="51" spans="1:15" ht="17.100000000000001" customHeight="1" thickBot="1" x14ac:dyDescent="0.25">
      <c r="A51" s="53" t="s">
        <v>171</v>
      </c>
      <c r="B51" s="53"/>
      <c r="D51" s="54" t="s">
        <v>172</v>
      </c>
      <c r="E51" s="54"/>
      <c r="H51" s="171" t="s">
        <v>476</v>
      </c>
      <c r="I51" s="39">
        <f>(I49-I50)/(1+(I6))</f>
        <v>144.99979999998808</v>
      </c>
      <c r="J51" s="170">
        <f>(J49-J50)/(1+(J6))</f>
        <v>-2.2737367544323206E-12</v>
      </c>
      <c r="N51" s="172"/>
    </row>
    <row r="52" spans="1:15" ht="17.100000000000001" customHeight="1" x14ac:dyDescent="0.2">
      <c r="A52" s="53"/>
      <c r="B52" s="53"/>
      <c r="D52" s="54"/>
      <c r="E52" s="54"/>
    </row>
    <row r="53" spans="1:15" ht="17.100000000000001" customHeight="1" x14ac:dyDescent="0.2">
      <c r="A53" s="53"/>
      <c r="B53" s="53"/>
      <c r="D53" s="54"/>
      <c r="E53" s="54"/>
    </row>
    <row r="54" spans="1:15" ht="17.100000000000001" customHeight="1" x14ac:dyDescent="0.2">
      <c r="A54" s="53">
        <f>DONNEES!E12</f>
        <v>0</v>
      </c>
      <c r="B54" s="53"/>
      <c r="D54" s="54"/>
      <c r="E54" s="54"/>
    </row>
    <row r="55" spans="1:15" ht="17.100000000000001" customHeight="1" x14ac:dyDescent="0.2">
      <c r="A55" s="53"/>
      <c r="B55" s="53"/>
      <c r="D55" s="54"/>
      <c r="E55" s="54"/>
    </row>
    <row r="56" spans="1:15" ht="17.100000000000001" customHeight="1" x14ac:dyDescent="0.2">
      <c r="A56" s="53"/>
      <c r="B56" s="53"/>
      <c r="D56" s="54"/>
      <c r="E56" s="54"/>
    </row>
    <row r="57" spans="1:15" ht="17.100000000000001" customHeight="1" x14ac:dyDescent="0.2">
      <c r="A57" s="53"/>
      <c r="B57" s="53"/>
      <c r="D57" s="54"/>
      <c r="E57" s="54"/>
    </row>
    <row r="58" spans="1:15" ht="20.25" customHeight="1" x14ac:dyDescent="0.2">
      <c r="C58" s="55"/>
      <c r="D58" s="56"/>
      <c r="E58" s="57"/>
    </row>
    <row r="59" spans="1:15" ht="19.5" customHeight="1" x14ac:dyDescent="0.2">
      <c r="A59" s="603" t="s">
        <v>173</v>
      </c>
      <c r="B59" s="603"/>
      <c r="C59" s="603"/>
      <c r="D59" s="603"/>
      <c r="E59" s="603"/>
      <c r="F59" s="603"/>
      <c r="G59" s="603"/>
      <c r="H59" s="603"/>
      <c r="I59" s="603"/>
      <c r="J59" s="603"/>
    </row>
    <row r="60" spans="1:15" ht="19.5" customHeight="1" thickBot="1" x14ac:dyDescent="0.25">
      <c r="A60" s="58"/>
      <c r="B60" s="57"/>
      <c r="C60" s="59"/>
      <c r="D60" s="60"/>
      <c r="E60" s="30"/>
    </row>
    <row r="61" spans="1:15" ht="45" customHeight="1" thickBot="1" x14ac:dyDescent="0.25">
      <c r="A61" s="604" t="s">
        <v>163</v>
      </c>
      <c r="B61" s="35" t="s">
        <v>199</v>
      </c>
      <c r="C61" s="35" t="s">
        <v>199</v>
      </c>
      <c r="D61" s="604" t="s">
        <v>164</v>
      </c>
      <c r="E61" s="604" t="str">
        <f>E5</f>
        <v>BT Mo</v>
      </c>
      <c r="F61" s="606" t="str">
        <f>F5</f>
        <v>BT M</v>
      </c>
      <c r="G61" s="608" t="s">
        <v>165</v>
      </c>
      <c r="H61" s="608" t="s">
        <v>166</v>
      </c>
      <c r="I61" s="87" t="s">
        <v>200</v>
      </c>
      <c r="J61" s="89" t="s">
        <v>200</v>
      </c>
      <c r="L61" s="173" t="s">
        <v>474</v>
      </c>
    </row>
    <row r="62" spans="1:15" ht="19.5" customHeight="1" thickBot="1" x14ac:dyDescent="0.25">
      <c r="A62" s="605"/>
      <c r="B62" s="86">
        <f>DONNEES!C17</f>
        <v>0.1</v>
      </c>
      <c r="C62" s="86">
        <f>DONNEES!E17</f>
        <v>0.2</v>
      </c>
      <c r="D62" s="605"/>
      <c r="E62" s="605"/>
      <c r="F62" s="607"/>
      <c r="G62" s="609"/>
      <c r="H62" s="609"/>
      <c r="I62" s="88">
        <f>DONNEES!C17</f>
        <v>0.1</v>
      </c>
      <c r="J62" s="88">
        <f>DONNEES!E17</f>
        <v>0.2</v>
      </c>
      <c r="K62" s="106" t="s">
        <v>201</v>
      </c>
      <c r="L62" s="165">
        <v>1</v>
      </c>
    </row>
    <row r="63" spans="1:15" ht="19.5" hidden="1" customHeight="1" x14ac:dyDescent="0.25">
      <c r="A63" s="36">
        <v>1</v>
      </c>
      <c r="B63" s="304"/>
      <c r="C63" s="304"/>
      <c r="D63" s="114">
        <v>43800</v>
      </c>
      <c r="E63" s="305">
        <f>$C$3</f>
        <v>109.9</v>
      </c>
      <c r="F63" s="102"/>
      <c r="G63" s="306">
        <f>IFERROR(SUM(DONNEES!$I$13+(DONNEES!$I$14*F63/E63)),0)</f>
        <v>0.15</v>
      </c>
      <c r="H63" s="307">
        <f>ROUND(G63,3)</f>
        <v>0.15</v>
      </c>
      <c r="I63" s="308" t="str">
        <f>IF(AND(K63="D",F63&lt;&gt;0),((B63*(H63))-B63),"")</f>
        <v/>
      </c>
      <c r="J63" s="308" t="str">
        <f>IF(AND(K63="D",F63&lt;&gt;0),((C63*(H63))-C63),"")</f>
        <v/>
      </c>
      <c r="K63" s="107"/>
      <c r="L63" s="166">
        <f>B63+C63</f>
        <v>0</v>
      </c>
      <c r="O63" s="172">
        <f>B63+C63</f>
        <v>0</v>
      </c>
    </row>
    <row r="64" spans="1:15" ht="19.5" hidden="1" customHeight="1" x14ac:dyDescent="0.25">
      <c r="A64" s="36">
        <v>2</v>
      </c>
      <c r="B64" s="304"/>
      <c r="C64" s="304"/>
      <c r="D64" s="114">
        <v>43617</v>
      </c>
      <c r="E64" s="305">
        <f t="shared" ref="E64:E102" si="11">$C$3</f>
        <v>109.9</v>
      </c>
      <c r="F64" s="102"/>
      <c r="G64" s="306">
        <f>IFERROR(SUM(DONNEES!$I$13+(DONNEES!$I$14*F64/E64)),0)</f>
        <v>0.15</v>
      </c>
      <c r="H64" s="307">
        <f t="shared" ref="H64:H102" si="12">ROUND(G64,3)</f>
        <v>0.15</v>
      </c>
      <c r="I64" s="308" t="str">
        <f t="shared" ref="I64:I102" si="13">IF(AND(K64="D",F64&lt;&gt;0),((B64*(H64))-B64),"")</f>
        <v/>
      </c>
      <c r="J64" s="308" t="str">
        <f t="shared" ref="J64:J102" si="14">IF(AND(K64="D",F64&lt;&gt;0),((C64*(H64))-C64),"")</f>
        <v/>
      </c>
      <c r="K64" s="107"/>
      <c r="L64" s="166">
        <f t="shared" ref="L64:L102" si="15">B64+C64</f>
        <v>0</v>
      </c>
      <c r="O64" s="172">
        <f t="shared" ref="O64:O102" si="16">B64+C64</f>
        <v>0</v>
      </c>
    </row>
    <row r="65" spans="1:15" ht="19.5" hidden="1" customHeight="1" x14ac:dyDescent="0.25">
      <c r="A65" s="36">
        <v>3</v>
      </c>
      <c r="B65" s="304"/>
      <c r="C65" s="304"/>
      <c r="D65" s="114"/>
      <c r="E65" s="305">
        <f t="shared" si="11"/>
        <v>109.9</v>
      </c>
      <c r="F65" s="102"/>
      <c r="G65" s="306">
        <f>IFERROR(SUM(DONNEES!$I$13+(DONNEES!$I$14*F65/E65)),0)</f>
        <v>0.15</v>
      </c>
      <c r="H65" s="307">
        <f t="shared" si="12"/>
        <v>0.15</v>
      </c>
      <c r="I65" s="308" t="str">
        <f t="shared" si="13"/>
        <v/>
      </c>
      <c r="J65" s="308" t="str">
        <f t="shared" si="14"/>
        <v/>
      </c>
      <c r="K65" s="107"/>
      <c r="L65" s="166">
        <f t="shared" si="15"/>
        <v>0</v>
      </c>
      <c r="O65" s="172">
        <f t="shared" si="16"/>
        <v>0</v>
      </c>
    </row>
    <row r="66" spans="1:15" ht="19.5" hidden="1" customHeight="1" x14ac:dyDescent="0.25">
      <c r="A66" s="36">
        <v>4</v>
      </c>
      <c r="B66" s="304"/>
      <c r="C66" s="304"/>
      <c r="D66" s="114"/>
      <c r="E66" s="305">
        <f t="shared" si="11"/>
        <v>109.9</v>
      </c>
      <c r="F66" s="102"/>
      <c r="G66" s="306">
        <f>IFERROR(SUM(DONNEES!$I$13+(DONNEES!$I$14*F66/E66)),0)</f>
        <v>0.15</v>
      </c>
      <c r="H66" s="307">
        <f t="shared" si="12"/>
        <v>0.15</v>
      </c>
      <c r="I66" s="308" t="str">
        <f t="shared" si="13"/>
        <v/>
      </c>
      <c r="J66" s="308" t="str">
        <f t="shared" si="14"/>
        <v/>
      </c>
      <c r="K66" s="107"/>
      <c r="L66" s="166">
        <f t="shared" si="15"/>
        <v>0</v>
      </c>
      <c r="O66" s="172">
        <f t="shared" si="16"/>
        <v>0</v>
      </c>
    </row>
    <row r="67" spans="1:15" ht="19.5" hidden="1" customHeight="1" x14ac:dyDescent="0.25">
      <c r="A67" s="36">
        <v>5</v>
      </c>
      <c r="B67" s="304"/>
      <c r="C67" s="304"/>
      <c r="D67" s="114"/>
      <c r="E67" s="305">
        <f t="shared" si="11"/>
        <v>109.9</v>
      </c>
      <c r="F67" s="102"/>
      <c r="G67" s="306">
        <f>IFERROR(SUM(DONNEES!$I$13+(DONNEES!$I$14*F67/E67)),0)</f>
        <v>0.15</v>
      </c>
      <c r="H67" s="307">
        <f t="shared" si="12"/>
        <v>0.15</v>
      </c>
      <c r="I67" s="308" t="str">
        <f t="shared" si="13"/>
        <v/>
      </c>
      <c r="J67" s="308" t="str">
        <f t="shared" si="14"/>
        <v/>
      </c>
      <c r="K67" s="107"/>
      <c r="L67" s="166">
        <f t="shared" si="15"/>
        <v>0</v>
      </c>
      <c r="O67" s="172">
        <f t="shared" si="16"/>
        <v>0</v>
      </c>
    </row>
    <row r="68" spans="1:15" ht="19.5" hidden="1" customHeight="1" x14ac:dyDescent="0.25">
      <c r="A68" s="36">
        <v>6</v>
      </c>
      <c r="B68" s="304"/>
      <c r="C68" s="304"/>
      <c r="D68" s="114"/>
      <c r="E68" s="305">
        <f t="shared" si="11"/>
        <v>109.9</v>
      </c>
      <c r="F68" s="102"/>
      <c r="G68" s="306">
        <f>IFERROR(SUM(DONNEES!$I$13+(DONNEES!$I$14*F68/E68)),0)</f>
        <v>0.15</v>
      </c>
      <c r="H68" s="307">
        <f t="shared" si="12"/>
        <v>0.15</v>
      </c>
      <c r="I68" s="308" t="str">
        <f t="shared" si="13"/>
        <v/>
      </c>
      <c r="J68" s="308" t="str">
        <f t="shared" si="14"/>
        <v/>
      </c>
      <c r="K68" s="107"/>
      <c r="L68" s="166">
        <f t="shared" si="15"/>
        <v>0</v>
      </c>
      <c r="O68" s="172">
        <f t="shared" si="16"/>
        <v>0</v>
      </c>
    </row>
    <row r="69" spans="1:15" ht="19.5" hidden="1" customHeight="1" x14ac:dyDescent="0.25">
      <c r="A69" s="37">
        <v>7</v>
      </c>
      <c r="B69" s="304"/>
      <c r="C69" s="304"/>
      <c r="D69" s="115"/>
      <c r="E69" s="305">
        <f t="shared" si="11"/>
        <v>109.9</v>
      </c>
      <c r="F69" s="102"/>
      <c r="G69" s="306">
        <f>IFERROR(SUM(DONNEES!$I$13+(DONNEES!$I$14*F69/E69)),0)</f>
        <v>0.15</v>
      </c>
      <c r="H69" s="307">
        <f t="shared" si="12"/>
        <v>0.15</v>
      </c>
      <c r="I69" s="308" t="str">
        <f t="shared" si="13"/>
        <v/>
      </c>
      <c r="J69" s="308" t="str">
        <f t="shared" si="14"/>
        <v/>
      </c>
      <c r="K69" s="107"/>
      <c r="L69" s="166">
        <f t="shared" si="15"/>
        <v>0</v>
      </c>
      <c r="O69" s="172">
        <f t="shared" si="16"/>
        <v>0</v>
      </c>
    </row>
    <row r="70" spans="1:15" ht="18.75" hidden="1" customHeight="1" x14ac:dyDescent="0.25">
      <c r="A70" s="37">
        <v>8</v>
      </c>
      <c r="B70" s="304"/>
      <c r="C70" s="304"/>
      <c r="D70" s="115"/>
      <c r="E70" s="305">
        <f t="shared" si="11"/>
        <v>109.9</v>
      </c>
      <c r="F70" s="102"/>
      <c r="G70" s="306">
        <f>IFERROR(SUM(DONNEES!$I$13+(DONNEES!$I$14*F70/E70)),0)</f>
        <v>0.15</v>
      </c>
      <c r="H70" s="307">
        <f t="shared" si="12"/>
        <v>0.15</v>
      </c>
      <c r="I70" s="308" t="str">
        <f t="shared" si="13"/>
        <v/>
      </c>
      <c r="J70" s="308" t="str">
        <f t="shared" si="14"/>
        <v/>
      </c>
      <c r="K70" s="107"/>
      <c r="L70" s="166">
        <f t="shared" si="15"/>
        <v>0</v>
      </c>
      <c r="O70" s="172">
        <f t="shared" si="16"/>
        <v>0</v>
      </c>
    </row>
    <row r="71" spans="1:15" ht="18.75" hidden="1" customHeight="1" x14ac:dyDescent="0.25">
      <c r="A71" s="37">
        <v>9</v>
      </c>
      <c r="B71" s="304"/>
      <c r="C71" s="304"/>
      <c r="D71" s="115"/>
      <c r="E71" s="305">
        <f t="shared" si="11"/>
        <v>109.9</v>
      </c>
      <c r="F71" s="102"/>
      <c r="G71" s="306">
        <f>IFERROR(SUM(DONNEES!$I$13+(DONNEES!$I$14*F71/E71)),0)</f>
        <v>0.15</v>
      </c>
      <c r="H71" s="307">
        <f t="shared" si="12"/>
        <v>0.15</v>
      </c>
      <c r="I71" s="308" t="str">
        <f t="shared" si="13"/>
        <v/>
      </c>
      <c r="J71" s="308" t="str">
        <f t="shared" si="14"/>
        <v/>
      </c>
      <c r="K71" s="107"/>
      <c r="L71" s="166">
        <f t="shared" si="15"/>
        <v>0</v>
      </c>
      <c r="O71" s="172">
        <f t="shared" si="16"/>
        <v>0</v>
      </c>
    </row>
    <row r="72" spans="1:15" ht="18.75" hidden="1" customHeight="1" x14ac:dyDescent="0.25">
      <c r="A72" s="37">
        <v>10</v>
      </c>
      <c r="B72" s="304"/>
      <c r="C72" s="304"/>
      <c r="D72" s="115"/>
      <c r="E72" s="305">
        <f t="shared" si="11"/>
        <v>109.9</v>
      </c>
      <c r="F72" s="102"/>
      <c r="G72" s="306">
        <f>IFERROR(SUM(DONNEES!$I$13+(DONNEES!$I$14*F72/E72)),0)</f>
        <v>0.15</v>
      </c>
      <c r="H72" s="307">
        <f t="shared" si="12"/>
        <v>0.15</v>
      </c>
      <c r="I72" s="308" t="str">
        <f t="shared" si="13"/>
        <v/>
      </c>
      <c r="J72" s="308" t="str">
        <f t="shared" si="14"/>
        <v/>
      </c>
      <c r="K72" s="107"/>
      <c r="L72" s="166">
        <f t="shared" si="15"/>
        <v>0</v>
      </c>
      <c r="O72" s="172">
        <f t="shared" si="16"/>
        <v>0</v>
      </c>
    </row>
    <row r="73" spans="1:15" ht="18.75" hidden="1" customHeight="1" x14ac:dyDescent="0.25">
      <c r="A73" s="37">
        <v>11</v>
      </c>
      <c r="B73" s="304"/>
      <c r="C73" s="304"/>
      <c r="D73" s="115"/>
      <c r="E73" s="305">
        <f t="shared" si="11"/>
        <v>109.9</v>
      </c>
      <c r="F73" s="102"/>
      <c r="G73" s="306">
        <f>IFERROR(SUM(DONNEES!$I$13+(DONNEES!$I$14*F73/E73)),0)</f>
        <v>0.15</v>
      </c>
      <c r="H73" s="307">
        <f t="shared" si="12"/>
        <v>0.15</v>
      </c>
      <c r="I73" s="308" t="str">
        <f t="shared" si="13"/>
        <v/>
      </c>
      <c r="J73" s="308" t="str">
        <f t="shared" si="14"/>
        <v/>
      </c>
      <c r="K73" s="107"/>
      <c r="L73" s="166">
        <f t="shared" si="15"/>
        <v>0</v>
      </c>
      <c r="O73" s="172">
        <f t="shared" si="16"/>
        <v>0</v>
      </c>
    </row>
    <row r="74" spans="1:15" ht="18.75" hidden="1" customHeight="1" x14ac:dyDescent="0.25">
      <c r="A74" s="37">
        <v>12</v>
      </c>
      <c r="B74" s="304"/>
      <c r="C74" s="304"/>
      <c r="D74" s="115"/>
      <c r="E74" s="305">
        <f t="shared" si="11"/>
        <v>109.9</v>
      </c>
      <c r="F74" s="102"/>
      <c r="G74" s="306">
        <f>IFERROR(SUM(DONNEES!$I$13+(DONNEES!$I$14*F74/E74)),0)</f>
        <v>0.15</v>
      </c>
      <c r="H74" s="307">
        <f t="shared" si="12"/>
        <v>0.15</v>
      </c>
      <c r="I74" s="308" t="str">
        <f t="shared" si="13"/>
        <v/>
      </c>
      <c r="J74" s="308" t="str">
        <f t="shared" si="14"/>
        <v/>
      </c>
      <c r="K74" s="107"/>
      <c r="L74" s="166">
        <f t="shared" si="15"/>
        <v>0</v>
      </c>
      <c r="O74" s="172">
        <f t="shared" si="16"/>
        <v>0</v>
      </c>
    </row>
    <row r="75" spans="1:15" ht="18.75" hidden="1" customHeight="1" x14ac:dyDescent="0.25">
      <c r="A75" s="37">
        <v>13</v>
      </c>
      <c r="B75" s="304"/>
      <c r="C75" s="304"/>
      <c r="D75" s="115"/>
      <c r="E75" s="305">
        <f t="shared" si="11"/>
        <v>109.9</v>
      </c>
      <c r="F75" s="102"/>
      <c r="G75" s="306">
        <f>IFERROR(SUM(DONNEES!$I$13+(DONNEES!$I$14*F75/E75)),0)</f>
        <v>0.15</v>
      </c>
      <c r="H75" s="307">
        <f t="shared" si="12"/>
        <v>0.15</v>
      </c>
      <c r="I75" s="308" t="str">
        <f t="shared" si="13"/>
        <v/>
      </c>
      <c r="J75" s="308" t="str">
        <f t="shared" si="14"/>
        <v/>
      </c>
      <c r="K75" s="107"/>
      <c r="L75" s="166">
        <f t="shared" si="15"/>
        <v>0</v>
      </c>
      <c r="O75" s="172">
        <f t="shared" si="16"/>
        <v>0</v>
      </c>
    </row>
    <row r="76" spans="1:15" ht="18.75" hidden="1" customHeight="1" x14ac:dyDescent="0.25">
      <c r="A76" s="37">
        <v>14</v>
      </c>
      <c r="B76" s="304"/>
      <c r="C76" s="304"/>
      <c r="D76" s="115"/>
      <c r="E76" s="305">
        <f t="shared" si="11"/>
        <v>109.9</v>
      </c>
      <c r="F76" s="102"/>
      <c r="G76" s="306">
        <f>IFERROR(SUM(DONNEES!$I$13+(DONNEES!$I$14*F76/E76)),0)</f>
        <v>0.15</v>
      </c>
      <c r="H76" s="307">
        <f t="shared" si="12"/>
        <v>0.15</v>
      </c>
      <c r="I76" s="308" t="str">
        <f t="shared" si="13"/>
        <v/>
      </c>
      <c r="J76" s="308" t="str">
        <f t="shared" si="14"/>
        <v/>
      </c>
      <c r="K76" s="107"/>
      <c r="L76" s="166">
        <f t="shared" si="15"/>
        <v>0</v>
      </c>
      <c r="O76" s="172">
        <f t="shared" si="16"/>
        <v>0</v>
      </c>
    </row>
    <row r="77" spans="1:15" ht="18.75" hidden="1" customHeight="1" x14ac:dyDescent="0.25">
      <c r="A77" s="37">
        <v>15</v>
      </c>
      <c r="B77" s="304"/>
      <c r="C77" s="304"/>
      <c r="D77" s="115"/>
      <c r="E77" s="305">
        <f t="shared" si="11"/>
        <v>109.9</v>
      </c>
      <c r="F77" s="102"/>
      <c r="G77" s="306">
        <f>IFERROR(SUM(DONNEES!$I$13+(DONNEES!$I$14*F77/E77)),0)</f>
        <v>0.15</v>
      </c>
      <c r="H77" s="307">
        <f t="shared" si="12"/>
        <v>0.15</v>
      </c>
      <c r="I77" s="308" t="str">
        <f t="shared" si="13"/>
        <v/>
      </c>
      <c r="J77" s="308" t="str">
        <f t="shared" si="14"/>
        <v/>
      </c>
      <c r="K77" s="107"/>
      <c r="L77" s="166">
        <f t="shared" si="15"/>
        <v>0</v>
      </c>
      <c r="O77" s="172">
        <f t="shared" si="16"/>
        <v>0</v>
      </c>
    </row>
    <row r="78" spans="1:15" ht="18.75" hidden="1" customHeight="1" x14ac:dyDescent="0.25">
      <c r="A78" s="37">
        <v>16</v>
      </c>
      <c r="B78" s="304"/>
      <c r="C78" s="304"/>
      <c r="D78" s="115"/>
      <c r="E78" s="305">
        <f t="shared" si="11"/>
        <v>109.9</v>
      </c>
      <c r="F78" s="102"/>
      <c r="G78" s="306">
        <f>IFERROR(SUM(DONNEES!$I$13+(DONNEES!$I$14*F78/E78)),0)</f>
        <v>0.15</v>
      </c>
      <c r="H78" s="307">
        <f t="shared" si="12"/>
        <v>0.15</v>
      </c>
      <c r="I78" s="308" t="str">
        <f t="shared" si="13"/>
        <v/>
      </c>
      <c r="J78" s="308" t="str">
        <f t="shared" si="14"/>
        <v/>
      </c>
      <c r="K78" s="107"/>
      <c r="L78" s="166">
        <f t="shared" si="15"/>
        <v>0</v>
      </c>
      <c r="O78" s="172">
        <f t="shared" si="16"/>
        <v>0</v>
      </c>
    </row>
    <row r="79" spans="1:15" ht="18.75" hidden="1" customHeight="1" x14ac:dyDescent="0.25">
      <c r="A79" s="37">
        <v>17</v>
      </c>
      <c r="B79" s="304"/>
      <c r="C79" s="304"/>
      <c r="D79" s="115"/>
      <c r="E79" s="305">
        <f t="shared" si="11"/>
        <v>109.9</v>
      </c>
      <c r="F79" s="102"/>
      <c r="G79" s="306">
        <f>IFERROR(SUM(DONNEES!$I$13+(DONNEES!$I$14*F79/E79)),0)</f>
        <v>0.15</v>
      </c>
      <c r="H79" s="307">
        <f t="shared" si="12"/>
        <v>0.15</v>
      </c>
      <c r="I79" s="308" t="str">
        <f t="shared" si="13"/>
        <v/>
      </c>
      <c r="J79" s="308" t="str">
        <f t="shared" si="14"/>
        <v/>
      </c>
      <c r="K79" s="107"/>
      <c r="L79" s="166">
        <f t="shared" si="15"/>
        <v>0</v>
      </c>
      <c r="O79" s="172">
        <f t="shared" si="16"/>
        <v>0</v>
      </c>
    </row>
    <row r="80" spans="1:15" ht="18.75" hidden="1" customHeight="1" x14ac:dyDescent="0.25">
      <c r="A80" s="37">
        <v>18</v>
      </c>
      <c r="B80" s="304"/>
      <c r="C80" s="304"/>
      <c r="D80" s="115"/>
      <c r="E80" s="305">
        <f t="shared" si="11"/>
        <v>109.9</v>
      </c>
      <c r="F80" s="102"/>
      <c r="G80" s="306">
        <f>IFERROR(SUM(DONNEES!$I$13+(DONNEES!$I$14*F80/E80)),0)</f>
        <v>0.15</v>
      </c>
      <c r="H80" s="307">
        <f t="shared" si="12"/>
        <v>0.15</v>
      </c>
      <c r="I80" s="308" t="str">
        <f t="shared" si="13"/>
        <v/>
      </c>
      <c r="J80" s="308" t="str">
        <f t="shared" si="14"/>
        <v/>
      </c>
      <c r="K80" s="107"/>
      <c r="L80" s="166">
        <f t="shared" si="15"/>
        <v>0</v>
      </c>
      <c r="O80" s="172">
        <f t="shared" si="16"/>
        <v>0</v>
      </c>
    </row>
    <row r="81" spans="1:15" ht="18.75" hidden="1" customHeight="1" x14ac:dyDescent="0.25">
      <c r="A81" s="37">
        <v>19</v>
      </c>
      <c r="B81" s="304"/>
      <c r="C81" s="304"/>
      <c r="D81" s="115"/>
      <c r="E81" s="305">
        <f t="shared" si="11"/>
        <v>109.9</v>
      </c>
      <c r="F81" s="102"/>
      <c r="G81" s="306">
        <f>IFERROR(SUM(DONNEES!$I$13+(DONNEES!$I$14*F81/E81)),0)</f>
        <v>0.15</v>
      </c>
      <c r="H81" s="307">
        <f t="shared" si="12"/>
        <v>0.15</v>
      </c>
      <c r="I81" s="308" t="str">
        <f t="shared" si="13"/>
        <v/>
      </c>
      <c r="J81" s="308" t="str">
        <f t="shared" si="14"/>
        <v/>
      </c>
      <c r="K81" s="107"/>
      <c r="L81" s="166">
        <f t="shared" si="15"/>
        <v>0</v>
      </c>
      <c r="O81" s="172">
        <f t="shared" si="16"/>
        <v>0</v>
      </c>
    </row>
    <row r="82" spans="1:15" ht="18.75" hidden="1" customHeight="1" x14ac:dyDescent="0.25">
      <c r="A82" s="37">
        <v>20</v>
      </c>
      <c r="B82" s="304"/>
      <c r="C82" s="304"/>
      <c r="D82" s="115"/>
      <c r="E82" s="305">
        <f t="shared" si="11"/>
        <v>109.9</v>
      </c>
      <c r="F82" s="102"/>
      <c r="G82" s="306">
        <f>IFERROR(SUM(DONNEES!$I$13+(DONNEES!$I$14*F82/E82)),0)</f>
        <v>0.15</v>
      </c>
      <c r="H82" s="307">
        <f t="shared" si="12"/>
        <v>0.15</v>
      </c>
      <c r="I82" s="308" t="str">
        <f t="shared" si="13"/>
        <v/>
      </c>
      <c r="J82" s="308" t="str">
        <f t="shared" si="14"/>
        <v/>
      </c>
      <c r="K82" s="107"/>
      <c r="L82" s="166">
        <f t="shared" si="15"/>
        <v>0</v>
      </c>
      <c r="O82" s="172">
        <f t="shared" si="16"/>
        <v>0</v>
      </c>
    </row>
    <row r="83" spans="1:15" ht="18.75" hidden="1" customHeight="1" x14ac:dyDescent="0.25">
      <c r="A83" s="37">
        <v>21</v>
      </c>
      <c r="B83" s="304"/>
      <c r="C83" s="304"/>
      <c r="D83" s="115"/>
      <c r="E83" s="305">
        <f t="shared" si="11"/>
        <v>109.9</v>
      </c>
      <c r="F83" s="102"/>
      <c r="G83" s="306">
        <f>IFERROR(SUM(DONNEES!$I$13+(DONNEES!$I$14*F83/E83)),0)</f>
        <v>0.15</v>
      </c>
      <c r="H83" s="307">
        <f t="shared" si="12"/>
        <v>0.15</v>
      </c>
      <c r="I83" s="308" t="str">
        <f t="shared" si="13"/>
        <v/>
      </c>
      <c r="J83" s="308" t="str">
        <f t="shared" si="14"/>
        <v/>
      </c>
      <c r="K83" s="107"/>
      <c r="L83" s="166">
        <f t="shared" si="15"/>
        <v>0</v>
      </c>
      <c r="O83" s="172">
        <f t="shared" si="16"/>
        <v>0</v>
      </c>
    </row>
    <row r="84" spans="1:15" ht="18.75" hidden="1" customHeight="1" x14ac:dyDescent="0.25">
      <c r="A84" s="37">
        <v>22</v>
      </c>
      <c r="B84" s="304"/>
      <c r="C84" s="304"/>
      <c r="D84" s="115"/>
      <c r="E84" s="305">
        <f t="shared" si="11"/>
        <v>109.9</v>
      </c>
      <c r="F84" s="102"/>
      <c r="G84" s="306">
        <f>IFERROR(SUM(DONNEES!$I$13+(DONNEES!$I$14*F84/E84)),0)</f>
        <v>0.15</v>
      </c>
      <c r="H84" s="307">
        <f t="shared" si="12"/>
        <v>0.15</v>
      </c>
      <c r="I84" s="308" t="str">
        <f t="shared" si="13"/>
        <v/>
      </c>
      <c r="J84" s="308" t="str">
        <f t="shared" si="14"/>
        <v/>
      </c>
      <c r="K84" s="107"/>
      <c r="L84" s="166">
        <f t="shared" si="15"/>
        <v>0</v>
      </c>
      <c r="O84" s="172">
        <f t="shared" si="16"/>
        <v>0</v>
      </c>
    </row>
    <row r="85" spans="1:15" ht="18.75" hidden="1" customHeight="1" x14ac:dyDescent="0.25">
      <c r="A85" s="37">
        <v>23</v>
      </c>
      <c r="B85" s="304"/>
      <c r="C85" s="304"/>
      <c r="D85" s="115"/>
      <c r="E85" s="305">
        <f t="shared" si="11"/>
        <v>109.9</v>
      </c>
      <c r="F85" s="102"/>
      <c r="G85" s="306">
        <f>IFERROR(SUM(DONNEES!$I$13+(DONNEES!$I$14*F85/E85)),0)</f>
        <v>0.15</v>
      </c>
      <c r="H85" s="307">
        <f t="shared" si="12"/>
        <v>0.15</v>
      </c>
      <c r="I85" s="308" t="str">
        <f t="shared" si="13"/>
        <v/>
      </c>
      <c r="J85" s="308" t="str">
        <f t="shared" si="14"/>
        <v/>
      </c>
      <c r="K85" s="107"/>
      <c r="L85" s="166">
        <f t="shared" si="15"/>
        <v>0</v>
      </c>
      <c r="O85" s="172">
        <f t="shared" si="16"/>
        <v>0</v>
      </c>
    </row>
    <row r="86" spans="1:15" ht="18.75" hidden="1" customHeight="1" x14ac:dyDescent="0.25">
      <c r="A86" s="37">
        <v>24</v>
      </c>
      <c r="B86" s="304"/>
      <c r="C86" s="304"/>
      <c r="D86" s="115"/>
      <c r="E86" s="305">
        <f t="shared" si="11"/>
        <v>109.9</v>
      </c>
      <c r="F86" s="102"/>
      <c r="G86" s="306">
        <f>IFERROR(SUM(DONNEES!$I$13+(DONNEES!$I$14*F86/E86)),0)</f>
        <v>0.15</v>
      </c>
      <c r="H86" s="307">
        <f t="shared" si="12"/>
        <v>0.15</v>
      </c>
      <c r="I86" s="308" t="str">
        <f t="shared" si="13"/>
        <v/>
      </c>
      <c r="J86" s="308" t="str">
        <f t="shared" si="14"/>
        <v/>
      </c>
      <c r="K86" s="107"/>
      <c r="L86" s="166">
        <f t="shared" si="15"/>
        <v>0</v>
      </c>
      <c r="O86" s="172">
        <f t="shared" si="16"/>
        <v>0</v>
      </c>
    </row>
    <row r="87" spans="1:15" ht="18.75" hidden="1" customHeight="1" x14ac:dyDescent="0.25">
      <c r="A87" s="37">
        <v>25</v>
      </c>
      <c r="B87" s="304"/>
      <c r="C87" s="304"/>
      <c r="D87" s="115"/>
      <c r="E87" s="305">
        <f t="shared" si="11"/>
        <v>109.9</v>
      </c>
      <c r="F87" s="102"/>
      <c r="G87" s="306">
        <f>IFERROR(SUM(DONNEES!$I$13+(DONNEES!$I$14*F87/E87)),0)</f>
        <v>0.15</v>
      </c>
      <c r="H87" s="307">
        <f t="shared" si="12"/>
        <v>0.15</v>
      </c>
      <c r="I87" s="308" t="str">
        <f t="shared" si="13"/>
        <v/>
      </c>
      <c r="J87" s="308" t="str">
        <f t="shared" si="14"/>
        <v/>
      </c>
      <c r="K87" s="107"/>
      <c r="L87" s="166">
        <f t="shared" si="15"/>
        <v>0</v>
      </c>
      <c r="O87" s="172">
        <f t="shared" si="16"/>
        <v>0</v>
      </c>
    </row>
    <row r="88" spans="1:15" ht="18.75" hidden="1" customHeight="1" x14ac:dyDescent="0.25">
      <c r="A88" s="37">
        <v>26</v>
      </c>
      <c r="B88" s="304"/>
      <c r="C88" s="304"/>
      <c r="D88" s="115"/>
      <c r="E88" s="305">
        <f t="shared" si="11"/>
        <v>109.9</v>
      </c>
      <c r="F88" s="102"/>
      <c r="G88" s="306">
        <f>IFERROR(SUM(DONNEES!$I$13+(DONNEES!$I$14*F88/E88)),0)</f>
        <v>0.15</v>
      </c>
      <c r="H88" s="307">
        <f t="shared" si="12"/>
        <v>0.15</v>
      </c>
      <c r="I88" s="308" t="str">
        <f t="shared" si="13"/>
        <v/>
      </c>
      <c r="J88" s="308" t="str">
        <f t="shared" si="14"/>
        <v/>
      </c>
      <c r="K88" s="107"/>
      <c r="L88" s="166">
        <f t="shared" si="15"/>
        <v>0</v>
      </c>
      <c r="O88" s="172">
        <f t="shared" si="16"/>
        <v>0</v>
      </c>
    </row>
    <row r="89" spans="1:15" ht="18.75" hidden="1" customHeight="1" x14ac:dyDescent="0.25">
      <c r="A89" s="37">
        <v>27</v>
      </c>
      <c r="B89" s="304"/>
      <c r="C89" s="304"/>
      <c r="D89" s="115"/>
      <c r="E89" s="305">
        <f t="shared" si="11"/>
        <v>109.9</v>
      </c>
      <c r="F89" s="102"/>
      <c r="G89" s="306">
        <f>IFERROR(SUM(DONNEES!$I$13+(DONNEES!$I$14*F89/E89)),0)</f>
        <v>0.15</v>
      </c>
      <c r="H89" s="307">
        <f t="shared" si="12"/>
        <v>0.15</v>
      </c>
      <c r="I89" s="308" t="str">
        <f t="shared" si="13"/>
        <v/>
      </c>
      <c r="J89" s="308" t="str">
        <f t="shared" si="14"/>
        <v/>
      </c>
      <c r="K89" s="107"/>
      <c r="L89" s="166">
        <f t="shared" si="15"/>
        <v>0</v>
      </c>
      <c r="O89" s="172">
        <f t="shared" si="16"/>
        <v>0</v>
      </c>
    </row>
    <row r="90" spans="1:15" ht="18.75" hidden="1" customHeight="1" x14ac:dyDescent="0.25">
      <c r="A90" s="37">
        <v>28</v>
      </c>
      <c r="B90" s="304"/>
      <c r="C90" s="304"/>
      <c r="D90" s="115"/>
      <c r="E90" s="305">
        <f t="shared" si="11"/>
        <v>109.9</v>
      </c>
      <c r="F90" s="102"/>
      <c r="G90" s="306">
        <f>IFERROR(SUM(DONNEES!$I$13+(DONNEES!$I$14*F90/E90)),0)</f>
        <v>0.15</v>
      </c>
      <c r="H90" s="307">
        <f t="shared" si="12"/>
        <v>0.15</v>
      </c>
      <c r="I90" s="308" t="str">
        <f t="shared" si="13"/>
        <v/>
      </c>
      <c r="J90" s="308" t="str">
        <f t="shared" si="14"/>
        <v/>
      </c>
      <c r="K90" s="107"/>
      <c r="L90" s="166">
        <f t="shared" si="15"/>
        <v>0</v>
      </c>
      <c r="O90" s="172">
        <f t="shared" si="16"/>
        <v>0</v>
      </c>
    </row>
    <row r="91" spans="1:15" ht="18.75" hidden="1" customHeight="1" x14ac:dyDescent="0.25">
      <c r="A91" s="37">
        <v>29</v>
      </c>
      <c r="B91" s="304"/>
      <c r="C91" s="304"/>
      <c r="D91" s="115"/>
      <c r="E91" s="305">
        <f t="shared" si="11"/>
        <v>109.9</v>
      </c>
      <c r="F91" s="102"/>
      <c r="G91" s="306">
        <f>IFERROR(SUM(DONNEES!$I$13+(DONNEES!$I$14*F91/E91)),0)</f>
        <v>0.15</v>
      </c>
      <c r="H91" s="307">
        <f t="shared" si="12"/>
        <v>0.15</v>
      </c>
      <c r="I91" s="308" t="str">
        <f t="shared" si="13"/>
        <v/>
      </c>
      <c r="J91" s="308" t="str">
        <f t="shared" si="14"/>
        <v/>
      </c>
      <c r="K91" s="107"/>
      <c r="L91" s="166">
        <f t="shared" si="15"/>
        <v>0</v>
      </c>
      <c r="O91" s="172">
        <f t="shared" si="16"/>
        <v>0</v>
      </c>
    </row>
    <row r="92" spans="1:15" ht="18.75" hidden="1" customHeight="1" x14ac:dyDescent="0.25">
      <c r="A92" s="37">
        <v>30</v>
      </c>
      <c r="B92" s="304"/>
      <c r="C92" s="304"/>
      <c r="D92" s="115"/>
      <c r="E92" s="305">
        <f t="shared" si="11"/>
        <v>109.9</v>
      </c>
      <c r="F92" s="102"/>
      <c r="G92" s="306">
        <f>IFERROR(SUM(DONNEES!$I$13+(DONNEES!$I$14*F92/E92)),0)</f>
        <v>0.15</v>
      </c>
      <c r="H92" s="307">
        <f t="shared" si="12"/>
        <v>0.15</v>
      </c>
      <c r="I92" s="308" t="str">
        <f t="shared" si="13"/>
        <v/>
      </c>
      <c r="J92" s="308" t="str">
        <f t="shared" si="14"/>
        <v/>
      </c>
      <c r="K92" s="107"/>
      <c r="L92" s="166">
        <f t="shared" si="15"/>
        <v>0</v>
      </c>
      <c r="O92" s="172">
        <f t="shared" si="16"/>
        <v>0</v>
      </c>
    </row>
    <row r="93" spans="1:15" ht="18.75" hidden="1" customHeight="1" x14ac:dyDescent="0.25">
      <c r="A93" s="37">
        <v>31</v>
      </c>
      <c r="B93" s="304"/>
      <c r="C93" s="304"/>
      <c r="D93" s="115"/>
      <c r="E93" s="305">
        <f t="shared" si="11"/>
        <v>109.9</v>
      </c>
      <c r="F93" s="102"/>
      <c r="G93" s="306">
        <f>IFERROR(SUM(DONNEES!$I$13+(DONNEES!$I$14*F93/E93)),0)</f>
        <v>0.15</v>
      </c>
      <c r="H93" s="307">
        <f t="shared" si="12"/>
        <v>0.15</v>
      </c>
      <c r="I93" s="308" t="str">
        <f t="shared" si="13"/>
        <v/>
      </c>
      <c r="J93" s="308" t="str">
        <f t="shared" si="14"/>
        <v/>
      </c>
      <c r="K93" s="107"/>
      <c r="L93" s="166">
        <f t="shared" si="15"/>
        <v>0</v>
      </c>
      <c r="O93" s="172">
        <f t="shared" si="16"/>
        <v>0</v>
      </c>
    </row>
    <row r="94" spans="1:15" ht="18.75" hidden="1" customHeight="1" x14ac:dyDescent="0.25">
      <c r="A94" s="37">
        <v>32</v>
      </c>
      <c r="B94" s="304"/>
      <c r="C94" s="304"/>
      <c r="D94" s="115"/>
      <c r="E94" s="305">
        <f t="shared" si="11"/>
        <v>109.9</v>
      </c>
      <c r="F94" s="102"/>
      <c r="G94" s="306">
        <f>IFERROR(SUM(DONNEES!$I$13+(DONNEES!$I$14*F94/E94)),0)</f>
        <v>0.15</v>
      </c>
      <c r="H94" s="307">
        <f t="shared" si="12"/>
        <v>0.15</v>
      </c>
      <c r="I94" s="308" t="str">
        <f t="shared" si="13"/>
        <v/>
      </c>
      <c r="J94" s="308" t="str">
        <f t="shared" si="14"/>
        <v/>
      </c>
      <c r="K94" s="107"/>
      <c r="L94" s="166">
        <f t="shared" si="15"/>
        <v>0</v>
      </c>
      <c r="O94" s="172">
        <f t="shared" si="16"/>
        <v>0</v>
      </c>
    </row>
    <row r="95" spans="1:15" ht="18.75" hidden="1" customHeight="1" x14ac:dyDescent="0.25">
      <c r="A95" s="37">
        <v>33</v>
      </c>
      <c r="B95" s="304"/>
      <c r="C95" s="304"/>
      <c r="D95" s="115"/>
      <c r="E95" s="305">
        <f t="shared" si="11"/>
        <v>109.9</v>
      </c>
      <c r="F95" s="102"/>
      <c r="G95" s="306">
        <f>IFERROR(SUM(DONNEES!$I$13+(DONNEES!$I$14*F95/E95)),0)</f>
        <v>0.15</v>
      </c>
      <c r="H95" s="307">
        <f t="shared" si="12"/>
        <v>0.15</v>
      </c>
      <c r="I95" s="308" t="str">
        <f t="shared" si="13"/>
        <v/>
      </c>
      <c r="J95" s="308" t="str">
        <f t="shared" si="14"/>
        <v/>
      </c>
      <c r="K95" s="107"/>
      <c r="L95" s="166">
        <f t="shared" si="15"/>
        <v>0</v>
      </c>
      <c r="O95" s="172">
        <f t="shared" si="16"/>
        <v>0</v>
      </c>
    </row>
    <row r="96" spans="1:15" ht="18.75" hidden="1" customHeight="1" x14ac:dyDescent="0.25">
      <c r="A96" s="37">
        <v>34</v>
      </c>
      <c r="B96" s="304"/>
      <c r="C96" s="304"/>
      <c r="D96" s="115"/>
      <c r="E96" s="305">
        <f t="shared" si="11"/>
        <v>109.9</v>
      </c>
      <c r="F96" s="102"/>
      <c r="G96" s="306">
        <f>IFERROR(SUM(DONNEES!$I$13+(DONNEES!$I$14*F96/E96)),0)</f>
        <v>0.15</v>
      </c>
      <c r="H96" s="307">
        <f t="shared" si="12"/>
        <v>0.15</v>
      </c>
      <c r="I96" s="308" t="str">
        <f t="shared" si="13"/>
        <v/>
      </c>
      <c r="J96" s="308" t="str">
        <f t="shared" si="14"/>
        <v/>
      </c>
      <c r="K96" s="107"/>
      <c r="L96" s="166">
        <f t="shared" si="15"/>
        <v>0</v>
      </c>
      <c r="O96" s="172">
        <f t="shared" si="16"/>
        <v>0</v>
      </c>
    </row>
    <row r="97" spans="1:15" ht="18.75" hidden="1" customHeight="1" x14ac:dyDescent="0.25">
      <c r="A97" s="37">
        <v>35</v>
      </c>
      <c r="B97" s="304"/>
      <c r="C97" s="304"/>
      <c r="D97" s="115"/>
      <c r="E97" s="305">
        <f t="shared" si="11"/>
        <v>109.9</v>
      </c>
      <c r="F97" s="102"/>
      <c r="G97" s="306">
        <f>IFERROR(SUM(DONNEES!$I$13+(DONNEES!$I$14*F97/E97)),0)</f>
        <v>0.15</v>
      </c>
      <c r="H97" s="307">
        <f t="shared" si="12"/>
        <v>0.15</v>
      </c>
      <c r="I97" s="308" t="str">
        <f t="shared" si="13"/>
        <v/>
      </c>
      <c r="J97" s="308" t="str">
        <f t="shared" si="14"/>
        <v/>
      </c>
      <c r="K97" s="107"/>
      <c r="L97" s="166">
        <f t="shared" si="15"/>
        <v>0</v>
      </c>
      <c r="O97" s="172">
        <f t="shared" si="16"/>
        <v>0</v>
      </c>
    </row>
    <row r="98" spans="1:15" ht="18.75" hidden="1" customHeight="1" x14ac:dyDescent="0.25">
      <c r="A98" s="37">
        <v>36</v>
      </c>
      <c r="B98" s="304"/>
      <c r="C98" s="304"/>
      <c r="D98" s="115"/>
      <c r="E98" s="305">
        <f t="shared" si="11"/>
        <v>109.9</v>
      </c>
      <c r="F98" s="102"/>
      <c r="G98" s="306">
        <f>IFERROR(SUM(DONNEES!$I$13+(DONNEES!$I$14*F98/E98)),0)</f>
        <v>0.15</v>
      </c>
      <c r="H98" s="307">
        <f t="shared" si="12"/>
        <v>0.15</v>
      </c>
      <c r="I98" s="308" t="str">
        <f t="shared" si="13"/>
        <v/>
      </c>
      <c r="J98" s="308" t="str">
        <f t="shared" si="14"/>
        <v/>
      </c>
      <c r="K98" s="107"/>
      <c r="L98" s="166">
        <f t="shared" si="15"/>
        <v>0</v>
      </c>
      <c r="O98" s="172">
        <f t="shared" si="16"/>
        <v>0</v>
      </c>
    </row>
    <row r="99" spans="1:15" ht="18.75" hidden="1" customHeight="1" x14ac:dyDescent="0.25">
      <c r="A99" s="37">
        <v>37</v>
      </c>
      <c r="B99" s="304"/>
      <c r="C99" s="304"/>
      <c r="D99" s="115"/>
      <c r="E99" s="305">
        <f t="shared" si="11"/>
        <v>109.9</v>
      </c>
      <c r="F99" s="102"/>
      <c r="G99" s="306">
        <f>IFERROR(SUM(DONNEES!$I$13+(DONNEES!$I$14*F99/E99)),0)</f>
        <v>0.15</v>
      </c>
      <c r="H99" s="307">
        <f t="shared" si="12"/>
        <v>0.15</v>
      </c>
      <c r="I99" s="308" t="str">
        <f t="shared" si="13"/>
        <v/>
      </c>
      <c r="J99" s="308" t="str">
        <f t="shared" si="14"/>
        <v/>
      </c>
      <c r="K99" s="107"/>
      <c r="L99" s="166">
        <f t="shared" si="15"/>
        <v>0</v>
      </c>
      <c r="O99" s="172">
        <f t="shared" si="16"/>
        <v>0</v>
      </c>
    </row>
    <row r="100" spans="1:15" ht="18.75" hidden="1" customHeight="1" x14ac:dyDescent="0.25">
      <c r="A100" s="37">
        <v>38</v>
      </c>
      <c r="B100" s="304"/>
      <c r="C100" s="304"/>
      <c r="D100" s="115"/>
      <c r="E100" s="305">
        <f t="shared" si="11"/>
        <v>109.9</v>
      </c>
      <c r="F100" s="102"/>
      <c r="G100" s="306">
        <f>IFERROR(SUM(DONNEES!$I$13+(DONNEES!$I$14*F100/E100)),0)</f>
        <v>0.15</v>
      </c>
      <c r="H100" s="307">
        <f t="shared" si="12"/>
        <v>0.15</v>
      </c>
      <c r="I100" s="308" t="str">
        <f t="shared" si="13"/>
        <v/>
      </c>
      <c r="J100" s="308" t="str">
        <f t="shared" si="14"/>
        <v/>
      </c>
      <c r="K100" s="107"/>
      <c r="L100" s="166">
        <f t="shared" si="15"/>
        <v>0</v>
      </c>
      <c r="O100" s="172">
        <f t="shared" si="16"/>
        <v>0</v>
      </c>
    </row>
    <row r="101" spans="1:15" ht="18.75" hidden="1" customHeight="1" x14ac:dyDescent="0.25">
      <c r="A101" s="37">
        <v>39</v>
      </c>
      <c r="B101" s="304"/>
      <c r="C101" s="304"/>
      <c r="D101" s="115"/>
      <c r="E101" s="305">
        <f t="shared" si="11"/>
        <v>109.9</v>
      </c>
      <c r="F101" s="102"/>
      <c r="G101" s="306">
        <f>IFERROR(SUM(DONNEES!$I$13+(DONNEES!$I$14*F101/E101)),0)</f>
        <v>0.15</v>
      </c>
      <c r="H101" s="307">
        <f t="shared" si="12"/>
        <v>0.15</v>
      </c>
      <c r="I101" s="308" t="str">
        <f t="shared" si="13"/>
        <v/>
      </c>
      <c r="J101" s="308" t="str">
        <f t="shared" si="14"/>
        <v/>
      </c>
      <c r="K101" s="107"/>
      <c r="L101" s="166">
        <f t="shared" si="15"/>
        <v>0</v>
      </c>
      <c r="O101" s="172">
        <f t="shared" si="16"/>
        <v>0</v>
      </c>
    </row>
    <row r="102" spans="1:15" ht="18.75" hidden="1" customHeight="1" thickBot="1" x14ac:dyDescent="0.25">
      <c r="A102" s="37">
        <v>40</v>
      </c>
      <c r="B102" s="304"/>
      <c r="C102" s="304"/>
      <c r="D102" s="115"/>
      <c r="E102" s="305">
        <f t="shared" si="11"/>
        <v>109.9</v>
      </c>
      <c r="F102" s="102"/>
      <c r="G102" s="306">
        <f>IFERROR(SUM(DONNEES!$I$13+(DONNEES!$I$14*F102/E102)),0)</f>
        <v>0.15</v>
      </c>
      <c r="H102" s="307">
        <f t="shared" si="12"/>
        <v>0.15</v>
      </c>
      <c r="I102" s="308" t="str">
        <f t="shared" si="13"/>
        <v/>
      </c>
      <c r="J102" s="308" t="str">
        <f t="shared" si="14"/>
        <v/>
      </c>
      <c r="K102" s="107"/>
      <c r="L102" s="166">
        <f t="shared" si="15"/>
        <v>0</v>
      </c>
      <c r="O102" s="172">
        <f t="shared" si="16"/>
        <v>0</v>
      </c>
    </row>
    <row r="103" spans="1:15" ht="13.5" thickBot="1" x14ac:dyDescent="0.25">
      <c r="A103" s="38" t="s">
        <v>169</v>
      </c>
      <c r="B103" s="39">
        <f>SUM(B63:B102)</f>
        <v>0</v>
      </c>
      <c r="C103" s="40">
        <f>SUM(C63:C102)</f>
        <v>0</v>
      </c>
      <c r="D103" s="41"/>
      <c r="E103" s="42"/>
      <c r="F103" s="43"/>
      <c r="H103" s="38" t="s">
        <v>169</v>
      </c>
      <c r="I103" s="39">
        <f>SUM(I63:I102)</f>
        <v>0</v>
      </c>
      <c r="J103" s="168">
        <f>SUM(J63:J102)</f>
        <v>0</v>
      </c>
      <c r="L103" s="167">
        <f>1</f>
        <v>1</v>
      </c>
    </row>
    <row r="104" spans="1:15" ht="13.5" thickBot="1" x14ac:dyDescent="0.25">
      <c r="A104" s="45" t="s">
        <v>170</v>
      </c>
      <c r="B104" s="46">
        <f>B103*20/100</f>
        <v>0</v>
      </c>
      <c r="C104" s="47">
        <f>C103*10/100</f>
        <v>0</v>
      </c>
      <c r="E104" s="48"/>
      <c r="F104" s="49"/>
      <c r="H104" s="45" t="s">
        <v>170</v>
      </c>
      <c r="I104" s="39">
        <f>I103*$I$6</f>
        <v>0</v>
      </c>
      <c r="J104" s="169">
        <f>J103*$J$6</f>
        <v>0</v>
      </c>
      <c r="L104" s="165">
        <f>1</f>
        <v>1</v>
      </c>
    </row>
    <row r="105" spans="1:15" ht="13.5" thickBot="1" x14ac:dyDescent="0.25">
      <c r="A105" s="45" t="s">
        <v>16</v>
      </c>
      <c r="B105" s="50">
        <f>B103+B104</f>
        <v>0</v>
      </c>
      <c r="C105" s="51">
        <f>SUM(C103:C104)</f>
        <v>0</v>
      </c>
      <c r="E105" s="48"/>
      <c r="F105" s="49"/>
      <c r="H105" s="45" t="s">
        <v>16</v>
      </c>
      <c r="I105" s="39">
        <f>SUM(I103:I104)</f>
        <v>0</v>
      </c>
      <c r="J105" s="169">
        <f>SUM(J103:J104)</f>
        <v>0</v>
      </c>
      <c r="L105" s="165">
        <f>1</f>
        <v>1</v>
      </c>
    </row>
    <row r="106" spans="1:15" ht="13.5" thickBot="1" x14ac:dyDescent="0.25">
      <c r="A106" s="61"/>
      <c r="H106" s="45" t="s">
        <v>313</v>
      </c>
      <c r="I106" s="39">
        <f>('CPP TITULAIRE-ST'!F182*I62)+'CPP TITULAIRE-ST'!F182</f>
        <v>0</v>
      </c>
      <c r="J106" s="169">
        <f>('CPP TITULAIRE-ST'!G182*J62)+'CPP TITULAIRE-ST'!G182</f>
        <v>0</v>
      </c>
    </row>
    <row r="107" spans="1:15" ht="13.5" thickBot="1" x14ac:dyDescent="0.25">
      <c r="A107" s="53" t="s">
        <v>171</v>
      </c>
      <c r="B107" s="53"/>
      <c r="D107" s="54" t="s">
        <v>172</v>
      </c>
      <c r="H107" s="45" t="s">
        <v>476</v>
      </c>
      <c r="I107" s="39">
        <f>(I105-I106)/(1+(I62))</f>
        <v>0</v>
      </c>
      <c r="J107" s="170">
        <f>(J105-J106)/(1+(J62))</f>
        <v>0</v>
      </c>
    </row>
    <row r="108" spans="1:15" x14ac:dyDescent="0.2">
      <c r="A108" s="61"/>
    </row>
    <row r="109" spans="1:15" x14ac:dyDescent="0.2">
      <c r="A109" s="61"/>
    </row>
    <row r="110" spans="1:15" x14ac:dyDescent="0.2">
      <c r="A110" s="61"/>
    </row>
    <row r="111" spans="1:15" x14ac:dyDescent="0.2">
      <c r="A111" s="61">
        <f>DONNEES!E12</f>
        <v>0</v>
      </c>
    </row>
    <row r="112" spans="1:15" x14ac:dyDescent="0.2">
      <c r="A112" s="61"/>
    </row>
    <row r="113" spans="1:1" x14ac:dyDescent="0.2">
      <c r="A113" s="61"/>
    </row>
    <row r="114" spans="1:1" x14ac:dyDescent="0.2">
      <c r="A114" s="61"/>
    </row>
    <row r="115" spans="1:1" x14ac:dyDescent="0.2">
      <c r="A115" s="61"/>
    </row>
    <row r="116" spans="1:1" x14ac:dyDescent="0.2">
      <c r="A116" s="61"/>
    </row>
    <row r="117" spans="1:1" x14ac:dyDescent="0.2">
      <c r="A117" s="61"/>
    </row>
    <row r="118" spans="1:1" x14ac:dyDescent="0.2">
      <c r="A118" s="61"/>
    </row>
    <row r="119" spans="1:1" x14ac:dyDescent="0.2">
      <c r="A119" s="61"/>
    </row>
    <row r="120" spans="1:1" x14ac:dyDescent="0.2">
      <c r="A120" s="61"/>
    </row>
    <row r="121" spans="1:1" x14ac:dyDescent="0.2">
      <c r="A121" s="61"/>
    </row>
    <row r="122" spans="1:1" x14ac:dyDescent="0.2">
      <c r="A122" s="61"/>
    </row>
    <row r="123" spans="1:1" x14ac:dyDescent="0.2">
      <c r="A123" s="61"/>
    </row>
    <row r="124" spans="1:1" x14ac:dyDescent="0.2">
      <c r="A124" s="61"/>
    </row>
    <row r="125" spans="1:1" x14ac:dyDescent="0.2">
      <c r="A125" s="61"/>
    </row>
    <row r="126" spans="1:1" x14ac:dyDescent="0.2">
      <c r="A126" s="61"/>
    </row>
    <row r="127" spans="1:1" x14ac:dyDescent="0.2">
      <c r="A127" s="61"/>
    </row>
    <row r="128" spans="1:1" x14ac:dyDescent="0.2">
      <c r="A128" s="61"/>
    </row>
    <row r="129" spans="1:1" x14ac:dyDescent="0.2">
      <c r="A129" s="61"/>
    </row>
    <row r="130" spans="1:1" x14ac:dyDescent="0.2">
      <c r="A130" s="61"/>
    </row>
    <row r="131" spans="1:1" x14ac:dyDescent="0.2">
      <c r="A131" s="61"/>
    </row>
    <row r="132" spans="1:1" x14ac:dyDescent="0.2">
      <c r="A132" s="61"/>
    </row>
    <row r="133" spans="1:1" x14ac:dyDescent="0.2">
      <c r="A133" s="61"/>
    </row>
    <row r="134" spans="1:1" x14ac:dyDescent="0.2">
      <c r="A134" s="61"/>
    </row>
    <row r="135" spans="1:1" x14ac:dyDescent="0.2">
      <c r="A135" s="61"/>
    </row>
    <row r="136" spans="1:1" x14ac:dyDescent="0.2">
      <c r="A136" s="61"/>
    </row>
    <row r="137" spans="1:1" x14ac:dyDescent="0.2">
      <c r="A137" s="61"/>
    </row>
    <row r="138" spans="1:1" x14ac:dyDescent="0.2">
      <c r="A138" s="61"/>
    </row>
    <row r="139" spans="1:1" x14ac:dyDescent="0.2">
      <c r="A139" s="61"/>
    </row>
    <row r="140" spans="1:1" x14ac:dyDescent="0.2">
      <c r="A140" s="61"/>
    </row>
    <row r="141" spans="1:1" x14ac:dyDescent="0.2">
      <c r="A141" s="61"/>
    </row>
    <row r="142" spans="1:1" x14ac:dyDescent="0.2">
      <c r="A142" s="61"/>
    </row>
    <row r="143" spans="1:1" x14ac:dyDescent="0.2">
      <c r="A143" s="61"/>
    </row>
    <row r="144" spans="1:1" x14ac:dyDescent="0.2">
      <c r="A144" s="61"/>
    </row>
    <row r="145" spans="1:1" x14ac:dyDescent="0.2">
      <c r="A145" s="61"/>
    </row>
    <row r="146" spans="1:1" x14ac:dyDescent="0.2">
      <c r="A146" s="61"/>
    </row>
    <row r="147" spans="1:1" x14ac:dyDescent="0.2">
      <c r="A147" s="61"/>
    </row>
    <row r="148" spans="1:1" x14ac:dyDescent="0.2">
      <c r="A148" s="61"/>
    </row>
    <row r="149" spans="1:1" x14ac:dyDescent="0.2">
      <c r="A149" s="61"/>
    </row>
    <row r="150" spans="1:1" x14ac:dyDescent="0.2">
      <c r="A150" s="61"/>
    </row>
    <row r="151" spans="1:1" x14ac:dyDescent="0.2">
      <c r="A151" s="61"/>
    </row>
    <row r="152" spans="1:1" x14ac:dyDescent="0.2">
      <c r="A152" s="61"/>
    </row>
    <row r="153" spans="1:1" x14ac:dyDescent="0.2">
      <c r="A153" s="61"/>
    </row>
    <row r="154" spans="1:1" x14ac:dyDescent="0.2">
      <c r="A154" s="61"/>
    </row>
    <row r="155" spans="1:1" x14ac:dyDescent="0.2">
      <c r="A155" s="61"/>
    </row>
    <row r="156" spans="1:1" x14ac:dyDescent="0.2">
      <c r="A156" s="61"/>
    </row>
    <row r="157" spans="1:1" x14ac:dyDescent="0.2">
      <c r="A157" s="61"/>
    </row>
  </sheetData>
  <sheetProtection algorithmName="SHA-512" hashValue="DcOTm6RAN6Q3d6do+pj4Oi0KbbOhjyAViJmfDIbDhuFDhpOQ5JHGSaXDNrQLw4tiGh4ztUI442T2obksWgr9VA==" saltValue="l1QzRECYSCF3K9uR3rij6Q==" spinCount="100000" sheet="1" objects="1" scenarios="1" autoFilter="0"/>
  <mergeCells count="14">
    <mergeCell ref="H61:H62"/>
    <mergeCell ref="A61:A62"/>
    <mergeCell ref="D61:D62"/>
    <mergeCell ref="E61:E62"/>
    <mergeCell ref="F61:F62"/>
    <mergeCell ref="G61:G62"/>
    <mergeCell ref="A1:J1"/>
    <mergeCell ref="A59:J59"/>
    <mergeCell ref="A5:A6"/>
    <mergeCell ref="D5:D6"/>
    <mergeCell ref="E5:E6"/>
    <mergeCell ref="F5:F6"/>
    <mergeCell ref="G5:G6"/>
    <mergeCell ref="H5:H6"/>
  </mergeCells>
  <printOptions horizontalCentered="1"/>
  <pageMargins left="0.39374999999999999" right="0.31527777777777777" top="1.3402777777777779" bottom="0.39374999999999999" header="0.51180555555555562" footer="0.51180555555555562"/>
  <pageSetup paperSize="9" scale="77" firstPageNumber="0" orientation="landscape" r:id="rId1"/>
  <headerFooter alignWithMargins="0">
    <oddHeader>&amp;CREVISIONS</oddHeader>
  </headerFooter>
  <rowBreaks count="2" manualBreakCount="2">
    <brk id="25" max="10" man="1"/>
    <brk id="55" max="10" man="1"/>
  </rowBreaks>
  <tableParts count="2">
    <tablePart r:id="rId2"/>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LISTES!$I$1:$I$2</xm:f>
          </x14:formula1>
          <xm:sqref>K7:K46 K63:K102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31</vt:i4>
      </vt:variant>
    </vt:vector>
  </HeadingPairs>
  <TitlesOfParts>
    <vt:vector size="38" baseType="lpstr">
      <vt:lpstr>LISTES</vt:lpstr>
      <vt:lpstr>LANCEMENT</vt:lpstr>
      <vt:lpstr>MODE EMPLOI</vt:lpstr>
      <vt:lpstr>DONNEES</vt:lpstr>
      <vt:lpstr>TRI</vt:lpstr>
      <vt:lpstr>CPP TITULAIRE-ST</vt:lpstr>
      <vt:lpstr>REVISION</vt:lpstr>
      <vt:lpstr>_16</vt:lpstr>
      <vt:lpstr>_17</vt:lpstr>
      <vt:lpstr>_19</vt:lpstr>
      <vt:lpstr>_23</vt:lpstr>
      <vt:lpstr>_79</vt:lpstr>
      <vt:lpstr>_86</vt:lpstr>
      <vt:lpstr>_87</vt:lpstr>
      <vt:lpstr>Bâtiments_Régionaux</vt:lpstr>
      <vt:lpstr>CFA</vt:lpstr>
      <vt:lpstr>COTRAITANT_1_Tranche_FERME</vt:lpstr>
      <vt:lpstr>COTRAITANT_1_Tranche_OPTIONNELLE_1</vt:lpstr>
      <vt:lpstr>COTRAITANT_1_Tranche_OPTIONNELLE_2</vt:lpstr>
      <vt:lpstr>COTRAITANT_1_Tranche_OPTIONNELLE_3</vt:lpstr>
      <vt:lpstr>COTRAITANT_1_Tranche_OPTIONNELLE_4</vt:lpstr>
      <vt:lpstr>COTRAITANT_1_Tranche_OPTIONNELLE_5</vt:lpstr>
      <vt:lpstr>COTRAITANT_1_Tranche_OPTIONNELLE_6</vt:lpstr>
      <vt:lpstr>FORUMULEREV</vt:lpstr>
      <vt:lpstr>LYCEES</vt:lpstr>
      <vt:lpstr>LYCEES1</vt:lpstr>
      <vt:lpstr>RESTITUTION</vt:lpstr>
      <vt:lpstr>Titulaire_Tranche_FERME</vt:lpstr>
      <vt:lpstr>Titulaire_Tranche_OPTIIONNELLE_4</vt:lpstr>
      <vt:lpstr>Titulaire_Tranche_OPTIONNELLE_1</vt:lpstr>
      <vt:lpstr>Titulaire_Tranche_OPTIONNELLE_2</vt:lpstr>
      <vt:lpstr>Titulaire_Tranche_OPTIONNELLE_3</vt:lpstr>
      <vt:lpstr>Titulaire_Tranche_OPTIONNELLE_5</vt:lpstr>
      <vt:lpstr>Titulaire_Tranche_OPTIONNELLE_6</vt:lpstr>
      <vt:lpstr>'CPP TITULAIRE-ST'!Zone_d_impression</vt:lpstr>
      <vt:lpstr>DONNEES!Zone_d_impression</vt:lpstr>
      <vt:lpstr>'MODE EMPLOI'!Zone_d_impression</vt:lpstr>
      <vt:lpstr>REVISION!Zone_d_impression</vt:lpstr>
    </vt:vector>
  </TitlesOfParts>
  <Company>Région Nouvelle-Aquitaine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SARRAZIN David</dc:creator>
  <cp:lastModifiedBy>David SARRAZIN</cp:lastModifiedBy>
  <cp:lastPrinted>2020-02-08T14:57:06Z</cp:lastPrinted>
  <dcterms:created xsi:type="dcterms:W3CDTF">2018-07-20T08:43:04Z</dcterms:created>
  <dcterms:modified xsi:type="dcterms:W3CDTF">2020-02-08T15:09:37Z</dcterms:modified>
</cp:coreProperties>
</file>