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filterPrivacy="1" codeName="ThisWorkbook" defaultThemeVersion="124226"/>
  <bookViews>
    <workbookView xWindow="5220" yWindow="0" windowWidth="17832" windowHeight="9216" tabRatio="825"/>
  </bookViews>
  <sheets>
    <sheet name="Actif-Passif-Encours" sheetId="1" r:id="rId1"/>
    <sheet name="Historique Recettes" sheetId="6" r:id="rId2"/>
    <sheet name="PEA" sheetId="14" r:id="rId3"/>
    <sheet name="Solde Général" sheetId="7" r:id="rId4"/>
    <sheet name="Détail Passif" sheetId="4" r:id="rId5"/>
    <sheet name="Projets" sheetId="3" r:id="rId6"/>
    <sheet name="Litiges" sheetId="8" r:id="rId7"/>
    <sheet name="Trame vierge Solde Général" sheetId="10" r:id="rId8"/>
    <sheet name="Procédures périmées 1" sheetId="5" r:id="rId9"/>
    <sheet name="Procédures périmées 2" sheetId="13" r:id="rId10"/>
    <sheet name="Détail Encours" sheetId="2" r:id="rId11"/>
  </sheets>
  <definedNames>
    <definedName name="_xlnm._FilterDatabase" localSheetId="0" hidden="1">'Actif-Passif-Encours'!$A$27:$AC$57</definedName>
    <definedName name="_xlnm.Print_Titles" localSheetId="0">'Actif-Passif-Encours'!$2:$5</definedName>
    <definedName name="_xlnm.Print_Titles" localSheetId="10">'Détail Encours'!$1:$2</definedName>
    <definedName name="_xlnm.Print_Titles" localSheetId="5">Projets!$1:$1</definedName>
    <definedName name="_xlnm.Print_Area" localSheetId="0">'Actif-Passif-Encours'!$A$2:$X$38</definedName>
    <definedName name="_xlnm.Print_Area" localSheetId="9">'Procédures périmées 2'!$A$2:$J$53</definedName>
    <definedName name="_xlnm.Print_Area" localSheetId="7">'Trame vierge Solde Général'!$C$5:$T$32</definedName>
  </definedNames>
  <calcPr calcId="124519"/>
  <fileRecoveryPr autoRecover="0"/>
</workbook>
</file>

<file path=xl/calcChain.xml><?xml version="1.0" encoding="utf-8"?>
<calcChain xmlns="http://schemas.openxmlformats.org/spreadsheetml/2006/main">
  <c r="K38" i="1"/>
  <c r="P38"/>
  <c r="U38" s="1"/>
  <c r="Q38"/>
  <c r="S38"/>
  <c r="V38"/>
  <c r="W38"/>
  <c r="K37"/>
  <c r="P37"/>
  <c r="U37" s="1"/>
  <c r="Q37"/>
  <c r="S37"/>
  <c r="V37"/>
  <c r="W37"/>
  <c r="K39" l="1"/>
  <c r="P39"/>
  <c r="Q39"/>
  <c r="S39"/>
  <c r="V39"/>
  <c r="W39"/>
  <c r="K40"/>
  <c r="P40"/>
  <c r="Q40"/>
  <c r="S40"/>
  <c r="V40"/>
  <c r="W40"/>
  <c r="K41"/>
  <c r="P41"/>
  <c r="Q41"/>
  <c r="S41"/>
  <c r="V41"/>
  <c r="W41"/>
  <c r="U39" l="1"/>
  <c r="U41"/>
  <c r="U40"/>
  <c r="AB39" i="7"/>
  <c r="K42" i="1" l="1"/>
  <c r="P42"/>
  <c r="Q42"/>
  <c r="S42"/>
  <c r="V42"/>
  <c r="W42"/>
  <c r="K43"/>
  <c r="P43"/>
  <c r="Q43"/>
  <c r="S43"/>
  <c r="V43"/>
  <c r="W43"/>
  <c r="U42" l="1"/>
  <c r="U43"/>
  <c r="U125"/>
  <c r="AB38" i="7"/>
  <c r="E1" i="1"/>
  <c r="D1"/>
  <c r="N3" i="7" l="1"/>
  <c r="K44" i="1" l="1"/>
  <c r="P44"/>
  <c r="Q44"/>
  <c r="V44"/>
  <c r="W44"/>
  <c r="K45"/>
  <c r="P45"/>
  <c r="Q45"/>
  <c r="V45"/>
  <c r="W45"/>
  <c r="V30" l="1"/>
  <c r="W30"/>
  <c r="V31"/>
  <c r="W31"/>
  <c r="V32"/>
  <c r="W32"/>
  <c r="V33"/>
  <c r="W33"/>
  <c r="V34"/>
  <c r="W34"/>
  <c r="V35"/>
  <c r="W35"/>
  <c r="V36"/>
  <c r="W36"/>
  <c r="V46"/>
  <c r="W46"/>
  <c r="X46"/>
  <c r="V47"/>
  <c r="W47"/>
  <c r="X47"/>
  <c r="S29"/>
  <c r="U29"/>
  <c r="S30"/>
  <c r="U30"/>
  <c r="S31"/>
  <c r="U31"/>
  <c r="S32"/>
  <c r="S33"/>
  <c r="S34"/>
  <c r="S35"/>
  <c r="S36"/>
  <c r="T46"/>
  <c r="U46"/>
  <c r="T47"/>
  <c r="U47"/>
  <c r="P30"/>
  <c r="Q30"/>
  <c r="P31"/>
  <c r="Q31"/>
  <c r="P32"/>
  <c r="Q32"/>
  <c r="P33"/>
  <c r="Q33"/>
  <c r="P34"/>
  <c r="Q34"/>
  <c r="P35"/>
  <c r="Q35"/>
  <c r="P36"/>
  <c r="Q36"/>
  <c r="P46"/>
  <c r="Q46"/>
  <c r="P47"/>
  <c r="Q47"/>
  <c r="K30"/>
  <c r="K31"/>
  <c r="K32"/>
  <c r="K33"/>
  <c r="K34"/>
  <c r="K35"/>
  <c r="K36"/>
  <c r="K46"/>
  <c r="K47"/>
  <c r="U34" l="1"/>
  <c r="U33"/>
  <c r="U35"/>
  <c r="U36"/>
  <c r="U32"/>
  <c r="K29" l="1"/>
  <c r="W29"/>
  <c r="V29"/>
  <c r="Q29"/>
  <c r="P29"/>
  <c r="P63"/>
  <c r="Q63"/>
  <c r="P64"/>
  <c r="Q64"/>
  <c r="P65"/>
  <c r="Q65"/>
  <c r="P66"/>
  <c r="Q66"/>
  <c r="P67"/>
  <c r="Q67"/>
  <c r="P68"/>
  <c r="Q68"/>
  <c r="P69"/>
  <c r="Q69"/>
  <c r="P70"/>
  <c r="Q70"/>
  <c r="P71"/>
  <c r="Q71"/>
  <c r="P72"/>
  <c r="Q72"/>
  <c r="P73"/>
  <c r="Q73"/>
  <c r="P74"/>
  <c r="Q74"/>
  <c r="P75"/>
  <c r="Q75"/>
  <c r="P76"/>
  <c r="Q76"/>
  <c r="P77"/>
  <c r="Q77"/>
  <c r="P78"/>
  <c r="Q78"/>
  <c r="P79"/>
  <c r="Q79"/>
  <c r="P80"/>
  <c r="Q80"/>
  <c r="P81"/>
  <c r="Q81"/>
  <c r="P82"/>
  <c r="Q82"/>
  <c r="P83"/>
  <c r="Q83"/>
  <c r="P84"/>
  <c r="Q84"/>
  <c r="P85"/>
  <c r="Q85"/>
  <c r="P86"/>
  <c r="Q86"/>
  <c r="P87"/>
  <c r="Q87"/>
  <c r="P88"/>
  <c r="Q88"/>
  <c r="Q62"/>
  <c r="P62"/>
  <c r="T38" l="1"/>
  <c r="X38"/>
  <c r="T37"/>
  <c r="X37"/>
  <c r="X39"/>
  <c r="T39"/>
  <c r="T40"/>
  <c r="T41"/>
  <c r="X40"/>
  <c r="X41"/>
  <c r="X43"/>
  <c r="X42"/>
  <c r="T43"/>
  <c r="T42"/>
  <c r="X45"/>
  <c r="X44"/>
  <c r="T45"/>
  <c r="T44"/>
  <c r="X31"/>
  <c r="X36"/>
  <c r="X32"/>
  <c r="X30"/>
  <c r="X35"/>
  <c r="X34"/>
  <c r="X33"/>
  <c r="T32"/>
  <c r="T29"/>
  <c r="T34"/>
  <c r="T35"/>
  <c r="T31"/>
  <c r="T33"/>
  <c r="T36"/>
  <c r="T30"/>
  <c r="F3" i="7" l="1"/>
  <c r="L3"/>
  <c r="S28" i="1"/>
  <c r="J3" i="7" l="1"/>
  <c r="X121" i="1"/>
  <c r="R35" i="7" l="1"/>
  <c r="U35" s="1"/>
  <c r="AB37"/>
  <c r="Q129" i="1"/>
  <c r="B80" i="6"/>
  <c r="D80" s="1"/>
  <c r="B79"/>
  <c r="D79" s="1"/>
  <c r="B78"/>
  <c r="D78" s="1"/>
  <c r="B77"/>
  <c r="D77" s="1"/>
  <c r="B76"/>
  <c r="D76" s="1"/>
  <c r="D4"/>
  <c r="D5"/>
  <c r="D6"/>
  <c r="D7"/>
  <c r="D8"/>
  <c r="C81"/>
  <c r="C73"/>
  <c r="C65"/>
  <c r="C57"/>
  <c r="C49"/>
  <c r="C41"/>
  <c r="C33"/>
  <c r="C25"/>
  <c r="C17"/>
  <c r="C9"/>
  <c r="B9"/>
  <c r="B16"/>
  <c r="D16" s="1"/>
  <c r="B15"/>
  <c r="D15" s="1"/>
  <c r="B14"/>
  <c r="D14" s="1"/>
  <c r="B13"/>
  <c r="D13" s="1"/>
  <c r="B12"/>
  <c r="D12" s="1"/>
  <c r="B11"/>
  <c r="B24"/>
  <c r="D24" s="1"/>
  <c r="B22"/>
  <c r="D22" s="1"/>
  <c r="B23"/>
  <c r="D23" s="1"/>
  <c r="B21"/>
  <c r="D21" s="1"/>
  <c r="B20"/>
  <c r="D20" s="1"/>
  <c r="B19"/>
  <c r="B40"/>
  <c r="D40" s="1"/>
  <c r="B39"/>
  <c r="D39" s="1"/>
  <c r="B38"/>
  <c r="D38" s="1"/>
  <c r="B37"/>
  <c r="D37" s="1"/>
  <c r="B36"/>
  <c r="D36" s="1"/>
  <c r="B35"/>
  <c r="B75"/>
  <c r="B72"/>
  <c r="D72" s="1"/>
  <c r="B71"/>
  <c r="D71" s="1"/>
  <c r="B70"/>
  <c r="D70" s="1"/>
  <c r="B69"/>
  <c r="D69" s="1"/>
  <c r="B68"/>
  <c r="D68" s="1"/>
  <c r="B67"/>
  <c r="B64"/>
  <c r="D64" s="1"/>
  <c r="B63"/>
  <c r="D63" s="1"/>
  <c r="B62"/>
  <c r="D62" s="1"/>
  <c r="B61"/>
  <c r="D61" s="1"/>
  <c r="B60"/>
  <c r="D60" s="1"/>
  <c r="B59"/>
  <c r="B56"/>
  <c r="D56" s="1"/>
  <c r="B55"/>
  <c r="D55" s="1"/>
  <c r="B54"/>
  <c r="D54" s="1"/>
  <c r="B53"/>
  <c r="D53" s="1"/>
  <c r="B52"/>
  <c r="D52" s="1"/>
  <c r="B51"/>
  <c r="B48"/>
  <c r="D48" s="1"/>
  <c r="B47"/>
  <c r="D47" s="1"/>
  <c r="B46"/>
  <c r="D46" s="1"/>
  <c r="B45"/>
  <c r="D45" s="1"/>
  <c r="B44"/>
  <c r="D44" s="1"/>
  <c r="B43"/>
  <c r="B29"/>
  <c r="D29" s="1"/>
  <c r="B30"/>
  <c r="D30" s="1"/>
  <c r="B31"/>
  <c r="D31" s="1"/>
  <c r="B32"/>
  <c r="D32" s="1"/>
  <c r="B27"/>
  <c r="B28"/>
  <c r="D28" s="1"/>
  <c r="W121" i="1"/>
  <c r="R38" i="7"/>
  <c r="U38" s="1"/>
  <c r="R39"/>
  <c r="U39" s="1"/>
  <c r="R40"/>
  <c r="U40" s="1"/>
  <c r="Z40" s="1"/>
  <c r="R41"/>
  <c r="U41" s="1"/>
  <c r="Z41" s="1"/>
  <c r="R42"/>
  <c r="U42" s="1"/>
  <c r="W42" s="1"/>
  <c r="R43"/>
  <c r="U43" s="1"/>
  <c r="Z43" s="1"/>
  <c r="R44"/>
  <c r="U44" s="1"/>
  <c r="W44" s="1"/>
  <c r="R45"/>
  <c r="U45" s="1"/>
  <c r="Z45" s="1"/>
  <c r="R46"/>
  <c r="U46" s="1"/>
  <c r="Z46" s="1"/>
  <c r="R47"/>
  <c r="U47" s="1"/>
  <c r="Z47" s="1"/>
  <c r="AA45"/>
  <c r="AA44"/>
  <c r="AA43"/>
  <c r="AA42"/>
  <c r="AA41"/>
  <c r="AA40"/>
  <c r="AA39"/>
  <c r="AA38"/>
  <c r="AA37"/>
  <c r="AB36"/>
  <c r="R36"/>
  <c r="U36" s="1"/>
  <c r="A3" i="1"/>
  <c r="A4" s="1"/>
  <c r="A2"/>
  <c r="AB35" i="7"/>
  <c r="AB34"/>
  <c r="AA36"/>
  <c r="AA35"/>
  <c r="AA34"/>
  <c r="R33"/>
  <c r="R37"/>
  <c r="U37" s="1"/>
  <c r="R34"/>
  <c r="U34" s="1"/>
  <c r="AA48"/>
  <c r="W122" i="1" l="1"/>
  <c r="B81" i="6"/>
  <c r="D9"/>
  <c r="E9" s="1"/>
  <c r="B33"/>
  <c r="B17"/>
  <c r="B49"/>
  <c r="B25"/>
  <c r="D65"/>
  <c r="D33"/>
  <c r="B57"/>
  <c r="D73"/>
  <c r="D41"/>
  <c r="D49"/>
  <c r="D57"/>
  <c r="B41"/>
  <c r="B73"/>
  <c r="D81"/>
  <c r="E81" s="1"/>
  <c r="B65"/>
  <c r="D25"/>
  <c r="D17"/>
  <c r="W38" i="7"/>
  <c r="W46"/>
  <c r="W40"/>
  <c r="Z44"/>
  <c r="Z42"/>
  <c r="W47"/>
  <c r="W45"/>
  <c r="W43"/>
  <c r="W41"/>
  <c r="W39"/>
  <c r="E17" i="6" l="1"/>
  <c r="E25" s="1"/>
  <c r="E33" s="1"/>
  <c r="E41" s="1"/>
  <c r="E49" s="1"/>
  <c r="E57" s="1"/>
  <c r="E65" s="1"/>
  <c r="E73" s="1"/>
  <c r="R32" i="7" l="1"/>
  <c r="X103" i="1" l="1"/>
  <c r="AB32" i="7"/>
  <c r="S3" l="1"/>
  <c r="U32"/>
  <c r="U33"/>
  <c r="Z34" l="1"/>
  <c r="X33"/>
  <c r="Z38"/>
  <c r="Z39"/>
  <c r="Z35"/>
  <c r="Z36"/>
  <c r="Z37"/>
  <c r="X3" i="1"/>
  <c r="P3" i="7"/>
  <c r="AA10"/>
  <c r="AB10"/>
  <c r="AA11"/>
  <c r="AB11"/>
  <c r="AA12"/>
  <c r="AB12"/>
  <c r="AA13"/>
  <c r="AB13"/>
  <c r="AA14"/>
  <c r="AB14"/>
  <c r="AA15"/>
  <c r="AB15"/>
  <c r="AA16"/>
  <c r="AB16"/>
  <c r="AA17"/>
  <c r="AB17"/>
  <c r="AA18"/>
  <c r="AB18"/>
  <c r="AA19"/>
  <c r="AB19"/>
  <c r="AA20"/>
  <c r="AB20"/>
  <c r="AA21"/>
  <c r="AB21"/>
  <c r="AA22"/>
  <c r="AB22"/>
  <c r="AA23"/>
  <c r="AB23"/>
  <c r="AA24"/>
  <c r="AB24"/>
  <c r="AA25"/>
  <c r="AB25"/>
  <c r="AA26"/>
  <c r="AB26"/>
  <c r="AA27"/>
  <c r="AB27"/>
  <c r="AA28"/>
  <c r="AB28"/>
  <c r="AA29"/>
  <c r="AB29"/>
  <c r="AA30"/>
  <c r="AB30"/>
  <c r="AA31"/>
  <c r="AB31"/>
  <c r="AA32"/>
  <c r="AA33"/>
  <c r="AB33"/>
  <c r="AB9"/>
  <c r="AA9"/>
  <c r="R23"/>
  <c r="R24"/>
  <c r="R25"/>
  <c r="R26"/>
  <c r="R27"/>
  <c r="R28"/>
  <c r="R29"/>
  <c r="R30"/>
  <c r="R31"/>
  <c r="R22"/>
  <c r="R21"/>
  <c r="R11"/>
  <c r="R12"/>
  <c r="R13"/>
  <c r="R14"/>
  <c r="R15"/>
  <c r="R16"/>
  <c r="R17"/>
  <c r="R18"/>
  <c r="R19"/>
  <c r="R20"/>
  <c r="R10"/>
  <c r="R9"/>
  <c r="T103" i="1"/>
  <c r="U3" s="1"/>
  <c r="E3" l="1"/>
  <c r="C3" l="1"/>
  <c r="M51"/>
  <c r="M49"/>
  <c r="M48"/>
  <c r="M50" l="1"/>
  <c r="T3" i="7" l="1"/>
  <c r="Q101" i="1" l="1"/>
  <c r="P101"/>
  <c r="M3" i="7"/>
  <c r="U30"/>
  <c r="P102" i="1" l="1"/>
  <c r="U11" i="7" l="1"/>
  <c r="U12"/>
  <c r="U13"/>
  <c r="U14"/>
  <c r="U15"/>
  <c r="U16"/>
  <c r="U17"/>
  <c r="U18"/>
  <c r="U19"/>
  <c r="U20"/>
  <c r="U28" l="1"/>
  <c r="U29"/>
  <c r="U31"/>
  <c r="C2" i="10"/>
  <c r="C3" i="7"/>
  <c r="I8" i="8" l="1"/>
  <c r="F55" i="3"/>
  <c r="U27" i="7"/>
  <c r="U26"/>
  <c r="U25"/>
  <c r="U24"/>
  <c r="X24" s="1"/>
  <c r="U23"/>
  <c r="U22"/>
  <c r="U21"/>
  <c r="U10"/>
  <c r="U9"/>
  <c r="K49" i="1"/>
  <c r="K48"/>
  <c r="X23" i="7" l="1"/>
  <c r="X22"/>
  <c r="X27"/>
  <c r="X26"/>
  <c r="X25"/>
  <c r="Y32"/>
  <c r="X32"/>
  <c r="X30"/>
  <c r="X28"/>
  <c r="X31"/>
  <c r="X29"/>
  <c r="W37"/>
  <c r="W34"/>
  <c r="W36"/>
  <c r="W35"/>
  <c r="W31"/>
  <c r="W33"/>
  <c r="W32"/>
  <c r="Y33"/>
  <c r="Y23"/>
  <c r="Y31"/>
  <c r="Y30"/>
  <c r="Y29"/>
  <c r="Y27"/>
  <c r="Y28"/>
  <c r="Y25"/>
  <c r="Y22"/>
  <c r="Y24"/>
  <c r="Y26"/>
  <c r="W28"/>
  <c r="W30"/>
  <c r="W29"/>
  <c r="W15"/>
  <c r="W11"/>
  <c r="W19"/>
  <c r="W27"/>
  <c r="W13"/>
  <c r="W10"/>
  <c r="W12"/>
  <c r="W20"/>
  <c r="W18"/>
  <c r="W16"/>
  <c r="W17"/>
  <c r="W25"/>
  <c r="W14"/>
  <c r="W26"/>
  <c r="W22"/>
  <c r="W24"/>
  <c r="W23"/>
  <c r="W21"/>
  <c r="K50" i="1"/>
  <c r="K51"/>
  <c r="H3" i="7" l="1"/>
  <c r="H2" i="10"/>
  <c r="G3" i="7"/>
  <c r="G2" i="10"/>
  <c r="I3" i="7"/>
  <c r="I2" i="10"/>
  <c r="X29" i="1" l="1"/>
  <c r="X28"/>
  <c r="E3" i="7" l="1"/>
  <c r="F2" i="10"/>
  <c r="D2"/>
  <c r="E2" l="1"/>
  <c r="K2" s="1"/>
  <c r="E2" i="1" l="1"/>
  <c r="C2" s="1"/>
  <c r="D3" i="7"/>
  <c r="U28" i="1" l="1"/>
  <c r="Q122" l="1"/>
  <c r="Q111"/>
  <c r="J5" i="2"/>
  <c r="K8" s="1"/>
  <c r="J6"/>
  <c r="K6"/>
  <c r="J7"/>
  <c r="J8"/>
  <c r="J9"/>
  <c r="J10"/>
  <c r="K10" s="1"/>
  <c r="J11"/>
  <c r="J12"/>
  <c r="J13"/>
  <c r="J14"/>
  <c r="K14"/>
  <c r="J15"/>
  <c r="J16"/>
  <c r="J17"/>
  <c r="J18"/>
  <c r="J19"/>
  <c r="J20"/>
  <c r="D22" i="4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5"/>
  <c r="D6"/>
  <c r="D7"/>
  <c r="D8"/>
  <c r="D9"/>
  <c r="D10"/>
  <c r="D11"/>
  <c r="D12"/>
  <c r="D13"/>
  <c r="D14"/>
  <c r="D15"/>
  <c r="D16"/>
  <c r="D17"/>
  <c r="D18"/>
  <c r="D19"/>
  <c r="D20"/>
  <c r="D21"/>
  <c r="D4"/>
  <c r="J36" i="2"/>
  <c r="K36"/>
  <c r="J37"/>
  <c r="K37"/>
  <c r="J38"/>
  <c r="K38"/>
  <c r="J39"/>
  <c r="K39"/>
  <c r="J40"/>
  <c r="K40"/>
  <c r="J41"/>
  <c r="K41"/>
  <c r="J42"/>
  <c r="K42"/>
  <c r="J43"/>
  <c r="K43"/>
  <c r="J44"/>
  <c r="K44"/>
  <c r="J45"/>
  <c r="K45"/>
  <c r="J46"/>
  <c r="K46"/>
  <c r="J47"/>
  <c r="K47"/>
  <c r="J48"/>
  <c r="K48"/>
  <c r="J49"/>
  <c r="K49"/>
  <c r="J50"/>
  <c r="K50"/>
  <c r="J51"/>
  <c r="K51"/>
  <c r="J25"/>
  <c r="K25"/>
  <c r="J35"/>
  <c r="K35"/>
  <c r="K23"/>
  <c r="K24"/>
  <c r="K26"/>
  <c r="K27"/>
  <c r="K28"/>
  <c r="K29"/>
  <c r="K30"/>
  <c r="K31"/>
  <c r="K32"/>
  <c r="K33"/>
  <c r="K34"/>
  <c r="J4"/>
  <c r="K4" s="1"/>
  <c r="J21"/>
  <c r="J22"/>
  <c r="K22" s="1"/>
  <c r="J23"/>
  <c r="J24"/>
  <c r="J26"/>
  <c r="J27"/>
  <c r="J28"/>
  <c r="J29"/>
  <c r="J30"/>
  <c r="J31"/>
  <c r="J32"/>
  <c r="J33"/>
  <c r="J34"/>
  <c r="M2" i="10" l="1"/>
  <c r="K21" i="2"/>
  <c r="K18"/>
  <c r="K20"/>
  <c r="K19"/>
  <c r="K17"/>
  <c r="K13"/>
  <c r="K9"/>
  <c r="K5"/>
  <c r="K15"/>
  <c r="K11"/>
  <c r="K7"/>
  <c r="K16"/>
  <c r="K12"/>
  <c r="T28" i="1"/>
  <c r="N2" i="10" l="1"/>
  <c r="M3"/>
  <c r="R3" i="7" l="1"/>
  <c r="W124" i="1"/>
  <c r="O3" i="7"/>
  <c r="W3" s="1"/>
  <c r="P2" i="10" l="1"/>
  <c r="S46" i="1"/>
  <c r="S44"/>
  <c r="S47"/>
  <c r="U44"/>
  <c r="R48"/>
  <c r="R49"/>
  <c r="S45"/>
  <c r="U45"/>
  <c r="U48" l="1"/>
  <c r="U103"/>
  <c r="S49"/>
  <c r="T104"/>
  <c r="T106" s="1"/>
  <c r="F1" l="1"/>
</calcChain>
</file>

<file path=xl/sharedStrings.xml><?xml version="1.0" encoding="utf-8"?>
<sst xmlns="http://schemas.openxmlformats.org/spreadsheetml/2006/main" count="1088" uniqueCount="575">
  <si>
    <t>Date</t>
  </si>
  <si>
    <t>Crédit</t>
  </si>
  <si>
    <t>Débit</t>
  </si>
  <si>
    <t>Solde</t>
  </si>
  <si>
    <t>PEL</t>
  </si>
  <si>
    <t>Initialisation</t>
  </si>
  <si>
    <t>Espèces</t>
  </si>
  <si>
    <t>Libellé</t>
  </si>
  <si>
    <t>Coupures</t>
  </si>
  <si>
    <t>Master</t>
  </si>
  <si>
    <t>Remboursé</t>
  </si>
  <si>
    <t>C</t>
  </si>
  <si>
    <t>x</t>
  </si>
  <si>
    <t>Nom</t>
  </si>
  <si>
    <t>Objet</t>
  </si>
  <si>
    <t>Aubin</t>
  </si>
  <si>
    <t>Chiffré</t>
  </si>
  <si>
    <t>Facturé</t>
  </si>
  <si>
    <t>Encaissé</t>
  </si>
  <si>
    <t>Enregistré</t>
  </si>
  <si>
    <t>Armand</t>
  </si>
  <si>
    <t>Prêt</t>
  </si>
  <si>
    <t>Renereau</t>
  </si>
  <si>
    <t>Turbine</t>
  </si>
  <si>
    <t>Marie-Claude</t>
  </si>
  <si>
    <t>Lampes de chevet</t>
  </si>
  <si>
    <t>Cumulus</t>
  </si>
  <si>
    <t>Encours</t>
  </si>
  <si>
    <t>Réalisé</t>
  </si>
  <si>
    <t>Réf DEC</t>
  </si>
  <si>
    <t>Maïté</t>
  </si>
  <si>
    <t>Salle de séjour (reliquat)</t>
  </si>
  <si>
    <t>Marmande (conseil)</t>
  </si>
  <si>
    <t>Sulpie (placoplatre)</t>
  </si>
  <si>
    <t>Quitterie (dressing)</t>
  </si>
  <si>
    <t>Marie-Paule (cloison)</t>
  </si>
  <si>
    <t>Maïté (porte d'entrée)</t>
  </si>
  <si>
    <t>Baxas (carrelage)</t>
  </si>
  <si>
    <t>Masson (peinture)</t>
  </si>
  <si>
    <t>Marie-Christine (terrasse)</t>
  </si>
  <si>
    <t>Aubin (liste séparée)</t>
  </si>
  <si>
    <t>Dépose des butées de volets</t>
  </si>
  <si>
    <t>Débarras plancher pour tirant</t>
  </si>
  <si>
    <t>Purge chaudière et radiateurs</t>
  </si>
  <si>
    <t>Aide à la pose du tirant</t>
  </si>
  <si>
    <t>Marie-Claude (cumulus étage)</t>
  </si>
  <si>
    <t>Remarques</t>
  </si>
  <si>
    <t>Kuta (façade, garage)</t>
  </si>
  <si>
    <t>Beaulieu (peinture)</t>
  </si>
  <si>
    <t>Lucas (joint mur en pierre)</t>
  </si>
  <si>
    <t>Durousseau (peinture)</t>
  </si>
  <si>
    <t>Marie-Claude (cellier)</t>
  </si>
  <si>
    <t>Colette (four, véranda)</t>
  </si>
  <si>
    <t>Simon (plomberie)</t>
  </si>
  <si>
    <t>Sans Objet</t>
  </si>
  <si>
    <t>Devis fait</t>
  </si>
  <si>
    <t>Client OK</t>
  </si>
  <si>
    <t>Montant</t>
  </si>
  <si>
    <t>Cedeo</t>
  </si>
  <si>
    <t>Avoir A567657 sur facture n° 567651</t>
  </si>
  <si>
    <t>Dépiautage évacuation antenne</t>
  </si>
  <si>
    <t>04-05/01/16</t>
  </si>
  <si>
    <t>en cours</t>
  </si>
  <si>
    <t>Maitrise d'œuvre</t>
  </si>
  <si>
    <t>Déjà encaissé et comptabilisé : 1000 euros le 19/12/15</t>
  </si>
  <si>
    <t>Déjà encaissé 1000+400 en 2015</t>
  </si>
  <si>
    <t>Reliquat chèque de 655 Euros</t>
  </si>
  <si>
    <t>650 Euros déjà cpomptabilisé sur 2015</t>
  </si>
  <si>
    <t>De Rancourt (piscine)</t>
  </si>
  <si>
    <t>Échéance 7</t>
  </si>
  <si>
    <t>Échéance 8</t>
  </si>
  <si>
    <t>Échéance 9</t>
  </si>
  <si>
    <t>Échéance 10</t>
  </si>
  <si>
    <t>Échéance 11</t>
  </si>
  <si>
    <t>Échéance 12</t>
  </si>
  <si>
    <t>Échéance 13</t>
  </si>
  <si>
    <t>Échéance 14</t>
  </si>
  <si>
    <t>Échéance 15</t>
  </si>
  <si>
    <t>Échéance 16</t>
  </si>
  <si>
    <t>Échéance 17</t>
  </si>
  <si>
    <t>Échéance 18</t>
  </si>
  <si>
    <t>Échéance 19</t>
  </si>
  <si>
    <t>Échéance 20</t>
  </si>
  <si>
    <t>Échéance 21</t>
  </si>
  <si>
    <t>Échéance 22</t>
  </si>
  <si>
    <t>Échéance 23</t>
  </si>
  <si>
    <t>Échéance 24</t>
  </si>
  <si>
    <t>Échéance 25</t>
  </si>
  <si>
    <t>Échéance 26</t>
  </si>
  <si>
    <t>Échéance 27</t>
  </si>
  <si>
    <t>Échéance 28</t>
  </si>
  <si>
    <t>Échéance 29</t>
  </si>
  <si>
    <t>Échéance 30</t>
  </si>
  <si>
    <t>Échéance 31</t>
  </si>
  <si>
    <t>Échéance 32</t>
  </si>
  <si>
    <t>Échéance 33</t>
  </si>
  <si>
    <t>Échéance 34</t>
  </si>
  <si>
    <t>Échéance 35</t>
  </si>
  <si>
    <t>Échéance 36</t>
  </si>
  <si>
    <t>Échéance 37</t>
  </si>
  <si>
    <t>Échéance 38</t>
  </si>
  <si>
    <t>Échéance 39</t>
  </si>
  <si>
    <t>Échéance 40</t>
  </si>
  <si>
    <t>Échéance 41</t>
  </si>
  <si>
    <t>Échéance 42</t>
  </si>
  <si>
    <t>Échéance 43</t>
  </si>
  <si>
    <t>Échéance 44</t>
  </si>
  <si>
    <t>Échéance 45</t>
  </si>
  <si>
    <t>Échéance 46</t>
  </si>
  <si>
    <t>Échéance 47</t>
  </si>
  <si>
    <t>Échéance 48</t>
  </si>
  <si>
    <t>= Validé par écriture officielle de la banque</t>
  </si>
  <si>
    <t>Total Encours</t>
  </si>
  <si>
    <t>SPCI</t>
  </si>
  <si>
    <t>Reliquat facturation à faire</t>
  </si>
  <si>
    <t>Harmonie Mutuelle</t>
  </si>
  <si>
    <t>Gestion des encours financiers (travaux faits ou engagés, facturés ou à facturer, en attente de paiement)</t>
  </si>
  <si>
    <t>Crouin (poteau, détecteurs, fuite au toit, ???)</t>
  </si>
  <si>
    <t>Dépenses récurrentes trimestrielles</t>
  </si>
  <si>
    <t>Dépenses récurrentes annuelles</t>
  </si>
  <si>
    <t>PVI</t>
  </si>
  <si>
    <t>M. Brico</t>
  </si>
  <si>
    <t>Avoir</t>
  </si>
  <si>
    <t>Vélo PVI</t>
  </si>
  <si>
    <t>Crouin</t>
  </si>
  <si>
    <t>Poteau garage</t>
  </si>
  <si>
    <t>Isolation tuyaux et relais jour-nuit</t>
  </si>
  <si>
    <t>Bouteille gaz pour MigTronic</t>
  </si>
  <si>
    <t>Equipement du puits Villa Beaulieu</t>
  </si>
  <si>
    <t>VOIR DIRECTEMENT L'ONGLET ACTIF-PASSIF-ENCOURS</t>
  </si>
  <si>
    <t>Remonter ce fichier en le limitant aux 870 pris en compte au 1er janvier</t>
  </si>
  <si>
    <t>Vérifier que tout ait été pris en compte dans l'onglet Acti-Passif-Encours et supprimer cet onglet ????</t>
  </si>
  <si>
    <t>Sulpie Mont-De-Marsant</t>
  </si>
  <si>
    <t>Tirants pour cabane jardin Villa Beaulieu</t>
  </si>
  <si>
    <t>Non : Ne pas supprimer car il sert à gérer les clients aussi</t>
  </si>
  <si>
    <t>SFR</t>
  </si>
  <si>
    <t>Total</t>
  </si>
  <si>
    <t>Charpente pour appenti côté rue Magdelaine</t>
  </si>
  <si>
    <t>Direct Assurance</t>
  </si>
  <si>
    <t>Société Générale</t>
  </si>
  <si>
    <t>RSI</t>
  </si>
  <si>
    <t>RCH</t>
  </si>
  <si>
    <t>Grand Chœur</t>
  </si>
  <si>
    <t>Klésia</t>
  </si>
  <si>
    <t>Carsat</t>
  </si>
  <si>
    <t>Dalle béton atelier</t>
  </si>
  <si>
    <t>Annulé</t>
  </si>
  <si>
    <t>Constantine (prise électrique, porte d'entrée)</t>
  </si>
  <si>
    <t>Plomberie pour Jean-Christophe (Maçon de Maïté)</t>
  </si>
  <si>
    <t>Actifs</t>
  </si>
  <si>
    <t>Eclairage des combles VB</t>
  </si>
  <si>
    <t>Concerne</t>
  </si>
  <si>
    <t>Avoir Simple avec Revente</t>
  </si>
  <si>
    <t>Compte
crédité</t>
  </si>
  <si>
    <t>Compte
débité</t>
  </si>
  <si>
    <t>Compensé
le</t>
  </si>
  <si>
    <t>Date 1
Achat 1</t>
  </si>
  <si>
    <t>Fournisseur</t>
  </si>
  <si>
    <t>Description 1</t>
  </si>
  <si>
    <t>Montant 1</t>
  </si>
  <si>
    <t>Description 2</t>
  </si>
  <si>
    <t>Date 2
Achat 2</t>
  </si>
  <si>
    <t>Client</t>
  </si>
  <si>
    <t>Description 3</t>
  </si>
  <si>
    <t>Date
DEC</t>
  </si>
  <si>
    <t>DEC du "Date DEC" : Description travaux</t>
  </si>
  <si>
    <t>Date
REG</t>
  </si>
  <si>
    <t>REG du DEC du "Date DEC" : Description travaux</t>
  </si>
  <si>
    <t>Avoir en Cascade avec Revente</t>
  </si>
  <si>
    <t>Date
Retour</t>
  </si>
  <si>
    <t>Nouvel avoir (Montant 4)</t>
  </si>
  <si>
    <t>Date 3
Achat 3</t>
  </si>
  <si>
    <t>Date  3
Achat 3</t>
  </si>
  <si>
    <t>Description (Montant 6 - Avoir Montant 4 = Montant 7)</t>
  </si>
  <si>
    <t>Achats-Encours-Facturation-Encaissement - Payement en Espèces - Payement par Chèque Compensé (totalement ou partiellement)</t>
  </si>
  <si>
    <t>Fournisseur 1</t>
  </si>
  <si>
    <t>Pour : Client 1 : Description 1 et Perso : Description 2</t>
  </si>
  <si>
    <t>Client 1</t>
  </si>
  <si>
    <t>Description 1 - (Ces 2 lignes seront multipliées autant que de besoin : 2 lignes par achat)</t>
  </si>
  <si>
    <t>Date
DEC 1</t>
  </si>
  <si>
    <t>DEC du "Date DEC" : Travaux 1 (Montant 3)</t>
  </si>
  <si>
    <t>Date
ENC 1</t>
  </si>
  <si>
    <t>Client 2</t>
  </si>
  <si>
    <t>ENC du DEC du "Date DEC" : Travaux 1 (Montant 3)</t>
  </si>
  <si>
    <t>Chèque Compensé</t>
  </si>
  <si>
    <t>Fournisseur 2</t>
  </si>
  <si>
    <t>Pour : Client 1 : Description 3</t>
  </si>
  <si>
    <t>Date 2 
Achat 2</t>
  </si>
  <si>
    <t>DEC du "Date DEC" : Travaux 1 (Montant 4)</t>
  </si>
  <si>
    <t>REG du DEC du "Date DEC" : Travaux 1</t>
  </si>
  <si>
    <t>Compensateur</t>
  </si>
  <si>
    <t>Solde en attente de REG du DEC du "Date DEC : Client : Travaux 1</t>
  </si>
  <si>
    <t>Date
ENC 2</t>
  </si>
  <si>
    <t>Solde du REG du DEC du "Date DEC" : Client : Travaux 1</t>
  </si>
  <si>
    <t>Avoir Simple avec Revente et Avoirs en Cascade avec Revente</t>
  </si>
  <si>
    <t>Avoir 1 du "Date Retour" : Achat 1 du "Date 1" : Description 2</t>
  </si>
  <si>
    <t>Pour Client 1 : Desc. 3 - Montant 3 - Avoir 1 "Date Retour" Montant 2 = Montant 4 - (Montant 3 &gt; Montant 2 - Donc Montant 4 &gt; 0)</t>
  </si>
  <si>
    <t>Pour Client 1 : Desc. 3 - Montant 3 - Avoir 1 "Date Retour" Montant 2 = Montant 4 - (Montant 3 &lt; Montant 2 - Donc Montant 4 &lt; 0)</t>
  </si>
  <si>
    <t>Scenarii d'enregistrements comptables</t>
  </si>
  <si>
    <t>Remboursement immédiat (procédure de vente simplifiée)</t>
  </si>
  <si>
    <t>Date
Achat</t>
  </si>
  <si>
    <t>Pour : Client : Description</t>
  </si>
  <si>
    <t>Description</t>
  </si>
  <si>
    <t>Date
REG 1</t>
  </si>
  <si>
    <t>REM du REG du DEC du "Date DEC" : Client : Travaux 1</t>
  </si>
  <si>
    <t>ENC partiel du REG du DEC du "Date DEC" : Client : Trav. 1</t>
  </si>
  <si>
    <t>Date
REM</t>
  </si>
  <si>
    <t>Achats-Encours-Facturation-Encaissement - Multi-Clients</t>
  </si>
  <si>
    <t>Date
DEC 2</t>
  </si>
  <si>
    <t>Date 1
DEC 1</t>
  </si>
  <si>
    <t>Date 1
DEC2</t>
  </si>
  <si>
    <t>Date 1
REG 1</t>
  </si>
  <si>
    <t>Date 1
REG 2</t>
  </si>
  <si>
    <t>REG 1 du DEC 1 du Date du DEC 1 : Description 1</t>
  </si>
  <si>
    <t>REG 2 du DEC 2 du Date du DEC 2 : Description 2</t>
  </si>
  <si>
    <t>Date
REG 2</t>
  </si>
  <si>
    <t>Pour : Client 1 : Description 1 et Client 2 : Description 2</t>
  </si>
  <si>
    <t>DEC 1 : Description 3</t>
  </si>
  <si>
    <t>DEC 2 : Description 4</t>
  </si>
  <si>
    <t>Montant 2
(Achat)</t>
  </si>
  <si>
    <t>Montant 3
(Achat)</t>
  </si>
  <si>
    <t>Montant 4
(Vente)</t>
  </si>
  <si>
    <t>Montant 5
(Vente)</t>
  </si>
  <si>
    <t>Montant 1
(Achat)</t>
  </si>
  <si>
    <t>Montant 2
(Rendu)</t>
  </si>
  <si>
    <t>Montant 4
(Achat)</t>
  </si>
  <si>
    <t>Montant 3
(Vente)</t>
  </si>
  <si>
    <t>Montant 5
(Achat)</t>
  </si>
  <si>
    <t>Montant 2
(Avoir 1))</t>
  </si>
  <si>
    <t>Montant 4
(Avoir 2)</t>
  </si>
  <si>
    <t>Montant 7
(Achat)</t>
  </si>
  <si>
    <t>Montant 1
(Vente)</t>
  </si>
  <si>
    <t>Montant 5
(Vente partielle)</t>
  </si>
  <si>
    <t>Montant 4-5
(Vente solde)</t>
  </si>
  <si>
    <t>Monier pour Totem</t>
  </si>
  <si>
    <t>En cours</t>
  </si>
  <si>
    <t>Fait</t>
  </si>
  <si>
    <t>Coffre-fort à sceller au mur</t>
  </si>
  <si>
    <t xml:space="preserve"> </t>
  </si>
  <si>
    <t>Cotisation Association (en Mars)</t>
  </si>
  <si>
    <t>Bâche pour scie circulaire</t>
  </si>
  <si>
    <t>Solde
réèl</t>
  </si>
  <si>
    <t>Non
rapproché</t>
  </si>
  <si>
    <t>Initialisation des Encours (actifs circulants) au 1er janvier 2019 :</t>
  </si>
  <si>
    <t>Ancienne liste (perte définitive) :</t>
  </si>
  <si>
    <t>Ecart</t>
  </si>
  <si>
    <t>Réparation Laguna II-1 Peinture et autres défaults</t>
  </si>
  <si>
    <t>Ligne d'alimentation du four (à terminer)</t>
  </si>
  <si>
    <t>Portail Blanc à redresser (pilier et ferronnerie)</t>
  </si>
  <si>
    <t>Isolation et faux plancher des combles</t>
  </si>
  <si>
    <t>Girophare grand portail</t>
  </si>
  <si>
    <t>Dominique</t>
  </si>
  <si>
    <t>Budget</t>
  </si>
  <si>
    <t>Liste</t>
  </si>
  <si>
    <t>Musique</t>
  </si>
  <si>
    <t>Transports</t>
  </si>
  <si>
    <t>Restaurat°</t>
  </si>
  <si>
    <t>Papeterie</t>
  </si>
  <si>
    <t>Divers</t>
  </si>
  <si>
    <t>Cuisine</t>
  </si>
  <si>
    <t>Travaux VB</t>
  </si>
  <si>
    <t>Banque</t>
  </si>
  <si>
    <t>Coyote</t>
  </si>
  <si>
    <t>Santé</t>
  </si>
  <si>
    <t>Com°</t>
  </si>
  <si>
    <t>Google</t>
  </si>
  <si>
    <t>Cotisation Carte Master Gold (en ?????)</t>
  </si>
  <si>
    <t>01-Retraite AGIRC-ARRCO (validé janvier 2019)</t>
  </si>
  <si>
    <t>Livres</t>
  </si>
  <si>
    <t>01-Abonnement (validé 01/01/2019) - Débité le 24/01/2019 ???</t>
  </si>
  <si>
    <t>Symphonia</t>
  </si>
  <si>
    <t>Reliquat 2018 non débité : Ch 654 : Cotisation 2019</t>
  </si>
  <si>
    <t>Reliquat 2018 non débité : Courses alimentaires</t>
  </si>
  <si>
    <t>Auchan Cognac</t>
  </si>
  <si>
    <t>M. Bricolage Cognac</t>
  </si>
  <si>
    <t xml:space="preserve">Total = </t>
  </si>
  <si>
    <t>Bridier</t>
  </si>
  <si>
    <t>Cumul</t>
  </si>
  <si>
    <t>Livret A</t>
  </si>
  <si>
    <t>LDD</t>
  </si>
  <si>
    <t>Réèl</t>
  </si>
  <si>
    <t>Auto &gt;&gt;&gt;</t>
  </si>
  <si>
    <t>Total Actifs</t>
  </si>
  <si>
    <t>A recouvrer</t>
  </si>
  <si>
    <t>Solde général</t>
  </si>
  <si>
    <t>Evolution</t>
  </si>
  <si>
    <t>Alimentat°</t>
  </si>
  <si>
    <t>Cadeaux</t>
  </si>
  <si>
    <t>Sorties</t>
  </si>
  <si>
    <t>Outillage</t>
  </si>
  <si>
    <t>Habillemt</t>
  </si>
  <si>
    <t>Nelly Verdier</t>
  </si>
  <si>
    <t>Remboursement Maillots de bain - Cardiocéan</t>
  </si>
  <si>
    <t>Remboursement livre "Légitimus" - Cardiocéan</t>
  </si>
  <si>
    <t>ProBTP</t>
  </si>
  <si>
    <t>Brut</t>
  </si>
  <si>
    <t>Net</t>
  </si>
  <si>
    <t>Avoirs Nets</t>
  </si>
  <si>
    <t>15-Option tranquilité (validé janvier 2020)</t>
  </si>
  <si>
    <t>10-Complémentaire Santé (validé janvier 2020)</t>
  </si>
  <si>
    <t>05-Assurance Laguna (valeur janvier 2020)</t>
  </si>
  <si>
    <t>05-Assurance Master (validé janvier 2020)</t>
  </si>
  <si>
    <t>10-Pension (validé janvier 2020)</t>
  </si>
  <si>
    <t>15-Cotisation Jazz (validé janvier 2020)</t>
  </si>
  <si>
    <t>15-Abonnement "Mon Compte en bref" (validé janvier 2020)</t>
  </si>
  <si>
    <t>25-Abonnement (validé janvier 2020)</t>
  </si>
  <si>
    <t>15-Google Storage (2 To) (validé janvier 2020)</t>
  </si>
  <si>
    <t>01-Retraite ARRCO (Validée Janvier 2020)</t>
  </si>
  <si>
    <t>01-Retraite AGIRC (Validée Janvier 2020)</t>
  </si>
  <si>
    <t>08-Retraite artisan (Validée Janvier 2020)</t>
  </si>
  <si>
    <t>08-Retraite CARSAT (Validée Janvier 2020)</t>
  </si>
  <si>
    <t>Synthèse mensuelle</t>
  </si>
  <si>
    <t>Garantie</t>
  </si>
  <si>
    <t>Manque facture Rexel 39,78 et 48,18 = 87,96 remboursé par Dominique. A insérer dans le pique-note.</t>
  </si>
  <si>
    <t>R</t>
  </si>
  <si>
    <t>Téléchargement des relevés
Procédure Société Générale</t>
  </si>
  <si>
    <t>Abonnement PDF le 20 avril ??? Réclamation en cours</t>
  </si>
  <si>
    <t>Dépassement honoraires : Voir Mutuelle. Remboursement reçu</t>
  </si>
  <si>
    <t>Connexion au site &gt; Espace personnel &gt; Autres &gt; Documents &gt; Télécharger mes relevés &gt; Sélectionner le compte &gt; Sélectionner le logiciel (Excel) &gt; Cocher "Depuis le dernier téléchargement" (ou date si elle est connue) &gt; Télécharger.</t>
  </si>
  <si>
    <t>Litiges en attente de solution</t>
  </si>
  <si>
    <t>Concerne :
- Personne physique
            ou
- Personne morale (Entreprise/Banque)</t>
  </si>
  <si>
    <t>Date de livraison dépassée</t>
  </si>
  <si>
    <t>En attente</t>
  </si>
  <si>
    <t>Date livraison prévue
            ou
R si marchandise reçue</t>
  </si>
  <si>
    <t>2019</t>
  </si>
  <si>
    <t xml:space="preserve">Voir mail envoyé le : </t>
  </si>
  <si>
    <t>Cric 20 tonnes (selon presse Norauto)</t>
  </si>
  <si>
    <t>Commandes</t>
  </si>
  <si>
    <t>Remboursements</t>
  </si>
  <si>
    <t xml:space="preserve">Solde banque théorique calculé : </t>
  </si>
  <si>
    <t>Dont retard</t>
  </si>
  <si>
    <t>Soldé.e.s</t>
  </si>
  <si>
    <t>Préférer l'achat plutôt que la location (faible utilisation)</t>
  </si>
  <si>
    <t>Fers pour différentes réalisations (Remorque, bétonnière, …)</t>
  </si>
  <si>
    <t>Dates</t>
  </si>
  <si>
    <t>Réèl
Absolu</t>
  </si>
  <si>
    <t>Travaux Pro en projet</t>
  </si>
  <si>
    <t>Travaux Perso en projet</t>
  </si>
  <si>
    <t>Total :</t>
  </si>
  <si>
    <t>Total Passif
(Emprunts)</t>
  </si>
  <si>
    <t>Vérifier les résultats "Evolution"</t>
  </si>
  <si>
    <t>Abonnement synopsis</t>
  </si>
  <si>
    <t>Chubb</t>
  </si>
  <si>
    <t>10 Assurance téléphone</t>
  </si>
  <si>
    <t>2 - Valider les rapprochements et soldes annoncés/calculés</t>
  </si>
  <si>
    <t>(Valeurs à reporter manuellement ci-dessous en fin de chaque mois)</t>
  </si>
  <si>
    <t>3 - Renseigner l'historique du "Solde Général"</t>
  </si>
  <si>
    <t>Renereau, De Rancourt, Sulpie (Mt de Marsan) et Herman</t>
  </si>
  <si>
    <t>Concerne
(Personne physique ou morale)</t>
  </si>
  <si>
    <t>Client/Bénéficiaire</t>
  </si>
  <si>
    <t>Pour : Client/bénéficiaire
Et description précise de l'achat</t>
  </si>
  <si>
    <t>Description identique à celle de la date d'achat
Et référence à la date d'achat</t>
  </si>
  <si>
    <r>
      <t xml:space="preserve">Crédit
</t>
    </r>
    <r>
      <rPr>
        <sz val="12"/>
        <color theme="1"/>
        <rFont val="Calibri"/>
        <family val="2"/>
        <scheme val="minor"/>
      </rPr>
      <t>(CB, CH, ESP)</t>
    </r>
  </si>
  <si>
    <r>
      <t xml:space="preserve">Débit
</t>
    </r>
    <r>
      <rPr>
        <sz val="12"/>
        <color theme="1"/>
        <rFont val="Calibri"/>
        <family val="2"/>
        <scheme val="minor"/>
      </rPr>
      <t>CB, CH, ESP</t>
    </r>
  </si>
  <si>
    <r>
      <t xml:space="preserve">Date
Remboursement
</t>
    </r>
    <r>
      <rPr>
        <b/>
        <sz val="11"/>
        <color theme="1"/>
        <rFont val="Calibri"/>
        <family val="2"/>
        <scheme val="minor"/>
      </rPr>
      <t>DR</t>
    </r>
  </si>
  <si>
    <t>Montant automatique
SI(DR=0)</t>
  </si>
  <si>
    <t>En attente
de remboursement</t>
  </si>
  <si>
    <t>Remboursé
le</t>
  </si>
  <si>
    <r>
      <t xml:space="preserve">Date d'Achat
</t>
    </r>
    <r>
      <rPr>
        <b/>
        <sz val="11"/>
        <color theme="1"/>
        <rFont val="Calibri"/>
        <family val="2"/>
        <scheme val="minor"/>
      </rPr>
      <t>DA</t>
    </r>
  </si>
  <si>
    <r>
      <t xml:space="preserve">Date de
Remboursement
</t>
    </r>
    <r>
      <rPr>
        <b/>
        <sz val="11"/>
        <color theme="1"/>
        <rFont val="Calibri"/>
        <family val="2"/>
        <scheme val="minor"/>
      </rPr>
      <t>DR</t>
    </r>
  </si>
  <si>
    <t>Gestion classique des cédits et débits</t>
  </si>
  <si>
    <t>B</t>
  </si>
  <si>
    <t>D</t>
  </si>
  <si>
    <t>H</t>
  </si>
  <si>
    <t>J ou O</t>
  </si>
  <si>
    <t>K ou P</t>
  </si>
  <si>
    <t>S</t>
  </si>
  <si>
    <t>T</t>
  </si>
  <si>
    <t>Ancienne version périmée</t>
  </si>
  <si>
    <t>Montant remboursé
Saisi</t>
  </si>
  <si>
    <t>Montant Achat
Saisi</t>
  </si>
  <si>
    <t>(Doit rester vide)</t>
  </si>
  <si>
    <t>Montant Achat complet
Saisi</t>
  </si>
  <si>
    <t>Montant partiel MP
Saisi
Et surlignage de la cellule</t>
  </si>
  <si>
    <t>Montant partiel MP
remboursé
Saisi</t>
  </si>
  <si>
    <t>Pour : Client(s)/Bénéficiaire(s)
Et description précise de l'achat (détaillée pour chaque bénéficiaire)</t>
  </si>
  <si>
    <t>Description identique à celle de la date d'achat
Avec détail correspondant au montant partiel
Et référence à la date d'achat</t>
  </si>
  <si>
    <t>Cette croix est indispensable pour les rapprochements éventuels et les recherches dans l'historique des Encours</t>
  </si>
  <si>
    <t>Col</t>
  </si>
  <si>
    <t>La cellules est surlignée en jaune pour mettre en évidence la suppression de la formule Excel</t>
  </si>
  <si>
    <t>Eviter autant que possible cette formule, et privilégier la procédure "Remboursement intégral"</t>
  </si>
  <si>
    <t>Privilégier cette formule autant que possible. Ce qui suppose un ticket de caisse spécifique à chaque bénéficiaire, pour éviter d'avoir recours à la formule de remboursement partiel décrite ci-dessous. Car celle-ci implique la suppression de la formule Excel de report automatique du montant dans la colonne "Encours" (R).</t>
  </si>
  <si>
    <t>Procédure spéciale :
 - Remboursement partiel (par exemple avoir sur un seul produit d'un lot, ou retrocession d'une partie d'un lot à un tiers)
 - Encours reporté de l'année précédente (donc sans dépense correspondante)</t>
  </si>
  <si>
    <r>
      <t xml:space="preserve">Date d'Achat
</t>
    </r>
    <r>
      <rPr>
        <b/>
        <sz val="11"/>
        <color theme="1"/>
        <rFont val="Calibri"/>
        <family val="2"/>
        <scheme val="minor"/>
      </rPr>
      <t>DA1</t>
    </r>
  </si>
  <si>
    <r>
      <t xml:space="preserve">Date de
Retour
</t>
    </r>
    <r>
      <rPr>
        <b/>
        <sz val="11"/>
        <color theme="1"/>
        <rFont val="Calibri"/>
        <family val="2"/>
        <scheme val="minor"/>
      </rPr>
      <t>DR</t>
    </r>
  </si>
  <si>
    <t>Privilégier le remboursement sur le compte plutôt que l'avoir.</t>
  </si>
  <si>
    <t>Description précise des produits retournés (retour total ou partiel)
Et référence à la date d'achat</t>
  </si>
  <si>
    <t>Procédure générale : Retour d'un achat (total ou partiel) - REMBOURSEMENT SUR LE COMPTE</t>
  </si>
  <si>
    <t>Procédure générale : Retour d'un achat (total ou partiel) - AVOIR IMPOSE PAR LE COMMERCANT</t>
  </si>
  <si>
    <r>
      <t xml:space="preserve">Date d'Achat
</t>
    </r>
    <r>
      <rPr>
        <b/>
        <sz val="11"/>
        <color theme="1"/>
        <rFont val="Calibri"/>
        <family val="2"/>
        <scheme val="minor"/>
      </rPr>
      <t>DA2</t>
    </r>
    <r>
      <rPr>
        <sz val="12"/>
        <color theme="1"/>
        <rFont val="Arial"/>
        <family val="2"/>
      </rPr>
      <t/>
    </r>
  </si>
  <si>
    <t>Montant Achat 1
Saisi</t>
  </si>
  <si>
    <t>Montant Achat 2
Saisi</t>
  </si>
  <si>
    <t>AT</t>
  </si>
  <si>
    <t>AP</t>
  </si>
  <si>
    <t>Avoir Total</t>
  </si>
  <si>
    <t>Avoir Partiel</t>
  </si>
  <si>
    <t>ATS</t>
  </si>
  <si>
    <t>APS</t>
  </si>
  <si>
    <t>Avoir Total Soldé</t>
  </si>
  <si>
    <t>Avoir Partiel Soldé</t>
  </si>
  <si>
    <t>Pour Revente</t>
  </si>
  <si>
    <t>PR</t>
  </si>
  <si>
    <t>PRS</t>
  </si>
  <si>
    <t>Pour Revente Soldée</t>
  </si>
  <si>
    <t>PR
ou
PRS</t>
  </si>
  <si>
    <t>Montant automatique (R)
SI(DR(S)=0)</t>
  </si>
  <si>
    <t>Avec total cumulé des
sommes en attente
pour report dans le
Solde Général Mensuel</t>
  </si>
  <si>
    <t xml:space="preserve">Montant automatique
=SI("DA(B)"&lt;&gt;0;"Encours(H)"="PR");KouP;)
</t>
  </si>
  <si>
    <t>Procédure générale : Achat pour revente avec remboursement intégral - Un ticket de caisse et un paiement spécifique à chaque remboursement.</t>
  </si>
  <si>
    <t xml:space="preserve">Sur la ligne de l'Achat, PR indique l'attente du remboursement. La notation PRS éteint le montant de l'encours dans les colonnes R et T.Sur la ligne du remboursement, la saisie de la notation PRS est obligatoire. </t>
  </si>
  <si>
    <t>Revoir les formules dans la colonne "Encours" ( R ), pour que cette cas reste vide.</t>
  </si>
  <si>
    <t>Description précise de l'achat 2 - "Montant de l'achat 2" moins "Montant du retour" et "date de l'avoir".</t>
  </si>
  <si>
    <t>Description précise de l'achat 1
Description précise du retour
Date du retour (N° de l'Avoir)</t>
  </si>
  <si>
    <t>A partir de la version 200918A du présent fichier</t>
  </si>
  <si>
    <t>RT</t>
  </si>
  <si>
    <t>Retour Total</t>
  </si>
  <si>
    <t>RP</t>
  </si>
  <si>
    <t>Retour Partiel</t>
  </si>
  <si>
    <t>Description précise de l'achat.
Description précise des produits retournés si retournement partiel.
Date de retour (N° Retour)</t>
  </si>
  <si>
    <t>RTS</t>
  </si>
  <si>
    <t>RPS</t>
  </si>
  <si>
    <t>Retour Total Soldé</t>
  </si>
  <si>
    <t>Retour Partiel Soldé</t>
  </si>
  <si>
    <t>BforBank</t>
  </si>
  <si>
    <r>
      <rPr>
        <b/>
        <sz val="11"/>
        <color rgb="FF00B050"/>
        <rFont val="Calibri"/>
        <family val="2"/>
        <scheme val="minor"/>
      </rPr>
      <t>Reste à Encaisser</t>
    </r>
    <r>
      <rPr>
        <b/>
        <sz val="11"/>
        <color rgb="FFFF0000"/>
        <rFont val="Calibri"/>
        <family val="2"/>
        <scheme val="minor"/>
      </rPr>
      <t>/</t>
    </r>
    <r>
      <rPr>
        <b/>
        <sz val="11"/>
        <color rgb="FF0000FF"/>
        <rFont val="Calibri"/>
        <family val="2"/>
        <scheme val="minor"/>
      </rPr>
      <t xml:space="preserve">Reste à Solder" = </t>
    </r>
  </si>
  <si>
    <t>A résilier avant l'anniversaire</t>
  </si>
  <si>
    <t>Contrôle Rapprochements</t>
  </si>
  <si>
    <t>KRN</t>
  </si>
  <si>
    <t>Choristes Marennes</t>
  </si>
  <si>
    <t>Report 2018 : Pour Carine (St Lary) : Tasseau bois pour lit</t>
  </si>
  <si>
    <t>Report 2018 : Pour Carine (St Lary) : Electricité</t>
  </si>
  <si>
    <t>Report 2018 : Pour Carine (St Lary) : Cornières plastiques SdB</t>
  </si>
  <si>
    <t>X</t>
  </si>
  <si>
    <r>
      <t xml:space="preserve">Solde réèl / </t>
    </r>
    <r>
      <rPr>
        <sz val="11"/>
        <color rgb="FFFF0000"/>
        <rFont val="Calibri"/>
        <family val="2"/>
        <scheme val="minor"/>
      </rPr>
      <t xml:space="preserve">Total non rapproché : </t>
    </r>
  </si>
  <si>
    <t>Gospel</t>
  </si>
  <si>
    <t>Report 2018 : Avoir sur achat du 22/11/2018 : 1,86€ (solde sur "retour syphon" - "achat cornière") - Compensé le 08/02/2019</t>
  </si>
  <si>
    <t>Report 2018 : Avoir sur achat du 28/11/2019 : 20,20€ (retour accessoires baignoire) - Compensé le 02/01/2019</t>
  </si>
  <si>
    <t>2018</t>
  </si>
  <si>
    <t xml:space="preserve">Clôture de : </t>
  </si>
  <si>
    <t>10-Télécharger Relevés Livret A et LDD du mois précédent</t>
  </si>
  <si>
    <t>Le premier jour du mois</t>
  </si>
  <si>
    <t>A</t>
  </si>
  <si>
    <t>Dates
valeur</t>
  </si>
  <si>
    <t>Validé le</t>
  </si>
  <si>
    <t>Evolution
2021</t>
  </si>
  <si>
    <t>Total Passif</t>
  </si>
  <si>
    <t>Compte</t>
  </si>
  <si>
    <t>Montant à ventiler</t>
  </si>
  <si>
    <t>ESP</t>
  </si>
  <si>
    <t>BforB</t>
  </si>
  <si>
    <t>CC</t>
  </si>
  <si>
    <t>LivA</t>
  </si>
  <si>
    <t>ENP</t>
  </si>
  <si>
    <t xml:space="preserve">Total : </t>
  </si>
  <si>
    <t>DT</t>
  </si>
  <si>
    <t>CT</t>
  </si>
  <si>
    <t>Manomano</t>
  </si>
  <si>
    <t>Valable jusqu'à Septembre 2021 inclus</t>
  </si>
  <si>
    <t>Listes</t>
  </si>
  <si>
    <t>Opérations</t>
  </si>
  <si>
    <t>Comptes</t>
  </si>
  <si>
    <t>Budgets</t>
  </si>
  <si>
    <t>Débiteurs pour "Encours"</t>
  </si>
  <si>
    <t>C=Crédit - D=Débit
T=Transféré</t>
  </si>
  <si>
    <t>10-Prélèvement auto pour Epargne sur Livret A (validé Décembre 2020)</t>
  </si>
  <si>
    <t xml:space="preserve">Reporter les "A recouvrer réels suite au nettoyage général des "Encours". Fait le : </t>
  </si>
  <si>
    <t>Refaire ce tableau par un tri dans l'onglet "Actifs-Passifs-Encours" quand le nettoyage général des "Encours" sera terminé. Fait le : 12/11/2020</t>
  </si>
  <si>
    <t xml:space="preserve">Solde absolu fin de mois : </t>
  </si>
  <si>
    <t>Gestion des Encours
(pour remboursement)</t>
  </si>
  <si>
    <t>Voir nouveau fichier pour 2021</t>
  </si>
  <si>
    <r>
      <t xml:space="preserve">Anticipation : Solde absolu fin de mois = </t>
    </r>
    <r>
      <rPr>
        <b/>
        <sz val="11"/>
        <rFont val="Calibri"/>
        <family val="2"/>
        <scheme val="minor"/>
      </rPr>
      <t>"Solde réèl"</t>
    </r>
    <r>
      <rPr>
        <b/>
        <sz val="11"/>
        <color rgb="FFFF0000"/>
        <rFont val="Calibri"/>
        <family val="2"/>
        <scheme val="minor"/>
      </rPr>
      <t xml:space="preserve"> - </t>
    </r>
    <r>
      <rPr>
        <b/>
        <sz val="11"/>
        <color rgb="FF0000FF"/>
        <rFont val="Calibri"/>
        <family val="2"/>
        <scheme val="minor"/>
      </rPr>
      <t>"Reste à solder"</t>
    </r>
    <r>
      <rPr>
        <b/>
        <sz val="11"/>
        <color rgb="FFFF0000"/>
        <rFont val="Calibri"/>
        <family val="2"/>
        <scheme val="minor"/>
      </rPr>
      <t xml:space="preserve"> + </t>
    </r>
    <r>
      <rPr>
        <b/>
        <sz val="11"/>
        <color rgb="FF00B050"/>
        <rFont val="Calibri"/>
        <family val="2"/>
        <scheme val="minor"/>
      </rPr>
      <t>"Reste à encaisser"</t>
    </r>
    <r>
      <rPr>
        <b/>
        <sz val="11"/>
        <color rgb="FFFF0000"/>
        <rFont val="Calibri"/>
        <family val="2"/>
        <scheme val="minor"/>
      </rPr>
      <t xml:space="preserve"> = </t>
    </r>
  </si>
  <si>
    <t>Beaux-Parents</t>
  </si>
  <si>
    <t>Evolution
2019</t>
  </si>
  <si>
    <t>(Valeurs à "figer" en fin de chaque mois en les reportant ci-dessous par la méthode "Collage spécial" puis "Valeurs")</t>
  </si>
  <si>
    <t>Vérifier les espèces chaque fin de mois</t>
  </si>
  <si>
    <t>Intégrés les intérêts LivA, LDD, PEL et BforBank.</t>
  </si>
  <si>
    <t>Bruno</t>
  </si>
  <si>
    <t>Cocher colonne "O"</t>
  </si>
  <si>
    <t>4 - Décocher la colonne O du présent tableau d'anticipation</t>
  </si>
  <si>
    <t>Copier-Coller les Recettes/Dépenses récurrentes mensuelles, au fur et à mesure de leur date prévisible d'opération bancaire (textes et montants, colonnes D à N)</t>
  </si>
  <si>
    <t>S-Sol</t>
  </si>
  <si>
    <t>Comptage</t>
  </si>
  <si>
    <t>CTRL suivi</t>
  </si>
  <si>
    <t>Régul'</t>
  </si>
  <si>
    <t xml:space="preserve">Harnais/longes de sécurité ; Oscilloscope ; Profil alu pour lampe VB extérieure ; Bloc LED complet et câble (13 broches) pour NOR65 et autres remorques ; Bac Europe RAJA (20 et 40 litres) ; Mine de Fer (Renforts plafond Master, Parallélisme auto, Lyre pour projecteur LED, Renforts ridelles latérales et rideles grillagées Nor65, Nouveau Porte-échelle Master diam 45 mm ? ; Barre à feux et caisson moteur bétonnière) ; Siège Master (Jarnac) ; Rayonnage Master ; Etiqueteuse Rexel ; Outillage Savall de Lyon ; Bâche pour toiture VB ; Bâche pour scie circulaire ; Bâche pour presse 12 T ; Mini tour (1000€) ; Radar et sirène de recul Master ; Cintreuse tubes Manomano (105€) ; Booster démarrage (Manomano) ; Auvant Master (160€+400€) ; peinture élastomère 400ml (16€) ; Peinture translucide pour caravane ; </t>
  </si>
  <si>
    <t>des écarts</t>
  </si>
  <si>
    <t>???</t>
  </si>
  <si>
    <t>Sommes variables à valider mensuellement.
En cas d'évolution, reporter les nouvelles valeurs dans l'onglet "Historique Recettes".</t>
  </si>
  <si>
    <t>Cotisation (en septembre)</t>
  </si>
  <si>
    <t>Autres dépenses ponctuelles à prévoir ou sommes à rembourser</t>
  </si>
  <si>
    <t>Opérations en attente :</t>
  </si>
  <si>
    <t>Relevé :</t>
  </si>
  <si>
    <t>Inter crépusculaire 12V pour Master - Voir dossier (Données\Technique générale)</t>
  </si>
  <si>
    <t>Evolution 2020</t>
  </si>
  <si>
    <t>Sans ProBTP</t>
  </si>
  <si>
    <t>Avec ProBTP</t>
  </si>
  <si>
    <t>Livret A
6667</t>
  </si>
  <si>
    <t>LDD
9637</t>
  </si>
  <si>
    <t>PEL
3443</t>
  </si>
  <si>
    <t>25-Téléphone (validé Avril 2021)</t>
  </si>
  <si>
    <t>TOTAL ESPECES</t>
  </si>
  <si>
    <t>PEA</t>
  </si>
  <si>
    <t>PEA
3022</t>
  </si>
  <si>
    <t>Titres</t>
  </si>
  <si>
    <t>Espèces
Hors Master</t>
  </si>
  <si>
    <t>1 - Télécharger le relevé "Compte courant"</t>
  </si>
  <si>
    <t>Cédit</t>
  </si>
  <si>
    <t>Compte Espèces</t>
  </si>
  <si>
    <t>Compte Titres</t>
  </si>
  <si>
    <t>Ouverture du Compte</t>
  </si>
  <si>
    <t>Abondement Société Générale</t>
  </si>
  <si>
    <t>Achat
unitaire</t>
  </si>
  <si>
    <t>Nbre</t>
  </si>
  <si>
    <t>Valeur</t>
  </si>
  <si>
    <t>Total
Portefeuille</t>
  </si>
  <si>
    <t>Libellé (Opération, nom de l'action, …)</t>
  </si>
  <si>
    <t>10-Versement pour PEA Espèces</t>
  </si>
  <si>
    <t>10-Epargne PEA Espèces</t>
  </si>
  <si>
    <t>FDJ</t>
  </si>
  <si>
    <t>CC
5131</t>
  </si>
  <si>
    <t>2018 et initialisation de ce fichier</t>
  </si>
  <si>
    <t xml:space="preserve">Solde réèl : </t>
  </si>
  <si>
    <t>EC</t>
  </si>
  <si>
    <t>AV</t>
  </si>
  <si>
    <t>OP6</t>
  </si>
  <si>
    <t>OP5</t>
  </si>
  <si>
    <t>A Ventiler</t>
  </si>
  <si>
    <t>Affectation des Encours</t>
  </si>
  <si>
    <t>Carte d'identité (Mairie de Cognac ou Jarnac : Prise RDV)</t>
  </si>
  <si>
    <t>En attente (début juillet)</t>
  </si>
  <si>
    <t>A faire : Revoir les soldes des EC Encours. A facturer si possible.</t>
  </si>
  <si>
    <t>Facture du 25/12/20 jamais débitée</t>
  </si>
  <si>
    <t xml:space="preserve">Solde réèl instantanné : </t>
  </si>
  <si>
    <t>Synthèse</t>
  </si>
  <si>
    <t>CTRL</t>
  </si>
  <si>
    <t>Pour ajouter des lignes à ce tableau</t>
  </si>
  <si>
    <t>5 - Facturer les "Encours clients"</t>
  </si>
  <si>
    <t>Ligne Fin de mois/an (M/A)</t>
  </si>
  <si>
    <t>E.Master</t>
  </si>
  <si>
    <t>RS Components</t>
  </si>
  <si>
    <t>6 - Compter les espèces (vérification physique)</t>
  </si>
  <si>
    <t>7 - Détruire les fichiers de suivi intermédiaires établis au jour le jour pendant le mois (y compris les "EXP"), et ne conserver que les fichiers de fin de mois (clôture).</t>
  </si>
  <si>
    <t>ECC</t>
  </si>
  <si>
    <t xml:space="preserve">Sélectionner une ligne numérotée vide ci-dessus, insérer des lignes (par défaut : au format identique à celle du dessus), et dupliquer toutes les formules, à partir d'une ligne vide précédente. </t>
  </si>
  <si>
    <t>jour</t>
  </si>
  <si>
    <t>du</t>
  </si>
  <si>
    <t>DJM</t>
  </si>
  <si>
    <t>(Dernier</t>
  </si>
  <si>
    <t>mois)</t>
  </si>
  <si>
    <t>DJM-Loyer Garage 7 Brisson pour M+1 (Terme à échoir)</t>
  </si>
  <si>
    <t>DJM-Retrait Espèces pour Master (selon possibilité)</t>
  </si>
  <si>
    <t>DJM-Epargne en espèces pour Master (selon possibilité)</t>
  </si>
  <si>
    <t>DJM-Retrait espèces pour ESP (selon possibilité)</t>
  </si>
  <si>
    <t>DJM-Epargne en espèces pour ESP (selon possibilité)</t>
  </si>
  <si>
    <t>DJM-Retrait en Banque pour Master (selon possibilité)</t>
  </si>
  <si>
    <t>DJM-Epargne en Banque pour Master (selon possibilité)</t>
  </si>
  <si>
    <t>Renouveler la commande du 04/06 "Pane de fer Weller W61" (15,54€)</t>
  </si>
  <si>
    <t>Juillet</t>
  </si>
  <si>
    <t>juillet</t>
  </si>
  <si>
    <t>Commander cintreuse pour échafaudage (174,95€)</t>
  </si>
  <si>
    <t>E. Master</t>
  </si>
  <si>
    <t>Avoirs</t>
  </si>
  <si>
    <t>Pour contrôle conformité du comptage du 01/07/2021</t>
  </si>
  <si>
    <t>OK</t>
  </si>
  <si>
    <t>Validation
espèces</t>
  </si>
  <si>
    <t>CALCUL DU SOLDE ABSOLU : Anticipation des Recettes/Dépenses récurrentes du mois de : Juillet 2021</t>
  </si>
  <si>
    <t>Corriger le montant exact du coiffeur CHSG689 du 10/07/2021</t>
  </si>
  <si>
    <t>Etudier une macro pour ajouter des lignes selon besoin (ligne par ligne ou par paquet de 10 ???</t>
  </si>
  <si>
    <t>Macro</t>
  </si>
  <si>
    <t>210715A</t>
  </si>
  <si>
    <t xml:space="preserve">A élucider : </t>
  </si>
  <si>
    <t>Lemoine Michèle GCAD 100,00€</t>
  </si>
  <si>
    <t>Contacter Michèle Lemoine pour virement erroné du 12/07/2021</t>
  </si>
  <si>
    <t xml:space="preserve">Michèle Lemoine </t>
  </si>
  <si>
    <t>Attention : S'assurer qu'il y ait au moins 2 lignes vides ci-dessus, avant d'appeler la macro "Ajouter une ligne". Soumettre ce problème à Excell-Pratique</t>
  </si>
</sst>
</file>

<file path=xl/styles.xml><?xml version="1.0" encoding="utf-8"?>
<styleSheet xmlns="http://schemas.openxmlformats.org/spreadsheetml/2006/main">
  <numFmts count="9"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dd/mm/yy;@"/>
    <numFmt numFmtId="165" formatCode="#,##0.00\ &quot;€&quot;"/>
    <numFmt numFmtId="166" formatCode="#,##0.00\ _€"/>
    <numFmt numFmtId="167" formatCode="0_ ;[Red]\-0\ "/>
    <numFmt numFmtId="168" formatCode="0.0%"/>
  </numFmts>
  <fonts count="38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rgb="FF0000FF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</font>
    <font>
      <b/>
      <sz val="2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B050"/>
      <name val="Calibri"/>
      <family val="2"/>
      <scheme val="minor"/>
    </font>
    <font>
      <sz val="14"/>
      <name val="Calibri"/>
      <family val="2"/>
      <scheme val="minor"/>
    </font>
    <font>
      <b/>
      <sz val="12"/>
      <name val="Calibri"/>
      <family val="2"/>
      <scheme val="minor"/>
    </font>
    <font>
      <sz val="10.5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20"/>
      <name val="Calibri"/>
      <family val="2"/>
      <scheme val="minor"/>
    </font>
    <font>
      <b/>
      <sz val="11"/>
      <color rgb="FF009900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2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name val="Arial"/>
      <family val="2"/>
    </font>
    <font>
      <b/>
      <sz val="16"/>
      <name val="Calibri"/>
      <family val="2"/>
      <scheme val="minor"/>
    </font>
    <font>
      <b/>
      <sz val="16"/>
      <color rgb="FF0000FF"/>
      <name val="Calibri"/>
      <family val="2"/>
      <scheme val="minor"/>
    </font>
    <font>
      <sz val="20"/>
      <color rgb="FF00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CC"/>
        <bgColor indexed="64"/>
      </patternFill>
    </fill>
  </fills>
  <borders count="6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36">
    <xf numFmtId="0" fontId="0" fillId="0" borderId="0" xfId="0"/>
    <xf numFmtId="164" fontId="0" fillId="0" borderId="0" xfId="0" applyNumberFormat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8" fontId="0" fillId="2" borderId="1" xfId="0" applyNumberFormat="1" applyFill="1" applyBorder="1"/>
    <xf numFmtId="164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8" fontId="0" fillId="4" borderId="1" xfId="0" applyNumberFormat="1" applyFill="1" applyBorder="1"/>
    <xf numFmtId="0" fontId="0" fillId="0" borderId="0" xfId="0" applyBorder="1"/>
    <xf numFmtId="44" fontId="0" fillId="0" borderId="0" xfId="0" applyNumberFormat="1" applyAlignment="1">
      <alignment horizontal="center"/>
    </xf>
    <xf numFmtId="44" fontId="2" fillId="0" borderId="1" xfId="0" applyNumberFormat="1" applyFont="1" applyBorder="1" applyAlignment="1">
      <alignment horizontal="center"/>
    </xf>
    <xf numFmtId="44" fontId="0" fillId="0" borderId="1" xfId="0" applyNumberFormat="1" applyBorder="1" applyAlignment="1">
      <alignment horizontal="center"/>
    </xf>
    <xf numFmtId="164" fontId="0" fillId="0" borderId="1" xfId="0" applyNumberFormat="1" applyBorder="1"/>
    <xf numFmtId="164" fontId="0" fillId="0" borderId="0" xfId="0" applyNumberFormat="1"/>
    <xf numFmtId="0" fontId="2" fillId="0" borderId="1" xfId="0" applyNumberFormat="1" applyFont="1" applyBorder="1" applyAlignment="1">
      <alignment horizontal="center"/>
    </xf>
    <xf numFmtId="0" fontId="0" fillId="0" borderId="4" xfId="0" applyFill="1" applyBorder="1"/>
    <xf numFmtId="44" fontId="0" fillId="5" borderId="1" xfId="0" applyNumberFormat="1" applyFill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right" wrapText="1"/>
    </xf>
    <xf numFmtId="0" fontId="2" fillId="0" borderId="1" xfId="0" applyNumberFormat="1" applyFont="1" applyBorder="1" applyAlignment="1">
      <alignment horizontal="center"/>
    </xf>
    <xf numFmtId="165" fontId="2" fillId="0" borderId="1" xfId="0" applyNumberFormat="1" applyFont="1" applyBorder="1" applyAlignment="1"/>
    <xf numFmtId="165" fontId="2" fillId="0" borderId="1" xfId="0" applyNumberFormat="1" applyFont="1" applyBorder="1" applyAlignment="1">
      <alignment horizontal="center"/>
    </xf>
    <xf numFmtId="165" fontId="0" fillId="4" borderId="1" xfId="0" applyNumberFormat="1" applyFill="1" applyBorder="1"/>
    <xf numFmtId="165" fontId="0" fillId="0" borderId="1" xfId="0" applyNumberFormat="1" applyBorder="1"/>
    <xf numFmtId="0" fontId="0" fillId="0" borderId="0" xfId="0" quotePrefix="1" applyNumberFormat="1" applyAlignment="1">
      <alignment horizontal="left"/>
    </xf>
    <xf numFmtId="164" fontId="0" fillId="4" borderId="1" xfId="0" applyNumberFormat="1" applyFill="1" applyBorder="1" applyAlignment="1">
      <alignment horizontal="center"/>
    </xf>
    <xf numFmtId="0" fontId="0" fillId="0" borderId="1" xfId="0" applyFill="1" applyBorder="1"/>
    <xf numFmtId="0" fontId="8" fillId="0" borderId="1" xfId="0" applyFont="1" applyBorder="1"/>
    <xf numFmtId="164" fontId="0" fillId="0" borderId="1" xfId="0" applyNumberFormat="1" applyFont="1" applyBorder="1"/>
    <xf numFmtId="0" fontId="0" fillId="0" borderId="1" xfId="0" applyFont="1" applyBorder="1"/>
    <xf numFmtId="44" fontId="0" fillId="0" borderId="1" xfId="0" applyNumberFormat="1" applyFont="1" applyBorder="1" applyAlignment="1">
      <alignment horizontal="center"/>
    </xf>
    <xf numFmtId="164" fontId="0" fillId="0" borderId="1" xfId="0" applyNumberFormat="1" applyFont="1" applyBorder="1" applyAlignment="1">
      <alignment horizontal="center"/>
    </xf>
    <xf numFmtId="0" fontId="0" fillId="0" borderId="1" xfId="0" applyNumberFormat="1" applyFont="1" applyBorder="1" applyAlignment="1">
      <alignment horizontal="center"/>
    </xf>
    <xf numFmtId="44" fontId="0" fillId="5" borderId="1" xfId="0" applyNumberFormat="1" applyFont="1" applyFill="1" applyBorder="1" applyAlignment="1">
      <alignment horizontal="center"/>
    </xf>
    <xf numFmtId="0" fontId="0" fillId="0" borderId="0" xfId="0" applyFont="1"/>
    <xf numFmtId="44" fontId="8" fillId="0" borderId="1" xfId="0" applyNumberFormat="1" applyFont="1" applyBorder="1" applyAlignment="1">
      <alignment horizontal="center"/>
    </xf>
    <xf numFmtId="44" fontId="6" fillId="4" borderId="1" xfId="0" applyNumberFormat="1" applyFont="1" applyFill="1" applyBorder="1" applyAlignment="1">
      <alignment horizontal="center"/>
    </xf>
    <xf numFmtId="44" fontId="0" fillId="4" borderId="1" xfId="0" applyNumberFormat="1" applyFill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6" fillId="0" borderId="8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8" fontId="0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0" fillId="3" borderId="0" xfId="0" applyFill="1" applyAlignment="1">
      <alignment vertical="center" wrapText="1"/>
    </xf>
    <xf numFmtId="164" fontId="0" fillId="3" borderId="1" xfId="0" applyNumberFormat="1" applyFill="1" applyBorder="1" applyAlignment="1">
      <alignment horizontal="center" vertical="center" wrapText="1"/>
    </xf>
    <xf numFmtId="164" fontId="0" fillId="3" borderId="1" xfId="0" applyNumberForma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 wrapText="1"/>
    </xf>
    <xf numFmtId="165" fontId="0" fillId="3" borderId="1" xfId="0" applyNumberFormat="1" applyFont="1" applyFill="1" applyBorder="1" applyAlignment="1">
      <alignment vertical="center" wrapText="1"/>
    </xf>
    <xf numFmtId="165" fontId="0" fillId="3" borderId="1" xfId="0" applyNumberFormat="1" applyFont="1" applyFill="1" applyBorder="1" applyAlignment="1">
      <alignment horizontal="right" vertical="center" wrapText="1"/>
    </xf>
    <xf numFmtId="8" fontId="0" fillId="3" borderId="1" xfId="0" applyNumberFormat="1" applyFont="1" applyFill="1" applyBorder="1" applyAlignment="1">
      <alignment vertical="center" wrapText="1"/>
    </xf>
    <xf numFmtId="8" fontId="0" fillId="3" borderId="1" xfId="0" applyNumberFormat="1" applyFill="1" applyBorder="1" applyAlignment="1">
      <alignment vertical="center" wrapText="1"/>
    </xf>
    <xf numFmtId="164" fontId="0" fillId="0" borderId="1" xfId="0" applyNumberFormat="1" applyFill="1" applyBorder="1" applyAlignment="1">
      <alignment horizontal="left" vertical="center" wrapText="1"/>
    </xf>
    <xf numFmtId="0" fontId="0" fillId="0" borderId="1" xfId="0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8" fontId="0" fillId="2" borderId="1" xfId="0" applyNumberFormat="1" applyFont="1" applyFill="1" applyBorder="1" applyAlignment="1">
      <alignment vertical="center" wrapText="1"/>
    </xf>
    <xf numFmtId="164" fontId="0" fillId="0" borderId="1" xfId="0" applyNumberFormat="1" applyFont="1" applyFill="1" applyBorder="1" applyAlignment="1">
      <alignment horizontal="center" vertical="center" wrapText="1"/>
    </xf>
    <xf numFmtId="164" fontId="0" fillId="0" borderId="7" xfId="0" applyNumberFormat="1" applyFont="1" applyFill="1" applyBorder="1" applyAlignment="1">
      <alignment horizontal="center" vertical="center" wrapText="1"/>
    </xf>
    <xf numFmtId="164" fontId="0" fillId="0" borderId="7" xfId="0" applyNumberFormat="1" applyFill="1" applyBorder="1" applyAlignment="1">
      <alignment horizontal="left" vertical="center" wrapText="1"/>
    </xf>
    <xf numFmtId="0" fontId="0" fillId="0" borderId="7" xfId="0" applyFill="1" applyBorder="1" applyAlignment="1">
      <alignment vertical="center" wrapText="1"/>
    </xf>
    <xf numFmtId="0" fontId="6" fillId="0" borderId="7" xfId="0" applyFont="1" applyFill="1" applyBorder="1" applyAlignment="1">
      <alignment horizontal="center" vertical="center" wrapText="1"/>
    </xf>
    <xf numFmtId="165" fontId="0" fillId="3" borderId="7" xfId="0" applyNumberFormat="1" applyFont="1" applyFill="1" applyBorder="1" applyAlignment="1">
      <alignment vertical="center" wrapText="1"/>
    </xf>
    <xf numFmtId="165" fontId="0" fillId="3" borderId="7" xfId="0" applyNumberFormat="1" applyFont="1" applyFill="1" applyBorder="1" applyAlignment="1">
      <alignment horizontal="right" vertical="center" wrapText="1"/>
    </xf>
    <xf numFmtId="8" fontId="0" fillId="3" borderId="7" xfId="0" applyNumberFormat="1" applyFont="1" applyFill="1" applyBorder="1" applyAlignment="1">
      <alignment vertical="center" wrapText="1"/>
    </xf>
    <xf numFmtId="8" fontId="0" fillId="2" borderId="7" xfId="0" applyNumberFormat="1" applyFont="1" applyFill="1" applyBorder="1" applyAlignment="1">
      <alignment vertical="center" wrapText="1"/>
    </xf>
    <xf numFmtId="164" fontId="0" fillId="3" borderId="20" xfId="0" applyNumberFormat="1" applyFont="1" applyFill="1" applyBorder="1" applyAlignment="1">
      <alignment horizontal="center" vertical="center" wrapText="1"/>
    </xf>
    <xf numFmtId="164" fontId="0" fillId="3" borderId="20" xfId="0" applyNumberFormat="1" applyFill="1" applyBorder="1" applyAlignment="1">
      <alignment horizontal="left" vertical="center" wrapText="1"/>
    </xf>
    <xf numFmtId="0" fontId="0" fillId="3" borderId="20" xfId="0" applyFill="1" applyBorder="1" applyAlignment="1">
      <alignment vertical="center" wrapText="1"/>
    </xf>
    <xf numFmtId="0" fontId="6" fillId="3" borderId="20" xfId="0" applyFont="1" applyFill="1" applyBorder="1" applyAlignment="1">
      <alignment horizontal="center" vertical="center" wrapText="1"/>
    </xf>
    <xf numFmtId="165" fontId="0" fillId="3" borderId="20" xfId="0" applyNumberFormat="1" applyFont="1" applyFill="1" applyBorder="1" applyAlignment="1">
      <alignment vertical="center" wrapText="1"/>
    </xf>
    <xf numFmtId="165" fontId="0" fillId="3" borderId="20" xfId="0" applyNumberFormat="1" applyFont="1" applyFill="1" applyBorder="1" applyAlignment="1">
      <alignment horizontal="right" vertical="center" wrapText="1"/>
    </xf>
    <xf numFmtId="8" fontId="0" fillId="3" borderId="20" xfId="0" applyNumberFormat="1" applyFont="1" applyFill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8" fontId="0" fillId="2" borderId="5" xfId="0" applyNumberFormat="1" applyFont="1" applyFill="1" applyBorder="1" applyAlignment="1">
      <alignment vertical="center" wrapText="1"/>
    </xf>
    <xf numFmtId="164" fontId="6" fillId="0" borderId="5" xfId="0" applyNumberFormat="1" applyFont="1" applyBorder="1" applyAlignment="1">
      <alignment horizontal="left" vertical="center" wrapText="1"/>
    </xf>
    <xf numFmtId="0" fontId="6" fillId="0" borderId="5" xfId="0" applyFont="1" applyBorder="1" applyAlignment="1">
      <alignment vertical="center" wrapText="1"/>
    </xf>
    <xf numFmtId="165" fontId="6" fillId="0" borderId="5" xfId="0" applyNumberFormat="1" applyFont="1" applyBorder="1" applyAlignment="1">
      <alignment horizontal="right" vertical="center" wrapText="1"/>
    </xf>
    <xf numFmtId="8" fontId="0" fillId="0" borderId="1" xfId="0" applyNumberFormat="1" applyFont="1" applyBorder="1" applyAlignment="1">
      <alignment horizontal="center" vertical="center" wrapText="1"/>
    </xf>
    <xf numFmtId="8" fontId="0" fillId="2" borderId="11" xfId="0" applyNumberFormat="1" applyFont="1" applyFill="1" applyBorder="1" applyAlignment="1">
      <alignment vertical="center" wrapText="1"/>
    </xf>
    <xf numFmtId="164" fontId="3" fillId="0" borderId="5" xfId="0" applyNumberFormat="1" applyFont="1" applyBorder="1" applyAlignment="1">
      <alignment horizontal="left" vertical="center" wrapText="1"/>
    </xf>
    <xf numFmtId="164" fontId="3" fillId="0" borderId="1" xfId="0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165" fontId="3" fillId="0" borderId="1" xfId="0" applyNumberFormat="1" applyFont="1" applyBorder="1" applyAlignment="1">
      <alignment horizontal="right" vertical="center" wrapText="1"/>
    </xf>
    <xf numFmtId="164" fontId="16" fillId="0" borderId="1" xfId="0" applyNumberFormat="1" applyFont="1" applyBorder="1" applyAlignment="1">
      <alignment horizontal="left" vertical="center" wrapText="1"/>
    </xf>
    <xf numFmtId="0" fontId="16" fillId="0" borderId="1" xfId="0" applyFont="1" applyBorder="1" applyAlignment="1">
      <alignment vertical="center" wrapText="1"/>
    </xf>
    <xf numFmtId="0" fontId="6" fillId="0" borderId="5" xfId="0" applyFont="1" applyFill="1" applyBorder="1" applyAlignment="1">
      <alignment horizontal="center" vertical="center" wrapText="1"/>
    </xf>
    <xf numFmtId="165" fontId="16" fillId="0" borderId="1" xfId="0" applyNumberFormat="1" applyFont="1" applyFill="1" applyBorder="1" applyAlignment="1">
      <alignment vertical="center" wrapText="1"/>
    </xf>
    <xf numFmtId="164" fontId="6" fillId="0" borderId="1" xfId="0" applyNumberFormat="1" applyFont="1" applyFill="1" applyBorder="1" applyAlignment="1">
      <alignment horizontal="left" vertical="center" wrapText="1"/>
    </xf>
    <xf numFmtId="165" fontId="6" fillId="0" borderId="1" xfId="0" applyNumberFormat="1" applyFont="1" applyFill="1" applyBorder="1" applyAlignment="1">
      <alignment vertical="center" wrapText="1"/>
    </xf>
    <xf numFmtId="164" fontId="3" fillId="0" borderId="1" xfId="0" applyNumberFormat="1" applyFont="1" applyFill="1" applyBorder="1" applyAlignment="1">
      <alignment horizontal="left" vertical="center" wrapText="1"/>
    </xf>
    <xf numFmtId="165" fontId="3" fillId="0" borderId="1" xfId="0" applyNumberFormat="1" applyFont="1" applyFill="1" applyBorder="1" applyAlignment="1">
      <alignment vertical="center" wrapText="1"/>
    </xf>
    <xf numFmtId="165" fontId="3" fillId="0" borderId="1" xfId="0" applyNumberFormat="1" applyFont="1" applyFill="1" applyBorder="1" applyAlignment="1">
      <alignment horizontal="right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left" vertical="center" wrapText="1"/>
    </xf>
    <xf numFmtId="165" fontId="6" fillId="0" borderId="1" xfId="0" applyNumberFormat="1" applyFont="1" applyBorder="1" applyAlignment="1">
      <alignment vertical="center" wrapText="1"/>
    </xf>
    <xf numFmtId="165" fontId="3" fillId="0" borderId="1" xfId="0" applyNumberFormat="1" applyFont="1" applyBorder="1" applyAlignment="1">
      <alignment vertical="center" wrapText="1"/>
    </xf>
    <xf numFmtId="8" fontId="0" fillId="0" borderId="1" xfId="0" applyNumberFormat="1" applyFont="1" applyFill="1" applyBorder="1" applyAlignment="1">
      <alignment vertical="center" wrapText="1"/>
    </xf>
    <xf numFmtId="0" fontId="6" fillId="4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164" fontId="6" fillId="0" borderId="5" xfId="0" applyNumberFormat="1" applyFont="1" applyFill="1" applyBorder="1" applyAlignment="1">
      <alignment horizontal="center" vertical="center" wrapText="1"/>
    </xf>
    <xf numFmtId="164" fontId="16" fillId="0" borderId="1" xfId="0" applyNumberFormat="1" applyFont="1" applyFill="1" applyBorder="1" applyAlignment="1">
      <alignment horizontal="left" vertical="center" wrapText="1"/>
    </xf>
    <xf numFmtId="0" fontId="16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7" xfId="0" applyFont="1" applyFill="1" applyBorder="1" applyAlignment="1">
      <alignment vertical="center" wrapText="1"/>
    </xf>
    <xf numFmtId="165" fontId="0" fillId="0" borderId="1" xfId="0" applyNumberFormat="1" applyFont="1" applyBorder="1" applyAlignment="1">
      <alignment horizontal="right" vertical="center" wrapText="1"/>
    </xf>
    <xf numFmtId="0" fontId="0" fillId="0" borderId="0" xfId="0" applyFill="1" applyAlignment="1">
      <alignment vertical="center" wrapText="1"/>
    </xf>
    <xf numFmtId="8" fontId="0" fillId="0" borderId="4" xfId="0" applyNumberFormat="1" applyFont="1" applyFill="1" applyBorder="1" applyAlignment="1">
      <alignment vertical="center" wrapText="1"/>
    </xf>
    <xf numFmtId="8" fontId="0" fillId="0" borderId="1" xfId="0" applyNumberFormat="1" applyFill="1" applyBorder="1" applyAlignment="1">
      <alignment vertical="center" wrapText="1"/>
    </xf>
    <xf numFmtId="164" fontId="6" fillId="0" borderId="5" xfId="0" applyNumberFormat="1" applyFont="1" applyBorder="1" applyAlignment="1">
      <alignment horizontal="center" vertical="center" wrapText="1"/>
    </xf>
    <xf numFmtId="8" fontId="0" fillId="8" borderId="1" xfId="0" applyNumberFormat="1" applyFont="1" applyFill="1" applyBorder="1" applyAlignment="1">
      <alignment vertical="center" wrapText="1"/>
    </xf>
    <xf numFmtId="165" fontId="16" fillId="4" borderId="1" xfId="0" applyNumberFormat="1" applyFont="1" applyFill="1" applyBorder="1" applyAlignment="1">
      <alignment vertical="center" wrapText="1"/>
    </xf>
    <xf numFmtId="8" fontId="0" fillId="0" borderId="5" xfId="0" applyNumberFormat="1" applyFont="1" applyFill="1" applyBorder="1" applyAlignment="1">
      <alignment vertical="center" wrapText="1"/>
    </xf>
    <xf numFmtId="164" fontId="6" fillId="0" borderId="17" xfId="0" applyNumberFormat="1" applyFont="1" applyFill="1" applyBorder="1" applyAlignment="1">
      <alignment horizontal="center" vertical="center" wrapText="1"/>
    </xf>
    <xf numFmtId="165" fontId="6" fillId="0" borderId="18" xfId="0" applyNumberFormat="1" applyFont="1" applyFill="1" applyBorder="1" applyAlignment="1">
      <alignment horizontal="right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165" fontId="0" fillId="0" borderId="0" xfId="0" applyNumberFormat="1" applyFont="1" applyFill="1" applyBorder="1" applyAlignment="1">
      <alignment vertical="center" wrapText="1"/>
    </xf>
    <xf numFmtId="0" fontId="3" fillId="0" borderId="23" xfId="0" applyNumberFormat="1" applyFont="1" applyBorder="1" applyAlignment="1">
      <alignment horizontal="center" vertical="center" wrapText="1"/>
    </xf>
    <xf numFmtId="164" fontId="0" fillId="0" borderId="30" xfId="0" applyNumberFormat="1" applyFont="1" applyFill="1" applyBorder="1" applyAlignment="1">
      <alignment horizontal="center" vertical="center" wrapText="1"/>
    </xf>
    <xf numFmtId="164" fontId="8" fillId="0" borderId="30" xfId="0" applyNumberFormat="1" applyFont="1" applyFill="1" applyBorder="1" applyAlignment="1">
      <alignment horizontal="left" vertical="center" wrapText="1"/>
    </xf>
    <xf numFmtId="0" fontId="8" fillId="0" borderId="30" xfId="0" applyFont="1" applyFill="1" applyBorder="1" applyAlignment="1">
      <alignment vertical="center" wrapText="1"/>
    </xf>
    <xf numFmtId="0" fontId="6" fillId="0" borderId="30" xfId="0" applyFont="1" applyFill="1" applyBorder="1" applyAlignment="1">
      <alignment horizontal="center" vertical="center" wrapText="1"/>
    </xf>
    <xf numFmtId="165" fontId="0" fillId="0" borderId="30" xfId="0" applyNumberFormat="1" applyFont="1" applyFill="1" applyBorder="1" applyAlignment="1">
      <alignment vertical="center" wrapText="1"/>
    </xf>
    <xf numFmtId="165" fontId="0" fillId="0" borderId="30" xfId="0" applyNumberFormat="1" applyFont="1" applyFill="1" applyBorder="1" applyAlignment="1">
      <alignment horizontal="right" vertical="center" wrapText="1"/>
    </xf>
    <xf numFmtId="0" fontId="6" fillId="0" borderId="0" xfId="0" applyFont="1" applyAlignment="1">
      <alignment horizontal="center" vertical="center" wrapText="1"/>
    </xf>
    <xf numFmtId="8" fontId="0" fillId="0" borderId="7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8" fontId="0" fillId="0" borderId="43" xfId="0" applyNumberFormat="1" applyFont="1" applyFill="1" applyBorder="1" applyAlignment="1">
      <alignment vertical="center" wrapText="1"/>
    </xf>
    <xf numFmtId="8" fontId="0" fillId="0" borderId="0" xfId="0" applyNumberFormat="1" applyFont="1" applyFill="1" applyBorder="1" applyAlignment="1">
      <alignment vertical="center" wrapText="1"/>
    </xf>
    <xf numFmtId="8" fontId="0" fillId="0" borderId="0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8" fontId="0" fillId="0" borderId="0" xfId="0" applyNumberFormat="1" applyFill="1" applyBorder="1" applyAlignment="1">
      <alignment horizontal="center" vertical="center" wrapText="1"/>
    </xf>
    <xf numFmtId="8" fontId="19" fillId="0" borderId="0" xfId="0" applyNumberFormat="1" applyFont="1" applyFill="1" applyBorder="1" applyAlignment="1">
      <alignment vertical="center" wrapText="1"/>
    </xf>
    <xf numFmtId="8" fontId="20" fillId="0" borderId="1" xfId="0" applyNumberFormat="1" applyFont="1" applyFill="1" applyBorder="1" applyAlignment="1">
      <alignment horizontal="center" vertical="center" wrapText="1"/>
    </xf>
    <xf numFmtId="8" fontId="0" fillId="5" borderId="1" xfId="0" applyNumberFormat="1" applyFill="1" applyBorder="1" applyAlignment="1">
      <alignment horizontal="center" vertical="center" wrapText="1"/>
    </xf>
    <xf numFmtId="8" fontId="19" fillId="5" borderId="1" xfId="0" applyNumberFormat="1" applyFont="1" applyFill="1" applyBorder="1" applyAlignment="1">
      <alignment horizontal="center" vertical="center" wrapText="1"/>
    </xf>
    <xf numFmtId="8" fontId="19" fillId="5" borderId="1" xfId="0" applyNumberFormat="1" applyFont="1" applyFill="1" applyBorder="1" applyAlignment="1">
      <alignment vertical="center" wrapText="1"/>
    </xf>
    <xf numFmtId="8" fontId="19" fillId="0" borderId="0" xfId="0" applyNumberFormat="1" applyFont="1" applyFill="1" applyBorder="1" applyAlignment="1">
      <alignment horizontal="center" vertical="center" wrapText="1"/>
    </xf>
    <xf numFmtId="10" fontId="0" fillId="5" borderId="1" xfId="0" applyNumberFormat="1" applyFont="1" applyFill="1" applyBorder="1" applyAlignment="1">
      <alignment horizontal="center" vertical="center" wrapText="1"/>
    </xf>
    <xf numFmtId="0" fontId="20" fillId="0" borderId="1" xfId="0" applyNumberFormat="1" applyFont="1" applyFill="1" applyBorder="1" applyAlignment="1">
      <alignment horizontal="center" vertical="center" wrapText="1"/>
    </xf>
    <xf numFmtId="164" fontId="19" fillId="0" borderId="1" xfId="0" applyNumberFormat="1" applyFont="1" applyBorder="1" applyAlignment="1">
      <alignment horizontal="center" vertical="center" wrapText="1"/>
    </xf>
    <xf numFmtId="8" fontId="0" fillId="0" borderId="13" xfId="0" applyNumberFormat="1" applyFont="1" applyFill="1" applyBorder="1" applyAlignment="1">
      <alignment vertical="center" wrapText="1"/>
    </xf>
    <xf numFmtId="8" fontId="0" fillId="0" borderId="7" xfId="0" applyNumberFormat="1" applyFont="1" applyFill="1" applyBorder="1" applyAlignment="1">
      <alignment vertical="center" wrapText="1"/>
    </xf>
    <xf numFmtId="8" fontId="0" fillId="0" borderId="8" xfId="0" applyNumberFormat="1" applyFont="1" applyFill="1" applyBorder="1" applyAlignment="1">
      <alignment vertical="center" wrapText="1"/>
    </xf>
    <xf numFmtId="164" fontId="0" fillId="0" borderId="0" xfId="0" applyNumberFormat="1" applyBorder="1" applyAlignment="1">
      <alignment horizontal="left" vertical="center" wrapText="1"/>
    </xf>
    <xf numFmtId="164" fontId="19" fillId="0" borderId="1" xfId="0" applyNumberFormat="1" applyFont="1" applyFill="1" applyBorder="1" applyAlignment="1">
      <alignment horizontal="center" vertical="center" wrapText="1"/>
    </xf>
    <xf numFmtId="0" fontId="4" fillId="6" borderId="20" xfId="0" applyFont="1" applyFill="1" applyBorder="1" applyAlignment="1">
      <alignment horizontal="right" vertical="center" wrapText="1"/>
    </xf>
    <xf numFmtId="0" fontId="6" fillId="6" borderId="20" xfId="0" applyFont="1" applyFill="1" applyBorder="1" applyAlignment="1">
      <alignment horizontal="center" vertical="center" wrapText="1"/>
    </xf>
    <xf numFmtId="165" fontId="4" fillId="6" borderId="20" xfId="0" applyNumberFormat="1" applyFont="1" applyFill="1" applyBorder="1" applyAlignment="1">
      <alignment vertical="center" wrapText="1"/>
    </xf>
    <xf numFmtId="165" fontId="0" fillId="0" borderId="0" xfId="0" applyNumberFormat="1" applyFont="1" applyBorder="1" applyAlignment="1">
      <alignment vertical="center" wrapText="1"/>
    </xf>
    <xf numFmtId="0" fontId="0" fillId="0" borderId="0" xfId="0" applyFont="1" applyBorder="1" applyAlignment="1">
      <alignment horizontal="center" vertical="center" wrapText="1"/>
    </xf>
    <xf numFmtId="165" fontId="0" fillId="0" borderId="0" xfId="0" applyNumberFormat="1" applyFont="1" applyAlignment="1">
      <alignment vertical="center" wrapText="1"/>
    </xf>
    <xf numFmtId="164" fontId="0" fillId="0" borderId="0" xfId="0" applyNumberFormat="1" applyFont="1" applyAlignment="1">
      <alignment horizontal="center" vertical="center" wrapText="1"/>
    </xf>
    <xf numFmtId="164" fontId="0" fillId="0" borderId="0" xfId="0" applyNumberFormat="1" applyAlignment="1">
      <alignment horizontal="left" vertical="center" wrapText="1"/>
    </xf>
    <xf numFmtId="165" fontId="0" fillId="0" borderId="0" xfId="0" applyNumberFormat="1" applyFont="1" applyAlignment="1">
      <alignment horizontal="right" vertical="center" wrapText="1"/>
    </xf>
    <xf numFmtId="0" fontId="6" fillId="0" borderId="0" xfId="0" applyNumberFormat="1" applyFont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164" fontId="3" fillId="0" borderId="14" xfId="0" applyNumberFormat="1" applyFont="1" applyBorder="1" applyAlignment="1">
      <alignment horizontal="center" vertical="center" wrapText="1"/>
    </xf>
    <xf numFmtId="164" fontId="3" fillId="0" borderId="28" xfId="0" applyNumberFormat="1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center" vertical="center" wrapText="1"/>
    </xf>
    <xf numFmtId="165" fontId="3" fillId="0" borderId="15" xfId="0" applyNumberFormat="1" applyFont="1" applyBorder="1" applyAlignment="1">
      <alignment vertical="center" wrapText="1"/>
    </xf>
    <xf numFmtId="165" fontId="3" fillId="0" borderId="16" xfId="0" applyNumberFormat="1" applyFont="1" applyBorder="1" applyAlignment="1">
      <alignment horizontal="right" vertical="center" wrapText="1"/>
    </xf>
    <xf numFmtId="0" fontId="0" fillId="0" borderId="0" xfId="0" applyFont="1" applyBorder="1" applyAlignment="1">
      <alignment vertical="center" wrapText="1"/>
    </xf>
    <xf numFmtId="164" fontId="3" fillId="0" borderId="17" xfId="0" applyNumberFormat="1" applyFont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left" vertical="center" wrapText="1"/>
    </xf>
    <xf numFmtId="0" fontId="3" fillId="0" borderId="1" xfId="0" applyNumberFormat="1" applyFont="1" applyBorder="1" applyAlignment="1">
      <alignment horizontal="left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165" fontId="3" fillId="0" borderId="18" xfId="0" applyNumberFormat="1" applyFont="1" applyBorder="1" applyAlignment="1">
      <alignment horizontal="right" vertical="center" wrapText="1"/>
    </xf>
    <xf numFmtId="164" fontId="4" fillId="6" borderId="19" xfId="0" applyNumberFormat="1" applyFont="1" applyFill="1" applyBorder="1" applyAlignment="1">
      <alignment horizontal="center" vertical="center" wrapText="1"/>
    </xf>
    <xf numFmtId="164" fontId="4" fillId="6" borderId="29" xfId="0" applyNumberFormat="1" applyFont="1" applyFill="1" applyBorder="1" applyAlignment="1">
      <alignment horizontal="left" vertical="center" wrapText="1"/>
    </xf>
    <xf numFmtId="165" fontId="4" fillId="6" borderId="21" xfId="0" applyNumberFormat="1" applyFont="1" applyFill="1" applyBorder="1" applyAlignment="1">
      <alignment horizontal="right" vertical="center" wrapText="1"/>
    </xf>
    <xf numFmtId="164" fontId="0" fillId="0" borderId="22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165" fontId="0" fillId="0" borderId="0" xfId="0" applyNumberFormat="1" applyFont="1" applyBorder="1" applyAlignment="1">
      <alignment horizontal="right" vertical="center" wrapText="1"/>
    </xf>
    <xf numFmtId="0" fontId="8" fillId="0" borderId="0" xfId="0" applyFont="1" applyAlignment="1">
      <alignment horizontal="left" vertical="center" wrapText="1"/>
    </xf>
    <xf numFmtId="0" fontId="3" fillId="0" borderId="15" xfId="0" applyFont="1" applyBorder="1" applyAlignment="1">
      <alignment vertical="center" wrapText="1"/>
    </xf>
    <xf numFmtId="164" fontId="3" fillId="0" borderId="3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8" fontId="3" fillId="0" borderId="0" xfId="0" applyNumberFormat="1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6" fillId="0" borderId="15" xfId="0" applyFont="1" applyFill="1" applyBorder="1" applyAlignment="1">
      <alignment horizontal="center" vertical="center" wrapText="1"/>
    </xf>
    <xf numFmtId="164" fontId="9" fillId="0" borderId="1" xfId="0" applyNumberFormat="1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vertical="center" wrapText="1"/>
    </xf>
    <xf numFmtId="0" fontId="9" fillId="0" borderId="5" xfId="0" applyFont="1" applyFill="1" applyBorder="1" applyAlignment="1">
      <alignment horizontal="center" vertical="center" wrapText="1"/>
    </xf>
    <xf numFmtId="165" fontId="9" fillId="0" borderId="1" xfId="0" applyNumberFormat="1" applyFont="1" applyFill="1" applyBorder="1" applyAlignment="1">
      <alignment vertical="center" wrapText="1"/>
    </xf>
    <xf numFmtId="165" fontId="9" fillId="0" borderId="18" xfId="0" quotePrefix="1" applyNumberFormat="1" applyFont="1" applyFill="1" applyBorder="1" applyAlignment="1">
      <alignment horizontal="right" vertical="center" wrapText="1"/>
    </xf>
    <xf numFmtId="164" fontId="3" fillId="3" borderId="3" xfId="0" applyNumberFormat="1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vertical="center" wrapText="1"/>
    </xf>
    <xf numFmtId="165" fontId="3" fillId="3" borderId="1" xfId="0" applyNumberFormat="1" applyFont="1" applyFill="1" applyBorder="1" applyAlignment="1">
      <alignment vertical="center" wrapText="1"/>
    </xf>
    <xf numFmtId="165" fontId="3" fillId="3" borderId="18" xfId="0" applyNumberFormat="1" applyFont="1" applyFill="1" applyBorder="1" applyAlignment="1">
      <alignment horizontal="right" vertical="center" wrapText="1"/>
    </xf>
    <xf numFmtId="0" fontId="3" fillId="0" borderId="5" xfId="0" applyFont="1" applyFill="1" applyBorder="1" applyAlignment="1">
      <alignment vertical="center" wrapText="1"/>
    </xf>
    <xf numFmtId="165" fontId="3" fillId="0" borderId="24" xfId="0" applyNumberFormat="1" applyFont="1" applyBorder="1" applyAlignment="1">
      <alignment horizontal="right" vertical="center" wrapText="1"/>
    </xf>
    <xf numFmtId="0" fontId="0" fillId="0" borderId="47" xfId="0" applyBorder="1" applyAlignment="1">
      <alignment horizontal="center" vertical="center" wrapText="1"/>
    </xf>
    <xf numFmtId="0" fontId="0" fillId="0" borderId="48" xfId="0" applyFont="1" applyBorder="1" applyAlignment="1">
      <alignment horizontal="center" vertical="center" wrapText="1"/>
    </xf>
    <xf numFmtId="165" fontId="0" fillId="0" borderId="15" xfId="0" applyNumberFormat="1" applyFont="1" applyBorder="1" applyAlignment="1">
      <alignment horizontal="right" vertical="center" wrapText="1"/>
    </xf>
    <xf numFmtId="165" fontId="0" fillId="0" borderId="20" xfId="0" applyNumberFormat="1" applyFont="1" applyBorder="1" applyAlignment="1">
      <alignment horizontal="right" vertical="center" wrapText="1"/>
    </xf>
    <xf numFmtId="165" fontId="0" fillId="0" borderId="5" xfId="0" applyNumberFormat="1" applyFont="1" applyBorder="1" applyAlignment="1">
      <alignment horizontal="right" vertical="center" wrapText="1"/>
    </xf>
    <xf numFmtId="165" fontId="0" fillId="0" borderId="15" xfId="0" applyNumberFormat="1" applyFont="1" applyFill="1" applyBorder="1" applyAlignment="1">
      <alignment horizontal="right" vertical="center" wrapText="1"/>
    </xf>
    <xf numFmtId="165" fontId="0" fillId="0" borderId="1" xfId="0" applyNumberFormat="1" applyFont="1" applyFill="1" applyBorder="1" applyAlignment="1">
      <alignment horizontal="right" vertical="center" wrapText="1"/>
    </xf>
    <xf numFmtId="44" fontId="21" fillId="5" borderId="1" xfId="0" applyNumberFormat="1" applyFont="1" applyFill="1" applyBorder="1" applyAlignment="1">
      <alignment vertical="center" wrapText="1"/>
    </xf>
    <xf numFmtId="0" fontId="6" fillId="0" borderId="0" xfId="0" applyFont="1" applyFill="1" applyAlignment="1">
      <alignment vertical="center" wrapText="1"/>
    </xf>
    <xf numFmtId="6" fontId="23" fillId="5" borderId="1" xfId="0" quotePrefix="1" applyNumberFormat="1" applyFont="1" applyFill="1" applyBorder="1" applyAlignment="1">
      <alignment horizontal="center" vertical="center" wrapText="1"/>
    </xf>
    <xf numFmtId="164" fontId="6" fillId="0" borderId="7" xfId="0" applyNumberFormat="1" applyFont="1" applyBorder="1" applyAlignment="1">
      <alignment horizontal="center" vertical="center" wrapText="1"/>
    </xf>
    <xf numFmtId="8" fontId="0" fillId="0" borderId="4" xfId="0" applyNumberFormat="1" applyFill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165" fontId="6" fillId="0" borderId="0" xfId="0" applyNumberFormat="1" applyFont="1" applyBorder="1" applyAlignment="1">
      <alignment vertical="center" wrapText="1"/>
    </xf>
    <xf numFmtId="165" fontId="6" fillId="0" borderId="0" xfId="0" applyNumberFormat="1" applyFont="1" applyBorder="1" applyAlignment="1">
      <alignment horizontal="right" vertical="center" wrapText="1"/>
    </xf>
    <xf numFmtId="0" fontId="6" fillId="0" borderId="12" xfId="0" applyFont="1" applyBorder="1" applyAlignment="1">
      <alignment horizontal="center" vertical="center" wrapText="1"/>
    </xf>
    <xf numFmtId="8" fontId="0" fillId="0" borderId="7" xfId="0" applyNumberFormat="1" applyFont="1" applyFill="1" applyBorder="1" applyAlignment="1">
      <alignment horizontal="center" vertical="center" wrapText="1"/>
    </xf>
    <xf numFmtId="8" fontId="0" fillId="0" borderId="4" xfId="0" applyNumberFormat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vertical="center" wrapText="1"/>
    </xf>
    <xf numFmtId="8" fontId="6" fillId="2" borderId="7" xfId="0" applyNumberFormat="1" applyFont="1" applyFill="1" applyBorder="1" applyAlignment="1">
      <alignment vertical="center" wrapText="1"/>
    </xf>
    <xf numFmtId="165" fontId="6" fillId="0" borderId="7" xfId="0" applyNumberFormat="1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164" fontId="6" fillId="0" borderId="0" xfId="0" applyNumberFormat="1" applyFont="1" applyBorder="1" applyAlignment="1">
      <alignment horizontal="center" vertical="center" wrapText="1"/>
    </xf>
    <xf numFmtId="164" fontId="19" fillId="8" borderId="1" xfId="0" applyNumberFormat="1" applyFont="1" applyFill="1" applyBorder="1" applyAlignment="1">
      <alignment horizontal="center" vertical="center" wrapText="1"/>
    </xf>
    <xf numFmtId="8" fontId="0" fillId="8" borderId="1" xfId="0" applyNumberFormat="1" applyFill="1" applyBorder="1" applyAlignment="1">
      <alignment vertical="center" wrapText="1"/>
    </xf>
    <xf numFmtId="164" fontId="6" fillId="0" borderId="17" xfId="0" applyNumberFormat="1" applyFont="1" applyBorder="1" applyAlignment="1">
      <alignment horizontal="center" vertical="center" wrapText="1"/>
    </xf>
    <xf numFmtId="165" fontId="6" fillId="0" borderId="18" xfId="0" applyNumberFormat="1" applyFont="1" applyBorder="1" applyAlignment="1">
      <alignment horizontal="right" vertical="center" wrapText="1"/>
    </xf>
    <xf numFmtId="164" fontId="6" fillId="0" borderId="0" xfId="0" applyNumberFormat="1" applyFont="1" applyFill="1" applyBorder="1" applyAlignment="1">
      <alignment horizontal="center" vertical="center" wrapText="1"/>
    </xf>
    <xf numFmtId="164" fontId="6" fillId="0" borderId="34" xfId="0" applyNumberFormat="1" applyFont="1" applyBorder="1" applyAlignment="1">
      <alignment horizontal="center" vertical="center" wrapText="1"/>
    </xf>
    <xf numFmtId="164" fontId="6" fillId="0" borderId="7" xfId="0" applyNumberFormat="1" applyFont="1" applyBorder="1" applyAlignment="1">
      <alignment horizontal="left" vertical="center" wrapText="1"/>
    </xf>
    <xf numFmtId="0" fontId="6" fillId="0" borderId="7" xfId="0" applyFont="1" applyBorder="1" applyAlignment="1">
      <alignment vertical="center" wrapText="1"/>
    </xf>
    <xf numFmtId="165" fontId="6" fillId="0" borderId="36" xfId="0" applyNumberFormat="1" applyFont="1" applyBorder="1" applyAlignment="1">
      <alignment vertical="center" wrapText="1"/>
    </xf>
    <xf numFmtId="164" fontId="6" fillId="0" borderId="19" xfId="0" applyNumberFormat="1" applyFont="1" applyBorder="1" applyAlignment="1">
      <alignment horizontal="center" vertical="center" wrapText="1"/>
    </xf>
    <xf numFmtId="164" fontId="6" fillId="0" borderId="20" xfId="0" applyNumberFormat="1" applyFont="1" applyBorder="1" applyAlignment="1">
      <alignment horizontal="left" vertical="center" wrapText="1"/>
    </xf>
    <xf numFmtId="0" fontId="6" fillId="0" borderId="20" xfId="0" applyFont="1" applyBorder="1" applyAlignment="1">
      <alignment vertical="center" wrapText="1"/>
    </xf>
    <xf numFmtId="0" fontId="6" fillId="0" borderId="20" xfId="0" applyFont="1" applyBorder="1" applyAlignment="1">
      <alignment horizontal="right" vertical="center" wrapText="1"/>
    </xf>
    <xf numFmtId="165" fontId="6" fillId="0" borderId="42" xfId="0" applyNumberFormat="1" applyFont="1" applyFill="1" applyBorder="1" applyAlignment="1">
      <alignment horizontal="right" vertical="center" wrapText="1"/>
    </xf>
    <xf numFmtId="165" fontId="6" fillId="0" borderId="21" xfId="0" applyNumberFormat="1" applyFont="1" applyBorder="1" applyAlignment="1">
      <alignment horizontal="right" vertical="center" wrapText="1"/>
    </xf>
    <xf numFmtId="164" fontId="6" fillId="3" borderId="1" xfId="0" applyNumberFormat="1" applyFont="1" applyFill="1" applyBorder="1" applyAlignment="1">
      <alignment horizontal="center" vertical="center" wrapText="1"/>
    </xf>
    <xf numFmtId="164" fontId="6" fillId="3" borderId="20" xfId="0" applyNumberFormat="1" applyFont="1" applyFill="1" applyBorder="1" applyAlignment="1">
      <alignment horizontal="center" vertical="center" wrapText="1"/>
    </xf>
    <xf numFmtId="164" fontId="3" fillId="0" borderId="5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64" fontId="6" fillId="0" borderId="30" xfId="0" applyNumberFormat="1" applyFont="1" applyFill="1" applyBorder="1" applyAlignment="1">
      <alignment horizontal="center" vertical="center" wrapText="1"/>
    </xf>
    <xf numFmtId="164" fontId="17" fillId="0" borderId="0" xfId="0" applyNumberFormat="1" applyFont="1" applyFill="1" applyBorder="1" applyAlignment="1">
      <alignment horizontal="center" vertical="center" wrapText="1"/>
    </xf>
    <xf numFmtId="164" fontId="6" fillId="6" borderId="20" xfId="0" applyNumberFormat="1" applyFont="1" applyFill="1" applyBorder="1" applyAlignment="1">
      <alignment horizontal="center" vertical="center" wrapText="1"/>
    </xf>
    <xf numFmtId="164" fontId="6" fillId="0" borderId="0" xfId="0" applyNumberFormat="1" applyFont="1" applyAlignment="1">
      <alignment horizontal="center" vertical="center" wrapText="1"/>
    </xf>
    <xf numFmtId="164" fontId="6" fillId="0" borderId="15" xfId="0" applyNumberFormat="1" applyFont="1" applyBorder="1" applyAlignment="1">
      <alignment horizontal="center" vertical="center" wrapText="1"/>
    </xf>
    <xf numFmtId="164" fontId="9" fillId="0" borderId="5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64" fontId="6" fillId="0" borderId="7" xfId="0" applyNumberFormat="1" applyFont="1" applyFill="1" applyBorder="1" applyAlignment="1">
      <alignment horizontal="center" vertical="center" wrapText="1"/>
    </xf>
    <xf numFmtId="164" fontId="6" fillId="0" borderId="20" xfId="0" applyNumberFormat="1" applyFont="1" applyBorder="1" applyAlignment="1">
      <alignment horizontal="right" vertical="center" wrapText="1"/>
    </xf>
    <xf numFmtId="164" fontId="19" fillId="0" borderId="3" xfId="0" applyNumberFormat="1" applyFont="1" applyFill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8" fontId="0" fillId="0" borderId="2" xfId="0" applyNumberFormat="1" applyFill="1" applyBorder="1" applyAlignment="1">
      <alignment horizontal="center" vertical="center" wrapText="1"/>
    </xf>
    <xf numFmtId="164" fontId="6" fillId="0" borderId="0" xfId="0" quotePrefix="1" applyNumberFormat="1" applyFont="1" applyFill="1" applyBorder="1" applyAlignment="1">
      <alignment horizontal="left" vertical="center" wrapText="1"/>
    </xf>
    <xf numFmtId="164" fontId="6" fillId="0" borderId="0" xfId="0" applyNumberFormat="1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  <xf numFmtId="164" fontId="6" fillId="0" borderId="14" xfId="0" applyNumberFormat="1" applyFont="1" applyBorder="1" applyAlignment="1">
      <alignment horizontal="center" vertical="center" wrapText="1"/>
    </xf>
    <xf numFmtId="8" fontId="0" fillId="0" borderId="43" xfId="0" applyNumberFormat="1" applyFill="1" applyBorder="1" applyAlignment="1">
      <alignment vertical="center" wrapText="1"/>
    </xf>
    <xf numFmtId="165" fontId="6" fillId="0" borderId="35" xfId="0" applyNumberFormat="1" applyFont="1" applyBorder="1" applyAlignment="1">
      <alignment horizontal="right" vertical="center" wrapText="1"/>
    </xf>
    <xf numFmtId="164" fontId="6" fillId="0" borderId="17" xfId="0" quotePrefix="1" applyNumberFormat="1" applyFont="1" applyFill="1" applyBorder="1" applyAlignment="1">
      <alignment horizontal="center" vertical="center" wrapText="1"/>
    </xf>
    <xf numFmtId="8" fontId="19" fillId="8" borderId="1" xfId="0" applyNumberFormat="1" applyFont="1" applyFill="1" applyBorder="1" applyAlignment="1">
      <alignment horizontal="right" vertical="center" wrapText="1"/>
    </xf>
    <xf numFmtId="8" fontId="19" fillId="0" borderId="1" xfId="0" applyNumberFormat="1" applyFont="1" applyBorder="1" applyAlignment="1">
      <alignment horizontal="right" vertical="center" wrapText="1"/>
    </xf>
    <xf numFmtId="0" fontId="3" fillId="0" borderId="1" xfId="0" applyFont="1" applyFill="1" applyBorder="1" applyAlignment="1">
      <alignment vertical="center" wrapText="1"/>
    </xf>
    <xf numFmtId="0" fontId="0" fillId="0" borderId="0" xfId="0" applyBorder="1" applyAlignment="1">
      <alignment horizontal="center" vertical="center" wrapText="1"/>
    </xf>
    <xf numFmtId="164" fontId="0" fillId="0" borderId="0" xfId="0" applyNumberFormat="1" applyBorder="1" applyAlignment="1">
      <alignment horizontal="center" vertical="center" wrapText="1"/>
    </xf>
    <xf numFmtId="0" fontId="0" fillId="0" borderId="1" xfId="0" applyBorder="1" applyAlignment="1">
      <alignment horizontal="right"/>
    </xf>
    <xf numFmtId="165" fontId="0" fillId="0" borderId="1" xfId="0" applyNumberFormat="1" applyBorder="1" applyAlignment="1">
      <alignment horizontal="center"/>
    </xf>
    <xf numFmtId="8" fontId="20" fillId="0" borderId="3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6" fillId="0" borderId="8" xfId="0" applyFont="1" applyFill="1" applyBorder="1" applyAlignment="1">
      <alignment vertical="center" wrapText="1"/>
    </xf>
    <xf numFmtId="8" fontId="19" fillId="8" borderId="2" xfId="0" applyNumberFormat="1" applyFont="1" applyFill="1" applyBorder="1" applyAlignment="1">
      <alignment horizontal="right" vertical="center" wrapText="1"/>
    </xf>
    <xf numFmtId="8" fontId="19" fillId="0" borderId="2" xfId="0" applyNumberFormat="1" applyFont="1" applyBorder="1" applyAlignment="1">
      <alignment horizontal="right" vertical="center" wrapText="1"/>
    </xf>
    <xf numFmtId="8" fontId="19" fillId="5" borderId="3" xfId="0" applyNumberFormat="1" applyFont="1" applyFill="1" applyBorder="1" applyAlignment="1">
      <alignment horizontal="right" vertical="center" wrapText="1"/>
    </xf>
    <xf numFmtId="0" fontId="0" fillId="0" borderId="0" xfId="0" applyFill="1" applyBorder="1"/>
    <xf numFmtId="0" fontId="19" fillId="0" borderId="4" xfId="0" applyFont="1" applyFill="1" applyBorder="1" applyAlignment="1">
      <alignment horizontal="center" vertical="center" wrapText="1"/>
    </xf>
    <xf numFmtId="7" fontId="19" fillId="0" borderId="4" xfId="0" applyNumberFormat="1" applyFont="1" applyFill="1" applyBorder="1" applyAlignment="1">
      <alignment vertical="center" wrapText="1"/>
    </xf>
    <xf numFmtId="165" fontId="19" fillId="0" borderId="4" xfId="0" applyNumberFormat="1" applyFont="1" applyFill="1" applyBorder="1" applyAlignment="1">
      <alignment horizontal="center" vertical="center" wrapText="1"/>
    </xf>
    <xf numFmtId="8" fontId="19" fillId="5" borderId="2" xfId="0" applyNumberFormat="1" applyFont="1" applyFill="1" applyBorder="1" applyAlignment="1">
      <alignment horizontal="right" vertical="center" wrapText="1"/>
    </xf>
    <xf numFmtId="8" fontId="2" fillId="0" borderId="3" xfId="0" applyNumberFormat="1" applyFont="1" applyFill="1" applyBorder="1" applyAlignment="1">
      <alignment horizontal="center" vertical="center" wrapText="1"/>
    </xf>
    <xf numFmtId="8" fontId="19" fillId="5" borderId="3" xfId="0" applyNumberFormat="1" applyFont="1" applyFill="1" applyBorder="1" applyAlignment="1">
      <alignment vertical="center" wrapText="1"/>
    </xf>
    <xf numFmtId="8" fontId="0" fillId="0" borderId="4" xfId="0" applyNumberFormat="1" applyFont="1" applyBorder="1" applyAlignment="1">
      <alignment horizontal="center" vertical="center" wrapText="1"/>
    </xf>
    <xf numFmtId="8" fontId="0" fillId="0" borderId="1" xfId="0" applyNumberFormat="1" applyFont="1" applyFill="1" applyBorder="1" applyAlignment="1">
      <alignment horizontal="center" vertical="center" wrapText="1"/>
    </xf>
    <xf numFmtId="8" fontId="20" fillId="0" borderId="2" xfId="0" applyNumberFormat="1" applyFont="1" applyFill="1" applyBorder="1" applyAlignment="1">
      <alignment horizontal="center" vertical="center" wrapText="1"/>
    </xf>
    <xf numFmtId="8" fontId="20" fillId="0" borderId="7" xfId="0" applyNumberFormat="1" applyFont="1" applyFill="1" applyBorder="1" applyAlignment="1">
      <alignment horizontal="center" vertical="center" wrapText="1"/>
    </xf>
    <xf numFmtId="8" fontId="0" fillId="0" borderId="1" xfId="0" applyNumberFormat="1" applyFill="1" applyBorder="1" applyAlignment="1">
      <alignment horizontal="center" vertical="center" wrapText="1"/>
    </xf>
    <xf numFmtId="14" fontId="0" fillId="5" borderId="1" xfId="0" applyNumberFormat="1" applyFill="1" applyBorder="1" applyAlignment="1">
      <alignment horizontal="center" vertical="center" wrapText="1"/>
    </xf>
    <xf numFmtId="10" fontId="0" fillId="0" borderId="0" xfId="0" applyNumberFormat="1" applyFont="1" applyFill="1" applyBorder="1" applyAlignment="1">
      <alignment horizontal="center" vertical="center" wrapText="1"/>
    </xf>
    <xf numFmtId="165" fontId="0" fillId="0" borderId="0" xfId="0" applyNumberFormat="1" applyFill="1" applyBorder="1" applyAlignment="1">
      <alignment vertical="center" wrapText="1"/>
    </xf>
    <xf numFmtId="8" fontId="20" fillId="0" borderId="0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8" fontId="0" fillId="5" borderId="1" xfId="0" applyNumberFormat="1" applyFont="1" applyFill="1" applyBorder="1" applyAlignment="1">
      <alignment vertical="center" wrapText="1"/>
    </xf>
    <xf numFmtId="8" fontId="19" fillId="8" borderId="3" xfId="0" applyNumberFormat="1" applyFont="1" applyFill="1" applyBorder="1" applyAlignment="1">
      <alignment horizontal="right" vertical="center" wrapText="1"/>
    </xf>
    <xf numFmtId="8" fontId="19" fillId="8" borderId="3" xfId="0" applyNumberFormat="1" applyFont="1" applyFill="1" applyBorder="1" applyAlignment="1">
      <alignment vertical="center" wrapText="1"/>
    </xf>
    <xf numFmtId="44" fontId="21" fillId="8" borderId="1" xfId="0" applyNumberFormat="1" applyFont="1" applyFill="1" applyBorder="1" applyAlignment="1">
      <alignment vertical="center" wrapText="1"/>
    </xf>
    <xf numFmtId="165" fontId="25" fillId="0" borderId="0" xfId="0" applyNumberFormat="1" applyFont="1" applyFill="1" applyBorder="1" applyAlignment="1">
      <alignment vertical="center" wrapText="1"/>
    </xf>
    <xf numFmtId="8" fontId="19" fillId="8" borderId="5" xfId="0" applyNumberFormat="1" applyFont="1" applyFill="1" applyBorder="1" applyAlignment="1">
      <alignment horizontal="right" vertical="center" wrapText="1"/>
    </xf>
    <xf numFmtId="8" fontId="19" fillId="8" borderId="11" xfId="0" applyNumberFormat="1" applyFont="1" applyFill="1" applyBorder="1" applyAlignment="1">
      <alignment horizontal="right" vertical="center" wrapText="1"/>
    </xf>
    <xf numFmtId="8" fontId="19" fillId="8" borderId="9" xfId="0" applyNumberFormat="1" applyFont="1" applyFill="1" applyBorder="1" applyAlignment="1">
      <alignment horizontal="right" vertical="center" wrapText="1"/>
    </xf>
    <xf numFmtId="8" fontId="19" fillId="8" borderId="9" xfId="0" applyNumberFormat="1" applyFont="1" applyFill="1" applyBorder="1" applyAlignment="1">
      <alignment vertical="center" wrapText="1"/>
    </xf>
    <xf numFmtId="8" fontId="0" fillId="8" borderId="5" xfId="0" applyNumberFormat="1" applyFont="1" applyFill="1" applyBorder="1" applyAlignment="1">
      <alignment vertical="center" wrapText="1"/>
    </xf>
    <xf numFmtId="8" fontId="19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8" fontId="20" fillId="5" borderId="1" xfId="0" applyNumberFormat="1" applyFont="1" applyFill="1" applyBorder="1" applyAlignment="1">
      <alignment horizontal="center" vertical="center" wrapText="1"/>
    </xf>
    <xf numFmtId="8" fontId="2" fillId="5" borderId="1" xfId="0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6" fillId="3" borderId="0" xfId="0" applyFont="1" applyFill="1" applyAlignment="1">
      <alignment vertical="center" wrapText="1"/>
    </xf>
    <xf numFmtId="164" fontId="6" fillId="3" borderId="1" xfId="0" applyNumberFormat="1" applyFont="1" applyFill="1" applyBorder="1" applyAlignment="1">
      <alignment horizontal="left" vertical="center" wrapText="1"/>
    </xf>
    <xf numFmtId="165" fontId="6" fillId="3" borderId="1" xfId="0" applyNumberFormat="1" applyFont="1" applyFill="1" applyBorder="1" applyAlignment="1">
      <alignment vertical="center" wrapText="1"/>
    </xf>
    <xf numFmtId="165" fontId="6" fillId="3" borderId="1" xfId="0" applyNumberFormat="1" applyFont="1" applyFill="1" applyBorder="1" applyAlignment="1">
      <alignment horizontal="right" vertical="center" wrapText="1"/>
    </xf>
    <xf numFmtId="8" fontId="6" fillId="3" borderId="1" xfId="0" applyNumberFormat="1" applyFont="1" applyFill="1" applyBorder="1" applyAlignment="1">
      <alignment vertical="center" wrapText="1"/>
    </xf>
    <xf numFmtId="0" fontId="6" fillId="3" borderId="1" xfId="0" applyFont="1" applyFill="1" applyBorder="1" applyAlignment="1">
      <alignment vertical="center" wrapText="1"/>
    </xf>
    <xf numFmtId="0" fontId="6" fillId="3" borderId="1" xfId="0" applyNumberFormat="1" applyFont="1" applyFill="1" applyBorder="1" applyAlignment="1">
      <alignment horizontal="center" vertical="center" wrapText="1"/>
    </xf>
    <xf numFmtId="0" fontId="6" fillId="3" borderId="7" xfId="0" applyNumberFormat="1" applyFont="1" applyFill="1" applyBorder="1" applyAlignment="1">
      <alignment horizontal="center" vertical="center" wrapText="1"/>
    </xf>
    <xf numFmtId="0" fontId="6" fillId="3" borderId="20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4" borderId="1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Alignment="1">
      <alignment horizontal="center" vertical="center" wrapText="1"/>
    </xf>
    <xf numFmtId="0" fontId="26" fillId="0" borderId="0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textRotation="90" wrapText="1"/>
    </xf>
    <xf numFmtId="0" fontId="0" fillId="0" borderId="1" xfId="0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5" fillId="0" borderId="0" xfId="0" applyFont="1"/>
    <xf numFmtId="0" fontId="0" fillId="4" borderId="1" xfId="0" applyFill="1" applyBorder="1" applyAlignment="1">
      <alignment horizontal="center" vertical="center" wrapText="1"/>
    </xf>
    <xf numFmtId="0" fontId="2" fillId="0" borderId="1" xfId="0" applyFont="1" applyBorder="1"/>
    <xf numFmtId="0" fontId="0" fillId="0" borderId="52" xfId="0" applyBorder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4" fontId="0" fillId="0" borderId="3" xfId="0" applyNumberFormat="1" applyBorder="1" applyAlignment="1">
      <alignment horizontal="center" vertical="center" wrapText="1"/>
    </xf>
    <xf numFmtId="164" fontId="0" fillId="0" borderId="3" xfId="0" applyNumberFormat="1" applyFill="1" applyBorder="1" applyAlignment="1">
      <alignment horizontal="center" vertical="center" wrapText="1"/>
    </xf>
    <xf numFmtId="164" fontId="0" fillId="0" borderId="3" xfId="0" applyNumberFormat="1" applyFont="1" applyFill="1" applyBorder="1" applyAlignment="1">
      <alignment horizontal="center" vertical="center" wrapText="1"/>
    </xf>
    <xf numFmtId="164" fontId="6" fillId="0" borderId="3" xfId="0" applyNumberFormat="1" applyFont="1" applyBorder="1" applyAlignment="1">
      <alignment horizontal="center" vertical="center" wrapText="1"/>
    </xf>
    <xf numFmtId="0" fontId="18" fillId="0" borderId="8" xfId="0" applyNumberFormat="1" applyFont="1" applyBorder="1" applyAlignment="1">
      <alignment vertical="center" wrapText="1"/>
    </xf>
    <xf numFmtId="0" fontId="0" fillId="0" borderId="0" xfId="0" applyFill="1"/>
    <xf numFmtId="165" fontId="0" fillId="0" borderId="0" xfId="0" applyNumberFormat="1" applyAlignment="1">
      <alignment vertical="center" wrapText="1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textRotation="90" wrapText="1"/>
    </xf>
    <xf numFmtId="0" fontId="1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165" fontId="3" fillId="8" borderId="1" xfId="0" applyNumberFormat="1" applyFont="1" applyFill="1" applyBorder="1" applyAlignment="1">
      <alignment horizontal="right" vertical="center" wrapText="1"/>
    </xf>
    <xf numFmtId="165" fontId="3" fillId="5" borderId="1" xfId="0" applyNumberFormat="1" applyFont="1" applyFill="1" applyBorder="1" applyAlignment="1">
      <alignment horizontal="right" vertical="center" wrapText="1"/>
    </xf>
    <xf numFmtId="0" fontId="3" fillId="0" borderId="1" xfId="0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165" fontId="6" fillId="0" borderId="0" xfId="0" applyNumberFormat="1" applyFont="1" applyFill="1" applyBorder="1" applyAlignment="1">
      <alignment horizontal="center" vertical="center" wrapText="1"/>
    </xf>
    <xf numFmtId="8" fontId="0" fillId="0" borderId="43" xfId="0" applyNumberForma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165" fontId="2" fillId="0" borderId="3" xfId="0" applyNumberFormat="1" applyFont="1" applyBorder="1" applyAlignment="1">
      <alignment horizontal="center" vertical="center" wrapText="1"/>
    </xf>
    <xf numFmtId="0" fontId="24" fillId="0" borderId="0" xfId="0" applyFont="1" applyBorder="1" applyAlignment="1">
      <alignment vertical="center" wrapText="1"/>
    </xf>
    <xf numFmtId="0" fontId="10" fillId="6" borderId="32" xfId="0" applyFont="1" applyFill="1" applyBorder="1" applyAlignment="1">
      <alignment horizontal="center" vertical="center" wrapText="1"/>
    </xf>
    <xf numFmtId="164" fontId="10" fillId="6" borderId="32" xfId="0" applyNumberFormat="1" applyFont="1" applyFill="1" applyBorder="1" applyAlignment="1">
      <alignment horizontal="center" vertical="center" wrapText="1"/>
    </xf>
    <xf numFmtId="0" fontId="10" fillId="6" borderId="33" xfId="0" applyFont="1" applyFill="1" applyBorder="1" applyAlignment="1">
      <alignment horizontal="center" vertical="center" wrapText="1"/>
    </xf>
    <xf numFmtId="0" fontId="10" fillId="6" borderId="26" xfId="0" applyFont="1" applyFill="1" applyBorder="1" applyAlignment="1">
      <alignment horizontal="center" vertical="center" wrapText="1"/>
    </xf>
    <xf numFmtId="164" fontId="10" fillId="6" borderId="26" xfId="0" applyNumberFormat="1" applyFont="1" applyFill="1" applyBorder="1" applyAlignment="1">
      <alignment horizontal="center" vertical="center" wrapText="1"/>
    </xf>
    <xf numFmtId="0" fontId="10" fillId="6" borderId="27" xfId="0" applyFont="1" applyFill="1" applyBorder="1" applyAlignment="1">
      <alignment horizontal="center" vertical="center" wrapText="1"/>
    </xf>
    <xf numFmtId="165" fontId="0" fillId="0" borderId="1" xfId="0" applyNumberFormat="1" applyFill="1" applyBorder="1" applyAlignment="1">
      <alignment vertical="center" wrapText="1"/>
    </xf>
    <xf numFmtId="8" fontId="2" fillId="0" borderId="1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165" fontId="0" fillId="0" borderId="11" xfId="0" applyNumberFormat="1" applyBorder="1" applyAlignment="1">
      <alignment vertical="center" wrapText="1"/>
    </xf>
    <xf numFmtId="0" fontId="29" fillId="0" borderId="0" xfId="0" applyFont="1"/>
    <xf numFmtId="8" fontId="19" fillId="4" borderId="1" xfId="0" applyNumberFormat="1" applyFont="1" applyFill="1" applyBorder="1" applyAlignment="1">
      <alignment horizontal="right" vertical="center" wrapText="1"/>
    </xf>
    <xf numFmtId="0" fontId="9" fillId="0" borderId="0" xfId="0" applyFont="1" applyFill="1" applyAlignment="1">
      <alignment vertical="center" wrapText="1"/>
    </xf>
    <xf numFmtId="0" fontId="9" fillId="0" borderId="0" xfId="0" applyFont="1" applyFill="1" applyAlignment="1">
      <alignment horizontal="center" vertical="center" wrapText="1"/>
    </xf>
    <xf numFmtId="164" fontId="9" fillId="0" borderId="1" xfId="0" applyNumberFormat="1" applyFont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0" xfId="0" applyNumberFormat="1" applyFont="1" applyFill="1" applyBorder="1" applyAlignment="1">
      <alignment horizontal="center" vertical="center" wrapText="1"/>
    </xf>
    <xf numFmtId="8" fontId="9" fillId="0" borderId="4" xfId="0" applyNumberFormat="1" applyFont="1" applyFill="1" applyBorder="1" applyAlignment="1">
      <alignment vertical="center" wrapText="1"/>
    </xf>
    <xf numFmtId="8" fontId="9" fillId="0" borderId="43" xfId="0" applyNumberFormat="1" applyFont="1" applyFill="1" applyBorder="1" applyAlignment="1">
      <alignment vertical="center" wrapText="1"/>
    </xf>
    <xf numFmtId="164" fontId="8" fillId="0" borderId="9" xfId="0" applyNumberFormat="1" applyFont="1" applyFill="1" applyBorder="1" applyAlignment="1">
      <alignment horizontal="center" vertical="center" wrapText="1"/>
    </xf>
    <xf numFmtId="164" fontId="8" fillId="0" borderId="1" xfId="0" applyNumberFormat="1" applyFont="1" applyFill="1" applyBorder="1" applyAlignment="1">
      <alignment horizontal="right" vertical="center" wrapText="1"/>
    </xf>
    <xf numFmtId="0" fontId="8" fillId="0" borderId="5" xfId="0" quotePrefix="1" applyFont="1" applyFill="1" applyBorder="1" applyAlignment="1">
      <alignment vertical="center" wrapText="1"/>
    </xf>
    <xf numFmtId="165" fontId="9" fillId="0" borderId="5" xfId="0" applyNumberFormat="1" applyFont="1" applyFill="1" applyBorder="1" applyAlignment="1">
      <alignment vertical="center" wrapText="1"/>
    </xf>
    <xf numFmtId="8" fontId="9" fillId="0" borderId="5" xfId="0" applyNumberFormat="1" applyFont="1" applyFill="1" applyBorder="1" applyAlignment="1">
      <alignment vertical="center" wrapText="1"/>
    </xf>
    <xf numFmtId="165" fontId="9" fillId="0" borderId="9" xfId="0" applyNumberFormat="1" applyFont="1" applyFill="1" applyBorder="1" applyAlignment="1">
      <alignment vertical="center" wrapText="1"/>
    </xf>
    <xf numFmtId="0" fontId="0" fillId="0" borderId="5" xfId="0" applyFill="1" applyBorder="1" applyAlignment="1">
      <alignment horizontal="center" vertical="center" wrapText="1"/>
    </xf>
    <xf numFmtId="8" fontId="0" fillId="0" borderId="3" xfId="0" applyNumberFormat="1" applyFill="1" applyBorder="1" applyAlignment="1">
      <alignment vertical="center" wrapText="1"/>
    </xf>
    <xf numFmtId="0" fontId="2" fillId="3" borderId="0" xfId="0" applyFont="1" applyFill="1" applyAlignment="1">
      <alignment horizontal="center" vertical="center" wrapText="1"/>
    </xf>
    <xf numFmtId="0" fontId="15" fillId="3" borderId="0" xfId="0" applyFont="1" applyFill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67" fontId="2" fillId="0" borderId="0" xfId="0" applyNumberFormat="1" applyFont="1" applyFill="1" applyBorder="1" applyAlignment="1">
      <alignment horizontal="center" vertical="center" wrapText="1"/>
    </xf>
    <xf numFmtId="165" fontId="0" fillId="0" borderId="5" xfId="0" applyNumberFormat="1" applyFill="1" applyBorder="1" applyAlignment="1">
      <alignment vertical="center" wrapText="1"/>
    </xf>
    <xf numFmtId="7" fontId="19" fillId="0" borderId="8" xfId="0" applyNumberFormat="1" applyFont="1" applyFill="1" applyBorder="1" applyAlignment="1">
      <alignment vertical="center" wrapText="1"/>
    </xf>
    <xf numFmtId="8" fontId="19" fillId="5" borderId="1" xfId="0" applyNumberFormat="1" applyFont="1" applyFill="1" applyBorder="1" applyAlignment="1">
      <alignment horizontal="right" vertical="center" wrapText="1"/>
    </xf>
    <xf numFmtId="8" fontId="19" fillId="8" borderId="1" xfId="0" applyNumberFormat="1" applyFont="1" applyFill="1" applyBorder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49" fontId="6" fillId="3" borderId="0" xfId="0" applyNumberFormat="1" applyFont="1" applyFill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49" fontId="6" fillId="0" borderId="0" xfId="0" applyNumberFormat="1" applyFont="1" applyFill="1" applyAlignment="1">
      <alignment horizontal="center" vertical="center" wrapText="1"/>
    </xf>
    <xf numFmtId="49" fontId="15" fillId="0" borderId="0" xfId="0" applyNumberFormat="1" applyFont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49" fontId="6" fillId="3" borderId="43" xfId="0" applyNumberFormat="1" applyFont="1" applyFill="1" applyBorder="1" applyAlignment="1">
      <alignment horizontal="center" vertical="center" wrapText="1"/>
    </xf>
    <xf numFmtId="49" fontId="6" fillId="0" borderId="43" xfId="0" applyNumberFormat="1" applyFont="1" applyFill="1" applyBorder="1" applyAlignment="1">
      <alignment horizontal="center" vertical="center" wrapText="1"/>
    </xf>
    <xf numFmtId="49" fontId="6" fillId="0" borderId="43" xfId="0" applyNumberFormat="1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3" borderId="20" xfId="0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8" fillId="0" borderId="30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4" fillId="6" borderId="20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6" fillId="0" borderId="5" xfId="0" quotePrefix="1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30" fillId="6" borderId="26" xfId="0" applyFont="1" applyFill="1" applyBorder="1" applyAlignment="1">
      <alignment horizontal="center" vertical="center" wrapText="1"/>
    </xf>
    <xf numFmtId="0" fontId="30" fillId="6" borderId="32" xfId="0" applyFont="1" applyFill="1" applyBorder="1" applyAlignment="1">
      <alignment horizontal="center" vertical="center" wrapText="1"/>
    </xf>
    <xf numFmtId="165" fontId="8" fillId="3" borderId="1" xfId="0" applyNumberFormat="1" applyFont="1" applyFill="1" applyBorder="1" applyAlignment="1">
      <alignment vertical="center" wrapText="1"/>
    </xf>
    <xf numFmtId="165" fontId="0" fillId="0" borderId="7" xfId="0" applyNumberFormat="1" applyFill="1" applyBorder="1" applyAlignment="1">
      <alignment vertical="center" wrapText="1"/>
    </xf>
    <xf numFmtId="165" fontId="0" fillId="3" borderId="20" xfId="0" applyNumberFormat="1" applyFill="1" applyBorder="1" applyAlignment="1">
      <alignment vertical="center" wrapText="1"/>
    </xf>
    <xf numFmtId="165" fontId="16" fillId="0" borderId="5" xfId="0" applyNumberFormat="1" applyFont="1" applyFill="1" applyBorder="1" applyAlignment="1">
      <alignment vertical="center" wrapText="1"/>
    </xf>
    <xf numFmtId="165" fontId="8" fillId="0" borderId="12" xfId="0" applyNumberFormat="1" applyFont="1" applyBorder="1" applyAlignment="1">
      <alignment horizontal="left" vertical="center" wrapText="1"/>
    </xf>
    <xf numFmtId="165" fontId="8" fillId="0" borderId="0" xfId="0" applyNumberFormat="1" applyFont="1" applyBorder="1" applyAlignment="1">
      <alignment horizontal="left" vertical="center" wrapText="1"/>
    </xf>
    <xf numFmtId="165" fontId="8" fillId="0" borderId="0" xfId="0" applyNumberFormat="1" applyFont="1" applyFill="1" applyBorder="1" applyAlignment="1">
      <alignment horizontal="left" vertical="center" wrapText="1"/>
    </xf>
    <xf numFmtId="165" fontId="24" fillId="0" borderId="0" xfId="0" applyNumberFormat="1" applyFont="1" applyBorder="1" applyAlignment="1">
      <alignment horizontal="left" vertical="center" wrapText="1"/>
    </xf>
    <xf numFmtId="165" fontId="24" fillId="0" borderId="0" xfId="0" applyNumberFormat="1" applyFont="1" applyBorder="1" applyAlignment="1">
      <alignment vertical="center" wrapText="1"/>
    </xf>
    <xf numFmtId="165" fontId="8" fillId="0" borderId="0" xfId="0" applyNumberFormat="1" applyFont="1" applyBorder="1" applyAlignment="1">
      <alignment vertical="center" wrapText="1"/>
    </xf>
    <xf numFmtId="165" fontId="8" fillId="0" borderId="30" xfId="0" applyNumberFormat="1" applyFont="1" applyFill="1" applyBorder="1" applyAlignment="1">
      <alignment vertical="center" wrapText="1"/>
    </xf>
    <xf numFmtId="165" fontId="11" fillId="0" borderId="1" xfId="0" applyNumberFormat="1" applyFont="1" applyBorder="1" applyAlignment="1">
      <alignment vertical="center" wrapText="1"/>
    </xf>
    <xf numFmtId="165" fontId="8" fillId="0" borderId="1" xfId="0" applyNumberFormat="1" applyFont="1" applyBorder="1" applyAlignment="1">
      <alignment vertical="center" wrapText="1"/>
    </xf>
    <xf numFmtId="165" fontId="8" fillId="0" borderId="2" xfId="0" applyNumberFormat="1" applyFont="1" applyBorder="1" applyAlignment="1">
      <alignment vertical="center" wrapText="1"/>
    </xf>
    <xf numFmtId="165" fontId="11" fillId="0" borderId="0" xfId="0" applyNumberFormat="1" applyFont="1" applyFill="1" applyBorder="1" applyAlignment="1">
      <alignment horizontal="center" vertical="center" wrapText="1"/>
    </xf>
    <xf numFmtId="165" fontId="10" fillId="6" borderId="26" xfId="0" applyNumberFormat="1" applyFont="1" applyFill="1" applyBorder="1" applyAlignment="1">
      <alignment horizontal="center" vertical="center" wrapText="1"/>
    </xf>
    <xf numFmtId="165" fontId="3" fillId="0" borderId="15" xfId="0" applyNumberFormat="1" applyFont="1" applyBorder="1" applyAlignment="1">
      <alignment horizontal="left" vertical="center" wrapText="1"/>
    </xf>
    <xf numFmtId="165" fontId="3" fillId="0" borderId="1" xfId="0" applyNumberFormat="1" applyFont="1" applyBorder="1" applyAlignment="1">
      <alignment horizontal="left" vertical="center" wrapText="1"/>
    </xf>
    <xf numFmtId="165" fontId="4" fillId="6" borderId="20" xfId="0" applyNumberFormat="1" applyFont="1" applyFill="1" applyBorder="1" applyAlignment="1">
      <alignment horizontal="right" vertical="center" wrapText="1"/>
    </xf>
    <xf numFmtId="165" fontId="0" fillId="0" borderId="0" xfId="0" applyNumberFormat="1" applyBorder="1" applyAlignment="1">
      <alignment horizontal="left" vertical="center" wrapText="1"/>
    </xf>
    <xf numFmtId="165" fontId="10" fillId="6" borderId="32" xfId="0" applyNumberFormat="1" applyFont="1" applyFill="1" applyBorder="1" applyAlignment="1">
      <alignment horizontal="center" vertical="center" wrapText="1"/>
    </xf>
    <xf numFmtId="165" fontId="3" fillId="0" borderId="43" xfId="0" applyNumberFormat="1" applyFont="1" applyFill="1" applyBorder="1" applyAlignment="1">
      <alignment vertical="center" wrapText="1"/>
    </xf>
    <xf numFmtId="8" fontId="3" fillId="0" borderId="4" xfId="0" applyNumberFormat="1" applyFont="1" applyFill="1" applyBorder="1" applyAlignment="1">
      <alignment vertical="center" wrapText="1"/>
    </xf>
    <xf numFmtId="165" fontId="3" fillId="0" borderId="4" xfId="0" applyNumberFormat="1" applyFont="1" applyFill="1" applyBorder="1" applyAlignment="1">
      <alignment vertical="center" wrapText="1"/>
    </xf>
    <xf numFmtId="0" fontId="6" fillId="0" borderId="9" xfId="0" applyNumberFormat="1" applyFont="1" applyBorder="1" applyAlignment="1">
      <alignment vertical="center" wrapText="1"/>
    </xf>
    <xf numFmtId="0" fontId="0" fillId="3" borderId="0" xfId="0" applyFont="1" applyFill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right" vertical="center" wrapText="1"/>
    </xf>
    <xf numFmtId="0" fontId="4" fillId="0" borderId="0" xfId="0" applyFont="1" applyBorder="1" applyAlignment="1">
      <alignment horizontal="center" vertical="center" wrapText="1"/>
    </xf>
    <xf numFmtId="165" fontId="4" fillId="0" borderId="0" xfId="0" applyNumberFormat="1" applyFont="1" applyBorder="1" applyAlignment="1">
      <alignment horizontal="right" vertical="center" wrapText="1"/>
    </xf>
    <xf numFmtId="8" fontId="6" fillId="0" borderId="0" xfId="0" applyNumberFormat="1" applyFont="1" applyBorder="1" applyAlignment="1">
      <alignment horizontal="right" vertical="center" wrapText="1"/>
    </xf>
    <xf numFmtId="164" fontId="6" fillId="0" borderId="0" xfId="0" applyNumberFormat="1" applyFont="1" applyBorder="1" applyAlignment="1">
      <alignment horizontal="right" vertical="center" wrapText="1"/>
    </xf>
    <xf numFmtId="8" fontId="6" fillId="0" borderId="0" xfId="0" applyNumberFormat="1" applyFont="1" applyBorder="1" applyAlignment="1">
      <alignment horizontal="center" vertical="center" wrapText="1"/>
    </xf>
    <xf numFmtId="8" fontId="6" fillId="0" borderId="0" xfId="0" applyNumberFormat="1" applyFont="1" applyFill="1" applyBorder="1" applyAlignment="1">
      <alignment horizontal="center" vertical="center" wrapText="1"/>
    </xf>
    <xf numFmtId="8" fontId="0" fillId="0" borderId="0" xfId="0" applyNumberFormat="1" applyFill="1" applyBorder="1" applyAlignment="1">
      <alignment horizontal="right" vertical="center" wrapText="1"/>
    </xf>
    <xf numFmtId="164" fontId="0" fillId="0" borderId="0" xfId="0" applyNumberFormat="1" applyFill="1" applyBorder="1" applyAlignment="1">
      <alignment horizontal="right" vertical="center" wrapText="1"/>
    </xf>
    <xf numFmtId="0" fontId="0" fillId="0" borderId="0" xfId="0" applyNumberFormat="1" applyFill="1" applyBorder="1" applyAlignment="1">
      <alignment horizontal="right" vertical="center" wrapText="1"/>
    </xf>
    <xf numFmtId="0" fontId="0" fillId="0" borderId="0" xfId="0" applyNumberFormat="1" applyFill="1" applyBorder="1" applyAlignment="1">
      <alignment horizontal="center" vertical="center" wrapText="1"/>
    </xf>
    <xf numFmtId="164" fontId="8" fillId="6" borderId="40" xfId="0" applyNumberFormat="1" applyFont="1" applyFill="1" applyBorder="1" applyAlignment="1">
      <alignment vertical="center" wrapText="1"/>
    </xf>
    <xf numFmtId="165" fontId="22" fillId="6" borderId="1" xfId="0" applyNumberFormat="1" applyFont="1" applyFill="1" applyBorder="1" applyAlignment="1">
      <alignment horizontal="right" vertical="center" wrapText="1"/>
    </xf>
    <xf numFmtId="165" fontId="4" fillId="6" borderId="53" xfId="0" applyNumberFormat="1" applyFont="1" applyFill="1" applyBorder="1" applyAlignment="1">
      <alignment horizontal="right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textRotation="90" wrapText="1"/>
    </xf>
    <xf numFmtId="0" fontId="6" fillId="0" borderId="44" xfId="0" applyNumberFormat="1" applyFont="1" applyBorder="1" applyAlignment="1">
      <alignment horizontal="center" vertical="center" wrapText="1"/>
    </xf>
    <xf numFmtId="0" fontId="6" fillId="0" borderId="42" xfId="0" applyFont="1" applyBorder="1" applyAlignment="1">
      <alignment horizontal="center" vertical="center" wrapText="1"/>
    </xf>
    <xf numFmtId="0" fontId="6" fillId="10" borderId="49" xfId="0" applyFont="1" applyFill="1" applyBorder="1" applyAlignment="1">
      <alignment horizontal="center" vertical="center" wrapText="1"/>
    </xf>
    <xf numFmtId="0" fontId="6" fillId="10" borderId="57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5" xfId="0" applyNumberFormat="1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left" vertical="center" wrapText="1"/>
    </xf>
    <xf numFmtId="0" fontId="0" fillId="3" borderId="6" xfId="0" applyFill="1" applyBorder="1" applyAlignment="1">
      <alignment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165" fontId="3" fillId="5" borderId="1" xfId="0" applyNumberFormat="1" applyFont="1" applyFill="1" applyBorder="1" applyAlignment="1">
      <alignment vertical="center" wrapText="1"/>
    </xf>
    <xf numFmtId="165" fontId="16" fillId="9" borderId="1" xfId="0" applyNumberFormat="1" applyFont="1" applyFill="1" applyBorder="1" applyAlignment="1">
      <alignment vertical="center" wrapText="1"/>
    </xf>
    <xf numFmtId="8" fontId="6" fillId="2" borderId="13" xfId="0" applyNumberFormat="1" applyFont="1" applyFill="1" applyBorder="1" applyAlignment="1">
      <alignment vertical="center" wrapText="1"/>
    </xf>
    <xf numFmtId="8" fontId="6" fillId="2" borderId="13" xfId="0" applyNumberFormat="1" applyFont="1" applyFill="1" applyBorder="1" applyAlignment="1">
      <alignment horizontal="center" vertical="center" wrapText="1"/>
    </xf>
    <xf numFmtId="8" fontId="19" fillId="0" borderId="1" xfId="0" applyNumberFormat="1" applyFont="1" applyFill="1" applyBorder="1" applyAlignment="1">
      <alignment horizontal="right" vertical="center" wrapText="1"/>
    </xf>
    <xf numFmtId="8" fontId="19" fillId="0" borderId="2" xfId="0" applyNumberFormat="1" applyFont="1" applyFill="1" applyBorder="1" applyAlignment="1">
      <alignment horizontal="right" vertical="center" wrapText="1"/>
    </xf>
    <xf numFmtId="164" fontId="3" fillId="0" borderId="56" xfId="0" applyNumberFormat="1" applyFont="1" applyBorder="1" applyAlignment="1">
      <alignment horizontal="left" vertical="center" wrapText="1"/>
    </xf>
    <xf numFmtId="8" fontId="20" fillId="0" borderId="0" xfId="0" applyNumberFormat="1" applyFont="1" applyFill="1" applyBorder="1" applyAlignment="1">
      <alignment horizontal="center" vertical="center" wrapText="1"/>
    </xf>
    <xf numFmtId="0" fontId="31" fillId="0" borderId="0" xfId="0" applyFont="1" applyBorder="1" applyAlignment="1">
      <alignment vertical="center" wrapText="1"/>
    </xf>
    <xf numFmtId="165" fontId="19" fillId="0" borderId="0" xfId="0" applyNumberFormat="1" applyFont="1" applyFill="1" applyBorder="1" applyAlignment="1">
      <alignment vertical="center" wrapText="1"/>
    </xf>
    <xf numFmtId="0" fontId="19" fillId="0" borderId="0" xfId="0" applyFont="1"/>
    <xf numFmtId="14" fontId="19" fillId="5" borderId="1" xfId="0" applyNumberFormat="1" applyFont="1" applyFill="1" applyBorder="1" applyAlignment="1">
      <alignment horizontal="center" vertical="center" wrapText="1"/>
    </xf>
    <xf numFmtId="8" fontId="19" fillId="0" borderId="43" xfId="0" applyNumberFormat="1" applyFont="1" applyFill="1" applyBorder="1" applyAlignment="1">
      <alignment horizontal="center" vertical="center" wrapText="1"/>
    </xf>
    <xf numFmtId="8" fontId="19" fillId="0" borderId="0" xfId="0" applyNumberFormat="1" applyFont="1" applyBorder="1" applyAlignment="1">
      <alignment horizontal="center" vertical="center" wrapText="1"/>
    </xf>
    <xf numFmtId="10" fontId="19" fillId="0" borderId="0" xfId="0" applyNumberFormat="1" applyFont="1" applyFill="1" applyBorder="1" applyAlignment="1">
      <alignment vertical="center" wrapText="1"/>
    </xf>
    <xf numFmtId="0" fontId="31" fillId="0" borderId="0" xfId="0" applyFont="1" applyFill="1" applyBorder="1" applyAlignment="1">
      <alignment vertical="center" wrapText="1"/>
    </xf>
    <xf numFmtId="0" fontId="19" fillId="0" borderId="0" xfId="0" applyFont="1" applyFill="1" applyBorder="1" applyAlignment="1">
      <alignment horizontal="center" vertical="center" wrapText="1"/>
    </xf>
    <xf numFmtId="10" fontId="19" fillId="0" borderId="0" xfId="0" applyNumberFormat="1" applyFont="1" applyFill="1" applyBorder="1" applyAlignment="1">
      <alignment horizontal="center" vertical="center" wrapText="1"/>
    </xf>
    <xf numFmtId="0" fontId="19" fillId="0" borderId="0" xfId="0" applyNumberFormat="1" applyFont="1" applyFill="1" applyBorder="1" applyAlignment="1">
      <alignment vertical="center" wrapText="1"/>
    </xf>
    <xf numFmtId="0" fontId="19" fillId="0" borderId="0" xfId="0" applyFont="1" applyFill="1" applyBorder="1"/>
    <xf numFmtId="8" fontId="19" fillId="0" borderId="4" xfId="0" applyNumberFormat="1" applyFont="1" applyFill="1" applyBorder="1" applyAlignment="1">
      <alignment horizontal="center" vertical="center" wrapText="1"/>
    </xf>
    <xf numFmtId="8" fontId="19" fillId="0" borderId="4" xfId="0" applyNumberFormat="1" applyFont="1" applyBorder="1" applyAlignment="1">
      <alignment horizontal="center" vertical="center" wrapText="1"/>
    </xf>
    <xf numFmtId="0" fontId="31" fillId="0" borderId="0" xfId="0" applyFont="1" applyBorder="1" applyAlignment="1">
      <alignment horizontal="center" vertical="center" wrapText="1"/>
    </xf>
    <xf numFmtId="0" fontId="19" fillId="0" borderId="4" xfId="0" applyFont="1" applyBorder="1" applyAlignment="1">
      <alignment vertical="center" wrapText="1"/>
    </xf>
    <xf numFmtId="8" fontId="19" fillId="0" borderId="1" xfId="0" applyNumberFormat="1" applyFont="1" applyFill="1" applyBorder="1" applyAlignment="1">
      <alignment vertical="center" wrapText="1"/>
    </xf>
    <xf numFmtId="0" fontId="31" fillId="0" borderId="0" xfId="0" applyFont="1" applyFill="1" applyBorder="1" applyAlignment="1">
      <alignment horizontal="center" vertical="center" wrapText="1"/>
    </xf>
    <xf numFmtId="8" fontId="19" fillId="0" borderId="8" xfId="0" applyNumberFormat="1" applyFont="1" applyBorder="1" applyAlignment="1">
      <alignment horizontal="center" vertical="center" wrapText="1"/>
    </xf>
    <xf numFmtId="0" fontId="19" fillId="0" borderId="1" xfId="0" applyFont="1" applyBorder="1"/>
    <xf numFmtId="0" fontId="19" fillId="0" borderId="0" xfId="0" applyFont="1" applyAlignment="1">
      <alignment horizontal="center"/>
    </xf>
    <xf numFmtId="0" fontId="19" fillId="0" borderId="0" xfId="0" applyFont="1" applyFill="1" applyBorder="1" applyAlignment="1">
      <alignment horizontal="center"/>
    </xf>
    <xf numFmtId="164" fontId="19" fillId="0" borderId="1" xfId="0" applyNumberFormat="1" applyFont="1" applyBorder="1" applyAlignment="1">
      <alignment horizontal="center"/>
    </xf>
    <xf numFmtId="164" fontId="19" fillId="0" borderId="1" xfId="0" applyNumberFormat="1" applyFont="1" applyFill="1" applyBorder="1" applyAlignment="1">
      <alignment horizontal="center"/>
    </xf>
    <xf numFmtId="0" fontId="19" fillId="0" borderId="1" xfId="0" applyFont="1" applyBorder="1" applyAlignment="1">
      <alignment horizontal="center"/>
    </xf>
    <xf numFmtId="8" fontId="20" fillId="0" borderId="0" xfId="0" applyNumberFormat="1" applyFont="1" applyFill="1" applyBorder="1" applyAlignment="1">
      <alignment horizontal="center" vertical="center" wrapText="1"/>
    </xf>
    <xf numFmtId="0" fontId="19" fillId="0" borderId="1" xfId="0" applyFont="1" applyFill="1" applyBorder="1"/>
    <xf numFmtId="0" fontId="19" fillId="0" borderId="0" xfId="0" applyFont="1" applyFill="1"/>
    <xf numFmtId="8" fontId="19" fillId="0" borderId="3" xfId="0" applyNumberFormat="1" applyFont="1" applyFill="1" applyBorder="1" applyAlignment="1">
      <alignment vertical="center" wrapText="1"/>
    </xf>
    <xf numFmtId="0" fontId="32" fillId="4" borderId="1" xfId="0" applyFont="1" applyFill="1" applyBorder="1" applyAlignment="1">
      <alignment horizontal="center" wrapText="1"/>
    </xf>
    <xf numFmtId="7" fontId="3" fillId="0" borderId="0" xfId="0" applyNumberFormat="1" applyFont="1" applyBorder="1" applyAlignment="1">
      <alignment vertical="center" wrapText="1"/>
    </xf>
    <xf numFmtId="0" fontId="3" fillId="0" borderId="0" xfId="0" applyNumberFormat="1" applyFont="1" applyBorder="1" applyAlignment="1">
      <alignment horizontal="center" vertical="center" wrapText="1"/>
    </xf>
    <xf numFmtId="8" fontId="3" fillId="0" borderId="0" xfId="0" applyNumberFormat="1" applyFont="1" applyBorder="1" applyAlignment="1">
      <alignment vertical="center" wrapText="1"/>
    </xf>
    <xf numFmtId="0" fontId="3" fillId="0" borderId="20" xfId="0" applyNumberFormat="1" applyFont="1" applyFill="1" applyBorder="1" applyAlignment="1">
      <alignment horizontal="center" vertical="center" wrapText="1"/>
    </xf>
    <xf numFmtId="164" fontId="24" fillId="0" borderId="0" xfId="0" applyNumberFormat="1" applyFont="1" applyFill="1" applyBorder="1" applyAlignment="1">
      <alignment vertical="center" wrapText="1"/>
    </xf>
    <xf numFmtId="0" fontId="0" fillId="0" borderId="59" xfId="0" applyFont="1" applyBorder="1" applyAlignment="1">
      <alignment horizontal="center" vertical="center" wrapText="1"/>
    </xf>
    <xf numFmtId="8" fontId="6" fillId="0" borderId="56" xfId="0" applyNumberFormat="1" applyFont="1" applyBorder="1" applyAlignment="1">
      <alignment horizontal="right" vertical="center" wrapText="1"/>
    </xf>
    <xf numFmtId="8" fontId="0" fillId="0" borderId="8" xfId="0" applyNumberFormat="1" applyFill="1" applyBorder="1" applyAlignment="1">
      <alignment horizontal="right" vertical="center" wrapText="1"/>
    </xf>
    <xf numFmtId="0" fontId="3" fillId="0" borderId="7" xfId="0" applyFont="1" applyBorder="1" applyAlignment="1">
      <alignment vertical="top" wrapText="1"/>
    </xf>
    <xf numFmtId="0" fontId="3" fillId="0" borderId="15" xfId="0" applyNumberFormat="1" applyFont="1" applyBorder="1" applyAlignment="1">
      <alignment horizontal="center" vertical="center" wrapText="1"/>
    </xf>
    <xf numFmtId="8" fontId="19" fillId="0" borderId="1" xfId="0" applyNumberFormat="1" applyFont="1" applyBorder="1"/>
    <xf numFmtId="8" fontId="19" fillId="0" borderId="0" xfId="0" applyNumberFormat="1" applyFont="1" applyFill="1" applyBorder="1"/>
    <xf numFmtId="8" fontId="19" fillId="0" borderId="0" xfId="0" applyNumberFormat="1" applyFont="1"/>
    <xf numFmtId="7" fontId="3" fillId="0" borderId="0" xfId="0" applyNumberFormat="1" applyFont="1" applyFill="1" applyBorder="1" applyAlignment="1">
      <alignment vertical="center" wrapText="1"/>
    </xf>
    <xf numFmtId="0" fontId="3" fillId="0" borderId="0" xfId="0" applyNumberFormat="1" applyFont="1" applyFill="1" applyBorder="1" applyAlignment="1">
      <alignment horizontal="center" vertical="center" wrapText="1"/>
    </xf>
    <xf numFmtId="8" fontId="3" fillId="0" borderId="0" xfId="0" applyNumberFormat="1" applyFont="1" applyFill="1" applyBorder="1" applyAlignment="1">
      <alignment vertical="center" wrapText="1"/>
    </xf>
    <xf numFmtId="167" fontId="0" fillId="0" borderId="0" xfId="0" applyNumberFormat="1" applyFill="1" applyBorder="1" applyAlignment="1">
      <alignment vertical="center" wrapText="1"/>
    </xf>
    <xf numFmtId="164" fontId="6" fillId="0" borderId="0" xfId="0" quotePrefix="1" applyNumberFormat="1" applyFont="1" applyFill="1" applyBorder="1" applyAlignment="1">
      <alignment vertical="center" wrapText="1"/>
    </xf>
    <xf numFmtId="6" fontId="23" fillId="11" borderId="1" xfId="0" quotePrefix="1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164" fontId="6" fillId="0" borderId="0" xfId="0" applyNumberFormat="1" applyFont="1" applyFill="1" applyBorder="1" applyAlignment="1">
      <alignment vertical="center" wrapText="1"/>
    </xf>
    <xf numFmtId="8" fontId="23" fillId="11" borderId="7" xfId="0" quotePrefix="1" applyNumberFormat="1" applyFont="1" applyFill="1" applyBorder="1" applyAlignment="1">
      <alignment horizontal="left" vertical="center" wrapText="1"/>
    </xf>
    <xf numFmtId="8" fontId="23" fillId="5" borderId="1" xfId="0" quotePrefix="1" applyNumberFormat="1" applyFont="1" applyFill="1" applyBorder="1" applyAlignment="1">
      <alignment horizontal="left" vertical="center" wrapText="1"/>
    </xf>
    <xf numFmtId="164" fontId="4" fillId="5" borderId="1" xfId="0" applyNumberFormat="1" applyFont="1" applyFill="1" applyBorder="1" applyAlignment="1">
      <alignment horizontal="right" vertical="center" wrapText="1"/>
    </xf>
    <xf numFmtId="164" fontId="4" fillId="11" borderId="1" xfId="0" applyNumberFormat="1" applyFont="1" applyFill="1" applyBorder="1" applyAlignment="1">
      <alignment horizontal="right" vertical="center" wrapText="1"/>
    </xf>
    <xf numFmtId="1" fontId="6" fillId="0" borderId="0" xfId="0" applyNumberFormat="1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8" fontId="3" fillId="0" borderId="32" xfId="0" applyNumberFormat="1" applyFont="1" applyBorder="1" applyAlignment="1">
      <alignment horizontal="center" vertical="center" wrapText="1"/>
    </xf>
    <xf numFmtId="14" fontId="8" fillId="0" borderId="19" xfId="0" applyNumberFormat="1" applyFont="1" applyFill="1" applyBorder="1" applyAlignment="1">
      <alignment horizontal="center" vertical="center" wrapText="1"/>
    </xf>
    <xf numFmtId="8" fontId="3" fillId="0" borderId="47" xfId="0" applyNumberFormat="1" applyFont="1" applyBorder="1" applyAlignment="1">
      <alignment horizontal="center" vertical="center" wrapText="1"/>
    </xf>
    <xf numFmtId="165" fontId="4" fillId="0" borderId="5" xfId="0" applyNumberFormat="1" applyFont="1" applyBorder="1" applyAlignment="1">
      <alignment horizontal="center" vertical="center" wrapText="1"/>
    </xf>
    <xf numFmtId="17" fontId="0" fillId="5" borderId="61" xfId="0" applyNumberFormat="1" applyFill="1" applyBorder="1" applyAlignment="1">
      <alignment horizontal="center" vertical="center" wrapText="1"/>
    </xf>
    <xf numFmtId="0" fontId="0" fillId="0" borderId="63" xfId="0" applyBorder="1" applyAlignment="1">
      <alignment horizontal="center" vertical="center" wrapText="1"/>
    </xf>
    <xf numFmtId="17" fontId="0" fillId="0" borderId="46" xfId="0" applyNumberFormat="1" applyBorder="1" applyAlignment="1">
      <alignment horizontal="center" vertical="center" wrapText="1"/>
    </xf>
    <xf numFmtId="0" fontId="0" fillId="0" borderId="64" xfId="0" applyBorder="1" applyAlignment="1">
      <alignment horizontal="center" vertical="center" wrapText="1"/>
    </xf>
    <xf numFmtId="17" fontId="0" fillId="0" borderId="62" xfId="0" applyNumberFormat="1" applyBorder="1" applyAlignment="1">
      <alignment horizontal="center" vertical="center" wrapText="1"/>
    </xf>
    <xf numFmtId="17" fontId="0" fillId="5" borderId="45" xfId="0" applyNumberFormat="1" applyFill="1" applyBorder="1" applyAlignment="1">
      <alignment horizontal="center" vertical="center" wrapText="1"/>
    </xf>
    <xf numFmtId="165" fontId="0" fillId="5" borderId="14" xfId="0" applyNumberFormat="1" applyFont="1" applyFill="1" applyBorder="1" applyAlignment="1">
      <alignment horizontal="right" vertical="center" wrapText="1"/>
    </xf>
    <xf numFmtId="165" fontId="0" fillId="5" borderId="17" xfId="0" applyNumberFormat="1" applyFont="1" applyFill="1" applyBorder="1" applyAlignment="1">
      <alignment horizontal="right" vertical="center" wrapText="1"/>
    </xf>
    <xf numFmtId="0" fontId="0" fillId="0" borderId="40" xfId="0" applyFont="1" applyBorder="1" applyAlignment="1">
      <alignment horizontal="right" vertical="center" wrapText="1"/>
    </xf>
    <xf numFmtId="0" fontId="0" fillId="0" borderId="19" xfId="0" applyFont="1" applyBorder="1" applyAlignment="1">
      <alignment horizontal="right" vertical="center" wrapText="1"/>
    </xf>
    <xf numFmtId="165" fontId="0" fillId="0" borderId="41" xfId="0" applyNumberFormat="1" applyFont="1" applyBorder="1" applyAlignment="1">
      <alignment horizontal="right" vertical="center" wrapText="1"/>
    </xf>
    <xf numFmtId="165" fontId="0" fillId="5" borderId="19" xfId="0" applyNumberFormat="1" applyFont="1" applyFill="1" applyBorder="1" applyAlignment="1">
      <alignment horizontal="right" vertical="center" wrapText="1"/>
    </xf>
    <xf numFmtId="165" fontId="0" fillId="5" borderId="16" xfId="0" applyNumberFormat="1" applyFont="1" applyFill="1" applyBorder="1" applyAlignment="1">
      <alignment horizontal="right" vertical="center" wrapText="1"/>
    </xf>
    <xf numFmtId="165" fontId="0" fillId="5" borderId="18" xfId="0" applyNumberFormat="1" applyFont="1" applyFill="1" applyBorder="1" applyAlignment="1">
      <alignment horizontal="right" vertical="center" wrapText="1"/>
    </xf>
    <xf numFmtId="165" fontId="0" fillId="5" borderId="21" xfId="0" applyNumberFormat="1" applyFont="1" applyFill="1" applyBorder="1" applyAlignment="1">
      <alignment horizontal="right" vertical="center" wrapText="1"/>
    </xf>
    <xf numFmtId="0" fontId="0" fillId="0" borderId="65" xfId="0" applyFont="1" applyBorder="1" applyAlignment="1">
      <alignment horizontal="right" vertical="center" wrapText="1"/>
    </xf>
    <xf numFmtId="0" fontId="0" fillId="0" borderId="61" xfId="0" applyBorder="1" applyAlignment="1">
      <alignment horizontal="center" vertical="center" wrapText="1"/>
    </xf>
    <xf numFmtId="0" fontId="0" fillId="0" borderId="62" xfId="0" quotePrefix="1" applyBorder="1" applyAlignment="1">
      <alignment horizontal="center" vertical="center" wrapText="1"/>
    </xf>
    <xf numFmtId="0" fontId="0" fillId="0" borderId="59" xfId="0" applyBorder="1" applyAlignment="1">
      <alignment horizontal="center" vertical="center" wrapText="1"/>
    </xf>
    <xf numFmtId="0" fontId="0" fillId="0" borderId="0" xfId="0" applyFont="1" applyBorder="1" applyAlignment="1">
      <alignment horizontal="right" vertical="center" wrapText="1"/>
    </xf>
    <xf numFmtId="165" fontId="0" fillId="0" borderId="61" xfId="0" applyNumberFormat="1" applyFont="1" applyBorder="1" applyAlignment="1">
      <alignment horizontal="right" vertical="center" wrapText="1"/>
    </xf>
    <xf numFmtId="165" fontId="0" fillId="0" borderId="62" xfId="0" applyNumberFormat="1" applyFont="1" applyBorder="1" applyAlignment="1">
      <alignment horizontal="right" vertical="center" wrapText="1"/>
    </xf>
    <xf numFmtId="165" fontId="0" fillId="5" borderId="63" xfId="0" applyNumberFormat="1" applyFont="1" applyFill="1" applyBorder="1" applyAlignment="1">
      <alignment horizontal="right" vertical="center" wrapText="1"/>
    </xf>
    <xf numFmtId="165" fontId="0" fillId="5" borderId="61" xfId="0" applyNumberFormat="1" applyFont="1" applyFill="1" applyBorder="1" applyAlignment="1">
      <alignment horizontal="right" vertical="center" wrapText="1"/>
    </xf>
    <xf numFmtId="165" fontId="0" fillId="5" borderId="62" xfId="0" applyNumberFormat="1" applyFont="1" applyFill="1" applyBorder="1" applyAlignment="1">
      <alignment horizontal="right" vertical="center" wrapText="1"/>
    </xf>
    <xf numFmtId="165" fontId="0" fillId="5" borderId="52" xfId="0" applyNumberFormat="1" applyFont="1" applyFill="1" applyBorder="1" applyAlignment="1">
      <alignment horizontal="right" vertical="center" wrapText="1"/>
    </xf>
    <xf numFmtId="0" fontId="0" fillId="0" borderId="32" xfId="0" applyBorder="1"/>
    <xf numFmtId="0" fontId="0" fillId="0" borderId="33" xfId="0" applyBorder="1"/>
    <xf numFmtId="0" fontId="0" fillId="0" borderId="22" xfId="0" applyBorder="1"/>
    <xf numFmtId="0" fontId="0" fillId="0" borderId="59" xfId="0" applyBorder="1"/>
    <xf numFmtId="0" fontId="0" fillId="0" borderId="66" xfId="0" applyBorder="1"/>
    <xf numFmtId="0" fontId="0" fillId="0" borderId="30" xfId="0" applyBorder="1"/>
    <xf numFmtId="0" fontId="0" fillId="0" borderId="67" xfId="0" applyBorder="1"/>
    <xf numFmtId="0" fontId="0" fillId="0" borderId="31" xfId="0" applyBorder="1"/>
    <xf numFmtId="0" fontId="8" fillId="0" borderId="0" xfId="0" applyFont="1" applyBorder="1"/>
    <xf numFmtId="0" fontId="3" fillId="0" borderId="34" xfId="0" applyNumberFormat="1" applyFont="1" applyFill="1" applyBorder="1" applyAlignment="1">
      <alignment horizontal="center" vertical="center" wrapText="1"/>
    </xf>
    <xf numFmtId="0" fontId="3" fillId="0" borderId="23" xfId="0" applyNumberFormat="1" applyFont="1" applyFill="1" applyBorder="1" applyAlignment="1">
      <alignment horizontal="center" vertical="center" wrapText="1"/>
    </xf>
    <xf numFmtId="0" fontId="3" fillId="0" borderId="23" xfId="0" applyNumberFormat="1" applyFont="1" applyFill="1" applyBorder="1" applyAlignment="1">
      <alignment vertical="center" wrapText="1"/>
    </xf>
    <xf numFmtId="0" fontId="6" fillId="0" borderId="39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8" fontId="20" fillId="0" borderId="0" xfId="0" applyNumberFormat="1" applyFont="1" applyFill="1" applyBorder="1" applyAlignment="1">
      <alignment horizontal="center" vertical="center" wrapText="1"/>
    </xf>
    <xf numFmtId="8" fontId="20" fillId="0" borderId="0" xfId="0" applyNumberFormat="1" applyFont="1" applyFill="1" applyBorder="1" applyAlignment="1">
      <alignment vertical="center" wrapText="1"/>
    </xf>
    <xf numFmtId="0" fontId="31" fillId="0" borderId="0" xfId="0" applyNumberFormat="1" applyFont="1" applyBorder="1" applyAlignment="1">
      <alignment vertical="center" wrapText="1"/>
    </xf>
    <xf numFmtId="0" fontId="19" fillId="0" borderId="4" xfId="0" applyNumberFormat="1" applyFont="1" applyFill="1" applyBorder="1" applyAlignment="1">
      <alignment horizontal="center" vertical="center" wrapText="1"/>
    </xf>
    <xf numFmtId="0" fontId="20" fillId="5" borderId="1" xfId="0" applyNumberFormat="1" applyFont="1" applyFill="1" applyBorder="1" applyAlignment="1">
      <alignment horizontal="center" vertical="center" wrapText="1"/>
    </xf>
    <xf numFmtId="0" fontId="0" fillId="0" borderId="0" xfId="0" applyNumberFormat="1"/>
    <xf numFmtId="165" fontId="6" fillId="4" borderId="1" xfId="0" applyNumberFormat="1" applyFont="1" applyFill="1" applyBorder="1" applyAlignment="1">
      <alignment horizontal="center" vertical="center" wrapText="1"/>
    </xf>
    <xf numFmtId="8" fontId="20" fillId="0" borderId="0" xfId="0" applyNumberFormat="1" applyFont="1" applyFill="1" applyBorder="1" applyAlignment="1">
      <alignment horizontal="center" vertical="center" wrapText="1"/>
    </xf>
    <xf numFmtId="0" fontId="20" fillId="0" borderId="1" xfId="0" applyNumberFormat="1" applyFont="1" applyFill="1" applyBorder="1" applyAlignment="1">
      <alignment horizontal="center" vertical="center" wrapText="1"/>
    </xf>
    <xf numFmtId="0" fontId="6" fillId="4" borderId="5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Border="1" applyAlignment="1">
      <alignment vertical="center" wrapText="1"/>
    </xf>
    <xf numFmtId="8" fontId="9" fillId="3" borderId="5" xfId="0" applyNumberFormat="1" applyFont="1" applyFill="1" applyBorder="1" applyAlignment="1">
      <alignment horizontal="left" vertical="center" wrapText="1"/>
    </xf>
    <xf numFmtId="8" fontId="19" fillId="5" borderId="4" xfId="0" applyNumberFormat="1" applyFont="1" applyFill="1" applyBorder="1" applyAlignment="1">
      <alignment horizontal="center" vertical="center" wrapText="1"/>
    </xf>
    <xf numFmtId="8" fontId="19" fillId="5" borderId="4" xfId="0" applyNumberFormat="1" applyFont="1" applyFill="1" applyBorder="1" applyAlignment="1">
      <alignment vertical="center" wrapText="1"/>
    </xf>
    <xf numFmtId="8" fontId="19" fillId="5" borderId="5" xfId="0" applyNumberFormat="1" applyFont="1" applyFill="1" applyBorder="1" applyAlignment="1">
      <alignment horizontal="center" vertical="center" wrapText="1"/>
    </xf>
    <xf numFmtId="8" fontId="19" fillId="6" borderId="2" xfId="0" applyNumberFormat="1" applyFont="1" applyFill="1" applyBorder="1" applyAlignment="1">
      <alignment horizontal="right" vertical="center" wrapText="1"/>
    </xf>
    <xf numFmtId="8" fontId="19" fillId="6" borderId="1" xfId="0" applyNumberFormat="1" applyFont="1" applyFill="1" applyBorder="1"/>
    <xf numFmtId="8" fontId="19" fillId="6" borderId="1" xfId="0" applyNumberFormat="1" applyFont="1" applyFill="1" applyBorder="1" applyAlignment="1">
      <alignment horizontal="right" vertical="center" wrapText="1"/>
    </xf>
    <xf numFmtId="8" fontId="19" fillId="6" borderId="3" xfId="0" applyNumberFormat="1" applyFont="1" applyFill="1" applyBorder="1" applyAlignment="1">
      <alignment vertical="center" wrapText="1"/>
    </xf>
    <xf numFmtId="0" fontId="18" fillId="0" borderId="0" xfId="0" applyNumberFormat="1" applyFont="1" applyBorder="1" applyAlignment="1">
      <alignment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0" fontId="3" fillId="0" borderId="60" xfId="0" applyNumberFormat="1" applyFont="1" applyFill="1" applyBorder="1" applyAlignment="1">
      <alignment horizontal="center" vertical="center" wrapText="1"/>
    </xf>
    <xf numFmtId="165" fontId="0" fillId="0" borderId="0" xfId="0" applyNumberFormat="1"/>
    <xf numFmtId="0" fontId="2" fillId="0" borderId="0" xfId="0" applyFont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64" fontId="2" fillId="0" borderId="0" xfId="0" applyNumberFormat="1" applyFont="1" applyAlignment="1">
      <alignment horizontal="center"/>
    </xf>
    <xf numFmtId="165" fontId="0" fillId="0" borderId="2" xfId="0" applyNumberFormat="1" applyBorder="1"/>
    <xf numFmtId="165" fontId="0" fillId="0" borderId="3" xfId="0" applyNumberFormat="1" applyBorder="1"/>
    <xf numFmtId="165" fontId="2" fillId="0" borderId="7" xfId="0" applyNumberFormat="1" applyFont="1" applyBorder="1" applyAlignment="1">
      <alignment horizontal="center"/>
    </xf>
    <xf numFmtId="165" fontId="2" fillId="0" borderId="4" xfId="0" applyNumberFormat="1" applyFont="1" applyBorder="1" applyAlignment="1">
      <alignment horizontal="center" vertical="center" wrapText="1"/>
    </xf>
    <xf numFmtId="165" fontId="0" fillId="0" borderId="4" xfId="0" applyNumberFormat="1" applyBorder="1"/>
    <xf numFmtId="165" fontId="0" fillId="0" borderId="5" xfId="0" applyNumberFormat="1" applyBorder="1"/>
    <xf numFmtId="8" fontId="2" fillId="0" borderId="1" xfId="0" applyNumberFormat="1" applyFont="1" applyBorder="1" applyAlignment="1">
      <alignment horizontal="center" vertical="center" wrapText="1"/>
    </xf>
    <xf numFmtId="8" fontId="20" fillId="0" borderId="0" xfId="0" applyNumberFormat="1" applyFont="1" applyFill="1" applyBorder="1" applyAlignment="1">
      <alignment horizontal="center" vertical="center" wrapText="1"/>
    </xf>
    <xf numFmtId="8" fontId="6" fillId="0" borderId="13" xfId="0" applyNumberFormat="1" applyFont="1" applyFill="1" applyBorder="1" applyAlignment="1">
      <alignment horizontal="center" vertical="center" wrapText="1"/>
    </xf>
    <xf numFmtId="8" fontId="19" fillId="4" borderId="4" xfId="0" applyNumberFormat="1" applyFont="1" applyFill="1" applyBorder="1" applyAlignment="1">
      <alignment horizontal="center" vertical="center" wrapText="1"/>
    </xf>
    <xf numFmtId="165" fontId="2" fillId="0" borderId="3" xfId="0" applyNumberFormat="1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7" xfId="0" quotePrefix="1" applyFont="1" applyFill="1" applyBorder="1" applyAlignment="1">
      <alignment horizontal="center" vertical="center" wrapText="1"/>
    </xf>
    <xf numFmtId="0" fontId="34" fillId="3" borderId="4" xfId="0" applyFont="1" applyFill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165" fontId="3" fillId="9" borderId="18" xfId="0" applyNumberFormat="1" applyFont="1" applyFill="1" applyBorder="1" applyAlignment="1">
      <alignment vertical="center" wrapText="1"/>
    </xf>
    <xf numFmtId="165" fontId="3" fillId="0" borderId="18" xfId="0" applyNumberFormat="1" applyFont="1" applyFill="1" applyBorder="1" applyAlignment="1">
      <alignment vertical="center" wrapText="1"/>
    </xf>
    <xf numFmtId="0" fontId="6" fillId="0" borderId="10" xfId="0" applyNumberFormat="1" applyFont="1" applyBorder="1" applyAlignment="1">
      <alignment vertical="center" wrapText="1"/>
    </xf>
    <xf numFmtId="8" fontId="9" fillId="0" borderId="8" xfId="0" applyNumberFormat="1" applyFont="1" applyFill="1" applyBorder="1" applyAlignment="1">
      <alignment vertical="center" wrapText="1"/>
    </xf>
    <xf numFmtId="8" fontId="3" fillId="0" borderId="8" xfId="0" applyNumberFormat="1" applyFont="1" applyFill="1" applyBorder="1" applyAlignment="1">
      <alignment vertical="center" wrapText="1"/>
    </xf>
    <xf numFmtId="165" fontId="3" fillId="0" borderId="8" xfId="0" applyNumberFormat="1" applyFont="1" applyFill="1" applyBorder="1" applyAlignment="1">
      <alignment vertical="center" wrapText="1"/>
    </xf>
    <xf numFmtId="165" fontId="3" fillId="0" borderId="0" xfId="0" applyNumberFormat="1" applyFont="1" applyFill="1" applyBorder="1" applyAlignment="1">
      <alignment vertical="center" wrapText="1"/>
    </xf>
    <xf numFmtId="8" fontId="9" fillId="3" borderId="9" xfId="0" applyNumberFormat="1" applyFont="1" applyFill="1" applyBorder="1" applyAlignment="1">
      <alignment horizontal="left" vertical="center" wrapText="1"/>
    </xf>
    <xf numFmtId="0" fontId="6" fillId="0" borderId="8" xfId="0" applyNumberFormat="1" applyFont="1" applyBorder="1" applyAlignment="1">
      <alignment horizontal="center" vertical="center" wrapText="1"/>
    </xf>
    <xf numFmtId="0" fontId="9" fillId="0" borderId="8" xfId="0" applyNumberFormat="1" applyFont="1" applyFill="1" applyBorder="1" applyAlignment="1">
      <alignment horizontal="center" vertical="center" wrapText="1"/>
    </xf>
    <xf numFmtId="0" fontId="6" fillId="0" borderId="8" xfId="0" applyNumberFormat="1" applyFont="1" applyFill="1" applyBorder="1" applyAlignment="1">
      <alignment horizontal="center" vertical="center" wrapText="1"/>
    </xf>
    <xf numFmtId="0" fontId="6" fillId="0" borderId="8" xfId="0" applyNumberFormat="1" applyFont="1" applyBorder="1" applyAlignment="1">
      <alignment vertical="center" wrapText="1"/>
    </xf>
    <xf numFmtId="8" fontId="2" fillId="0" borderId="3" xfId="0" applyNumberFormat="1" applyFont="1" applyBorder="1" applyAlignment="1">
      <alignment horizontal="left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165" fontId="8" fillId="4" borderId="1" xfId="0" applyNumberFormat="1" applyFont="1" applyFill="1" applyBorder="1" applyAlignment="1">
      <alignment horizontal="center" vertical="center" wrapText="1"/>
    </xf>
    <xf numFmtId="14" fontId="8" fillId="4" borderId="1" xfId="0" applyNumberFormat="1" applyFont="1" applyFill="1" applyBorder="1" applyAlignment="1">
      <alignment horizontal="center" vertical="center" wrapText="1"/>
    </xf>
    <xf numFmtId="14" fontId="3" fillId="0" borderId="20" xfId="0" applyNumberFormat="1" applyFont="1" applyFill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 vertical="center" wrapText="1"/>
    </xf>
    <xf numFmtId="8" fontId="4" fillId="0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4" fillId="6" borderId="50" xfId="0" applyFont="1" applyFill="1" applyBorder="1" applyAlignment="1">
      <alignment horizontal="right" vertical="center" wrapText="1"/>
    </xf>
    <xf numFmtId="0" fontId="4" fillId="6" borderId="29" xfId="0" applyFont="1" applyFill="1" applyBorder="1" applyAlignment="1">
      <alignment horizontal="right" vertical="center" wrapText="1"/>
    </xf>
    <xf numFmtId="164" fontId="8" fillId="6" borderId="2" xfId="0" applyNumberFormat="1" applyFont="1" applyFill="1" applyBorder="1" applyAlignment="1">
      <alignment horizontal="center" vertical="center" wrapText="1"/>
    </xf>
    <xf numFmtId="164" fontId="8" fillId="6" borderId="3" xfId="0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2" fillId="7" borderId="6" xfId="0" applyNumberFormat="1" applyFont="1" applyFill="1" applyBorder="1" applyAlignment="1">
      <alignment vertical="center" wrapText="1"/>
    </xf>
    <xf numFmtId="0" fontId="2" fillId="7" borderId="6" xfId="0" applyNumberFormat="1" applyFont="1" applyFill="1" applyBorder="1" applyAlignment="1">
      <alignment horizontal="left" vertical="center" wrapText="1"/>
    </xf>
    <xf numFmtId="0" fontId="2" fillId="7" borderId="3" xfId="0" applyNumberFormat="1" applyFont="1" applyFill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4" fillId="0" borderId="7" xfId="0" applyFont="1" applyBorder="1" applyAlignment="1">
      <alignment vertical="top" wrapText="1"/>
    </xf>
    <xf numFmtId="164" fontId="4" fillId="0" borderId="1" xfId="0" applyNumberFormat="1" applyFont="1" applyBorder="1" applyAlignment="1">
      <alignment horizontal="left" vertical="top" wrapText="1"/>
    </xf>
    <xf numFmtId="164" fontId="3" fillId="0" borderId="3" xfId="0" applyNumberFormat="1" applyFont="1" applyFill="1" applyBorder="1" applyAlignment="1">
      <alignment horizontal="left" vertical="center" wrapText="1"/>
    </xf>
    <xf numFmtId="0" fontId="0" fillId="7" borderId="0" xfId="0" applyFill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6" fillId="4" borderId="7" xfId="0" applyNumberFormat="1" applyFont="1" applyFill="1" applyBorder="1" applyAlignment="1">
      <alignment horizontal="center" vertical="center" wrapText="1"/>
    </xf>
    <xf numFmtId="164" fontId="4" fillId="7" borderId="1" xfId="0" applyNumberFormat="1" applyFont="1" applyFill="1" applyBorder="1" applyAlignment="1">
      <alignment horizontal="right" vertical="center" wrapText="1"/>
    </xf>
    <xf numFmtId="167" fontId="14" fillId="5" borderId="36" xfId="0" applyNumberFormat="1" applyFont="1" applyFill="1" applyBorder="1" applyAlignment="1">
      <alignment horizontal="center" vertical="center" wrapText="1"/>
    </xf>
    <xf numFmtId="167" fontId="14" fillId="11" borderId="1" xfId="0" applyNumberFormat="1" applyFont="1" applyFill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center" vertical="center" wrapText="1"/>
    </xf>
    <xf numFmtId="8" fontId="0" fillId="0" borderId="3" xfId="0" applyNumberFormat="1" applyFill="1" applyBorder="1" applyAlignment="1">
      <alignment horizontal="right" vertical="center" wrapText="1"/>
    </xf>
    <xf numFmtId="8" fontId="0" fillId="0" borderId="9" xfId="0" applyNumberFormat="1" applyBorder="1" applyAlignment="1">
      <alignment horizontal="right" vertical="center" wrapText="1"/>
    </xf>
    <xf numFmtId="8" fontId="0" fillId="0" borderId="1" xfId="0" applyNumberFormat="1" applyFill="1" applyBorder="1" applyAlignment="1">
      <alignment horizontal="center" vertical="center" wrapText="1"/>
    </xf>
    <xf numFmtId="164" fontId="0" fillId="0" borderId="1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0" fontId="0" fillId="0" borderId="0" xfId="0" applyBorder="1" applyAlignment="1">
      <alignment horizontal="center" wrapText="1"/>
    </xf>
    <xf numFmtId="0" fontId="6" fillId="0" borderId="0" xfId="0" applyFont="1" applyBorder="1" applyAlignment="1">
      <alignment horizontal="center" wrapText="1"/>
    </xf>
    <xf numFmtId="165" fontId="0" fillId="0" borderId="0" xfId="0" applyNumberFormat="1" applyBorder="1" applyAlignment="1">
      <alignment wrapText="1"/>
    </xf>
    <xf numFmtId="0" fontId="0" fillId="0" borderId="0" xfId="0" applyBorder="1" applyAlignment="1">
      <alignment wrapText="1"/>
    </xf>
    <xf numFmtId="164" fontId="8" fillId="6" borderId="6" xfId="0" applyNumberFormat="1" applyFont="1" applyFill="1" applyBorder="1" applyAlignment="1">
      <alignment horizontal="center" vertical="center" wrapText="1"/>
    </xf>
    <xf numFmtId="8" fontId="3" fillId="0" borderId="0" xfId="0" applyNumberFormat="1" applyFont="1" applyBorder="1" applyAlignment="1">
      <alignment horizontal="center" vertical="center" wrapText="1"/>
    </xf>
    <xf numFmtId="8" fontId="9" fillId="3" borderId="4" xfId="0" applyNumberFormat="1" applyFont="1" applyFill="1" applyBorder="1" applyAlignment="1">
      <alignment horizontal="left" vertical="center" wrapText="1"/>
    </xf>
    <xf numFmtId="8" fontId="0" fillId="0" borderId="1" xfId="0" applyNumberFormat="1" applyFont="1" applyBorder="1" applyAlignment="1">
      <alignment vertical="center" wrapText="1"/>
    </xf>
    <xf numFmtId="165" fontId="0" fillId="0" borderId="2" xfId="0" applyNumberFormat="1" applyBorder="1" applyAlignment="1">
      <alignment vertical="center" wrapText="1"/>
    </xf>
    <xf numFmtId="166" fontId="0" fillId="0" borderId="2" xfId="0" applyNumberFormat="1" applyFont="1" applyFill="1" applyBorder="1" applyAlignment="1">
      <alignment horizontal="center" vertical="center" wrapText="1"/>
    </xf>
    <xf numFmtId="166" fontId="0" fillId="0" borderId="2" xfId="0" applyNumberFormat="1" applyBorder="1" applyAlignment="1">
      <alignment horizontal="center" vertical="center" wrapText="1"/>
    </xf>
    <xf numFmtId="8" fontId="0" fillId="0" borderId="2" xfId="0" applyNumberFormat="1" applyFont="1" applyFill="1" applyBorder="1" applyAlignment="1">
      <alignment horizontal="center" vertical="center" wrapText="1"/>
    </xf>
    <xf numFmtId="1" fontId="3" fillId="0" borderId="14" xfId="0" applyNumberFormat="1" applyFont="1" applyBorder="1" applyAlignment="1">
      <alignment horizontal="center" vertical="center" wrapText="1"/>
    </xf>
    <xf numFmtId="1" fontId="3" fillId="0" borderId="17" xfId="0" applyNumberFormat="1" applyFont="1" applyBorder="1" applyAlignment="1">
      <alignment horizontal="center" vertical="center" wrapText="1"/>
    </xf>
    <xf numFmtId="1" fontId="3" fillId="0" borderId="17" xfId="0" applyNumberFormat="1" applyFont="1" applyFill="1" applyBorder="1" applyAlignment="1">
      <alignment horizontal="center" vertical="center" wrapText="1"/>
    </xf>
    <xf numFmtId="2" fontId="3" fillId="0" borderId="17" xfId="0" applyNumberFormat="1" applyFont="1" applyFill="1" applyBorder="1" applyAlignment="1">
      <alignment horizontal="center" vertical="center" wrapText="1"/>
    </xf>
    <xf numFmtId="2" fontId="3" fillId="0" borderId="19" xfId="0" applyNumberFormat="1" applyFont="1" applyFill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164" fontId="4" fillId="0" borderId="17" xfId="0" applyNumberFormat="1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8" fontId="6" fillId="0" borderId="7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8" fontId="14" fillId="7" borderId="6" xfId="0" applyNumberFormat="1" applyFont="1" applyFill="1" applyBorder="1" applyAlignment="1">
      <alignment horizontal="left" vertical="center" wrapText="1"/>
    </xf>
    <xf numFmtId="8" fontId="20" fillId="0" borderId="7" xfId="0" applyNumberFormat="1" applyFont="1" applyFill="1" applyBorder="1" applyAlignment="1">
      <alignment horizontal="center" vertical="center" wrapText="1"/>
    </xf>
    <xf numFmtId="8" fontId="20" fillId="0" borderId="5" xfId="0" applyNumberFormat="1" applyFont="1" applyFill="1" applyBorder="1" applyAlignment="1">
      <alignment horizontal="center" vertical="center" wrapText="1"/>
    </xf>
    <xf numFmtId="8" fontId="20" fillId="0" borderId="0" xfId="0" applyNumberFormat="1" applyFont="1" applyFill="1" applyBorder="1" applyAlignment="1">
      <alignment horizontal="center" vertical="center" wrapText="1"/>
    </xf>
    <xf numFmtId="0" fontId="32" fillId="0" borderId="1" xfId="0" applyFont="1" applyFill="1" applyBorder="1" applyAlignment="1">
      <alignment horizontal="center" wrapText="1"/>
    </xf>
    <xf numFmtId="8" fontId="19" fillId="0" borderId="1" xfId="0" applyNumberFormat="1" applyFont="1" applyFill="1" applyBorder="1"/>
    <xf numFmtId="8" fontId="19" fillId="0" borderId="1" xfId="0" applyNumberFormat="1" applyFont="1" applyFill="1" applyBorder="1" applyAlignment="1">
      <alignment horizontal="center" vertical="center" wrapText="1"/>
    </xf>
    <xf numFmtId="164" fontId="0" fillId="0" borderId="5" xfId="0" applyNumberFormat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right" vertical="center" wrapText="1"/>
    </xf>
    <xf numFmtId="8" fontId="0" fillId="0" borderId="12" xfId="0" applyNumberFormat="1" applyFill="1" applyBorder="1" applyAlignment="1">
      <alignment horizontal="center" vertical="center" wrapText="1"/>
    </xf>
    <xf numFmtId="0" fontId="0" fillId="0" borderId="13" xfId="0" applyNumberFormat="1" applyFill="1" applyBorder="1" applyAlignment="1">
      <alignment vertical="center" wrapText="1"/>
    </xf>
    <xf numFmtId="49" fontId="6" fillId="0" borderId="0" xfId="0" applyNumberFormat="1" applyFont="1" applyBorder="1" applyAlignment="1">
      <alignment horizontal="center" vertical="center" wrapText="1"/>
    </xf>
    <xf numFmtId="2" fontId="0" fillId="0" borderId="0" xfId="0" applyNumberFormat="1" applyFill="1" applyBorder="1" applyAlignment="1">
      <alignment vertical="center" wrapText="1"/>
    </xf>
    <xf numFmtId="0" fontId="0" fillId="4" borderId="0" xfId="0" applyFill="1" applyBorder="1" applyAlignment="1">
      <alignment horizontal="center" vertical="center" wrapText="1"/>
    </xf>
    <xf numFmtId="167" fontId="0" fillId="4" borderId="0" xfId="0" applyNumberFormat="1" applyFill="1" applyBorder="1" applyAlignment="1">
      <alignment horizontal="center" vertical="center" wrapText="1"/>
    </xf>
    <xf numFmtId="2" fontId="0" fillId="4" borderId="0" xfId="0" applyNumberFormat="1" applyFill="1" applyBorder="1" applyAlignment="1">
      <alignment vertical="center" wrapText="1"/>
    </xf>
    <xf numFmtId="0" fontId="9" fillId="4" borderId="0" xfId="0" applyFont="1" applyFill="1" applyAlignment="1">
      <alignment horizontal="center" vertical="center" wrapText="1"/>
    </xf>
    <xf numFmtId="7" fontId="3" fillId="0" borderId="0" xfId="0" applyNumberFormat="1" applyFont="1" applyFill="1" applyBorder="1" applyAlignment="1">
      <alignment horizontal="center" vertical="center" wrapText="1"/>
    </xf>
    <xf numFmtId="0" fontId="15" fillId="0" borderId="2" xfId="0" applyNumberFormat="1" applyFont="1" applyFill="1" applyBorder="1" applyAlignment="1">
      <alignment horizontal="center" vertical="center" wrapText="1"/>
    </xf>
    <xf numFmtId="0" fontId="15" fillId="0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4" borderId="2" xfId="0" applyNumberFormat="1" applyFont="1" applyFill="1" applyBorder="1" applyAlignment="1">
      <alignment horizontal="left" vertical="center" wrapText="1"/>
    </xf>
    <xf numFmtId="164" fontId="2" fillId="4" borderId="6" xfId="0" applyNumberFormat="1" applyFont="1" applyFill="1" applyBorder="1" applyAlignment="1">
      <alignment horizontal="left" vertical="center" wrapText="1"/>
    </xf>
    <xf numFmtId="164" fontId="2" fillId="4" borderId="3" xfId="0" applyNumberFormat="1" applyFont="1" applyFill="1" applyBorder="1" applyAlignment="1">
      <alignment horizontal="left" vertical="center" wrapText="1"/>
    </xf>
    <xf numFmtId="8" fontId="3" fillId="8" borderId="6" xfId="0" applyNumberFormat="1" applyFont="1" applyFill="1" applyBorder="1" applyAlignment="1">
      <alignment horizontal="left" vertical="center" wrapText="1"/>
    </xf>
    <xf numFmtId="8" fontId="3" fillId="8" borderId="3" xfId="0" applyNumberFormat="1" applyFont="1" applyFill="1" applyBorder="1" applyAlignment="1">
      <alignment horizontal="left" vertical="center" wrapText="1"/>
    </xf>
    <xf numFmtId="1" fontId="0" fillId="4" borderId="1" xfId="0" applyNumberFormat="1" applyFill="1" applyBorder="1" applyAlignment="1">
      <alignment horizontal="center" vertical="center" wrapText="1"/>
    </xf>
    <xf numFmtId="164" fontId="24" fillId="0" borderId="7" xfId="0" applyNumberFormat="1" applyFont="1" applyFill="1" applyBorder="1" applyAlignment="1">
      <alignment horizontal="center" vertical="center" wrapText="1"/>
    </xf>
    <xf numFmtId="164" fontId="24" fillId="0" borderId="4" xfId="0" applyNumberFormat="1" applyFont="1" applyFill="1" applyBorder="1" applyAlignment="1">
      <alignment horizontal="center" vertical="center" wrapText="1"/>
    </xf>
    <xf numFmtId="164" fontId="24" fillId="0" borderId="5" xfId="0" applyNumberFormat="1" applyFont="1" applyFill="1" applyBorder="1" applyAlignment="1">
      <alignment horizontal="center" vertical="center" wrapText="1"/>
    </xf>
    <xf numFmtId="0" fontId="6" fillId="0" borderId="58" xfId="0" applyFont="1" applyFill="1" applyBorder="1" applyAlignment="1">
      <alignment horizontal="center" vertical="center" textRotation="90" wrapText="1"/>
    </xf>
    <xf numFmtId="0" fontId="6" fillId="0" borderId="54" xfId="0" applyFont="1" applyFill="1" applyBorder="1" applyAlignment="1">
      <alignment horizontal="center" vertical="center" textRotation="90" wrapText="1"/>
    </xf>
    <xf numFmtId="0" fontId="6" fillId="0" borderId="55" xfId="0" applyFont="1" applyFill="1" applyBorder="1" applyAlignment="1">
      <alignment horizontal="center" vertical="center" textRotation="90" wrapText="1"/>
    </xf>
    <xf numFmtId="0" fontId="24" fillId="0" borderId="7" xfId="0" applyFont="1" applyBorder="1" applyAlignment="1">
      <alignment horizontal="left" vertical="center" wrapText="1"/>
    </xf>
    <xf numFmtId="0" fontId="24" fillId="0" borderId="4" xfId="0" applyFont="1" applyBorder="1" applyAlignment="1">
      <alignment horizontal="left" vertical="center" wrapText="1"/>
    </xf>
    <xf numFmtId="0" fontId="24" fillId="0" borderId="5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left" vertical="top" wrapText="1"/>
    </xf>
    <xf numFmtId="0" fontId="6" fillId="0" borderId="58" xfId="0" applyFont="1" applyBorder="1" applyAlignment="1">
      <alignment horizontal="center" vertical="center" textRotation="90" wrapText="1"/>
    </xf>
    <xf numFmtId="0" fontId="6" fillId="0" borderId="54" xfId="0" applyFont="1" applyBorder="1" applyAlignment="1">
      <alignment horizontal="center" vertical="center" textRotation="90" wrapText="1"/>
    </xf>
    <xf numFmtId="0" fontId="6" fillId="0" borderId="55" xfId="0" applyFont="1" applyBorder="1" applyAlignment="1">
      <alignment horizontal="center" vertical="center" textRotation="90" wrapText="1"/>
    </xf>
    <xf numFmtId="0" fontId="10" fillId="6" borderId="38" xfId="0" applyFont="1" applyFill="1" applyBorder="1" applyAlignment="1">
      <alignment horizontal="left" vertical="center" wrapText="1"/>
    </xf>
    <xf numFmtId="0" fontId="10" fillId="6" borderId="39" xfId="0" applyFont="1" applyFill="1" applyBorder="1" applyAlignment="1">
      <alignment horizontal="left" vertical="center" wrapText="1"/>
    </xf>
    <xf numFmtId="8" fontId="8" fillId="6" borderId="20" xfId="0" applyNumberFormat="1" applyFont="1" applyFill="1" applyBorder="1" applyAlignment="1">
      <alignment horizontal="right" vertical="center" wrapText="1"/>
    </xf>
    <xf numFmtId="8" fontId="8" fillId="6" borderId="21" xfId="0" applyNumberFormat="1" applyFont="1" applyFill="1" applyBorder="1" applyAlignment="1">
      <alignment horizontal="right" vertical="center" wrapText="1"/>
    </xf>
    <xf numFmtId="8" fontId="3" fillId="0" borderId="6" xfId="0" applyNumberFormat="1" applyFont="1" applyFill="1" applyBorder="1" applyAlignment="1">
      <alignment horizontal="left" vertical="center" wrapText="1"/>
    </xf>
    <xf numFmtId="8" fontId="3" fillId="0" borderId="3" xfId="0" applyNumberFormat="1" applyFont="1" applyFill="1" applyBorder="1" applyAlignment="1">
      <alignment horizontal="left" vertical="center" wrapText="1"/>
    </xf>
    <xf numFmtId="8" fontId="0" fillId="0" borderId="6" xfId="0" applyNumberFormat="1" applyFill="1" applyBorder="1" applyAlignment="1">
      <alignment horizontal="right" vertical="center" wrapText="1"/>
    </xf>
    <xf numFmtId="8" fontId="0" fillId="0" borderId="3" xfId="0" applyNumberFormat="1" applyFill="1" applyBorder="1" applyAlignment="1">
      <alignment horizontal="right" vertical="center" wrapText="1"/>
    </xf>
    <xf numFmtId="8" fontId="0" fillId="0" borderId="10" xfId="0" applyNumberFormat="1" applyBorder="1" applyAlignment="1">
      <alignment horizontal="right" vertical="center" wrapText="1"/>
    </xf>
    <xf numFmtId="8" fontId="0" fillId="0" borderId="9" xfId="0" applyNumberFormat="1" applyBorder="1" applyAlignment="1">
      <alignment horizontal="right" vertical="center" wrapText="1"/>
    </xf>
    <xf numFmtId="8" fontId="0" fillId="0" borderId="1" xfId="0" applyNumberFormat="1" applyFill="1" applyBorder="1" applyAlignment="1">
      <alignment horizontal="center" vertical="center" wrapText="1"/>
    </xf>
    <xf numFmtId="8" fontId="0" fillId="0" borderId="1" xfId="0" applyNumberFormat="1" applyFont="1" applyFill="1" applyBorder="1" applyAlignment="1">
      <alignment horizontal="center" vertical="center" wrapText="1"/>
    </xf>
    <xf numFmtId="165" fontId="8" fillId="0" borderId="1" xfId="0" applyNumberFormat="1" applyFont="1" applyFill="1" applyBorder="1" applyAlignment="1">
      <alignment horizontal="center" vertical="center" wrapText="1"/>
    </xf>
    <xf numFmtId="0" fontId="10" fillId="6" borderId="25" xfId="0" applyFont="1" applyFill="1" applyBorder="1" applyAlignment="1">
      <alignment horizontal="left" vertical="center" wrapText="1"/>
    </xf>
    <xf numFmtId="0" fontId="10" fillId="6" borderId="26" xfId="0" applyFont="1" applyFill="1" applyBorder="1" applyAlignment="1">
      <alignment horizontal="left" vertical="center" wrapText="1"/>
    </xf>
    <xf numFmtId="0" fontId="4" fillId="6" borderId="51" xfId="0" applyFont="1" applyFill="1" applyBorder="1" applyAlignment="1">
      <alignment horizontal="left" vertical="center" wrapText="1"/>
    </xf>
    <xf numFmtId="0" fontId="4" fillId="6" borderId="50" xfId="0" applyFont="1" applyFill="1" applyBorder="1" applyAlignment="1">
      <alignment horizontal="left" vertical="center" wrapText="1"/>
    </xf>
    <xf numFmtId="0" fontId="8" fillId="0" borderId="51" xfId="0" applyFont="1" applyBorder="1" applyAlignment="1">
      <alignment horizontal="right" vertical="center" wrapText="1"/>
    </xf>
    <xf numFmtId="0" fontId="8" fillId="0" borderId="50" xfId="0" applyFont="1" applyBorder="1" applyAlignment="1">
      <alignment horizontal="right" vertical="center" wrapText="1"/>
    </xf>
    <xf numFmtId="0" fontId="8" fillId="0" borderId="29" xfId="0" applyFont="1" applyBorder="1" applyAlignment="1">
      <alignment horizontal="right" vertical="center" wrapText="1"/>
    </xf>
    <xf numFmtId="165" fontId="4" fillId="0" borderId="40" xfId="0" applyNumberFormat="1" applyFont="1" applyBorder="1" applyAlignment="1">
      <alignment horizontal="right" vertical="center" wrapText="1"/>
    </xf>
    <xf numFmtId="165" fontId="4" fillId="0" borderId="6" xfId="0" applyNumberFormat="1" applyFont="1" applyBorder="1" applyAlignment="1">
      <alignment horizontal="right" vertical="center" wrapText="1"/>
    </xf>
    <xf numFmtId="165" fontId="4" fillId="0" borderId="3" xfId="0" applyNumberFormat="1" applyFont="1" applyBorder="1" applyAlignment="1">
      <alignment horizontal="right" vertical="center" wrapText="1"/>
    </xf>
    <xf numFmtId="0" fontId="8" fillId="0" borderId="6" xfId="0" applyNumberFormat="1" applyFont="1" applyFill="1" applyBorder="1" applyAlignment="1">
      <alignment horizontal="left" vertical="center" wrapText="1"/>
    </xf>
    <xf numFmtId="0" fontId="8" fillId="0" borderId="3" xfId="0" applyNumberFormat="1" applyFont="1" applyFill="1" applyBorder="1" applyAlignment="1">
      <alignment horizontal="left" vertical="center" wrapText="1"/>
    </xf>
    <xf numFmtId="8" fontId="0" fillId="0" borderId="36" xfId="0" applyNumberFormat="1" applyFill="1" applyBorder="1" applyAlignment="1">
      <alignment horizontal="right" vertical="center" wrapText="1"/>
    </xf>
    <xf numFmtId="8" fontId="0" fillId="0" borderId="12" xfId="0" applyNumberFormat="1" applyFill="1" applyBorder="1" applyAlignment="1">
      <alignment horizontal="right" vertical="center" wrapText="1"/>
    </xf>
    <xf numFmtId="0" fontId="8" fillId="0" borderId="2" xfId="0" applyNumberFormat="1" applyFont="1" applyFill="1" applyBorder="1" applyAlignment="1">
      <alignment horizontal="right" vertical="center" wrapText="1"/>
    </xf>
    <xf numFmtId="0" fontId="8" fillId="0" borderId="6" xfId="0" applyNumberFormat="1" applyFont="1" applyFill="1" applyBorder="1" applyAlignment="1">
      <alignment horizontal="right" vertical="center" wrapText="1"/>
    </xf>
    <xf numFmtId="8" fontId="0" fillId="2" borderId="1" xfId="0" applyNumberFormat="1" applyFont="1" applyFill="1" applyBorder="1" applyAlignment="1">
      <alignment horizontal="center" vertical="center" wrapText="1"/>
    </xf>
    <xf numFmtId="165" fontId="3" fillId="4" borderId="12" xfId="0" applyNumberFormat="1" applyFont="1" applyFill="1" applyBorder="1" applyAlignment="1">
      <alignment horizontal="left" vertical="center" wrapText="1"/>
    </xf>
    <xf numFmtId="165" fontId="3" fillId="4" borderId="13" xfId="0" applyNumberFormat="1" applyFont="1" applyFill="1" applyBorder="1" applyAlignment="1">
      <alignment horizontal="left" vertical="center" wrapText="1"/>
    </xf>
    <xf numFmtId="165" fontId="3" fillId="4" borderId="0" xfId="0" applyNumberFormat="1" applyFont="1" applyFill="1" applyBorder="1" applyAlignment="1">
      <alignment horizontal="left" vertical="center" wrapText="1"/>
    </xf>
    <xf numFmtId="165" fontId="3" fillId="4" borderId="8" xfId="0" applyNumberFormat="1" applyFont="1" applyFill="1" applyBorder="1" applyAlignment="1">
      <alignment horizontal="left" vertical="center" wrapText="1"/>
    </xf>
    <xf numFmtId="165" fontId="3" fillId="4" borderId="10" xfId="0" applyNumberFormat="1" applyFont="1" applyFill="1" applyBorder="1" applyAlignment="1">
      <alignment horizontal="left" vertical="center" wrapText="1"/>
    </xf>
    <xf numFmtId="165" fontId="3" fillId="4" borderId="9" xfId="0" applyNumberFormat="1" applyFont="1" applyFill="1" applyBorder="1" applyAlignment="1">
      <alignment horizontal="left" vertical="center" wrapText="1"/>
    </xf>
    <xf numFmtId="164" fontId="8" fillId="6" borderId="6" xfId="0" applyNumberFormat="1" applyFont="1" applyFill="1" applyBorder="1" applyAlignment="1">
      <alignment horizontal="center" vertical="center" wrapText="1"/>
    </xf>
    <xf numFmtId="164" fontId="8" fillId="6" borderId="49" xfId="0" applyNumberFormat="1" applyFont="1" applyFill="1" applyBorder="1" applyAlignment="1">
      <alignment horizontal="center" vertical="center" wrapText="1"/>
    </xf>
    <xf numFmtId="0" fontId="2" fillId="7" borderId="2" xfId="0" applyNumberFormat="1" applyFont="1" applyFill="1" applyBorder="1" applyAlignment="1">
      <alignment horizontal="right" vertical="center" wrapText="1"/>
    </xf>
    <xf numFmtId="0" fontId="2" fillId="7" borderId="6" xfId="0" applyNumberFormat="1" applyFont="1" applyFill="1" applyBorder="1" applyAlignment="1">
      <alignment horizontal="right" vertical="center" wrapText="1"/>
    </xf>
    <xf numFmtId="0" fontId="10" fillId="0" borderId="38" xfId="0" applyFont="1" applyBorder="1" applyAlignment="1">
      <alignment horizontal="left" vertical="center" wrapText="1"/>
    </xf>
    <xf numFmtId="0" fontId="10" fillId="0" borderId="39" xfId="0" applyFont="1" applyBorder="1" applyAlignment="1">
      <alignment horizontal="left" vertical="center" wrapText="1"/>
    </xf>
    <xf numFmtId="0" fontId="10" fillId="0" borderId="37" xfId="0" applyFont="1" applyBorder="1" applyAlignment="1">
      <alignment horizontal="left" vertical="center" wrapText="1"/>
    </xf>
    <xf numFmtId="164" fontId="8" fillId="0" borderId="1" xfId="0" applyNumberFormat="1" applyFont="1" applyFill="1" applyBorder="1" applyAlignment="1">
      <alignment horizontal="left" vertical="top" wrapText="1"/>
    </xf>
    <xf numFmtId="0" fontId="2" fillId="0" borderId="7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8" fontId="2" fillId="7" borderId="1" xfId="0" applyNumberFormat="1" applyFont="1" applyFill="1" applyBorder="1" applyAlignment="1">
      <alignment horizontal="center" vertical="center" wrapText="1"/>
    </xf>
    <xf numFmtId="8" fontId="2" fillId="7" borderId="5" xfId="0" applyNumberFormat="1" applyFont="1" applyFill="1" applyBorder="1" applyAlignment="1">
      <alignment horizontal="center" vertical="center" wrapText="1"/>
    </xf>
    <xf numFmtId="0" fontId="6" fillId="4" borderId="36" xfId="0" applyNumberFormat="1" applyFont="1" applyFill="1" applyBorder="1" applyAlignment="1">
      <alignment horizontal="center" vertical="center" wrapText="1"/>
    </xf>
    <xf numFmtId="0" fontId="6" fillId="4" borderId="11" xfId="0" applyNumberFormat="1" applyFont="1" applyFill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textRotation="90" wrapText="1"/>
    </xf>
    <xf numFmtId="0" fontId="15" fillId="0" borderId="1" xfId="0" applyFont="1" applyBorder="1" applyAlignment="1">
      <alignment horizontal="center" vertical="center" textRotation="90" wrapText="1"/>
    </xf>
    <xf numFmtId="165" fontId="15" fillId="0" borderId="5" xfId="0" applyNumberFormat="1" applyFont="1" applyBorder="1" applyAlignment="1">
      <alignment horizontal="center" vertical="center" textRotation="90" wrapText="1"/>
    </xf>
    <xf numFmtId="165" fontId="15" fillId="0" borderId="1" xfId="0" applyNumberFormat="1" applyFont="1" applyBorder="1" applyAlignment="1">
      <alignment horizontal="center" vertical="center" textRotation="90" wrapText="1"/>
    </xf>
    <xf numFmtId="0" fontId="15" fillId="0" borderId="43" xfId="0" applyFont="1" applyBorder="1" applyAlignment="1">
      <alignment horizontal="center" vertical="center" textRotation="90" wrapText="1"/>
    </xf>
    <xf numFmtId="0" fontId="15" fillId="0" borderId="11" xfId="0" applyFont="1" applyBorder="1" applyAlignment="1">
      <alignment horizontal="center" vertical="center" textRotation="90" wrapText="1"/>
    </xf>
    <xf numFmtId="0" fontId="15" fillId="0" borderId="4" xfId="0" applyFont="1" applyFill="1" applyBorder="1" applyAlignment="1">
      <alignment horizontal="center" vertical="center" textRotation="90" wrapText="1"/>
    </xf>
    <xf numFmtId="0" fontId="15" fillId="0" borderId="5" xfId="0" applyFont="1" applyFill="1" applyBorder="1" applyAlignment="1">
      <alignment horizontal="center" vertical="center" textRotation="90" wrapText="1"/>
    </xf>
    <xf numFmtId="0" fontId="36" fillId="0" borderId="2" xfId="0" applyFont="1" applyBorder="1" applyAlignment="1">
      <alignment horizontal="center" vertical="center" wrapText="1"/>
    </xf>
    <xf numFmtId="0" fontId="36" fillId="0" borderId="6" xfId="0" applyFont="1" applyBorder="1" applyAlignment="1">
      <alignment horizontal="center" vertical="center" wrapText="1"/>
    </xf>
    <xf numFmtId="0" fontId="36" fillId="0" borderId="3" xfId="0" applyFont="1" applyBorder="1" applyAlignment="1">
      <alignment horizontal="center" vertical="center" wrapText="1"/>
    </xf>
    <xf numFmtId="1" fontId="35" fillId="7" borderId="2" xfId="0" applyNumberFormat="1" applyFont="1" applyFill="1" applyBorder="1" applyAlignment="1">
      <alignment horizontal="center" vertical="center" wrapText="1"/>
    </xf>
    <xf numFmtId="1" fontId="35" fillId="7" borderId="6" xfId="0" applyNumberFormat="1" applyFont="1" applyFill="1" applyBorder="1" applyAlignment="1">
      <alignment horizontal="center" vertical="center" wrapText="1"/>
    </xf>
    <xf numFmtId="1" fontId="35" fillId="7" borderId="3" xfId="0" applyNumberFormat="1" applyFont="1" applyFill="1" applyBorder="1" applyAlignment="1">
      <alignment horizontal="center" vertical="center" wrapText="1"/>
    </xf>
    <xf numFmtId="0" fontId="6" fillId="4" borderId="36" xfId="0" applyFont="1" applyFill="1" applyBorder="1" applyAlignment="1">
      <alignment horizontal="center" vertical="center" wrapText="1"/>
    </xf>
    <xf numFmtId="0" fontId="6" fillId="4" borderId="0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textRotation="90" wrapText="1"/>
    </xf>
    <xf numFmtId="164" fontId="15" fillId="0" borderId="4" xfId="0" applyNumberFormat="1" applyFont="1" applyBorder="1" applyAlignment="1">
      <alignment horizontal="center" vertical="center" textRotation="90" wrapText="1"/>
    </xf>
    <xf numFmtId="164" fontId="15" fillId="0" borderId="5" xfId="0" applyNumberFormat="1" applyFont="1" applyBorder="1" applyAlignment="1">
      <alignment horizontal="center" vertical="center" textRotation="90" wrapText="1"/>
    </xf>
    <xf numFmtId="8" fontId="5" fillId="0" borderId="1" xfId="0" applyNumberFormat="1" applyFont="1" applyBorder="1" applyAlignment="1">
      <alignment horizontal="center" vertical="center" wrapText="1"/>
    </xf>
    <xf numFmtId="168" fontId="2" fillId="0" borderId="11" xfId="0" applyNumberFormat="1" applyFont="1" applyFill="1" applyBorder="1" applyAlignment="1">
      <alignment horizontal="center" vertical="center" wrapText="1"/>
    </xf>
    <xf numFmtId="168" fontId="2" fillId="0" borderId="10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right" vertical="center" wrapText="1"/>
    </xf>
    <xf numFmtId="0" fontId="2" fillId="0" borderId="6" xfId="0" applyNumberFormat="1" applyFont="1" applyBorder="1" applyAlignment="1">
      <alignment horizontal="right" vertical="center" wrapText="1"/>
    </xf>
    <xf numFmtId="8" fontId="2" fillId="0" borderId="2" xfId="0" applyNumberFormat="1" applyFont="1" applyBorder="1" applyAlignment="1">
      <alignment horizontal="right" vertical="center" wrapText="1"/>
    </xf>
    <xf numFmtId="8" fontId="2" fillId="0" borderId="6" xfId="0" applyNumberFormat="1" applyFont="1" applyBorder="1" applyAlignment="1">
      <alignment horizontal="right" vertical="center" wrapText="1"/>
    </xf>
    <xf numFmtId="167" fontId="33" fillId="0" borderId="4" xfId="0" quotePrefix="1" applyNumberFormat="1" applyFont="1" applyFill="1" applyBorder="1" applyAlignment="1">
      <alignment horizontal="center" vertical="top" wrapText="1"/>
    </xf>
    <xf numFmtId="167" fontId="33" fillId="0" borderId="5" xfId="0" applyNumberFormat="1" applyFont="1" applyFill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center" textRotation="90" wrapText="1"/>
    </xf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  <xf numFmtId="164" fontId="2" fillId="0" borderId="4" xfId="0" applyNumberFormat="1" applyFont="1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 vertical="center" wrapText="1"/>
    </xf>
    <xf numFmtId="164" fontId="2" fillId="0" borderId="7" xfId="0" applyNumberFormat="1" applyFont="1" applyBorder="1" applyAlignment="1">
      <alignment horizontal="left" vertical="center" wrapText="1"/>
    </xf>
    <xf numFmtId="164" fontId="2" fillId="0" borderId="5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horizontal="right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165" fontId="2" fillId="0" borderId="3" xfId="0" applyNumberFormat="1" applyFont="1" applyBorder="1" applyAlignment="1">
      <alignment horizontal="center"/>
    </xf>
    <xf numFmtId="165" fontId="2" fillId="0" borderId="1" xfId="0" applyNumberFormat="1" applyFont="1" applyBorder="1" applyAlignment="1">
      <alignment horizontal="center"/>
    </xf>
    <xf numFmtId="165" fontId="2" fillId="0" borderId="2" xfId="0" applyNumberFormat="1" applyFont="1" applyBorder="1" applyAlignment="1">
      <alignment horizontal="center"/>
    </xf>
    <xf numFmtId="165" fontId="2" fillId="0" borderId="6" xfId="0" applyNumberFormat="1" applyFont="1" applyBorder="1" applyAlignment="1">
      <alignment horizontal="center"/>
    </xf>
    <xf numFmtId="0" fontId="29" fillId="4" borderId="1" xfId="0" applyFont="1" applyFill="1" applyBorder="1" applyAlignment="1">
      <alignment horizontal="center"/>
    </xf>
    <xf numFmtId="8" fontId="20" fillId="0" borderId="1" xfId="0" applyNumberFormat="1" applyFont="1" applyFill="1" applyBorder="1" applyAlignment="1">
      <alignment horizontal="center" vertical="center" wrapText="1"/>
    </xf>
    <xf numFmtId="8" fontId="20" fillId="5" borderId="2" xfId="0" applyNumberFormat="1" applyFont="1" applyFill="1" applyBorder="1" applyAlignment="1">
      <alignment horizontal="center" vertical="center" wrapText="1"/>
    </xf>
    <xf numFmtId="8" fontId="20" fillId="5" borderId="3" xfId="0" applyNumberFormat="1" applyFont="1" applyFill="1" applyBorder="1" applyAlignment="1">
      <alignment horizontal="center" vertical="center" wrapText="1"/>
    </xf>
    <xf numFmtId="165" fontId="20" fillId="0" borderId="7" xfId="0" applyNumberFormat="1" applyFont="1" applyFill="1" applyBorder="1" applyAlignment="1">
      <alignment horizontal="center" vertical="center" wrapText="1"/>
    </xf>
    <xf numFmtId="165" fontId="20" fillId="0" borderId="5" xfId="0" applyNumberFormat="1" applyFont="1" applyFill="1" applyBorder="1" applyAlignment="1">
      <alignment horizontal="center" vertical="center" wrapText="1"/>
    </xf>
    <xf numFmtId="8" fontId="20" fillId="0" borderId="7" xfId="0" applyNumberFormat="1" applyFont="1" applyFill="1" applyBorder="1" applyAlignment="1">
      <alignment horizontal="center" vertical="center" wrapText="1"/>
    </xf>
    <xf numFmtId="8" fontId="20" fillId="0" borderId="5" xfId="0" applyNumberFormat="1" applyFont="1" applyFill="1" applyBorder="1" applyAlignment="1">
      <alignment horizontal="center" vertical="center" wrapText="1"/>
    </xf>
    <xf numFmtId="8" fontId="20" fillId="5" borderId="7" xfId="0" applyNumberFormat="1" applyFont="1" applyFill="1" applyBorder="1" applyAlignment="1">
      <alignment horizontal="center" vertical="center" wrapText="1"/>
    </xf>
    <xf numFmtId="8" fontId="20" fillId="5" borderId="5" xfId="0" applyNumberFormat="1" applyFont="1" applyFill="1" applyBorder="1" applyAlignment="1">
      <alignment horizontal="center" vertical="center" wrapText="1"/>
    </xf>
    <xf numFmtId="8" fontId="19" fillId="0" borderId="7" xfId="0" applyNumberFormat="1" applyFont="1" applyFill="1" applyBorder="1" applyAlignment="1">
      <alignment horizontal="center" vertical="center" wrapText="1"/>
    </xf>
    <xf numFmtId="8" fontId="19" fillId="0" borderId="5" xfId="0" applyNumberFormat="1" applyFont="1" applyFill="1" applyBorder="1" applyAlignment="1">
      <alignment horizontal="center" vertical="center" wrapText="1"/>
    </xf>
    <xf numFmtId="8" fontId="19" fillId="0" borderId="1" xfId="0" applyNumberFormat="1" applyFont="1" applyFill="1" applyBorder="1" applyAlignment="1">
      <alignment horizontal="center" vertical="center" wrapText="1"/>
    </xf>
    <xf numFmtId="8" fontId="19" fillId="0" borderId="1" xfId="0" applyNumberFormat="1" applyFont="1" applyFill="1" applyBorder="1" applyAlignment="1">
      <alignment horizontal="left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0" fillId="0" borderId="7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19" fillId="0" borderId="1" xfId="0" applyFont="1" applyFill="1" applyBorder="1" applyAlignment="1">
      <alignment horizontal="center" vertical="center" wrapText="1"/>
    </xf>
    <xf numFmtId="164" fontId="2" fillId="0" borderId="7" xfId="0" applyNumberFormat="1" applyFon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/>
    </xf>
    <xf numFmtId="0" fontId="2" fillId="0" borderId="7" xfId="0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0" fontId="0" fillId="4" borderId="1" xfId="0" applyFill="1" applyBorder="1" applyAlignment="1">
      <alignment horizontal="left" vertical="center" wrapText="1"/>
    </xf>
    <xf numFmtId="0" fontId="10" fillId="0" borderId="38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8" fontId="0" fillId="4" borderId="43" xfId="0" applyNumberFormat="1" applyFill="1" applyBorder="1" applyAlignment="1">
      <alignment horizontal="center" vertical="center" wrapText="1"/>
    </xf>
    <xf numFmtId="8" fontId="0" fillId="4" borderId="0" xfId="0" applyNumberFormat="1" applyFill="1" applyBorder="1" applyAlignment="1">
      <alignment horizontal="center" vertical="center" wrapText="1"/>
    </xf>
    <xf numFmtId="8" fontId="20" fillId="0" borderId="0" xfId="0" applyNumberFormat="1" applyFont="1" applyFill="1" applyBorder="1" applyAlignment="1">
      <alignment horizontal="center" vertical="center" wrapText="1"/>
    </xf>
    <xf numFmtId="0" fontId="20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/>
    </xf>
    <xf numFmtId="0" fontId="13" fillId="0" borderId="2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7" borderId="2" xfId="0" applyFill="1" applyBorder="1" applyAlignment="1">
      <alignment horizontal="center" vertical="center" wrapText="1"/>
    </xf>
    <xf numFmtId="0" fontId="0" fillId="7" borderId="6" xfId="0" applyFill="1" applyBorder="1" applyAlignment="1">
      <alignment horizontal="center" vertical="center" wrapText="1"/>
    </xf>
    <xf numFmtId="0" fontId="0" fillId="7" borderId="3" xfId="0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/>
    </xf>
    <xf numFmtId="0" fontId="0" fillId="4" borderId="1" xfId="0" applyFill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/>
    </xf>
    <xf numFmtId="164" fontId="5" fillId="0" borderId="6" xfId="0" applyNumberFormat="1" applyFont="1" applyBorder="1" applyAlignment="1">
      <alignment horizontal="center"/>
    </xf>
  </cellXfs>
  <cellStyles count="1">
    <cellStyle name="Normal" xfId="0" builtinId="0"/>
  </cellStyles>
  <dxfs count="55">
    <dxf>
      <font>
        <color rgb="FFFF0000"/>
      </font>
    </dxf>
    <dxf>
      <fill>
        <patternFill>
          <bgColor rgb="FFFFCCFF"/>
        </patternFill>
      </fill>
    </dxf>
    <dxf>
      <fill>
        <patternFill>
          <bgColor rgb="FFCCFFCC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00FF"/>
        </patternFill>
      </fill>
    </dxf>
    <dxf>
      <font>
        <color rgb="FFFF0000"/>
      </font>
    </dxf>
    <dxf>
      <fill>
        <patternFill>
          <bgColor rgb="FFFFCCFF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CCFFCC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CFF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CCFFCC"/>
        </patternFill>
      </fill>
    </dxf>
    <dxf>
      <fill>
        <patternFill>
          <bgColor rgb="FFFF0000"/>
        </patternFill>
      </fill>
    </dxf>
    <dxf>
      <fill>
        <patternFill>
          <bgColor rgb="FFFFCCFF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CCFFCC"/>
        </patternFill>
      </fill>
    </dxf>
    <dxf>
      <font>
        <strike val="0"/>
        <color rgb="FFFF0000"/>
      </font>
    </dxf>
    <dxf>
      <font>
        <color rgb="FFFF0000"/>
      </font>
    </dxf>
    <dxf>
      <fill>
        <patternFill>
          <bgColor rgb="FFFFCCFF"/>
        </patternFill>
      </fill>
    </dxf>
    <dxf>
      <fill>
        <patternFill>
          <bgColor rgb="FFCCFFCC"/>
        </patternFill>
      </fill>
    </dxf>
    <dxf>
      <fill>
        <patternFill>
          <bgColor rgb="FFFF0000"/>
        </patternFill>
      </fill>
    </dxf>
    <dxf>
      <font>
        <color rgb="FFFF0000"/>
      </font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rgb="FFFFFF00"/>
        </patternFill>
      </fill>
    </dxf>
    <dxf>
      <font>
        <color rgb="FFFF0000"/>
      </font>
    </dxf>
    <dxf>
      <fill>
        <patternFill>
          <bgColor rgb="FFFFCCFF"/>
        </patternFill>
      </fill>
    </dxf>
    <dxf>
      <fill>
        <patternFill>
          <bgColor rgb="FFCCFFCC"/>
        </patternFill>
      </fill>
    </dxf>
  </dxfs>
  <tableStyles count="0" defaultTableStyle="TableStyleMedium9" defaultPivotStyle="PivotStyleLight16"/>
  <colors>
    <mruColors>
      <color rgb="FFFF00FF"/>
      <color rgb="FFFFCCFF"/>
      <color rgb="FFCCFFCC"/>
      <color rgb="FFDBE5F1"/>
      <color rgb="FFCCFFFF"/>
      <color rgb="FF0000FF"/>
      <color rgb="FF00FF00"/>
      <color rgb="FFFFFFCC"/>
      <color rgb="FF009900"/>
      <color rgb="FFFF9933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243840</xdr:colOff>
      <xdr:row>75</xdr:row>
      <xdr:rowOff>60960</xdr:rowOff>
    </xdr:from>
    <xdr:to>
      <xdr:col>11</xdr:col>
      <xdr:colOff>15240</xdr:colOff>
      <xdr:row>78</xdr:row>
      <xdr:rowOff>137160</xdr:rowOff>
    </xdr:to>
    <xdr:sp macro="" textlink="">
      <xdr:nvSpPr>
        <xdr:cNvPr id="4" name="ZoneTexte 3"/>
        <xdr:cNvSpPr txBox="1"/>
      </xdr:nvSpPr>
      <xdr:spPr>
        <a:xfrm>
          <a:off x="3657600" y="14036040"/>
          <a:ext cx="4526280" cy="62484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1 - Sélectionner le module vierge ci-contre, avec ce texte consigne,</a:t>
          </a:r>
        </a:p>
        <a:p>
          <a:r>
            <a:rPr lang="fr-FR" sz="1100"/>
            <a:t>2 - Copier-Coller cette</a:t>
          </a:r>
          <a:r>
            <a:rPr lang="fr-FR" sz="1100" baseline="0"/>
            <a:t> sélection ci-dessous,</a:t>
          </a:r>
        </a:p>
        <a:p>
          <a:r>
            <a:rPr lang="fr-FR" sz="1100" baseline="0"/>
            <a:t>3 - Renseigner le module d'origine et effacer le texte consigne d'origine.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60960</xdr:colOff>
      <xdr:row>6</xdr:row>
      <xdr:rowOff>167640</xdr:rowOff>
    </xdr:from>
    <xdr:to>
      <xdr:col>14</xdr:col>
      <xdr:colOff>350520</xdr:colOff>
      <xdr:row>10</xdr:row>
      <xdr:rowOff>68580</xdr:rowOff>
    </xdr:to>
    <xdr:sp macro="" textlink="">
      <xdr:nvSpPr>
        <xdr:cNvPr id="2" name="ZoneTexte 1"/>
        <xdr:cNvSpPr txBox="1"/>
      </xdr:nvSpPr>
      <xdr:spPr>
        <a:xfrm>
          <a:off x="8420100" y="1447800"/>
          <a:ext cx="3459480" cy="63246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Voir fichier Excel téléchargé</a:t>
          </a:r>
          <a:r>
            <a:rPr lang="fr-FR" sz="1100" baseline="0"/>
            <a:t> le 11/05/2021 :</a:t>
          </a:r>
        </a:p>
        <a:p>
          <a:r>
            <a:rPr lang="fr-FR" sz="1100" baseline="0"/>
            <a:t>Les valeurs sont probablement issues de relevés spécifiques en provenance de la banque. A suivre</a:t>
          </a:r>
          <a:endParaRPr lang="fr-FR" sz="1100"/>
        </a:p>
      </xdr:txBody>
    </xdr:sp>
    <xdr:clientData/>
  </xdr:twoCellAnchor>
  <xdr:twoCellAnchor>
    <xdr:from>
      <xdr:col>4</xdr:col>
      <xdr:colOff>137160</xdr:colOff>
      <xdr:row>7</xdr:row>
      <xdr:rowOff>38100</xdr:rowOff>
    </xdr:from>
    <xdr:to>
      <xdr:col>8</xdr:col>
      <xdr:colOff>708660</xdr:colOff>
      <xdr:row>12</xdr:row>
      <xdr:rowOff>114300</xdr:rowOff>
    </xdr:to>
    <xdr:sp macro="" textlink="">
      <xdr:nvSpPr>
        <xdr:cNvPr id="3" name="ZoneTexte 2"/>
        <xdr:cNvSpPr txBox="1"/>
      </xdr:nvSpPr>
      <xdr:spPr>
        <a:xfrm>
          <a:off x="5013960" y="1501140"/>
          <a:ext cx="3131820" cy="9906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Existe déjà dans l'onglet Actif-Passif-Encours du présent fichier de suivi.</a:t>
          </a:r>
        </a:p>
        <a:p>
          <a:r>
            <a:rPr lang="fr-FR" sz="1100"/>
            <a:t>Eviter les doublons.</a:t>
          </a:r>
        </a:p>
        <a:p>
          <a:r>
            <a:rPr lang="fr-FR" sz="1100"/>
            <a:t>Réfléchir à une nouvelle stratégie globale de gestion.</a:t>
          </a:r>
        </a:p>
      </xdr:txBody>
    </xdr:sp>
    <xdr:clientData/>
  </xdr:twoCellAnchor>
  <xdr:twoCellAnchor>
    <xdr:from>
      <xdr:col>10</xdr:col>
      <xdr:colOff>91440</xdr:colOff>
      <xdr:row>11</xdr:row>
      <xdr:rowOff>99060</xdr:rowOff>
    </xdr:from>
    <xdr:to>
      <xdr:col>14</xdr:col>
      <xdr:colOff>350520</xdr:colOff>
      <xdr:row>17</xdr:row>
      <xdr:rowOff>22860</xdr:rowOff>
    </xdr:to>
    <xdr:sp macro="" textlink="">
      <xdr:nvSpPr>
        <xdr:cNvPr id="4" name="ZoneTexte 3"/>
        <xdr:cNvSpPr txBox="1"/>
      </xdr:nvSpPr>
      <xdr:spPr>
        <a:xfrm>
          <a:off x="8450580" y="2293620"/>
          <a:ext cx="3429000" cy="102108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Voir si ce fichier pourrait</a:t>
          </a:r>
          <a:r>
            <a:rPr lang="fr-FR" sz="1100" baseline="0"/>
            <a:t> gérer tous les comptes épargne (ESP, LivA, LDD, PEL, PEA, BforBank, Master, ...)</a:t>
          </a:r>
        </a:p>
        <a:p>
          <a:r>
            <a:rPr lang="fr-FR" sz="1100" baseline="0"/>
            <a:t>Attention cependant de ne pas perdre toute l'automatisation de ventilation qui a été développée dans l'onglet Actif-Passif-Encours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573741</xdr:colOff>
      <xdr:row>42</xdr:row>
      <xdr:rowOff>143435</xdr:rowOff>
    </xdr:from>
    <xdr:to>
      <xdr:col>12</xdr:col>
      <xdr:colOff>537883</xdr:colOff>
      <xdr:row>47</xdr:row>
      <xdr:rowOff>80682</xdr:rowOff>
    </xdr:to>
    <xdr:sp macro="" textlink="">
      <xdr:nvSpPr>
        <xdr:cNvPr id="2" name="ZoneTexte 1"/>
        <xdr:cNvSpPr txBox="1"/>
      </xdr:nvSpPr>
      <xdr:spPr>
        <a:xfrm>
          <a:off x="6149788" y="7673788"/>
          <a:ext cx="3119719" cy="833718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POUR VALIDATION DEFINITIVE</a:t>
          </a:r>
          <a:r>
            <a:rPr lang="fr-FR" sz="1100" baseline="0"/>
            <a:t> :</a:t>
          </a:r>
          <a:endParaRPr lang="fr-FR" sz="1100"/>
        </a:p>
        <a:p>
          <a:r>
            <a:rPr lang="fr-FR" sz="1100"/>
            <a:t>Vérifier l'exactitude des valeurs</a:t>
          </a:r>
          <a:r>
            <a:rPr lang="fr-FR" sz="1100" baseline="0"/>
            <a:t> de Mai suite à mise à jour importante (Fichiers EXP) entre 210511A et 210512A puis jusqu'à 210520A</a:t>
          </a:r>
          <a:endParaRPr lang="fr-FR" sz="1100"/>
        </a:p>
      </xdr:txBody>
    </xdr:sp>
    <xdr:clientData/>
  </xdr:twoCellAnchor>
  <xdr:twoCellAnchor>
    <xdr:from>
      <xdr:col>18</xdr:col>
      <xdr:colOff>367553</xdr:colOff>
      <xdr:row>41</xdr:row>
      <xdr:rowOff>62754</xdr:rowOff>
    </xdr:from>
    <xdr:to>
      <xdr:col>22</xdr:col>
      <xdr:colOff>233082</xdr:colOff>
      <xdr:row>43</xdr:row>
      <xdr:rowOff>116542</xdr:rowOff>
    </xdr:to>
    <xdr:sp macro="" textlink="">
      <xdr:nvSpPr>
        <xdr:cNvPr id="3" name="ZoneTexte 2"/>
        <xdr:cNvSpPr txBox="1"/>
      </xdr:nvSpPr>
      <xdr:spPr>
        <a:xfrm>
          <a:off x="13222941" y="7413813"/>
          <a:ext cx="2411506" cy="412376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Finaliser la colonne "A recouvrer"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440267</xdr:colOff>
      <xdr:row>9</xdr:row>
      <xdr:rowOff>152400</xdr:rowOff>
    </xdr:from>
    <xdr:to>
      <xdr:col>10</xdr:col>
      <xdr:colOff>482600</xdr:colOff>
      <xdr:row>11</xdr:row>
      <xdr:rowOff>186267</xdr:rowOff>
    </xdr:to>
    <xdr:sp macro="" textlink="">
      <xdr:nvSpPr>
        <xdr:cNvPr id="2" name="ZoneTexte 1"/>
        <xdr:cNvSpPr txBox="1"/>
      </xdr:nvSpPr>
      <xdr:spPr>
        <a:xfrm>
          <a:off x="6019800" y="2396067"/>
          <a:ext cx="1820333" cy="677333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800"/>
            <a:t>A mettre à jour</a:t>
          </a:r>
        </a:p>
        <a:p>
          <a:r>
            <a:rPr lang="fr-FR" sz="1800"/>
            <a:t> + PEA</a:t>
          </a:r>
        </a:p>
      </xdr:txBody>
    </xdr:sp>
    <xdr:clientData/>
  </xdr:twoCellAnchor>
  <xdr:twoCellAnchor>
    <xdr:from>
      <xdr:col>10</xdr:col>
      <xdr:colOff>177799</xdr:colOff>
      <xdr:row>2</xdr:row>
      <xdr:rowOff>42335</xdr:rowOff>
    </xdr:from>
    <xdr:to>
      <xdr:col>11</xdr:col>
      <xdr:colOff>736599</xdr:colOff>
      <xdr:row>9</xdr:row>
      <xdr:rowOff>160867</xdr:rowOff>
    </xdr:to>
    <xdr:cxnSp macro="">
      <xdr:nvCxnSpPr>
        <xdr:cNvPr id="4" name="Connecteur droit avec flèche 3"/>
        <xdr:cNvCxnSpPr/>
      </xdr:nvCxnSpPr>
      <xdr:spPr>
        <a:xfrm rot="5400000" flipH="1" flipV="1">
          <a:off x="7306733" y="821267"/>
          <a:ext cx="1811866" cy="135466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482600</xdr:colOff>
      <xdr:row>2</xdr:row>
      <xdr:rowOff>118534</xdr:rowOff>
    </xdr:from>
    <xdr:to>
      <xdr:col>13</xdr:col>
      <xdr:colOff>127000</xdr:colOff>
      <xdr:row>9</xdr:row>
      <xdr:rowOff>152400</xdr:rowOff>
    </xdr:to>
    <xdr:cxnSp macro="">
      <xdr:nvCxnSpPr>
        <xdr:cNvPr id="6" name="Connecteur droit avec flèche 5"/>
        <xdr:cNvCxnSpPr/>
      </xdr:nvCxnSpPr>
      <xdr:spPr>
        <a:xfrm flipV="1">
          <a:off x="7840133" y="668867"/>
          <a:ext cx="2032000" cy="1727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7620</xdr:colOff>
      <xdr:row>6</xdr:row>
      <xdr:rowOff>129540</xdr:rowOff>
    </xdr:from>
    <xdr:to>
      <xdr:col>7</xdr:col>
      <xdr:colOff>7620</xdr:colOff>
      <xdr:row>7</xdr:row>
      <xdr:rowOff>137160</xdr:rowOff>
    </xdr:to>
    <xdr:sp macro="" textlink="">
      <xdr:nvSpPr>
        <xdr:cNvPr id="3" name="Accolade fermante 2"/>
        <xdr:cNvSpPr/>
      </xdr:nvSpPr>
      <xdr:spPr>
        <a:xfrm rot="5400000">
          <a:off x="7113270" y="1207770"/>
          <a:ext cx="373380" cy="3048000"/>
        </a:xfrm>
        <a:prstGeom prst="rightBrace">
          <a:avLst>
            <a:gd name="adj1" fmla="val 8333"/>
            <a:gd name="adj2" fmla="val 50000"/>
          </a:avLst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167640</xdr:colOff>
      <xdr:row>5</xdr:row>
      <xdr:rowOff>442754</xdr:rowOff>
    </xdr:from>
    <xdr:to>
      <xdr:col>4</xdr:col>
      <xdr:colOff>168434</xdr:colOff>
      <xdr:row>10</xdr:row>
      <xdr:rowOff>0</xdr:rowOff>
    </xdr:to>
    <xdr:cxnSp macro="">
      <xdr:nvCxnSpPr>
        <xdr:cNvPr id="5" name="Connecteur droit avec flèche 4"/>
        <xdr:cNvCxnSpPr/>
      </xdr:nvCxnSpPr>
      <xdr:spPr>
        <a:xfrm rot="5400000" flipH="1" flipV="1">
          <a:off x="5319554" y="3390900"/>
          <a:ext cx="1767046" cy="794"/>
        </a:xfrm>
        <a:prstGeom prst="straightConnector1">
          <a:avLst/>
        </a:prstGeom>
        <a:ln w="1905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7620</xdr:colOff>
      <xdr:row>48</xdr:row>
      <xdr:rowOff>129540</xdr:rowOff>
    </xdr:from>
    <xdr:to>
      <xdr:col>7</xdr:col>
      <xdr:colOff>7620</xdr:colOff>
      <xdr:row>49</xdr:row>
      <xdr:rowOff>137160</xdr:rowOff>
    </xdr:to>
    <xdr:sp macro="" textlink="">
      <xdr:nvSpPr>
        <xdr:cNvPr id="6" name="Accolade fermante 5"/>
        <xdr:cNvSpPr/>
      </xdr:nvSpPr>
      <xdr:spPr>
        <a:xfrm rot="5400000">
          <a:off x="7700010" y="1405890"/>
          <a:ext cx="373380" cy="3048000"/>
        </a:xfrm>
        <a:prstGeom prst="rightBrace">
          <a:avLst>
            <a:gd name="adj1" fmla="val 8333"/>
            <a:gd name="adj2" fmla="val 50000"/>
          </a:avLst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768826</xdr:colOff>
      <xdr:row>47</xdr:row>
      <xdr:rowOff>794</xdr:rowOff>
    </xdr:from>
    <xdr:to>
      <xdr:col>7</xdr:col>
      <xdr:colOff>770414</xdr:colOff>
      <xdr:row>49</xdr:row>
      <xdr:rowOff>107474</xdr:rowOff>
    </xdr:to>
    <xdr:cxnSp macro="">
      <xdr:nvCxnSpPr>
        <xdr:cNvPr id="9" name="Connecteur droit avec flèche 8"/>
        <xdr:cNvCxnSpPr/>
      </xdr:nvCxnSpPr>
      <xdr:spPr>
        <a:xfrm rot="5400000" flipH="1" flipV="1">
          <a:off x="9662160" y="6903720"/>
          <a:ext cx="1021080" cy="1588"/>
        </a:xfrm>
        <a:prstGeom prst="straightConnector1">
          <a:avLst/>
        </a:prstGeom>
        <a:ln w="1905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166846</xdr:colOff>
      <xdr:row>47</xdr:row>
      <xdr:rowOff>397034</xdr:rowOff>
    </xdr:from>
    <xdr:to>
      <xdr:col>4</xdr:col>
      <xdr:colOff>168434</xdr:colOff>
      <xdr:row>52</xdr:row>
      <xdr:rowOff>8414</xdr:rowOff>
    </xdr:to>
    <xdr:cxnSp macro="">
      <xdr:nvCxnSpPr>
        <xdr:cNvPr id="15" name="Connecteur droit avec flèche 14"/>
        <xdr:cNvCxnSpPr/>
      </xdr:nvCxnSpPr>
      <xdr:spPr>
        <a:xfrm rot="5400000" flipH="1" flipV="1">
          <a:off x="5299710" y="7692390"/>
          <a:ext cx="1805940" cy="1588"/>
        </a:xfrm>
        <a:prstGeom prst="straightConnector1">
          <a:avLst/>
        </a:prstGeom>
        <a:ln w="1905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167640</xdr:colOff>
      <xdr:row>18</xdr:row>
      <xdr:rowOff>442754</xdr:rowOff>
    </xdr:from>
    <xdr:to>
      <xdr:col>4</xdr:col>
      <xdr:colOff>168434</xdr:colOff>
      <xdr:row>23</xdr:row>
      <xdr:rowOff>0</xdr:rowOff>
    </xdr:to>
    <xdr:cxnSp macro="">
      <xdr:nvCxnSpPr>
        <xdr:cNvPr id="7" name="Connecteur droit avec flèche 6"/>
        <xdr:cNvCxnSpPr/>
      </xdr:nvCxnSpPr>
      <xdr:spPr>
        <a:xfrm rot="5400000" flipH="1" flipV="1">
          <a:off x="5159534" y="3215640"/>
          <a:ext cx="1416526" cy="794"/>
        </a:xfrm>
        <a:prstGeom prst="straightConnector1">
          <a:avLst/>
        </a:prstGeom>
        <a:ln w="1905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166846</xdr:colOff>
      <xdr:row>17</xdr:row>
      <xdr:rowOff>297180</xdr:rowOff>
    </xdr:from>
    <xdr:to>
      <xdr:col>4</xdr:col>
      <xdr:colOff>167640</xdr:colOff>
      <xdr:row>18</xdr:row>
      <xdr:rowOff>365760</xdr:rowOff>
    </xdr:to>
    <xdr:cxnSp macro="">
      <xdr:nvCxnSpPr>
        <xdr:cNvPr id="8" name="Connecteur droit avec flèche 7"/>
        <xdr:cNvCxnSpPr/>
      </xdr:nvCxnSpPr>
      <xdr:spPr>
        <a:xfrm rot="5400000" flipH="1" flipV="1">
          <a:off x="5558393" y="6396593"/>
          <a:ext cx="617220" cy="794"/>
        </a:xfrm>
        <a:prstGeom prst="straightConnector1">
          <a:avLst/>
        </a:prstGeom>
        <a:ln w="1905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15240</xdr:colOff>
      <xdr:row>19</xdr:row>
      <xdr:rowOff>137160</xdr:rowOff>
    </xdr:from>
    <xdr:to>
      <xdr:col>7</xdr:col>
      <xdr:colOff>15240</xdr:colOff>
      <xdr:row>20</xdr:row>
      <xdr:rowOff>144780</xdr:rowOff>
    </xdr:to>
    <xdr:sp macro="" textlink="">
      <xdr:nvSpPr>
        <xdr:cNvPr id="13" name="Accolade fermante 12"/>
        <xdr:cNvSpPr/>
      </xdr:nvSpPr>
      <xdr:spPr>
        <a:xfrm rot="5400000">
          <a:off x="7463790" y="5604510"/>
          <a:ext cx="190500" cy="3048000"/>
        </a:xfrm>
        <a:prstGeom prst="rightBrace">
          <a:avLst>
            <a:gd name="adj1" fmla="val 8333"/>
            <a:gd name="adj2" fmla="val 50000"/>
          </a:avLst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167640</xdr:colOff>
      <xdr:row>33</xdr:row>
      <xdr:rowOff>442754</xdr:rowOff>
    </xdr:from>
    <xdr:to>
      <xdr:col>4</xdr:col>
      <xdr:colOff>168434</xdr:colOff>
      <xdr:row>38</xdr:row>
      <xdr:rowOff>0</xdr:rowOff>
    </xdr:to>
    <xdr:cxnSp macro="">
      <xdr:nvCxnSpPr>
        <xdr:cNvPr id="14" name="Connecteur droit avec flèche 13"/>
        <xdr:cNvCxnSpPr/>
      </xdr:nvCxnSpPr>
      <xdr:spPr>
        <a:xfrm rot="5400000" flipH="1" flipV="1">
          <a:off x="5159534" y="7490460"/>
          <a:ext cx="1416526" cy="794"/>
        </a:xfrm>
        <a:prstGeom prst="straightConnector1">
          <a:avLst/>
        </a:prstGeom>
        <a:ln w="1905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166846</xdr:colOff>
      <xdr:row>32</xdr:row>
      <xdr:rowOff>297180</xdr:rowOff>
    </xdr:from>
    <xdr:to>
      <xdr:col>4</xdr:col>
      <xdr:colOff>167640</xdr:colOff>
      <xdr:row>33</xdr:row>
      <xdr:rowOff>365760</xdr:rowOff>
    </xdr:to>
    <xdr:cxnSp macro="">
      <xdr:nvCxnSpPr>
        <xdr:cNvPr id="16" name="Connecteur droit avec flèche 15"/>
        <xdr:cNvCxnSpPr/>
      </xdr:nvCxnSpPr>
      <xdr:spPr>
        <a:xfrm rot="5400000" flipH="1" flipV="1">
          <a:off x="5558393" y="6396593"/>
          <a:ext cx="617220" cy="794"/>
        </a:xfrm>
        <a:prstGeom prst="straightConnector1">
          <a:avLst/>
        </a:prstGeom>
        <a:ln w="1905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7620</xdr:colOff>
      <xdr:row>34</xdr:row>
      <xdr:rowOff>129540</xdr:rowOff>
    </xdr:from>
    <xdr:to>
      <xdr:col>7</xdr:col>
      <xdr:colOff>7620</xdr:colOff>
      <xdr:row>35</xdr:row>
      <xdr:rowOff>137160</xdr:rowOff>
    </xdr:to>
    <xdr:sp macro="" textlink="">
      <xdr:nvSpPr>
        <xdr:cNvPr id="17" name="Accolade fermante 16"/>
        <xdr:cNvSpPr/>
      </xdr:nvSpPr>
      <xdr:spPr>
        <a:xfrm rot="5400000">
          <a:off x="7456170" y="9681210"/>
          <a:ext cx="190500" cy="3048000"/>
        </a:xfrm>
        <a:prstGeom prst="rightBrace">
          <a:avLst>
            <a:gd name="adj1" fmla="val 8333"/>
            <a:gd name="adj2" fmla="val 50000"/>
          </a:avLst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AD160"/>
  <sheetViews>
    <sheetView showZeros="0" tabSelected="1" zoomScale="83" zoomScaleNormal="83" zoomScaleSheetLayoutView="75" workbookViewId="0">
      <pane xSplit="14" ySplit="27" topLeftCell="O31" activePane="bottomRight" state="frozenSplit"/>
      <selection pane="topRight" activeCell="BX3" sqref="BX1:BX1048576"/>
      <selection pane="bottomLeft" activeCell="A1795" sqref="A1795"/>
      <selection pane="bottomRight" activeCell="A38" sqref="A38:XFD39"/>
    </sheetView>
  </sheetViews>
  <sheetFormatPr baseColWidth="10" defaultRowHeight="14.4"/>
  <cols>
    <col min="1" max="1" width="5.77734375" style="353" customWidth="1"/>
    <col min="2" max="2" width="3.44140625" style="63" customWidth="1"/>
    <col min="3" max="3" width="9.44140625" style="180" customWidth="1"/>
    <col min="4" max="4" width="30" style="181" customWidth="1"/>
    <col min="5" max="5" width="60" style="60" customWidth="1"/>
    <col min="6" max="6" width="5" style="353" customWidth="1"/>
    <col min="7" max="7" width="11" style="149" customWidth="1"/>
    <col min="8" max="8" width="11" style="360" customWidth="1"/>
    <col min="9" max="9" width="3.88671875" style="149" customWidth="1"/>
    <col min="10" max="10" width="10.88671875" style="266" customWidth="1"/>
    <col min="11" max="11" width="3.88671875" style="149" customWidth="1"/>
    <col min="12" max="12" width="18.6640625" style="384" customWidth="1"/>
    <col min="13" max="13" width="5.88671875" style="149" customWidth="1"/>
    <col min="14" max="14" width="12.88671875" style="149" customWidth="1"/>
    <col min="15" max="15" width="2.5546875" style="149" customWidth="1"/>
    <col min="16" max="16" width="10.33203125" style="179" customWidth="1"/>
    <col min="17" max="17" width="11.44140625" style="182" customWidth="1"/>
    <col min="18" max="19" width="5.44140625" style="340" customWidth="1"/>
    <col min="20" max="21" width="11.109375" style="156" customWidth="1"/>
    <col min="22" max="24" width="12.21875" style="61" customWidth="1"/>
    <col min="25" max="25" width="3.88671875" style="60" customWidth="1"/>
    <col min="26" max="26" width="11.5546875" style="60" customWidth="1"/>
    <col min="27" max="27" width="12.77734375" style="353" customWidth="1"/>
    <col min="28" max="28" width="11.5546875" style="353"/>
    <col min="29" max="29" width="19.5546875" style="353" customWidth="1"/>
    <col min="30" max="30" width="11.5546875" style="427"/>
    <col min="31" max="16384" width="11.5546875" style="60"/>
  </cols>
  <sheetData>
    <row r="1" spans="1:30" ht="29.4" customHeight="1">
      <c r="A1" s="839" t="s">
        <v>533</v>
      </c>
      <c r="B1" s="840"/>
      <c r="C1" s="841"/>
      <c r="D1" s="706" t="str">
        <f>CONCATENATE("Solde banque ","(Relevé ",Q105,") : ")</f>
        <v xml:space="preserve">Solde banque (Relevé 210715A) : </v>
      </c>
      <c r="E1" s="739">
        <f>T105</f>
        <v>1884.24</v>
      </c>
      <c r="F1" s="842" t="str">
        <f>CONCATENATE(U48," Opérations en attente de rapprochement pour : ",U103," €")</f>
        <v>3 Opérations en attente de rapprochement pour : 482,22 €</v>
      </c>
      <c r="G1" s="843"/>
      <c r="H1" s="843"/>
      <c r="I1" s="843"/>
      <c r="J1" s="843"/>
      <c r="K1" s="843"/>
      <c r="L1" s="843"/>
      <c r="M1" s="843"/>
      <c r="N1" s="844"/>
      <c r="O1" s="738"/>
      <c r="P1" s="855"/>
      <c r="Q1" s="856"/>
      <c r="R1" s="856"/>
      <c r="S1" s="856"/>
      <c r="T1" s="856"/>
      <c r="U1" s="856"/>
      <c r="V1" s="856"/>
      <c r="W1" s="856"/>
      <c r="X1" s="856"/>
    </row>
    <row r="2" spans="1:30" ht="28.8" customHeight="1">
      <c r="A2" s="707">
        <f ca="1">EOMONTH(TODAY(),0)-TODAY()+1</f>
        <v>13</v>
      </c>
      <c r="B2" s="863" t="s">
        <v>537</v>
      </c>
      <c r="C2" s="230">
        <f ca="1">IF(AND(E2&gt;0,A2&gt;0),E2/A2,"0 €")</f>
        <v>140.96923076923076</v>
      </c>
      <c r="D2" s="574" t="s">
        <v>467</v>
      </c>
      <c r="E2" s="573">
        <f>P102</f>
        <v>1832.6</v>
      </c>
      <c r="F2" s="831" t="s">
        <v>463</v>
      </c>
      <c r="G2" s="831" t="s">
        <v>446</v>
      </c>
      <c r="H2" s="833" t="s">
        <v>447</v>
      </c>
      <c r="I2" s="831" t="s">
        <v>312</v>
      </c>
      <c r="J2" s="852" t="s">
        <v>323</v>
      </c>
      <c r="K2" s="835" t="s">
        <v>321</v>
      </c>
      <c r="L2" s="837" t="s">
        <v>527</v>
      </c>
      <c r="M2" s="831" t="s">
        <v>468</v>
      </c>
      <c r="N2" s="851" t="s">
        <v>252</v>
      </c>
      <c r="O2" s="663"/>
      <c r="P2" s="854" t="s">
        <v>149</v>
      </c>
      <c r="Q2" s="854"/>
      <c r="R2" s="854"/>
      <c r="S2" s="854"/>
      <c r="T2" s="854"/>
      <c r="U2" s="854"/>
      <c r="V2" s="854"/>
      <c r="W2" s="854"/>
      <c r="X2" s="854"/>
    </row>
    <row r="3" spans="1:30" ht="28.8" customHeight="1">
      <c r="A3" s="708">
        <f ca="1">IF(EOMONTH(TODAY(),-1)+8-TODAY()&gt;0,EOMONTH(TODAY(),-1)+8-TODAY(),)</f>
        <v>0</v>
      </c>
      <c r="B3" s="864"/>
      <c r="C3" s="569">
        <f ca="1">IF(AND(E3&gt;0,A3&gt;0),E3/A3,IF(AND(E3&lt;0,A3&gt;0),"0 €",))</f>
        <v>0</v>
      </c>
      <c r="D3" s="575" t="s">
        <v>532</v>
      </c>
      <c r="E3" s="572">
        <f>T103</f>
        <v>1931.24</v>
      </c>
      <c r="F3" s="832"/>
      <c r="G3" s="832"/>
      <c r="H3" s="834"/>
      <c r="I3" s="832"/>
      <c r="J3" s="852"/>
      <c r="K3" s="835"/>
      <c r="L3" s="837"/>
      <c r="M3" s="832"/>
      <c r="N3" s="851"/>
      <c r="O3" s="664"/>
      <c r="P3" s="859" t="s">
        <v>521</v>
      </c>
      <c r="Q3" s="860"/>
      <c r="R3" s="860"/>
      <c r="S3" s="860"/>
      <c r="T3" s="860"/>
      <c r="U3" s="682">
        <f>T103</f>
        <v>1931.24</v>
      </c>
      <c r="V3" s="857" t="s">
        <v>521</v>
      </c>
      <c r="W3" s="858"/>
      <c r="X3" s="682">
        <f>X103</f>
        <v>6297</v>
      </c>
    </row>
    <row r="4" spans="1:30" s="62" customFormat="1" ht="22.2" customHeight="1">
      <c r="A4" s="861" t="str">
        <f ca="1">IF(A3&gt;0,"▲Nbre de jours avant fin du mois et 08 du mois",IF(A3&lt;=0,"▲Nbre de jours avant fin du mois"))</f>
        <v>▲Nbre de jours avant fin du mois</v>
      </c>
      <c r="B4" s="864"/>
      <c r="C4" s="866" t="s">
        <v>0</v>
      </c>
      <c r="D4" s="868" t="s">
        <v>320</v>
      </c>
      <c r="E4" s="825" t="s">
        <v>7</v>
      </c>
      <c r="F4" s="832"/>
      <c r="G4" s="832"/>
      <c r="H4" s="834"/>
      <c r="I4" s="832"/>
      <c r="J4" s="852"/>
      <c r="K4" s="835"/>
      <c r="L4" s="837"/>
      <c r="M4" s="832"/>
      <c r="N4" s="851"/>
      <c r="O4" s="665"/>
      <c r="P4" s="819" t="s">
        <v>450</v>
      </c>
      <c r="Q4" s="820"/>
      <c r="R4" s="820"/>
      <c r="S4" s="696"/>
      <c r="T4" s="697">
        <v>5131</v>
      </c>
      <c r="U4" s="698"/>
      <c r="V4" s="827" t="s">
        <v>448</v>
      </c>
      <c r="W4" s="828"/>
      <c r="X4" s="828"/>
      <c r="Z4" s="759" t="s">
        <v>458</v>
      </c>
      <c r="AA4" s="759"/>
      <c r="AB4" s="759"/>
      <c r="AC4" s="759"/>
      <c r="AD4" s="429"/>
    </row>
    <row r="5" spans="1:30" s="63" customFormat="1" ht="60" customHeight="1">
      <c r="A5" s="862"/>
      <c r="B5" s="865"/>
      <c r="C5" s="867"/>
      <c r="D5" s="869"/>
      <c r="E5" s="826"/>
      <c r="F5" s="832"/>
      <c r="G5" s="832"/>
      <c r="H5" s="834"/>
      <c r="I5" s="832"/>
      <c r="J5" s="853"/>
      <c r="K5" s="836"/>
      <c r="L5" s="838"/>
      <c r="M5" s="832"/>
      <c r="N5" s="831"/>
      <c r="O5" s="666"/>
      <c r="P5" s="661" t="s">
        <v>1</v>
      </c>
      <c r="Q5" s="709" t="s">
        <v>2</v>
      </c>
      <c r="R5" s="757" t="s">
        <v>11</v>
      </c>
      <c r="S5" s="758"/>
      <c r="T5" s="657" t="s">
        <v>241</v>
      </c>
      <c r="U5" s="657" t="s">
        <v>242</v>
      </c>
      <c r="V5" s="394" t="s">
        <v>1</v>
      </c>
      <c r="W5" s="394" t="s">
        <v>2</v>
      </c>
      <c r="X5" s="657" t="s">
        <v>3</v>
      </c>
      <c r="Z5" s="714" t="s">
        <v>459</v>
      </c>
      <c r="AA5" s="511" t="s">
        <v>460</v>
      </c>
      <c r="AB5" s="75" t="s">
        <v>461</v>
      </c>
      <c r="AC5" s="436" t="s">
        <v>462</v>
      </c>
      <c r="AD5" s="434"/>
    </row>
    <row r="6" spans="1:30" s="64" customFormat="1" ht="14.4" hidden="1" customHeight="1">
      <c r="A6" s="352"/>
      <c r="B6" s="414"/>
      <c r="C6" s="65">
        <v>43466</v>
      </c>
      <c r="D6" s="66"/>
      <c r="E6" s="67" t="s">
        <v>243</v>
      </c>
      <c r="F6" s="437"/>
      <c r="G6" s="68"/>
      <c r="H6" s="459"/>
      <c r="I6" s="68"/>
      <c r="J6" s="259"/>
      <c r="K6" s="68"/>
      <c r="L6" s="75"/>
      <c r="M6" s="68"/>
      <c r="N6" s="68"/>
      <c r="O6" s="662"/>
      <c r="P6" s="69"/>
      <c r="Q6" s="70"/>
      <c r="R6" s="334"/>
      <c r="S6" s="334"/>
      <c r="T6" s="71"/>
      <c r="U6" s="71"/>
      <c r="V6" s="71"/>
      <c r="W6" s="71"/>
      <c r="X6" s="71"/>
      <c r="Z6" s="239"/>
      <c r="AA6" s="426"/>
      <c r="AB6" s="140"/>
      <c r="AC6" s="381"/>
      <c r="AD6" s="426"/>
    </row>
    <row r="7" spans="1:30" s="328" customFormat="1" ht="14.4" hidden="1" customHeight="1">
      <c r="A7" s="695"/>
      <c r="B7" s="415"/>
      <c r="C7" s="259"/>
      <c r="D7" s="329" t="s">
        <v>244</v>
      </c>
      <c r="E7" s="333" t="s">
        <v>347</v>
      </c>
      <c r="F7" s="68"/>
      <c r="G7" s="68"/>
      <c r="H7" s="330"/>
      <c r="I7" s="68"/>
      <c r="J7" s="259"/>
      <c r="K7" s="68"/>
      <c r="L7" s="75"/>
      <c r="M7" s="68"/>
      <c r="N7" s="68"/>
      <c r="O7" s="68"/>
      <c r="P7" s="330"/>
      <c r="Q7" s="331"/>
      <c r="R7" s="334"/>
      <c r="S7" s="334"/>
      <c r="T7" s="332"/>
      <c r="U7" s="332"/>
      <c r="V7" s="332"/>
      <c r="W7" s="332"/>
      <c r="X7" s="332"/>
      <c r="Z7" s="333"/>
      <c r="AA7" s="426"/>
      <c r="AB7" s="140"/>
      <c r="AC7" s="382"/>
      <c r="AD7" s="426"/>
    </row>
    <row r="8" spans="1:30" s="64" customFormat="1" ht="14.4" hidden="1" customHeight="1">
      <c r="A8" s="352"/>
      <c r="B8" s="414"/>
      <c r="C8" s="77"/>
      <c r="D8" s="73"/>
      <c r="E8" s="74"/>
      <c r="F8" s="345"/>
      <c r="G8" s="75"/>
      <c r="H8" s="393"/>
      <c r="I8" s="75"/>
      <c r="J8" s="113"/>
      <c r="K8" s="75"/>
      <c r="L8" s="75"/>
      <c r="M8" s="75"/>
      <c r="N8" s="75" t="s">
        <v>253</v>
      </c>
      <c r="O8" s="75"/>
      <c r="P8" s="69"/>
      <c r="Q8" s="70"/>
      <c r="R8" s="334"/>
      <c r="S8" s="334"/>
      <c r="T8" s="71"/>
      <c r="U8" s="71"/>
      <c r="V8" s="71"/>
      <c r="W8" s="71"/>
      <c r="X8" s="71"/>
      <c r="Z8" s="239"/>
      <c r="AA8" s="426"/>
      <c r="AB8" s="140"/>
      <c r="AC8" s="381"/>
      <c r="AD8" s="426"/>
    </row>
    <row r="9" spans="1:30" s="64" customFormat="1" ht="14.4" hidden="1" customHeight="1">
      <c r="A9" s="352"/>
      <c r="B9" s="414"/>
      <c r="C9" s="77"/>
      <c r="D9" s="73"/>
      <c r="E9" s="74"/>
      <c r="F9" s="345"/>
      <c r="G9" s="75"/>
      <c r="H9" s="393"/>
      <c r="I9" s="75"/>
      <c r="J9" s="113"/>
      <c r="K9" s="75"/>
      <c r="L9" s="75"/>
      <c r="M9" s="75"/>
      <c r="N9" s="75" t="s">
        <v>286</v>
      </c>
      <c r="O9" s="75"/>
      <c r="P9" s="69"/>
      <c r="Q9" s="70"/>
      <c r="R9" s="334"/>
      <c r="S9" s="334"/>
      <c r="T9" s="71"/>
      <c r="U9" s="71"/>
      <c r="V9" s="71"/>
      <c r="W9" s="71"/>
      <c r="X9" s="71"/>
      <c r="Z9" s="239"/>
      <c r="AA9" s="426"/>
      <c r="AB9" s="140"/>
      <c r="AC9" s="381"/>
      <c r="AD9" s="426"/>
    </row>
    <row r="10" spans="1:30" s="64" customFormat="1" ht="14.4" hidden="1" customHeight="1">
      <c r="A10" s="352"/>
      <c r="B10" s="414"/>
      <c r="C10" s="77"/>
      <c r="D10" s="73"/>
      <c r="E10" s="74"/>
      <c r="F10" s="345"/>
      <c r="G10" s="75"/>
      <c r="H10" s="393"/>
      <c r="I10" s="75"/>
      <c r="J10" s="113"/>
      <c r="K10" s="75"/>
      <c r="L10" s="75"/>
      <c r="M10" s="75"/>
      <c r="N10" s="75" t="s">
        <v>261</v>
      </c>
      <c r="O10" s="75"/>
      <c r="P10" s="69"/>
      <c r="Q10" s="70"/>
      <c r="R10" s="334"/>
      <c r="S10" s="334"/>
      <c r="T10" s="71"/>
      <c r="U10" s="71"/>
      <c r="V10" s="71"/>
      <c r="W10" s="71"/>
      <c r="X10" s="71"/>
      <c r="Z10" s="239"/>
      <c r="AA10" s="426"/>
      <c r="AB10" s="140"/>
      <c r="AC10" s="381"/>
      <c r="AD10" s="426"/>
    </row>
    <row r="11" spans="1:30" s="64" customFormat="1" ht="14.4" hidden="1" customHeight="1">
      <c r="A11" s="352"/>
      <c r="B11" s="414"/>
      <c r="C11" s="77"/>
      <c r="D11" s="73"/>
      <c r="E11" s="74"/>
      <c r="F11" s="345"/>
      <c r="G11" s="75"/>
      <c r="H11" s="393"/>
      <c r="I11" s="75"/>
      <c r="J11" s="113"/>
      <c r="K11" s="75"/>
      <c r="L11" s="75"/>
      <c r="M11" s="75"/>
      <c r="N11" s="75" t="s">
        <v>287</v>
      </c>
      <c r="O11" s="75"/>
      <c r="P11" s="69"/>
      <c r="Q11" s="70"/>
      <c r="R11" s="334"/>
      <c r="S11" s="334"/>
      <c r="T11" s="71"/>
      <c r="U11" s="71"/>
      <c r="V11" s="71"/>
      <c r="W11" s="71"/>
      <c r="X11" s="71"/>
      <c r="Z11" s="239"/>
      <c r="AA11" s="426"/>
      <c r="AB11" s="140"/>
      <c r="AC11" s="381"/>
      <c r="AD11" s="426"/>
    </row>
    <row r="12" spans="1:30" s="64" customFormat="1" ht="14.4" hidden="1" customHeight="1">
      <c r="A12" s="352"/>
      <c r="B12" s="414"/>
      <c r="C12" s="77"/>
      <c r="D12" s="73"/>
      <c r="E12" s="74"/>
      <c r="F12" s="345"/>
      <c r="G12" s="75"/>
      <c r="H12" s="393"/>
      <c r="I12" s="75"/>
      <c r="J12" s="113"/>
      <c r="K12" s="75"/>
      <c r="L12" s="75"/>
      <c r="M12" s="75"/>
      <c r="N12" s="75" t="s">
        <v>162</v>
      </c>
      <c r="O12" s="75"/>
      <c r="P12" s="69"/>
      <c r="Q12" s="70"/>
      <c r="R12" s="334"/>
      <c r="S12" s="334"/>
      <c r="T12" s="71"/>
      <c r="U12" s="72" t="s">
        <v>238</v>
      </c>
      <c r="V12" s="71"/>
      <c r="W12" s="71"/>
      <c r="X12" s="71"/>
      <c r="Z12" s="239"/>
      <c r="AA12" s="426"/>
      <c r="AB12" s="140"/>
      <c r="AC12" s="381"/>
      <c r="AD12" s="426"/>
    </row>
    <row r="13" spans="1:30" s="64" customFormat="1" ht="14.4" hidden="1" customHeight="1">
      <c r="A13" s="352"/>
      <c r="B13" s="414"/>
      <c r="C13" s="77"/>
      <c r="D13" s="73"/>
      <c r="E13" s="74"/>
      <c r="F13" s="345"/>
      <c r="G13" s="75"/>
      <c r="H13" s="393"/>
      <c r="I13" s="75"/>
      <c r="J13" s="113"/>
      <c r="K13" s="75"/>
      <c r="L13" s="75"/>
      <c r="M13" s="75"/>
      <c r="N13" s="75" t="s">
        <v>264</v>
      </c>
      <c r="O13" s="75"/>
      <c r="P13" s="69"/>
      <c r="Q13" s="70"/>
      <c r="R13" s="334"/>
      <c r="S13" s="334"/>
      <c r="T13" s="71"/>
      <c r="U13" s="71"/>
      <c r="V13" s="71"/>
      <c r="W13" s="71"/>
      <c r="X13" s="71"/>
      <c r="Z13" s="239"/>
      <c r="AA13" s="426"/>
      <c r="AB13" s="140"/>
      <c r="AC13" s="381"/>
      <c r="AD13" s="426"/>
    </row>
    <row r="14" spans="1:30" s="64" customFormat="1" ht="14.4" hidden="1" customHeight="1">
      <c r="A14" s="352"/>
      <c r="B14" s="414"/>
      <c r="C14" s="78"/>
      <c r="D14" s="79"/>
      <c r="E14" s="80"/>
      <c r="F14" s="438"/>
      <c r="G14" s="81"/>
      <c r="H14" s="460"/>
      <c r="I14" s="81"/>
      <c r="J14" s="270"/>
      <c r="K14" s="81"/>
      <c r="L14" s="81"/>
      <c r="M14" s="81"/>
      <c r="N14" s="81" t="s">
        <v>259</v>
      </c>
      <c r="O14" s="81"/>
      <c r="P14" s="82"/>
      <c r="Q14" s="83"/>
      <c r="R14" s="335"/>
      <c r="S14" s="335"/>
      <c r="T14" s="84"/>
      <c r="U14" s="84"/>
      <c r="V14" s="84"/>
      <c r="W14" s="84"/>
      <c r="X14" s="84"/>
      <c r="Z14" s="239"/>
      <c r="AA14" s="426"/>
      <c r="AB14" s="140"/>
      <c r="AC14" s="381"/>
      <c r="AD14" s="426"/>
    </row>
    <row r="15" spans="1:30" s="64" customFormat="1" ht="14.4" hidden="1" customHeight="1">
      <c r="A15" s="352"/>
      <c r="B15" s="414"/>
      <c r="C15" s="78"/>
      <c r="D15" s="79"/>
      <c r="E15" s="80"/>
      <c r="F15" s="438"/>
      <c r="G15" s="81"/>
      <c r="H15" s="460"/>
      <c r="I15" s="81"/>
      <c r="J15" s="270"/>
      <c r="K15" s="81"/>
      <c r="L15" s="81"/>
      <c r="M15" s="81"/>
      <c r="N15" s="81" t="s">
        <v>258</v>
      </c>
      <c r="O15" s="81"/>
      <c r="P15" s="82"/>
      <c r="Q15" s="83"/>
      <c r="R15" s="335"/>
      <c r="S15" s="335"/>
      <c r="T15" s="84"/>
      <c r="U15" s="84"/>
      <c r="V15" s="84"/>
      <c r="W15" s="84"/>
      <c r="X15" s="84"/>
      <c r="Z15" s="239"/>
      <c r="AA15" s="426"/>
      <c r="AB15" s="140"/>
      <c r="AC15" s="381"/>
      <c r="AD15" s="426"/>
    </row>
    <row r="16" spans="1:30" s="64" customFormat="1" ht="14.4" hidden="1" customHeight="1">
      <c r="A16" s="352"/>
      <c r="B16" s="414"/>
      <c r="C16" s="78"/>
      <c r="D16" s="79"/>
      <c r="E16" s="80"/>
      <c r="F16" s="438"/>
      <c r="G16" s="81"/>
      <c r="H16" s="460"/>
      <c r="I16" s="81"/>
      <c r="J16" s="270"/>
      <c r="K16" s="81"/>
      <c r="L16" s="81"/>
      <c r="M16" s="81"/>
      <c r="N16" s="81" t="s">
        <v>290</v>
      </c>
      <c r="O16" s="81"/>
      <c r="P16" s="82"/>
      <c r="Q16" s="83"/>
      <c r="R16" s="335"/>
      <c r="S16" s="335"/>
      <c r="T16" s="84"/>
      <c r="U16" s="84"/>
      <c r="V16" s="84"/>
      <c r="W16" s="84"/>
      <c r="X16" s="84"/>
      <c r="Z16" s="239"/>
      <c r="AA16" s="426"/>
      <c r="AB16" s="140"/>
      <c r="AC16" s="381"/>
      <c r="AD16" s="426"/>
    </row>
    <row r="17" spans="1:30" s="64" customFormat="1" ht="14.4" hidden="1" customHeight="1">
      <c r="A17" s="352"/>
      <c r="B17" s="414"/>
      <c r="C17" s="78"/>
      <c r="D17" s="79"/>
      <c r="E17" s="80"/>
      <c r="F17" s="438"/>
      <c r="G17" s="81"/>
      <c r="H17" s="460"/>
      <c r="I17" s="81"/>
      <c r="J17" s="270"/>
      <c r="K17" s="81"/>
      <c r="L17" s="81"/>
      <c r="M17" s="81"/>
      <c r="N17" s="81" t="s">
        <v>268</v>
      </c>
      <c r="O17" s="81"/>
      <c r="P17" s="82"/>
      <c r="Q17" s="83"/>
      <c r="R17" s="335"/>
      <c r="S17" s="335"/>
      <c r="T17" s="84"/>
      <c r="U17" s="84"/>
      <c r="V17" s="84"/>
      <c r="W17" s="84"/>
      <c r="X17" s="84"/>
      <c r="Z17" s="239"/>
      <c r="AA17" s="426"/>
      <c r="AB17" s="140"/>
      <c r="AC17" s="381"/>
      <c r="AD17" s="426"/>
    </row>
    <row r="18" spans="1:30" s="64" customFormat="1" ht="14.4" hidden="1" customHeight="1">
      <c r="A18" s="352"/>
      <c r="B18" s="414"/>
      <c r="C18" s="78"/>
      <c r="D18" s="79"/>
      <c r="E18" s="80"/>
      <c r="F18" s="438"/>
      <c r="G18" s="81"/>
      <c r="H18" s="460"/>
      <c r="I18" s="81"/>
      <c r="J18" s="270"/>
      <c r="K18" s="81"/>
      <c r="L18" s="81"/>
      <c r="M18" s="81"/>
      <c r="N18" s="81" t="s">
        <v>254</v>
      </c>
      <c r="O18" s="81"/>
      <c r="P18" s="82"/>
      <c r="Q18" s="83"/>
      <c r="R18" s="335"/>
      <c r="S18" s="335"/>
      <c r="T18" s="84"/>
      <c r="U18" s="84"/>
      <c r="V18" s="84"/>
      <c r="W18" s="84"/>
      <c r="X18" s="84"/>
      <c r="Z18" s="239"/>
      <c r="AA18" s="426"/>
      <c r="AB18" s="140"/>
      <c r="AC18" s="381"/>
      <c r="AD18" s="426"/>
    </row>
    <row r="19" spans="1:30" s="64" customFormat="1" ht="14.4" hidden="1" customHeight="1">
      <c r="A19" s="352"/>
      <c r="B19" s="414"/>
      <c r="C19" s="78"/>
      <c r="D19" s="79"/>
      <c r="E19" s="80"/>
      <c r="F19" s="438"/>
      <c r="G19" s="81"/>
      <c r="H19" s="460"/>
      <c r="I19" s="81"/>
      <c r="J19" s="270"/>
      <c r="K19" s="81"/>
      <c r="L19" s="81"/>
      <c r="M19" s="81"/>
      <c r="N19" s="81" t="s">
        <v>289</v>
      </c>
      <c r="O19" s="81"/>
      <c r="P19" s="82"/>
      <c r="Q19" s="83"/>
      <c r="R19" s="335"/>
      <c r="S19" s="335"/>
      <c r="T19" s="84"/>
      <c r="U19" s="84"/>
      <c r="V19" s="84"/>
      <c r="W19" s="84"/>
      <c r="X19" s="84"/>
      <c r="Z19" s="239"/>
      <c r="AA19" s="426"/>
      <c r="AB19" s="140"/>
      <c r="AC19" s="381"/>
      <c r="AD19" s="426"/>
    </row>
    <row r="20" spans="1:30" s="64" customFormat="1" ht="14.4" hidden="1" customHeight="1">
      <c r="A20" s="352"/>
      <c r="B20" s="414"/>
      <c r="C20" s="78"/>
      <c r="D20" s="79"/>
      <c r="E20" s="80"/>
      <c r="F20" s="438"/>
      <c r="G20" s="81"/>
      <c r="H20" s="460"/>
      <c r="I20" s="81"/>
      <c r="J20" s="270"/>
      <c r="K20" s="81"/>
      <c r="L20" s="81"/>
      <c r="M20" s="81"/>
      <c r="N20" s="81" t="s">
        <v>257</v>
      </c>
      <c r="O20" s="81"/>
      <c r="P20" s="82"/>
      <c r="Q20" s="83"/>
      <c r="R20" s="335"/>
      <c r="S20" s="335"/>
      <c r="T20" s="84"/>
      <c r="U20" s="84"/>
      <c r="V20" s="84"/>
      <c r="W20" s="84"/>
      <c r="X20" s="84"/>
      <c r="Z20" s="239"/>
      <c r="AA20" s="426"/>
      <c r="AB20" s="140"/>
      <c r="AC20" s="381"/>
      <c r="AD20" s="426"/>
    </row>
    <row r="21" spans="1:30" s="64" customFormat="1" ht="14.4" hidden="1" customHeight="1">
      <c r="A21" s="352"/>
      <c r="B21" s="414"/>
      <c r="C21" s="78"/>
      <c r="D21" s="79"/>
      <c r="E21" s="80"/>
      <c r="F21" s="438"/>
      <c r="G21" s="81"/>
      <c r="H21" s="460"/>
      <c r="I21" s="81"/>
      <c r="J21" s="270"/>
      <c r="K21" s="81"/>
      <c r="L21" s="81"/>
      <c r="M21" s="81"/>
      <c r="N21" s="81" t="s">
        <v>141</v>
      </c>
      <c r="O21" s="81"/>
      <c r="P21" s="82"/>
      <c r="Q21" s="83"/>
      <c r="R21" s="335"/>
      <c r="S21" s="335"/>
      <c r="T21" s="84"/>
      <c r="U21" s="84"/>
      <c r="V21" s="84"/>
      <c r="W21" s="84"/>
      <c r="X21" s="84"/>
      <c r="Z21" s="239"/>
      <c r="AA21" s="426"/>
      <c r="AB21" s="140"/>
      <c r="AC21" s="381"/>
      <c r="AD21" s="426"/>
    </row>
    <row r="22" spans="1:30" s="64" customFormat="1" ht="14.4" hidden="1" customHeight="1">
      <c r="A22" s="352"/>
      <c r="B22" s="414"/>
      <c r="C22" s="78"/>
      <c r="D22" s="79"/>
      <c r="E22" s="80"/>
      <c r="F22" s="438"/>
      <c r="G22" s="81"/>
      <c r="H22" s="460"/>
      <c r="I22" s="81"/>
      <c r="J22" s="270"/>
      <c r="K22" s="81"/>
      <c r="L22" s="81"/>
      <c r="M22" s="81"/>
      <c r="N22" s="81" t="s">
        <v>256</v>
      </c>
      <c r="O22" s="81"/>
      <c r="P22" s="82"/>
      <c r="Q22" s="83"/>
      <c r="R22" s="335"/>
      <c r="S22" s="335"/>
      <c r="T22" s="84"/>
      <c r="U22" s="84"/>
      <c r="V22" s="84"/>
      <c r="W22" s="84"/>
      <c r="X22" s="84"/>
      <c r="Z22" s="239"/>
      <c r="AA22" s="426"/>
      <c r="AB22" s="140"/>
      <c r="AC22" s="381"/>
      <c r="AD22" s="426"/>
    </row>
    <row r="23" spans="1:30" s="64" customFormat="1" ht="14.4" hidden="1" customHeight="1">
      <c r="A23" s="352"/>
      <c r="B23" s="414"/>
      <c r="C23" s="78"/>
      <c r="D23" s="79"/>
      <c r="E23" s="80"/>
      <c r="F23" s="438"/>
      <c r="G23" s="81"/>
      <c r="H23" s="460"/>
      <c r="I23" s="81"/>
      <c r="J23" s="270"/>
      <c r="K23" s="81"/>
      <c r="L23" s="81"/>
      <c r="M23" s="81"/>
      <c r="N23" s="81" t="s">
        <v>263</v>
      </c>
      <c r="O23" s="81"/>
      <c r="P23" s="82"/>
      <c r="Q23" s="83"/>
      <c r="R23" s="335"/>
      <c r="S23" s="335"/>
      <c r="T23" s="84"/>
      <c r="U23" s="84"/>
      <c r="V23" s="84"/>
      <c r="W23" s="84"/>
      <c r="X23" s="84"/>
      <c r="Z23" s="239"/>
      <c r="AA23" s="426"/>
      <c r="AB23" s="140"/>
      <c r="AC23" s="381"/>
      <c r="AD23" s="426"/>
    </row>
    <row r="24" spans="1:30" s="64" customFormat="1" ht="14.4" hidden="1" customHeight="1">
      <c r="A24" s="352"/>
      <c r="B24" s="414"/>
      <c r="C24" s="78"/>
      <c r="D24" s="79"/>
      <c r="E24" s="80"/>
      <c r="F24" s="438"/>
      <c r="G24" s="81"/>
      <c r="H24" s="460"/>
      <c r="I24" s="81"/>
      <c r="J24" s="270"/>
      <c r="K24" s="81"/>
      <c r="L24" s="81"/>
      <c r="M24" s="81"/>
      <c r="N24" s="81" t="s">
        <v>288</v>
      </c>
      <c r="O24" s="81"/>
      <c r="P24" s="82"/>
      <c r="Q24" s="83"/>
      <c r="R24" s="335"/>
      <c r="S24" s="335"/>
      <c r="T24" s="84"/>
      <c r="U24" s="84"/>
      <c r="V24" s="84"/>
      <c r="W24" s="84"/>
      <c r="X24" s="84"/>
      <c r="Z24" s="239"/>
      <c r="AA24" s="426"/>
      <c r="AB24" s="352"/>
      <c r="AC24" s="352"/>
      <c r="AD24" s="426"/>
    </row>
    <row r="25" spans="1:30" s="64" customFormat="1" ht="14.4" hidden="1" customHeight="1">
      <c r="A25" s="352"/>
      <c r="B25" s="414"/>
      <c r="C25" s="78"/>
      <c r="D25" s="79"/>
      <c r="E25" s="80"/>
      <c r="F25" s="438"/>
      <c r="G25" s="81"/>
      <c r="H25" s="460"/>
      <c r="I25" s="81"/>
      <c r="J25" s="270"/>
      <c r="K25" s="81"/>
      <c r="L25" s="81"/>
      <c r="M25" s="81"/>
      <c r="N25" s="81" t="s">
        <v>255</v>
      </c>
      <c r="O25" s="81"/>
      <c r="P25" s="82"/>
      <c r="Q25" s="83"/>
      <c r="R25" s="335"/>
      <c r="S25" s="335"/>
      <c r="T25" s="84"/>
      <c r="U25" s="84"/>
      <c r="V25" s="84"/>
      <c r="W25" s="84"/>
      <c r="X25" s="84"/>
      <c r="Z25" s="239"/>
      <c r="AA25" s="426"/>
      <c r="AB25" s="352"/>
      <c r="AC25" s="352"/>
      <c r="AD25" s="426"/>
    </row>
    <row r="26" spans="1:30" s="64" customFormat="1" ht="28.8" hidden="1" customHeight="1">
      <c r="A26" s="352"/>
      <c r="B26" s="414"/>
      <c r="C26" s="78"/>
      <c r="D26" s="79"/>
      <c r="E26" s="80"/>
      <c r="F26" s="438"/>
      <c r="G26" s="81"/>
      <c r="H26" s="460"/>
      <c r="I26" s="81"/>
      <c r="J26" s="270"/>
      <c r="K26" s="81"/>
      <c r="L26" s="81"/>
      <c r="M26" s="81"/>
      <c r="N26" s="81" t="s">
        <v>260</v>
      </c>
      <c r="O26" s="81"/>
      <c r="P26" s="82"/>
      <c r="Q26" s="83"/>
      <c r="R26" s="335"/>
      <c r="S26" s="335"/>
      <c r="T26" s="84"/>
      <c r="U26" s="84"/>
      <c r="V26" s="84"/>
      <c r="W26" s="84"/>
      <c r="X26" s="84"/>
      <c r="Z26" s="239"/>
      <c r="AA26" s="426"/>
      <c r="AB26" s="352"/>
      <c r="AC26" s="352"/>
      <c r="AD26" s="426"/>
    </row>
    <row r="27" spans="1:30" s="64" customFormat="1" ht="15" thickBot="1">
      <c r="A27" s="352"/>
      <c r="B27" s="414"/>
      <c r="C27" s="86"/>
      <c r="D27" s="87"/>
      <c r="E27" s="88"/>
      <c r="F27" s="439"/>
      <c r="G27" s="89"/>
      <c r="H27" s="461"/>
      <c r="I27" s="89"/>
      <c r="J27" s="260"/>
      <c r="K27" s="89"/>
      <c r="L27" s="383"/>
      <c r="M27" s="89"/>
      <c r="N27" s="89"/>
      <c r="O27" s="669"/>
      <c r="P27" s="90"/>
      <c r="Q27" s="91"/>
      <c r="R27" s="336"/>
      <c r="S27" s="336"/>
      <c r="T27" s="92"/>
      <c r="U27" s="92"/>
      <c r="V27" s="92"/>
      <c r="W27" s="92"/>
      <c r="X27" s="92"/>
      <c r="Y27" s="510"/>
      <c r="Z27" s="239"/>
      <c r="AB27" s="75"/>
      <c r="AC27" s="430"/>
      <c r="AD27" s="433"/>
    </row>
    <row r="28" spans="1:30" s="399" customFormat="1" ht="14.4" customHeight="1">
      <c r="A28" s="400">
        <v>1</v>
      </c>
      <c r="B28" s="416" t="s">
        <v>441</v>
      </c>
      <c r="C28" s="406">
        <v>43466</v>
      </c>
      <c r="D28" s="407" t="s">
        <v>438</v>
      </c>
      <c r="E28" s="408" t="s">
        <v>520</v>
      </c>
      <c r="F28" s="412"/>
      <c r="G28" s="106"/>
      <c r="H28" s="420"/>
      <c r="I28" s="212"/>
      <c r="J28" s="268"/>
      <c r="K28" s="659"/>
      <c r="L28" s="106"/>
      <c r="M28" s="93"/>
      <c r="N28" s="667"/>
      <c r="O28" s="81"/>
      <c r="P28" s="411">
        <v>1511.08</v>
      </c>
      <c r="Q28" s="410"/>
      <c r="R28" s="337" t="s">
        <v>432</v>
      </c>
      <c r="S28" s="694">
        <f>IF($R28="X",COUNTIF($R$28:R28,"X"),)</f>
        <v>1</v>
      </c>
      <c r="T28" s="76">
        <f>IF($C28&lt;&gt;0,SUM(P$28:P28)-SUM(Q$28:Q28),)</f>
        <v>1511.08</v>
      </c>
      <c r="U28" s="76">
        <f>IF(ISBLANK($C28),0,IF(NOT(ISBLANK(R28)),0,IF(P28&gt;0,P28,IF(Q28&gt;0,-Q28,))))</f>
        <v>0</v>
      </c>
      <c r="V28" s="410">
        <v>6297</v>
      </c>
      <c r="W28" s="410"/>
      <c r="X28" s="76">
        <f>IF($C28&lt;&gt;0,SUM(V$28:V28)-SUM(W$28:W28),)</f>
        <v>6297</v>
      </c>
      <c r="Y28" s="229">
        <v>1</v>
      </c>
      <c r="Z28" s="75" t="s">
        <v>11</v>
      </c>
      <c r="AA28" s="384" t="s">
        <v>523</v>
      </c>
      <c r="AB28" s="106" t="s">
        <v>286</v>
      </c>
      <c r="AC28" s="431" t="s">
        <v>20</v>
      </c>
      <c r="AD28" s="434"/>
    </row>
    <row r="29" spans="1:30" ht="14.4" customHeight="1">
      <c r="A29" s="703">
        <v>2</v>
      </c>
      <c r="B29" s="417"/>
      <c r="C29" s="354">
        <v>43466</v>
      </c>
      <c r="D29" s="95" t="s">
        <v>273</v>
      </c>
      <c r="E29" s="96" t="s">
        <v>272</v>
      </c>
      <c r="F29" s="93" t="s">
        <v>362</v>
      </c>
      <c r="G29" s="106" t="s">
        <v>450</v>
      </c>
      <c r="H29" s="97">
        <v>30.06</v>
      </c>
      <c r="I29" s="93"/>
      <c r="J29" s="133"/>
      <c r="K29" s="516">
        <f t="shared" ref="K29:K36" ca="1" si="0">IF(AND(J29&lt;&gt;0,J29&lt;&gt;"R",J29&lt;TODAY()),"x",)</f>
        <v>0</v>
      </c>
      <c r="L29" s="106"/>
      <c r="M29" s="93"/>
      <c r="N29" s="668" t="s">
        <v>256</v>
      </c>
      <c r="O29" s="116"/>
      <c r="P29" s="515">
        <f>IF(AND($C29&lt;&gt;0,OR($F29="C",$F29="CT"),$G29=P$4),$H29,)</f>
        <v>0</v>
      </c>
      <c r="Q29" s="240">
        <f t="shared" ref="Q29" si="1">IF(AND($C29&lt;&gt;0,OR($F29="D",$F29="DT"),$G29=P$4),$H29,)</f>
        <v>30.06</v>
      </c>
      <c r="R29" s="337" t="s">
        <v>432</v>
      </c>
      <c r="S29" s="694">
        <f>IF($R29="X",COUNTIF($R$28:R29,"X"),)</f>
        <v>2</v>
      </c>
      <c r="T29" s="76">
        <f>IF($C29&lt;&gt;0,SUM(P$28:P29)-SUM(Q$28:Q29),)</f>
        <v>1481.02</v>
      </c>
      <c r="U29" s="76">
        <f t="shared" ref="U29:U36" si="2">IF(ISBLANK($C29),0,IF(NOT(ISBLANK(R29)),0,IF(P29&gt;0,P29,IF(Q29&gt;0,-Q29,))))</f>
        <v>0</v>
      </c>
      <c r="V29" s="85">
        <f t="shared" ref="V29:V38" si="3">IF(AND($C29&lt;&gt;0,OR($F29="C",$F29="CT"),$G29=V$4),$H29,)</f>
        <v>0</v>
      </c>
      <c r="W29" s="85">
        <f t="shared" ref="W29" si="4">IF(AND($C29&lt;&gt;0,OR($F29="D",$F29="DT"),$G29=V$4),$H29,)</f>
        <v>0</v>
      </c>
      <c r="X29" s="76">
        <f>IF($C29&lt;&gt;0,SUM(V$28:V29)-SUM(W$28:W29),)</f>
        <v>6297</v>
      </c>
      <c r="Y29" s="126">
        <v>2</v>
      </c>
      <c r="Z29" s="269" t="s">
        <v>362</v>
      </c>
      <c r="AA29" s="512" t="s">
        <v>449</v>
      </c>
      <c r="AB29" s="75" t="s">
        <v>261</v>
      </c>
      <c r="AC29" s="430" t="s">
        <v>526</v>
      </c>
      <c r="AD29" s="433"/>
    </row>
    <row r="30" spans="1:30" ht="14.4" customHeight="1">
      <c r="A30" s="703">
        <v>3</v>
      </c>
      <c r="B30" s="417"/>
      <c r="C30" s="354">
        <v>43446</v>
      </c>
      <c r="D30" s="95" t="s">
        <v>270</v>
      </c>
      <c r="E30" s="96" t="s">
        <v>271</v>
      </c>
      <c r="F30" s="93" t="s">
        <v>362</v>
      </c>
      <c r="G30" s="106" t="s">
        <v>450</v>
      </c>
      <c r="H30" s="97">
        <v>20</v>
      </c>
      <c r="I30" s="93"/>
      <c r="J30" s="133"/>
      <c r="K30" s="516">
        <f t="shared" ca="1" si="0"/>
        <v>0</v>
      </c>
      <c r="L30" s="106"/>
      <c r="M30" s="93"/>
      <c r="N30" s="668" t="s">
        <v>254</v>
      </c>
      <c r="O30" s="116"/>
      <c r="P30" s="515">
        <f t="shared" ref="P30:P38" si="5">IF(AND($C30&lt;&gt;0,OR($F30="C",$F30="CT"),$G30=P$4),$H30,)</f>
        <v>0</v>
      </c>
      <c r="Q30" s="240">
        <f t="shared" ref="Q30:Q36" si="6">IF(AND($C30&lt;&gt;0,OR($F30="D",$F30="DT"),$G30=P$4),$H30,)</f>
        <v>20</v>
      </c>
      <c r="R30" s="337" t="s">
        <v>432</v>
      </c>
      <c r="S30" s="694">
        <f>IF($R30="X",COUNTIF($R$28:R30,"X"),)</f>
        <v>3</v>
      </c>
      <c r="T30" s="76">
        <f>IF($C30&lt;&gt;0,SUM(P$28:P30)-SUM(Q$28:Q30),)</f>
        <v>1461.02</v>
      </c>
      <c r="U30" s="76">
        <f t="shared" si="2"/>
        <v>0</v>
      </c>
      <c r="V30" s="85">
        <f t="shared" si="3"/>
        <v>0</v>
      </c>
      <c r="W30" s="85">
        <f t="shared" ref="W30:W36" si="7">IF(AND($C30&lt;&gt;0,OR($F30="D",$F30="DT"),$G30=V$4),$H30,)</f>
        <v>0</v>
      </c>
      <c r="X30" s="76">
        <f>IF($C30&lt;&gt;0,SUM(V$28:V30)-SUM(W$28:W30),)</f>
        <v>6297</v>
      </c>
      <c r="Y30" s="229">
        <v>3</v>
      </c>
      <c r="Z30" s="269" t="s">
        <v>455</v>
      </c>
      <c r="AA30" s="511" t="s">
        <v>450</v>
      </c>
      <c r="AB30" s="75" t="s">
        <v>287</v>
      </c>
      <c r="AC30" s="430" t="s">
        <v>471</v>
      </c>
      <c r="AD30" s="435"/>
    </row>
    <row r="31" spans="1:30" ht="13.8" customHeight="1">
      <c r="A31" s="703">
        <v>4</v>
      </c>
      <c r="B31" s="417"/>
      <c r="C31" s="354">
        <v>43466</v>
      </c>
      <c r="D31" s="101" t="s">
        <v>262</v>
      </c>
      <c r="E31" s="102" t="s">
        <v>269</v>
      </c>
      <c r="F31" s="115" t="s">
        <v>362</v>
      </c>
      <c r="G31" s="106" t="s">
        <v>450</v>
      </c>
      <c r="H31" s="103">
        <v>12</v>
      </c>
      <c r="I31" s="93"/>
      <c r="J31" s="133"/>
      <c r="K31" s="516">
        <f t="shared" ca="1" si="0"/>
        <v>0</v>
      </c>
      <c r="L31" s="106"/>
      <c r="M31" s="93"/>
      <c r="N31" s="668" t="s">
        <v>255</v>
      </c>
      <c r="O31" s="116"/>
      <c r="P31" s="515">
        <f t="shared" si="5"/>
        <v>0</v>
      </c>
      <c r="Q31" s="240">
        <f t="shared" si="6"/>
        <v>12</v>
      </c>
      <c r="R31" s="337" t="s">
        <v>432</v>
      </c>
      <c r="S31" s="694">
        <f>IF($R31="X",COUNTIF($R$28:R31,"X"),)</f>
        <v>4</v>
      </c>
      <c r="T31" s="76">
        <f>IF($C31&lt;&gt;0,SUM(P$28:P31)-SUM(Q$28:Q31),)</f>
        <v>1449.02</v>
      </c>
      <c r="U31" s="76">
        <f t="shared" si="2"/>
        <v>0</v>
      </c>
      <c r="V31" s="85">
        <f t="shared" si="3"/>
        <v>0</v>
      </c>
      <c r="W31" s="85">
        <f t="shared" si="7"/>
        <v>0</v>
      </c>
      <c r="X31" s="76">
        <f>IF($C31&lt;&gt;0,SUM(V$28:V31)-SUM(W$28:W31),)</f>
        <v>6297</v>
      </c>
      <c r="Y31" s="126">
        <v>4</v>
      </c>
      <c r="Z31" s="714" t="s">
        <v>454</v>
      </c>
      <c r="AA31" s="75" t="s">
        <v>522</v>
      </c>
      <c r="AB31" s="75" t="s">
        <v>162</v>
      </c>
      <c r="AC31" s="432" t="s">
        <v>276</v>
      </c>
      <c r="AD31" s="435"/>
    </row>
    <row r="32" spans="1:30">
      <c r="A32" s="703">
        <v>5</v>
      </c>
      <c r="B32" s="418"/>
      <c r="C32" s="355">
        <v>43466</v>
      </c>
      <c r="D32" s="73" t="s">
        <v>427</v>
      </c>
      <c r="E32" s="74" t="s">
        <v>430</v>
      </c>
      <c r="F32" s="412" t="s">
        <v>362</v>
      </c>
      <c r="G32" s="106" t="s">
        <v>522</v>
      </c>
      <c r="H32" s="420">
        <v>136.28</v>
      </c>
      <c r="I32" s="93"/>
      <c r="J32" s="133"/>
      <c r="K32" s="516">
        <f t="shared" ca="1" si="0"/>
        <v>0</v>
      </c>
      <c r="L32" s="106" t="s">
        <v>427</v>
      </c>
      <c r="M32" s="93" t="s">
        <v>366</v>
      </c>
      <c r="N32" s="668"/>
      <c r="O32" s="116"/>
      <c r="P32" s="515">
        <f t="shared" si="5"/>
        <v>0</v>
      </c>
      <c r="Q32" s="240">
        <f t="shared" si="6"/>
        <v>0</v>
      </c>
      <c r="R32" s="195"/>
      <c r="S32" s="694">
        <f>IF($R32="X",COUNTIF($R$28:R32,"X"),)</f>
        <v>0</v>
      </c>
      <c r="T32" s="76">
        <f>IF($C32&lt;&gt;0,SUM(P$28:P32)-SUM(Q$28:Q32),)</f>
        <v>1449.02</v>
      </c>
      <c r="U32" s="76">
        <f t="shared" si="2"/>
        <v>0</v>
      </c>
      <c r="V32" s="85">
        <f t="shared" si="3"/>
        <v>0</v>
      </c>
      <c r="W32" s="85">
        <f t="shared" si="7"/>
        <v>0</v>
      </c>
      <c r="X32" s="76">
        <f>IF($C32&lt;&gt;0,SUM(V$28:V32)-SUM(W$28:W32),)</f>
        <v>6297</v>
      </c>
      <c r="Y32" s="229">
        <v>5</v>
      </c>
      <c r="Z32" s="714" t="s">
        <v>525</v>
      </c>
      <c r="AA32" s="512" t="s">
        <v>452</v>
      </c>
      <c r="AB32" s="75" t="s">
        <v>264</v>
      </c>
      <c r="AC32" s="424" t="s">
        <v>476</v>
      </c>
      <c r="AD32" s="435"/>
    </row>
    <row r="33" spans="1:30">
      <c r="A33" s="703">
        <v>6</v>
      </c>
      <c r="B33" s="418"/>
      <c r="C33" s="356">
        <v>43466</v>
      </c>
      <c r="D33" s="73" t="s">
        <v>427</v>
      </c>
      <c r="E33" s="74" t="s">
        <v>431</v>
      </c>
      <c r="F33" s="412" t="s">
        <v>362</v>
      </c>
      <c r="G33" s="106" t="s">
        <v>522</v>
      </c>
      <c r="H33" s="420">
        <v>3.6</v>
      </c>
      <c r="I33" s="93"/>
      <c r="J33" s="133"/>
      <c r="K33" s="516">
        <f t="shared" ca="1" si="0"/>
        <v>0</v>
      </c>
      <c r="L33" s="106" t="s">
        <v>427</v>
      </c>
      <c r="M33" s="93" t="s">
        <v>366</v>
      </c>
      <c r="N33" s="668"/>
      <c r="O33" s="116"/>
      <c r="P33" s="515">
        <f t="shared" si="5"/>
        <v>0</v>
      </c>
      <c r="Q33" s="240">
        <f t="shared" si="6"/>
        <v>0</v>
      </c>
      <c r="R33" s="195"/>
      <c r="S33" s="694">
        <f>IF($R33="X",COUNTIF($R$28:R33,"X"),)</f>
        <v>0</v>
      </c>
      <c r="T33" s="76">
        <f>IF($C33&lt;&gt;0,SUM(P$28:P33)-SUM(Q$28:Q33),)</f>
        <v>1449.02</v>
      </c>
      <c r="U33" s="76">
        <f t="shared" si="2"/>
        <v>0</v>
      </c>
      <c r="V33" s="85">
        <f t="shared" si="3"/>
        <v>0</v>
      </c>
      <c r="W33" s="85">
        <f t="shared" si="7"/>
        <v>0</v>
      </c>
      <c r="X33" s="76">
        <f>IF($C33&lt;&gt;0,SUM(V$28:V33)-SUM(W$28:W33),)</f>
        <v>6297</v>
      </c>
      <c r="Y33" s="126">
        <v>6</v>
      </c>
      <c r="Z33" s="714" t="s">
        <v>524</v>
      </c>
      <c r="AA33" s="683" t="s">
        <v>448</v>
      </c>
      <c r="AB33" s="75" t="s">
        <v>259</v>
      </c>
      <c r="AC33" s="714" t="s">
        <v>428</v>
      </c>
      <c r="AD33" s="435"/>
    </row>
    <row r="34" spans="1:30">
      <c r="A34" s="703">
        <v>7</v>
      </c>
      <c r="B34" s="418"/>
      <c r="C34" s="356">
        <v>43466</v>
      </c>
      <c r="D34" s="73" t="s">
        <v>427</v>
      </c>
      <c r="E34" s="74" t="s">
        <v>429</v>
      </c>
      <c r="F34" s="412" t="s">
        <v>362</v>
      </c>
      <c r="G34" s="106" t="s">
        <v>522</v>
      </c>
      <c r="H34" s="420">
        <v>8.5</v>
      </c>
      <c r="I34" s="93"/>
      <c r="J34" s="133"/>
      <c r="K34" s="516">
        <f t="shared" ca="1" si="0"/>
        <v>0</v>
      </c>
      <c r="L34" s="106" t="s">
        <v>427</v>
      </c>
      <c r="M34" s="93" t="s">
        <v>366</v>
      </c>
      <c r="N34" s="668"/>
      <c r="O34" s="116"/>
      <c r="P34" s="515">
        <f t="shared" si="5"/>
        <v>0</v>
      </c>
      <c r="Q34" s="240">
        <f t="shared" si="6"/>
        <v>0</v>
      </c>
      <c r="R34" s="195"/>
      <c r="S34" s="694">
        <f>IF($R34="X",COUNTIF($R$28:R34,"X"),)</f>
        <v>0</v>
      </c>
      <c r="T34" s="76">
        <f>IF($C34&lt;&gt;0,SUM(P$28:P34)-SUM(Q$28:Q34),)</f>
        <v>1449.02</v>
      </c>
      <c r="U34" s="76">
        <f t="shared" si="2"/>
        <v>0</v>
      </c>
      <c r="V34" s="85">
        <f t="shared" si="3"/>
        <v>0</v>
      </c>
      <c r="W34" s="85">
        <f t="shared" si="7"/>
        <v>0</v>
      </c>
      <c r="X34" s="76">
        <f>IF($C34&lt;&gt;0,SUM(V$28:V34)-SUM(W$28:W34),)</f>
        <v>6297</v>
      </c>
      <c r="Y34" s="229"/>
      <c r="Z34" s="286"/>
      <c r="AA34" s="750"/>
      <c r="AB34" s="140"/>
      <c r="AC34" s="286"/>
      <c r="AD34" s="750"/>
    </row>
    <row r="35" spans="1:30" ht="28.8">
      <c r="A35" s="703">
        <v>8</v>
      </c>
      <c r="B35" s="418"/>
      <c r="C35" s="356">
        <v>43466</v>
      </c>
      <c r="D35" s="73" t="s">
        <v>274</v>
      </c>
      <c r="E35" s="74" t="s">
        <v>435</v>
      </c>
      <c r="F35" s="412" t="s">
        <v>11</v>
      </c>
      <c r="G35" s="106" t="s">
        <v>523</v>
      </c>
      <c r="H35" s="420">
        <v>1.86</v>
      </c>
      <c r="I35" s="93"/>
      <c r="J35" s="133"/>
      <c r="K35" s="516">
        <f t="shared" ca="1" si="0"/>
        <v>0</v>
      </c>
      <c r="L35" s="106"/>
      <c r="M35" s="93"/>
      <c r="N35" s="668"/>
      <c r="O35" s="116"/>
      <c r="P35" s="515">
        <f t="shared" si="5"/>
        <v>0</v>
      </c>
      <c r="Q35" s="240">
        <f t="shared" si="6"/>
        <v>0</v>
      </c>
      <c r="R35" s="195"/>
      <c r="S35" s="694">
        <f>IF($R35="X",COUNTIF($R$28:R35,"X"),)</f>
        <v>0</v>
      </c>
      <c r="T35" s="76">
        <f>IF($C35&lt;&gt;0,SUM(P$28:P35)-SUM(Q$28:Q35),)</f>
        <v>1449.02</v>
      </c>
      <c r="U35" s="76">
        <f t="shared" si="2"/>
        <v>0</v>
      </c>
      <c r="V35" s="85">
        <f t="shared" si="3"/>
        <v>0</v>
      </c>
      <c r="W35" s="85">
        <f t="shared" si="7"/>
        <v>0</v>
      </c>
      <c r="X35" s="76">
        <f>IF($C35&lt;&gt;0,SUM(V$28:V35)-SUM(W$28:W35),)</f>
        <v>6297</v>
      </c>
      <c r="Y35" s="126"/>
      <c r="Z35" s="151"/>
      <c r="AA35" s="750"/>
      <c r="AB35" s="140"/>
      <c r="AC35" s="381"/>
      <c r="AD35" s="750"/>
    </row>
    <row r="36" spans="1:30" ht="28.8" customHeight="1">
      <c r="A36" s="703">
        <v>9</v>
      </c>
      <c r="B36" s="418"/>
      <c r="C36" s="356">
        <v>43466</v>
      </c>
      <c r="D36" s="73" t="s">
        <v>274</v>
      </c>
      <c r="E36" s="74" t="s">
        <v>436</v>
      </c>
      <c r="F36" s="412" t="s">
        <v>11</v>
      </c>
      <c r="G36" s="106" t="s">
        <v>523</v>
      </c>
      <c r="H36" s="420">
        <v>20.2</v>
      </c>
      <c r="I36" s="93"/>
      <c r="J36" s="133"/>
      <c r="K36" s="516">
        <f t="shared" ca="1" si="0"/>
        <v>0</v>
      </c>
      <c r="L36" s="106"/>
      <c r="M36" s="93"/>
      <c r="N36" s="668"/>
      <c r="O36" s="116"/>
      <c r="P36" s="515">
        <f t="shared" si="5"/>
        <v>0</v>
      </c>
      <c r="Q36" s="240">
        <f t="shared" si="6"/>
        <v>0</v>
      </c>
      <c r="R36" s="195"/>
      <c r="S36" s="694">
        <f>IF($R36="X",COUNTIF($R$28:R36,"X"),)</f>
        <v>0</v>
      </c>
      <c r="T36" s="76">
        <f>IF($C36&lt;&gt;0,SUM(P$28:P36)-SUM(Q$28:Q36),)</f>
        <v>1449.02</v>
      </c>
      <c r="U36" s="76">
        <f t="shared" si="2"/>
        <v>0</v>
      </c>
      <c r="V36" s="85">
        <f t="shared" si="3"/>
        <v>0</v>
      </c>
      <c r="W36" s="85">
        <f t="shared" si="7"/>
        <v>0</v>
      </c>
      <c r="X36" s="76">
        <f>IF($C36&lt;&gt;0,SUM(V$28:V36)-SUM(W$28:W36),)</f>
        <v>6297</v>
      </c>
      <c r="Y36" s="229"/>
      <c r="Z36" s="151"/>
      <c r="AA36" s="750"/>
      <c r="AB36" s="140"/>
      <c r="AC36" s="381"/>
      <c r="AD36" s="750"/>
    </row>
    <row r="37" spans="1:30" ht="15" customHeight="1">
      <c r="A37" s="703">
        <v>10</v>
      </c>
      <c r="B37" s="418"/>
      <c r="C37" s="354">
        <v>43467</v>
      </c>
      <c r="D37" s="124" t="s">
        <v>143</v>
      </c>
      <c r="E37" s="105" t="s">
        <v>267</v>
      </c>
      <c r="F37" s="125" t="s">
        <v>11</v>
      </c>
      <c r="G37" s="106" t="s">
        <v>450</v>
      </c>
      <c r="H37" s="462">
        <v>435.22</v>
      </c>
      <c r="I37" s="93"/>
      <c r="J37" s="133"/>
      <c r="K37" s="516">
        <f t="shared" ref="K37" ca="1" si="8">IF(AND(J37&lt;&gt;0,J37&lt;&gt;"R",J37&lt;TODAY()),"x",)</f>
        <v>0</v>
      </c>
      <c r="L37" s="106"/>
      <c r="M37" s="93"/>
      <c r="N37" s="668"/>
      <c r="O37" s="116"/>
      <c r="P37" s="515">
        <f t="shared" si="5"/>
        <v>435.22</v>
      </c>
      <c r="Q37" s="240">
        <f t="shared" ref="Q37" si="9">IF(AND($C37&lt;&gt;0,OR($F37="D",$F37="DT"),$G37=P$4),$H37,)</f>
        <v>0</v>
      </c>
      <c r="R37" s="195"/>
      <c r="S37" s="694">
        <f>IF($R37="X",COUNTIF($R$28:R37,"X"),)</f>
        <v>0</v>
      </c>
      <c r="T37" s="76">
        <f>IF($C37&lt;&gt;0,SUM(P$28:P37)-SUM(Q$28:Q37),)</f>
        <v>1884.24</v>
      </c>
      <c r="U37" s="76">
        <f t="shared" ref="U37" si="10">IF(ISBLANK($C37),0,IF(NOT(ISBLANK(R37)),0,IF(P37&gt;0,P37,IF(Q37&gt;0,-Q37,))))</f>
        <v>435.22</v>
      </c>
      <c r="V37" s="85">
        <f t="shared" si="3"/>
        <v>0</v>
      </c>
      <c r="W37" s="85">
        <f t="shared" ref="W37" si="11">IF(AND($C37&lt;&gt;0,OR($F37="D",$F37="DT"),$G37=V$4),$H37,)</f>
        <v>0</v>
      </c>
      <c r="X37" s="76">
        <f>IF($C37&lt;&gt;0,SUM(V$28:V37)-SUM(W$28:W37),)</f>
        <v>6297</v>
      </c>
      <c r="Y37" s="229"/>
      <c r="Z37" s="151"/>
      <c r="AA37" s="750"/>
      <c r="AB37" s="140"/>
      <c r="AC37" s="381"/>
      <c r="AD37" s="750"/>
    </row>
    <row r="38" spans="1:30" ht="15" customHeight="1">
      <c r="A38" s="704"/>
      <c r="B38" s="418"/>
      <c r="C38" s="760" t="s">
        <v>574</v>
      </c>
      <c r="D38" s="761"/>
      <c r="E38" s="761"/>
      <c r="F38" s="761"/>
      <c r="G38" s="761"/>
      <c r="H38" s="761"/>
      <c r="I38" s="761"/>
      <c r="J38" s="762"/>
      <c r="K38" s="516">
        <f t="shared" ref="K38" ca="1" si="12">IF(AND(J38&lt;&gt;0,J38&lt;&gt;"R",J38&lt;TODAY()),"x",)</f>
        <v>0</v>
      </c>
      <c r="L38" s="106"/>
      <c r="M38" s="93"/>
      <c r="N38" s="668"/>
      <c r="O38" s="116"/>
      <c r="P38" s="515">
        <f t="shared" si="5"/>
        <v>0</v>
      </c>
      <c r="Q38" s="240">
        <f t="shared" ref="Q38" si="13">IF(AND($C38&lt;&gt;0,OR($F38="D",$F38="DT"),$G38=P$4),$H38,)</f>
        <v>0</v>
      </c>
      <c r="R38" s="195"/>
      <c r="S38" s="694">
        <f>IF($R38="X",COUNTIF($R$28:R38,"X"),)</f>
        <v>0</v>
      </c>
      <c r="T38" s="76">
        <f>IF($C38&lt;&gt;0,SUM(P$28:P38)-SUM(Q$28:Q38),)</f>
        <v>1884.24</v>
      </c>
      <c r="U38" s="76">
        <f t="shared" ref="U38" si="14">IF(ISBLANK($C38),0,IF(NOT(ISBLANK(R38)),0,IF(P38&gt;0,P38,IF(Q38&gt;0,-Q38,))))</f>
        <v>0</v>
      </c>
      <c r="V38" s="85">
        <f t="shared" si="3"/>
        <v>0</v>
      </c>
      <c r="W38" s="85">
        <f t="shared" ref="W38" si="15">IF(AND($C38&lt;&gt;0,OR($F38="D",$F38="DT"),$G38=V$4),$H38,)</f>
        <v>0</v>
      </c>
      <c r="X38" s="76">
        <f>IF($C38&lt;&gt;0,SUM(V$28:V38)-SUM(W$28:W38),)</f>
        <v>6297</v>
      </c>
      <c r="Y38" s="229"/>
      <c r="Z38" s="151"/>
      <c r="AA38" s="750"/>
      <c r="AB38" s="140"/>
      <c r="AC38" s="381"/>
      <c r="AD38" s="750"/>
    </row>
    <row r="39" spans="1:30" s="126" customFormat="1" ht="14.4" customHeight="1">
      <c r="A39" s="704"/>
      <c r="B39" s="501"/>
      <c r="C39" s="357" t="s">
        <v>558</v>
      </c>
      <c r="D39" s="108" t="s">
        <v>573</v>
      </c>
      <c r="E39" s="128" t="s">
        <v>572</v>
      </c>
      <c r="F39" s="577"/>
      <c r="G39" s="106"/>
      <c r="H39" s="241"/>
      <c r="I39" s="269"/>
      <c r="J39" s="273"/>
      <c r="K39" s="516">
        <f t="shared" ref="K39:K40" ca="1" si="16">IF(AND(J39&lt;&gt;0,J39&lt;&gt;"R",J39&lt;TODAY()),"x",)</f>
        <v>0</v>
      </c>
      <c r="L39" s="106"/>
      <c r="M39" s="269"/>
      <c r="N39" s="456"/>
      <c r="O39" s="116"/>
      <c r="P39" s="515">
        <f t="shared" ref="P39:P47" si="17">IF(AND($C39&lt;&gt;0,OR($F39="C",$F39="CT"),$G39=P$4),$H39,)</f>
        <v>0</v>
      </c>
      <c r="Q39" s="240">
        <f t="shared" ref="Q39:Q40" si="18">IF(AND($C39&lt;&gt;0,OR($F39="D",$F39="DT"),$G39=P$4),$H39,)</f>
        <v>0</v>
      </c>
      <c r="R39" s="737"/>
      <c r="S39" s="694">
        <f>IF($R39="X",COUNTIF($R$28:R39,"X"),)</f>
        <v>0</v>
      </c>
      <c r="T39" s="76">
        <f>IF($C39&lt;&gt;0,SUM(P$28:P39)-SUM(Q$28:Q39),)</f>
        <v>1884.24</v>
      </c>
      <c r="U39" s="76">
        <f t="shared" ref="U39:U40" si="19">IF(ISBLANK($C39),0,IF(NOT(ISBLANK(R39)),0,IF(P39&gt;0,P39,IF(Q39&gt;0,-Q39,))))</f>
        <v>0</v>
      </c>
      <c r="V39" s="85">
        <f t="shared" ref="V39:V47" si="20">IF(AND($C39&lt;&gt;0,OR($F39="C",$F39="CT"),$G39=V$4),$H39,)</f>
        <v>0</v>
      </c>
      <c r="W39" s="85">
        <f t="shared" ref="W39:W40" si="21">IF(AND($C39&lt;&gt;0,OR($F39="D",$F39="DT"),$G39=V$4),$H39,)</f>
        <v>0</v>
      </c>
      <c r="X39" s="76">
        <f>IF($C39&lt;&gt;0,SUM(V$28:V39)-SUM(W$28:W39),)</f>
        <v>6297</v>
      </c>
      <c r="AA39" s="149"/>
      <c r="AB39" s="149"/>
      <c r="AC39" s="149"/>
      <c r="AD39" s="427"/>
    </row>
    <row r="40" spans="1:30" s="126" customFormat="1" ht="29.4" customHeight="1">
      <c r="A40" s="704"/>
      <c r="B40" s="501"/>
      <c r="C40" s="357" t="s">
        <v>558</v>
      </c>
      <c r="D40" s="108" t="s">
        <v>568</v>
      </c>
      <c r="E40" s="128" t="s">
        <v>567</v>
      </c>
      <c r="F40" s="577"/>
      <c r="G40" s="106"/>
      <c r="H40" s="241"/>
      <c r="I40" s="269"/>
      <c r="J40" s="273"/>
      <c r="K40" s="516">
        <f t="shared" ca="1" si="16"/>
        <v>0</v>
      </c>
      <c r="L40" s="106"/>
      <c r="M40" s="269"/>
      <c r="N40" s="456"/>
      <c r="O40" s="116"/>
      <c r="P40" s="515">
        <f t="shared" si="17"/>
        <v>0</v>
      </c>
      <c r="Q40" s="240">
        <f t="shared" si="18"/>
        <v>0</v>
      </c>
      <c r="R40" s="737"/>
      <c r="S40" s="694">
        <f>IF($R40="X",COUNTIF($R$28:R40,"X"),)</f>
        <v>0</v>
      </c>
      <c r="T40" s="76">
        <f>IF($C40&lt;&gt;0,SUM(P$28:P40)-SUM(Q$28:Q40),)</f>
        <v>1884.24</v>
      </c>
      <c r="U40" s="76">
        <f t="shared" si="19"/>
        <v>0</v>
      </c>
      <c r="V40" s="85">
        <f t="shared" si="20"/>
        <v>0</v>
      </c>
      <c r="W40" s="85">
        <f t="shared" si="21"/>
        <v>0</v>
      </c>
      <c r="X40" s="76">
        <f>IF($C40&lt;&gt;0,SUM(V$28:V40)-SUM(W$28:W40),)</f>
        <v>6297</v>
      </c>
      <c r="AA40" s="149"/>
      <c r="AB40" s="149"/>
      <c r="AC40" s="149"/>
      <c r="AD40" s="427"/>
    </row>
    <row r="41" spans="1:30" s="126" customFormat="1" ht="14.4" customHeight="1">
      <c r="A41" s="704"/>
      <c r="B41" s="501"/>
      <c r="C41" s="357" t="s">
        <v>557</v>
      </c>
      <c r="D41" s="108" t="s">
        <v>251</v>
      </c>
      <c r="E41" s="128" t="s">
        <v>566</v>
      </c>
      <c r="F41" s="577"/>
      <c r="G41" s="106"/>
      <c r="H41" s="241"/>
      <c r="I41" s="269"/>
      <c r="J41" s="273"/>
      <c r="K41" s="516">
        <f t="shared" ref="K41" ca="1" si="22">IF(AND(J41&lt;&gt;0,J41&lt;&gt;"R",J41&lt;TODAY()),"x",)</f>
        <v>0</v>
      </c>
      <c r="L41" s="106"/>
      <c r="M41" s="269"/>
      <c r="N41" s="456"/>
      <c r="O41" s="116"/>
      <c r="P41" s="515">
        <f t="shared" si="17"/>
        <v>0</v>
      </c>
      <c r="Q41" s="240">
        <f t="shared" ref="Q41" si="23">IF(AND($C41&lt;&gt;0,OR($F41="D",$F41="DT"),$G41=P$4),$H41,)</f>
        <v>0</v>
      </c>
      <c r="R41" s="737"/>
      <c r="S41" s="694">
        <f>IF($R41="X",COUNTIF($R$28:R41,"X"),)</f>
        <v>0</v>
      </c>
      <c r="T41" s="76">
        <f>IF($C41&lt;&gt;0,SUM(P$28:P41)-SUM(Q$28:Q41),)</f>
        <v>1884.24</v>
      </c>
      <c r="U41" s="76">
        <f t="shared" ref="U41" si="24">IF(ISBLANK($C41),0,IF(NOT(ISBLANK(R41)),0,IF(P41&gt;0,P41,IF(Q41&gt;0,-Q41,))))</f>
        <v>0</v>
      </c>
      <c r="V41" s="85">
        <f t="shared" si="20"/>
        <v>0</v>
      </c>
      <c r="W41" s="85">
        <f t="shared" ref="W41" si="25">IF(AND($C41&lt;&gt;0,OR($F41="D",$F41="DT"),$G41=V$4),$H41,)</f>
        <v>0</v>
      </c>
      <c r="X41" s="76">
        <f>IF($C41&lt;&gt;0,SUM(V$28:V41)-SUM(W$28:W41),)</f>
        <v>6297</v>
      </c>
      <c r="AA41" s="149"/>
      <c r="AB41" s="149"/>
      <c r="AC41" s="149"/>
      <c r="AD41" s="427"/>
    </row>
    <row r="42" spans="1:30" s="126" customFormat="1" ht="14.4" customHeight="1">
      <c r="A42" s="704"/>
      <c r="B42" s="501"/>
      <c r="C42" s="357" t="s">
        <v>558</v>
      </c>
      <c r="D42" s="108" t="s">
        <v>456</v>
      </c>
      <c r="E42" s="128" t="s">
        <v>559</v>
      </c>
      <c r="F42" s="577"/>
      <c r="G42" s="106"/>
      <c r="H42" s="241"/>
      <c r="I42" s="269"/>
      <c r="J42" s="273"/>
      <c r="K42" s="516">
        <f t="shared" ref="K42:K43" ca="1" si="26">IF(AND(J42&lt;&gt;0,J42&lt;&gt;"R",J42&lt;TODAY()),"x",)</f>
        <v>0</v>
      </c>
      <c r="L42" s="106"/>
      <c r="M42" s="269"/>
      <c r="N42" s="456"/>
      <c r="O42" s="116"/>
      <c r="P42" s="515">
        <f t="shared" si="17"/>
        <v>0</v>
      </c>
      <c r="Q42" s="240">
        <f t="shared" ref="Q42:Q43" si="27">IF(AND($C42&lt;&gt;0,OR($F42="D",$F42="DT"),$G42=P$4),$H42,)</f>
        <v>0</v>
      </c>
      <c r="R42" s="737"/>
      <c r="S42" s="694">
        <f>IF($R42="X",COUNTIF($R$28:R42,"X"),)</f>
        <v>0</v>
      </c>
      <c r="T42" s="76">
        <f>IF($C42&lt;&gt;0,SUM(P$28:P42)-SUM(Q$28:Q42),)</f>
        <v>1884.24</v>
      </c>
      <c r="U42" s="76">
        <f t="shared" ref="U42:U43" si="28">IF(ISBLANK($C42),0,IF(NOT(ISBLANK(R42)),0,IF(P42&gt;0,P42,IF(Q42&gt;0,-Q42,))))</f>
        <v>0</v>
      </c>
      <c r="V42" s="85">
        <f t="shared" si="20"/>
        <v>0</v>
      </c>
      <c r="W42" s="85">
        <f t="shared" ref="W42:W43" si="29">IF(AND($C42&lt;&gt;0,OR($F42="D",$F42="DT"),$G42=V$4),$H42,)</f>
        <v>0</v>
      </c>
      <c r="X42" s="76">
        <f>IF($C42&lt;&gt;0,SUM(V$28:V42)-SUM(W$28:W42),)</f>
        <v>6297</v>
      </c>
      <c r="AA42" s="149"/>
      <c r="AB42" s="149"/>
      <c r="AC42" s="149"/>
      <c r="AD42" s="427"/>
    </row>
    <row r="43" spans="1:30" s="126" customFormat="1" ht="14.4" customHeight="1">
      <c r="A43" s="704"/>
      <c r="B43" s="501"/>
      <c r="C43" s="357" t="s">
        <v>557</v>
      </c>
      <c r="D43" s="108" t="s">
        <v>539</v>
      </c>
      <c r="E43" s="128" t="s">
        <v>556</v>
      </c>
      <c r="F43" s="577"/>
      <c r="G43" s="106"/>
      <c r="H43" s="241"/>
      <c r="I43" s="269"/>
      <c r="J43" s="273"/>
      <c r="K43" s="516">
        <f t="shared" ca="1" si="26"/>
        <v>0</v>
      </c>
      <c r="L43" s="106"/>
      <c r="M43" s="269"/>
      <c r="N43" s="456"/>
      <c r="O43" s="116"/>
      <c r="P43" s="515">
        <f t="shared" si="17"/>
        <v>0</v>
      </c>
      <c r="Q43" s="240">
        <f t="shared" si="27"/>
        <v>0</v>
      </c>
      <c r="R43" s="737"/>
      <c r="S43" s="694">
        <f>IF($R43="X",COUNTIF($R$28:R43,"X"),)</f>
        <v>0</v>
      </c>
      <c r="T43" s="76">
        <f>IF($C43&lt;&gt;0,SUM(P$28:P43)-SUM(Q$28:Q43),)</f>
        <v>1884.24</v>
      </c>
      <c r="U43" s="76">
        <f t="shared" si="28"/>
        <v>0</v>
      </c>
      <c r="V43" s="85">
        <f t="shared" si="20"/>
        <v>0</v>
      </c>
      <c r="W43" s="85">
        <f t="shared" si="29"/>
        <v>0</v>
      </c>
      <c r="X43" s="76">
        <f>IF($C43&lt;&gt;0,SUM(V$28:V43)-SUM(W$28:W43),)</f>
        <v>6297</v>
      </c>
      <c r="AA43" s="149"/>
      <c r="AB43" s="149"/>
      <c r="AC43" s="149"/>
      <c r="AD43" s="427"/>
    </row>
    <row r="44" spans="1:30" s="126" customFormat="1" ht="14.4" customHeight="1">
      <c r="A44" s="704"/>
      <c r="B44" s="501"/>
      <c r="C44" s="357">
        <v>44561</v>
      </c>
      <c r="D44" s="108" t="s">
        <v>262</v>
      </c>
      <c r="E44" s="251" t="s">
        <v>531</v>
      </c>
      <c r="F44" s="577" t="s">
        <v>11</v>
      </c>
      <c r="G44" s="106" t="s">
        <v>450</v>
      </c>
      <c r="H44" s="241">
        <v>12</v>
      </c>
      <c r="I44" s="269"/>
      <c r="J44" s="273"/>
      <c r="K44" s="516">
        <f t="shared" ref="K44:K45" ca="1" si="30">IF(AND(J44&lt;&gt;0,J44&lt;&gt;"R",J44&lt;TODAY()),"x",)</f>
        <v>0</v>
      </c>
      <c r="L44" s="106"/>
      <c r="M44" s="269"/>
      <c r="N44" s="456" t="s">
        <v>261</v>
      </c>
      <c r="O44" s="116"/>
      <c r="P44" s="515">
        <f t="shared" si="17"/>
        <v>12</v>
      </c>
      <c r="Q44" s="240">
        <f t="shared" ref="Q44:Q45" si="31">IF(AND($C44&lt;&gt;0,OR($F44="D",$F44="DT"),$G44=P$4),$H44,)</f>
        <v>0</v>
      </c>
      <c r="R44" s="737"/>
      <c r="S44" s="694">
        <f>IF($R44="X",COUNTIF($R$28:R44,"X"),)</f>
        <v>0</v>
      </c>
      <c r="T44" s="76">
        <f>IF($C44&lt;&gt;0,SUM(P$28:P44)-SUM(Q$28:Q44),)</f>
        <v>1896.24</v>
      </c>
      <c r="U44" s="76">
        <f t="shared" ref="U44:U45" si="32">IF(ISBLANK($C44),0,IF(NOT(ISBLANK(R44)),0,IF(P44&gt;0,P44,IF(Q44&gt;0,-Q44,))))</f>
        <v>12</v>
      </c>
      <c r="V44" s="85">
        <f t="shared" si="20"/>
        <v>0</v>
      </c>
      <c r="W44" s="85">
        <f t="shared" ref="W44:W45" si="33">IF(AND($C44&lt;&gt;0,OR($F44="D",$F44="DT"),$G44=V$4),$H44,)</f>
        <v>0</v>
      </c>
      <c r="X44" s="76">
        <f>IF($C44&lt;&gt;0,SUM(V$28:V44)-SUM(W$28:W44),)</f>
        <v>6297</v>
      </c>
      <c r="AA44" s="149"/>
      <c r="AB44" s="149"/>
      <c r="AC44" s="149"/>
      <c r="AD44" s="427"/>
    </row>
    <row r="45" spans="1:30" s="126" customFormat="1" ht="14.4" customHeight="1">
      <c r="A45" s="704"/>
      <c r="B45" s="501"/>
      <c r="C45" s="357">
        <v>44561</v>
      </c>
      <c r="D45" s="108" t="s">
        <v>135</v>
      </c>
      <c r="E45" s="251" t="s">
        <v>531</v>
      </c>
      <c r="F45" s="577" t="s">
        <v>11</v>
      </c>
      <c r="G45" s="106" t="s">
        <v>450</v>
      </c>
      <c r="H45" s="241">
        <v>35</v>
      </c>
      <c r="I45" s="269"/>
      <c r="J45" s="273"/>
      <c r="K45" s="516">
        <f t="shared" ca="1" si="30"/>
        <v>0</v>
      </c>
      <c r="L45" s="106"/>
      <c r="M45" s="269"/>
      <c r="N45" s="456" t="s">
        <v>261</v>
      </c>
      <c r="O45" s="116"/>
      <c r="P45" s="515">
        <f t="shared" si="17"/>
        <v>35</v>
      </c>
      <c r="Q45" s="240">
        <f t="shared" si="31"/>
        <v>0</v>
      </c>
      <c r="R45" s="737"/>
      <c r="S45" s="694">
        <f>IF($R45="X",COUNTIF($R$28:R45,"X"),)</f>
        <v>0</v>
      </c>
      <c r="T45" s="76">
        <f>IF($C45&lt;&gt;0,SUM(P$28:P45)-SUM(Q$28:Q45),)</f>
        <v>1931.24</v>
      </c>
      <c r="U45" s="76">
        <f t="shared" si="32"/>
        <v>35</v>
      </c>
      <c r="V45" s="85">
        <f t="shared" si="20"/>
        <v>0</v>
      </c>
      <c r="W45" s="85">
        <f t="shared" si="33"/>
        <v>0</v>
      </c>
      <c r="X45" s="76">
        <f>IF($C45&lt;&gt;0,SUM(V$28:V45)-SUM(W$28:W45),)</f>
        <v>6297</v>
      </c>
      <c r="AA45" s="149"/>
      <c r="AB45" s="149"/>
      <c r="AC45" s="149"/>
      <c r="AD45" s="427"/>
    </row>
    <row r="46" spans="1:30" s="126" customFormat="1" ht="14.4" customHeight="1">
      <c r="A46" s="704"/>
      <c r="B46" s="501"/>
      <c r="C46" s="357"/>
      <c r="D46" s="108"/>
      <c r="E46" s="699" t="s">
        <v>530</v>
      </c>
      <c r="F46" s="577"/>
      <c r="G46" s="454"/>
      <c r="H46" s="241"/>
      <c r="I46" s="269"/>
      <c r="J46" s="273"/>
      <c r="K46" s="516">
        <f t="shared" ref="K46:K47" ca="1" si="34">IF(AND(J46&lt;&gt;0,J46&lt;&gt;"R",J46&lt;TODAY()),"x",)</f>
        <v>0</v>
      </c>
      <c r="L46" s="106"/>
      <c r="M46" s="269"/>
      <c r="N46" s="456"/>
      <c r="O46" s="116"/>
      <c r="P46" s="515">
        <f t="shared" si="17"/>
        <v>0</v>
      </c>
      <c r="Q46" s="240">
        <f t="shared" ref="Q46:Q47" si="35">IF(AND($C46&lt;&gt;0,OR($F46="D",$F46="DT"),$G46=P$4),$H46,)</f>
        <v>0</v>
      </c>
      <c r="R46" s="737"/>
      <c r="S46" s="694">
        <f>IF($R46="X",COUNTIF($R$28:R46,"X"),)</f>
        <v>0</v>
      </c>
      <c r="T46" s="76">
        <f>IF($C46&lt;&gt;0,SUM(P$28:P46)-SUM(Q$28:Q46),)</f>
        <v>0</v>
      </c>
      <c r="U46" s="76">
        <f t="shared" ref="U46:U47" si="36">IF(ISBLANK($C46),0,IF(NOT(ISBLANK(R46)),0,IF(P46&gt;0,P46,IF(Q46&gt;0,-Q46,))))</f>
        <v>0</v>
      </c>
      <c r="V46" s="85">
        <f t="shared" si="20"/>
        <v>0</v>
      </c>
      <c r="W46" s="85">
        <f t="shared" ref="W46:W47" si="37">IF(AND($C46&lt;&gt;0,OR($F46="D",$F46="DT"),$G46=V$4),$H46,)</f>
        <v>0</v>
      </c>
      <c r="X46" s="76">
        <f>IF($C46&lt;&gt;0,SUM(V$28:V46)-SUM(W$28:W46),)</f>
        <v>0</v>
      </c>
      <c r="AA46" s="149"/>
      <c r="AB46" s="149"/>
      <c r="AC46" s="149"/>
      <c r="AD46" s="427"/>
    </row>
    <row r="47" spans="1:30" s="126" customFormat="1" ht="13.8" customHeight="1" thickBot="1">
      <c r="A47" s="704"/>
      <c r="B47" s="501"/>
      <c r="C47" s="357"/>
      <c r="D47" s="701" t="s">
        <v>529</v>
      </c>
      <c r="E47" s="700" t="s">
        <v>528</v>
      </c>
      <c r="F47" s="577"/>
      <c r="G47" s="454"/>
      <c r="H47" s="241"/>
      <c r="I47" s="269"/>
      <c r="J47" s="273"/>
      <c r="K47" s="516">
        <f t="shared" ca="1" si="34"/>
        <v>0</v>
      </c>
      <c r="L47" s="106"/>
      <c r="M47" s="269"/>
      <c r="N47" s="622"/>
      <c r="O47" s="93"/>
      <c r="P47" s="515">
        <f t="shared" si="17"/>
        <v>0</v>
      </c>
      <c r="Q47" s="240">
        <f t="shared" si="35"/>
        <v>0</v>
      </c>
      <c r="R47" s="737"/>
      <c r="S47" s="694">
        <f>IF($R47="X",COUNTIF($R$28:R47,"X"),)</f>
        <v>0</v>
      </c>
      <c r="T47" s="76">
        <f>IF($C47&lt;&gt;0,SUM(P$28:P47)-SUM(Q$28:Q47),)</f>
        <v>0</v>
      </c>
      <c r="U47" s="85">
        <f t="shared" si="36"/>
        <v>0</v>
      </c>
      <c r="V47" s="76">
        <f t="shared" si="20"/>
        <v>0</v>
      </c>
      <c r="W47" s="85">
        <f t="shared" si="37"/>
        <v>0</v>
      </c>
      <c r="X47" s="76">
        <f>IF($C47&lt;&gt;0,SUM(V$28:V47)-SUM(W$28:W47),)</f>
        <v>0</v>
      </c>
      <c r="AA47" s="149"/>
      <c r="AB47" s="149"/>
      <c r="AC47" s="149"/>
      <c r="AD47" s="427"/>
    </row>
    <row r="48" spans="1:30" ht="14.4" customHeight="1">
      <c r="A48" s="752"/>
      <c r="B48" s="570"/>
      <c r="C48" s="248"/>
      <c r="D48" s="824" t="s">
        <v>535</v>
      </c>
      <c r="E48" s="775" t="s">
        <v>543</v>
      </c>
      <c r="F48" s="443"/>
      <c r="G48" s="236"/>
      <c r="H48" s="463"/>
      <c r="I48" s="236"/>
      <c r="J48" s="279" t="s">
        <v>136</v>
      </c>
      <c r="K48" s="503">
        <f>COUNTA(J29:J47)</f>
        <v>0</v>
      </c>
      <c r="L48" s="508"/>
      <c r="M48" s="620">
        <f>COUNTA(M29:M47)</f>
        <v>3</v>
      </c>
      <c r="N48" s="845" t="s">
        <v>426</v>
      </c>
      <c r="O48" s="846"/>
      <c r="P48" s="847"/>
      <c r="Q48" s="630" t="s">
        <v>314</v>
      </c>
      <c r="R48" s="338">
        <f>COUNTIF(R$28:R47,Q48)</f>
        <v>0</v>
      </c>
      <c r="S48" s="705" t="s">
        <v>534</v>
      </c>
      <c r="T48" s="829" t="s">
        <v>490</v>
      </c>
      <c r="U48" s="765">
        <f>COUNTIF(U$28:U47,"&lt;0")+COUNTIF(U$28:U47,"&gt;0")</f>
        <v>3</v>
      </c>
      <c r="V48" s="232"/>
      <c r="W48" s="169"/>
      <c r="X48" s="170"/>
    </row>
    <row r="49" spans="1:24" ht="14.4" customHeight="1">
      <c r="A49" s="752"/>
      <c r="B49" s="570"/>
      <c r="C49" s="576"/>
      <c r="D49" s="824"/>
      <c r="E49" s="776"/>
      <c r="F49" s="444"/>
      <c r="G49" s="127"/>
      <c r="H49" s="464"/>
      <c r="I49" s="127"/>
      <c r="J49" s="246" t="s">
        <v>331</v>
      </c>
      <c r="K49" s="456">
        <f>COUNTIF(J28:J47,"R")</f>
        <v>0</v>
      </c>
      <c r="L49" s="75"/>
      <c r="M49" s="621">
        <f>COUNTIF(M29:M47,"S")</f>
        <v>3</v>
      </c>
      <c r="N49" s="848"/>
      <c r="O49" s="849"/>
      <c r="P49" s="850"/>
      <c r="Q49" s="630" t="s">
        <v>432</v>
      </c>
      <c r="R49" s="338">
        <f>COUNTIF(R$28:R47,Q49)</f>
        <v>4</v>
      </c>
      <c r="S49" s="633">
        <f>MAX(S$28:S47)</f>
        <v>4</v>
      </c>
      <c r="T49" s="830"/>
      <c r="U49" s="765"/>
      <c r="V49" s="131"/>
      <c r="W49" s="171"/>
      <c r="X49" s="131"/>
    </row>
    <row r="50" spans="1:24" ht="13.8" customHeight="1">
      <c r="A50" s="753"/>
      <c r="B50" s="567"/>
      <c r="C50" s="568"/>
      <c r="D50" s="824"/>
      <c r="E50" s="777"/>
      <c r="F50" s="444"/>
      <c r="G50" s="127"/>
      <c r="H50" s="464"/>
      <c r="I50" s="127"/>
      <c r="J50" s="246" t="s">
        <v>322</v>
      </c>
      <c r="K50" s="456">
        <f>K48-K49</f>
        <v>0</v>
      </c>
      <c r="L50" s="507"/>
      <c r="M50" s="505">
        <f>M48-M49</f>
        <v>0</v>
      </c>
      <c r="N50" s="58"/>
      <c r="O50" s="58"/>
      <c r="P50" s="58"/>
      <c r="Q50" s="378"/>
      <c r="R50" s="339"/>
      <c r="S50" s="339"/>
      <c r="T50" s="232"/>
      <c r="U50" s="171"/>
      <c r="V50" s="171"/>
      <c r="W50" s="131"/>
      <c r="X50" s="131"/>
    </row>
    <row r="51" spans="1:24" ht="13.8" customHeight="1" thickBot="1">
      <c r="A51" s="753"/>
      <c r="B51" s="567"/>
      <c r="C51" s="568"/>
      <c r="D51" s="571"/>
      <c r="E51" s="278" t="s">
        <v>238</v>
      </c>
      <c r="F51" s="445"/>
      <c r="G51" s="140"/>
      <c r="H51" s="465"/>
      <c r="I51" s="127"/>
      <c r="J51" s="253" t="s">
        <v>330</v>
      </c>
      <c r="K51" s="504">
        <f ca="1">COUNTIF(K29:K47,"x")</f>
        <v>0</v>
      </c>
      <c r="L51" s="509"/>
      <c r="M51" s="506">
        <f>COUNTIF(M29:M47,"x")</f>
        <v>0</v>
      </c>
      <c r="N51" s="291"/>
      <c r="O51" s="291"/>
      <c r="P51" s="291"/>
      <c r="Q51" s="378"/>
      <c r="R51" s="339"/>
      <c r="S51" s="339"/>
      <c r="T51" s="280"/>
      <c r="U51" s="131"/>
      <c r="V51" s="171"/>
      <c r="W51" s="131"/>
      <c r="X51" s="131"/>
    </row>
    <row r="52" spans="1:24" ht="14.4" customHeight="1">
      <c r="A52" s="753"/>
      <c r="B52" s="419"/>
      <c r="C52" s="276"/>
      <c r="D52" s="766" t="s">
        <v>315</v>
      </c>
      <c r="E52" s="772" t="s">
        <v>318</v>
      </c>
      <c r="F52" s="446"/>
      <c r="G52" s="127"/>
      <c r="H52" s="466"/>
      <c r="I52" s="127"/>
      <c r="J52" s="243"/>
      <c r="K52" s="778" t="s">
        <v>327</v>
      </c>
      <c r="L52" s="502"/>
      <c r="M52" s="769" t="s">
        <v>328</v>
      </c>
      <c r="N52" s="291"/>
      <c r="O52" s="291"/>
      <c r="P52" s="291"/>
      <c r="Q52" s="378"/>
      <c r="R52" s="339"/>
      <c r="S52" s="339"/>
      <c r="T52" s="280"/>
      <c r="U52" s="131"/>
      <c r="V52" s="171"/>
      <c r="W52" s="131"/>
      <c r="X52" s="131"/>
    </row>
    <row r="53" spans="1:24" ht="14.4" customHeight="1">
      <c r="A53" s="753"/>
      <c r="B53" s="419"/>
      <c r="C53" s="276"/>
      <c r="D53" s="767"/>
      <c r="E53" s="773"/>
      <c r="F53" s="446"/>
      <c r="G53" s="127"/>
      <c r="H53" s="466"/>
      <c r="I53" s="127"/>
      <c r="J53" s="243"/>
      <c r="K53" s="779"/>
      <c r="L53" s="502"/>
      <c r="M53" s="770"/>
      <c r="N53" s="291"/>
      <c r="O53" s="291"/>
      <c r="P53" s="291"/>
      <c r="Q53" s="378"/>
      <c r="R53" s="339"/>
      <c r="S53" s="339"/>
      <c r="T53" s="280"/>
      <c r="U53" s="131"/>
      <c r="V53" s="171"/>
      <c r="W53" s="131"/>
      <c r="X53" s="131"/>
    </row>
    <row r="54" spans="1:24" ht="14.4" customHeight="1">
      <c r="A54" s="753"/>
      <c r="B54" s="419"/>
      <c r="C54" s="276"/>
      <c r="D54" s="767"/>
      <c r="E54" s="773"/>
      <c r="F54" s="446"/>
      <c r="G54" s="127"/>
      <c r="H54" s="466"/>
      <c r="I54" s="127"/>
      <c r="J54" s="243"/>
      <c r="K54" s="779"/>
      <c r="L54" s="502"/>
      <c r="M54" s="770"/>
      <c r="N54" s="291"/>
      <c r="O54" s="291"/>
      <c r="P54" s="291"/>
      <c r="Q54" s="378"/>
      <c r="R54" s="339"/>
      <c r="S54" s="339"/>
      <c r="T54" s="379"/>
      <c r="U54" s="238"/>
      <c r="V54" s="171"/>
      <c r="W54" s="131"/>
      <c r="X54" s="131"/>
    </row>
    <row r="55" spans="1:24" ht="14.4" customHeight="1">
      <c r="A55" s="754"/>
      <c r="B55" s="751"/>
      <c r="C55" s="277"/>
      <c r="D55" s="768"/>
      <c r="E55" s="774"/>
      <c r="F55" s="446"/>
      <c r="G55" s="127"/>
      <c r="H55" s="466"/>
      <c r="I55" s="127"/>
      <c r="J55" s="243"/>
      <c r="K55" s="779"/>
      <c r="L55" s="502"/>
      <c r="M55" s="770"/>
      <c r="N55" s="291"/>
      <c r="O55" s="291"/>
      <c r="P55" s="291"/>
      <c r="Q55" s="378"/>
      <c r="R55" s="339"/>
      <c r="S55" s="339"/>
      <c r="T55" s="379"/>
      <c r="U55" s="238"/>
      <c r="V55" s="171"/>
      <c r="W55" s="131"/>
      <c r="X55" s="131"/>
    </row>
    <row r="56" spans="1:24" ht="14.4" customHeight="1">
      <c r="A56" s="753"/>
      <c r="B56" s="419"/>
      <c r="C56" s="276"/>
      <c r="D56" s="555"/>
      <c r="E56" s="386"/>
      <c r="F56" s="446"/>
      <c r="G56" s="127"/>
      <c r="H56" s="467"/>
      <c r="I56" s="127"/>
      <c r="J56" s="243"/>
      <c r="K56" s="779"/>
      <c r="L56" s="502"/>
      <c r="M56" s="770"/>
      <c r="N56" s="291"/>
      <c r="O56" s="291"/>
      <c r="P56" s="291"/>
      <c r="Q56" s="378"/>
      <c r="R56" s="339"/>
      <c r="S56" s="339"/>
      <c r="T56" s="379"/>
      <c r="U56" s="238"/>
      <c r="V56" s="171"/>
      <c r="W56" s="131"/>
      <c r="X56" s="131"/>
    </row>
    <row r="57" spans="1:24" ht="14.4" customHeight="1" thickBot="1">
      <c r="A57" s="753"/>
      <c r="B57" s="567"/>
      <c r="C57" s="568"/>
      <c r="D57" s="568"/>
      <c r="E57" s="386"/>
      <c r="F57" s="446"/>
      <c r="G57" s="127"/>
      <c r="H57" s="467"/>
      <c r="I57" s="127"/>
      <c r="J57" s="243"/>
      <c r="K57" s="780"/>
      <c r="L57" s="502"/>
      <c r="M57" s="771"/>
      <c r="N57" s="291"/>
      <c r="O57" s="291"/>
      <c r="P57" s="291"/>
      <c r="Q57" s="378"/>
      <c r="R57" s="339"/>
      <c r="S57" s="339"/>
      <c r="T57" s="379"/>
      <c r="U57" s="238"/>
      <c r="V57" s="171"/>
      <c r="W57" s="131"/>
      <c r="X57" s="131"/>
    </row>
    <row r="58" spans="1:24">
      <c r="A58" s="753"/>
      <c r="B58" s="567"/>
      <c r="C58" s="248"/>
      <c r="D58" s="277"/>
      <c r="E58" s="242"/>
      <c r="F58" s="444"/>
      <c r="G58" s="127"/>
      <c r="H58" s="468"/>
      <c r="I58" s="127"/>
      <c r="J58" s="243"/>
      <c r="K58" s="127"/>
      <c r="L58" s="140"/>
      <c r="M58" s="127"/>
      <c r="N58" s="127"/>
      <c r="O58" s="127"/>
      <c r="P58" s="234"/>
      <c r="Q58" s="235"/>
      <c r="R58" s="183"/>
      <c r="S58" s="183"/>
      <c r="T58" s="280"/>
      <c r="U58" s="131"/>
      <c r="V58" s="153"/>
      <c r="W58" s="152"/>
      <c r="X58" s="152"/>
    </row>
    <row r="59" spans="1:24" ht="15" thickBot="1">
      <c r="A59" s="704"/>
      <c r="B59" s="414"/>
      <c r="C59" s="143"/>
      <c r="D59" s="144"/>
      <c r="E59" s="145"/>
      <c r="F59" s="447"/>
      <c r="G59" s="146"/>
      <c r="H59" s="469"/>
      <c r="I59" s="146"/>
      <c r="J59" s="263"/>
      <c r="K59" s="146"/>
      <c r="L59" s="146"/>
      <c r="M59" s="146"/>
      <c r="N59" s="146"/>
      <c r="O59" s="146"/>
      <c r="P59" s="147"/>
      <c r="Q59" s="148"/>
      <c r="R59" s="339"/>
      <c r="S59" s="339"/>
      <c r="T59" s="152"/>
      <c r="U59" s="131"/>
      <c r="V59" s="171"/>
      <c r="W59" s="152"/>
      <c r="X59" s="131"/>
    </row>
    <row r="60" spans="1:24" ht="16.2" customHeight="1">
      <c r="A60" s="704"/>
      <c r="B60" s="414"/>
      <c r="C60" s="821" t="s">
        <v>565</v>
      </c>
      <c r="D60" s="822"/>
      <c r="E60" s="822"/>
      <c r="F60" s="822"/>
      <c r="G60" s="822"/>
      <c r="H60" s="822"/>
      <c r="I60" s="822"/>
      <c r="J60" s="822"/>
      <c r="K60" s="822"/>
      <c r="L60" s="822"/>
      <c r="M60" s="822"/>
      <c r="N60" s="822"/>
      <c r="O60" s="822"/>
      <c r="P60" s="822"/>
      <c r="Q60" s="823"/>
      <c r="R60" s="643"/>
      <c r="S60" s="358"/>
      <c r="T60" s="153"/>
      <c r="U60" s="131"/>
      <c r="V60" s="171"/>
      <c r="W60" s="152"/>
      <c r="X60" s="131"/>
    </row>
    <row r="61" spans="1:24" ht="13.8" customHeight="1">
      <c r="A61" s="704"/>
      <c r="B61" s="414"/>
      <c r="C61" s="498"/>
      <c r="D61" s="692" t="s">
        <v>479</v>
      </c>
      <c r="E61" s="720"/>
      <c r="F61" s="720"/>
      <c r="G61" s="720"/>
      <c r="H61" s="720"/>
      <c r="I61" s="720"/>
      <c r="J61" s="720"/>
      <c r="K61" s="720"/>
      <c r="L61" s="720"/>
      <c r="M61" s="720"/>
      <c r="N61" s="693"/>
      <c r="O61" s="720" t="s">
        <v>12</v>
      </c>
      <c r="P61" s="817" t="s">
        <v>477</v>
      </c>
      <c r="Q61" s="818"/>
      <c r="R61" s="643"/>
      <c r="S61" s="358"/>
      <c r="T61" s="153"/>
      <c r="U61" s="131"/>
      <c r="V61" s="171"/>
      <c r="W61" s="152"/>
      <c r="X61" s="131"/>
    </row>
    <row r="62" spans="1:24" ht="14.4" customHeight="1">
      <c r="A62" s="704"/>
      <c r="B62" s="484">
        <v>1</v>
      </c>
      <c r="C62" s="617">
        <v>1</v>
      </c>
      <c r="D62" s="104" t="s">
        <v>143</v>
      </c>
      <c r="E62" s="105" t="s">
        <v>307</v>
      </c>
      <c r="F62" s="441" t="s">
        <v>11</v>
      </c>
      <c r="G62" s="441" t="s">
        <v>450</v>
      </c>
      <c r="H62" s="135">
        <v>453.05</v>
      </c>
      <c r="I62" s="269"/>
      <c r="J62" s="273"/>
      <c r="K62" s="516"/>
      <c r="L62" s="75"/>
      <c r="M62" s="269"/>
      <c r="N62" s="269"/>
      <c r="O62" s="269" t="s">
        <v>12</v>
      </c>
      <c r="P62" s="514">
        <f t="shared" ref="P62:P88" si="38">IF(AND($D62&lt;&gt;0,OR($F62="C",$F62="CT"),$G62="CC",$O62=0),$H62,)</f>
        <v>0</v>
      </c>
      <c r="Q62" s="670">
        <f t="shared" ref="Q62:Q88" si="39">IF(AND($D62&lt;&gt;0,OR($F62="D",$F62="DT"),$G62="CC",$O62=0),$H62,)</f>
        <v>0</v>
      </c>
      <c r="R62" s="643"/>
      <c r="S62" s="358"/>
      <c r="T62" s="811" t="s">
        <v>487</v>
      </c>
      <c r="U62" s="811"/>
      <c r="V62" s="811"/>
      <c r="W62" s="812"/>
      <c r="X62" s="131"/>
    </row>
    <row r="63" spans="1:24" ht="14.4" customHeight="1">
      <c r="A63" s="704"/>
      <c r="B63" s="484">
        <v>2</v>
      </c>
      <c r="C63" s="619"/>
      <c r="D63" s="104" t="s">
        <v>143</v>
      </c>
      <c r="E63" s="105" t="s">
        <v>308</v>
      </c>
      <c r="F63" s="441" t="s">
        <v>11</v>
      </c>
      <c r="G63" s="441" t="s">
        <v>450</v>
      </c>
      <c r="H63" s="135">
        <v>376.32</v>
      </c>
      <c r="I63" s="269"/>
      <c r="J63" s="273"/>
      <c r="K63" s="516"/>
      <c r="L63" s="75"/>
      <c r="M63" s="269"/>
      <c r="N63" s="269"/>
      <c r="O63" s="269" t="s">
        <v>12</v>
      </c>
      <c r="P63" s="514">
        <f t="shared" si="38"/>
        <v>0</v>
      </c>
      <c r="Q63" s="670">
        <f t="shared" si="39"/>
        <v>0</v>
      </c>
      <c r="R63" s="643"/>
      <c r="S63" s="358"/>
      <c r="T63" s="813"/>
      <c r="U63" s="813"/>
      <c r="V63" s="813"/>
      <c r="W63" s="814"/>
      <c r="X63" s="131"/>
    </row>
    <row r="64" spans="1:24" ht="14.4" customHeight="1">
      <c r="A64" s="704"/>
      <c r="B64" s="484">
        <v>3</v>
      </c>
      <c r="C64" s="617">
        <v>5</v>
      </c>
      <c r="D64" s="101" t="s">
        <v>138</v>
      </c>
      <c r="E64" s="102" t="s">
        <v>300</v>
      </c>
      <c r="F64" s="115" t="s">
        <v>362</v>
      </c>
      <c r="G64" s="115" t="s">
        <v>450</v>
      </c>
      <c r="H64" s="112">
        <v>58.06</v>
      </c>
      <c r="I64" s="115"/>
      <c r="J64" s="261"/>
      <c r="K64" s="516"/>
      <c r="L64" s="75"/>
      <c r="M64" s="115"/>
      <c r="N64" s="115" t="s">
        <v>255</v>
      </c>
      <c r="O64" s="115" t="s">
        <v>12</v>
      </c>
      <c r="P64" s="514">
        <f t="shared" si="38"/>
        <v>0</v>
      </c>
      <c r="Q64" s="670">
        <f t="shared" si="39"/>
        <v>0</v>
      </c>
      <c r="R64" s="643"/>
      <c r="S64" s="358"/>
      <c r="T64" s="813"/>
      <c r="U64" s="813"/>
      <c r="V64" s="813"/>
      <c r="W64" s="814"/>
      <c r="X64" s="131"/>
    </row>
    <row r="65" spans="1:30" ht="13.8" customHeight="1">
      <c r="A65" s="704"/>
      <c r="B65" s="484">
        <v>4</v>
      </c>
      <c r="C65" s="618"/>
      <c r="D65" s="101" t="s">
        <v>138</v>
      </c>
      <c r="E65" s="102" t="s">
        <v>301</v>
      </c>
      <c r="F65" s="115" t="s">
        <v>362</v>
      </c>
      <c r="G65" s="115" t="s">
        <v>450</v>
      </c>
      <c r="H65" s="112">
        <v>66.31</v>
      </c>
      <c r="I65" s="115"/>
      <c r="J65" s="261"/>
      <c r="K65" s="516"/>
      <c r="L65" s="75"/>
      <c r="M65" s="115"/>
      <c r="N65" s="115" t="s">
        <v>255</v>
      </c>
      <c r="O65" s="115" t="s">
        <v>12</v>
      </c>
      <c r="P65" s="514">
        <f t="shared" si="38"/>
        <v>0</v>
      </c>
      <c r="Q65" s="670">
        <f t="shared" si="39"/>
        <v>0</v>
      </c>
      <c r="R65" s="183"/>
      <c r="S65" s="678"/>
      <c r="T65" s="813"/>
      <c r="U65" s="813"/>
      <c r="V65" s="813"/>
      <c r="W65" s="814"/>
      <c r="X65" s="131"/>
    </row>
    <row r="66" spans="1:30" ht="13.8" customHeight="1">
      <c r="A66" s="752"/>
      <c r="B66" s="484">
        <v>5</v>
      </c>
      <c r="C66" s="617">
        <v>8</v>
      </c>
      <c r="D66" s="104" t="s">
        <v>140</v>
      </c>
      <c r="E66" s="105" t="s">
        <v>309</v>
      </c>
      <c r="F66" s="441" t="s">
        <v>11</v>
      </c>
      <c r="G66" s="441" t="s">
        <v>450</v>
      </c>
      <c r="H66" s="135">
        <v>41.96</v>
      </c>
      <c r="I66" s="269"/>
      <c r="J66" s="273"/>
      <c r="K66" s="516"/>
      <c r="L66" s="75"/>
      <c r="M66" s="269"/>
      <c r="N66" s="269"/>
      <c r="O66" s="269" t="s">
        <v>12</v>
      </c>
      <c r="P66" s="514">
        <f t="shared" si="38"/>
        <v>0</v>
      </c>
      <c r="Q66" s="670">
        <f t="shared" si="39"/>
        <v>0</v>
      </c>
      <c r="R66" s="183"/>
      <c r="S66" s="678"/>
      <c r="T66" s="813"/>
      <c r="U66" s="813"/>
      <c r="V66" s="813"/>
      <c r="W66" s="814"/>
      <c r="X66" s="131"/>
    </row>
    <row r="67" spans="1:30" ht="13.8" customHeight="1">
      <c r="A67" s="752"/>
      <c r="B67" s="484">
        <v>6</v>
      </c>
      <c r="C67" s="618"/>
      <c r="D67" s="104" t="s">
        <v>144</v>
      </c>
      <c r="E67" s="105" t="s">
        <v>310</v>
      </c>
      <c r="F67" s="441" t="s">
        <v>11</v>
      </c>
      <c r="G67" s="441" t="s">
        <v>450</v>
      </c>
      <c r="H67" s="135">
        <v>1221.6400000000001</v>
      </c>
      <c r="I67" s="269"/>
      <c r="J67" s="273"/>
      <c r="K67" s="516"/>
      <c r="L67" s="75"/>
      <c r="M67" s="269"/>
      <c r="N67" s="269"/>
      <c r="O67" s="269" t="s">
        <v>12</v>
      </c>
      <c r="P67" s="514">
        <f t="shared" si="38"/>
        <v>0</v>
      </c>
      <c r="Q67" s="670">
        <f t="shared" si="39"/>
        <v>0</v>
      </c>
      <c r="R67" s="183"/>
      <c r="S67" s="678"/>
      <c r="T67" s="815"/>
      <c r="U67" s="815"/>
      <c r="V67" s="815"/>
      <c r="W67" s="816"/>
      <c r="X67" s="131"/>
    </row>
    <row r="68" spans="1:30">
      <c r="A68" s="752"/>
      <c r="B68" s="484">
        <v>7</v>
      </c>
      <c r="C68" s="617"/>
      <c r="D68" s="101" t="s">
        <v>141</v>
      </c>
      <c r="E68" s="102" t="s">
        <v>302</v>
      </c>
      <c r="F68" s="122" t="s">
        <v>362</v>
      </c>
      <c r="G68" s="115" t="s">
        <v>450</v>
      </c>
      <c r="H68" s="103">
        <v>312</v>
      </c>
      <c r="I68" s="122"/>
      <c r="J68" s="262"/>
      <c r="K68" s="516"/>
      <c r="L68" s="75"/>
      <c r="M68" s="122"/>
      <c r="N68" s="122" t="s">
        <v>141</v>
      </c>
      <c r="O68" s="122" t="s">
        <v>432</v>
      </c>
      <c r="P68" s="514">
        <f t="shared" si="38"/>
        <v>0</v>
      </c>
      <c r="Q68" s="670">
        <f t="shared" si="39"/>
        <v>0</v>
      </c>
      <c r="R68" s="183"/>
      <c r="S68" s="678"/>
      <c r="T68" s="153"/>
      <c r="U68" s="131"/>
      <c r="V68" s="171"/>
      <c r="W68" s="152"/>
      <c r="X68" s="131"/>
    </row>
    <row r="69" spans="1:30" ht="13.8" customHeight="1">
      <c r="A69" s="704"/>
      <c r="B69" s="484">
        <v>8</v>
      </c>
      <c r="C69" s="645"/>
      <c r="D69" s="101" t="s">
        <v>115</v>
      </c>
      <c r="E69" s="102" t="s">
        <v>299</v>
      </c>
      <c r="F69" s="122" t="s">
        <v>362</v>
      </c>
      <c r="G69" s="115" t="s">
        <v>450</v>
      </c>
      <c r="H69" s="112">
        <v>132.6</v>
      </c>
      <c r="I69" s="122"/>
      <c r="J69" s="262"/>
      <c r="K69" s="516"/>
      <c r="L69" s="75"/>
      <c r="M69" s="122"/>
      <c r="N69" s="122" t="s">
        <v>263</v>
      </c>
      <c r="O69" s="122" t="s">
        <v>432</v>
      </c>
      <c r="P69" s="514">
        <f t="shared" si="38"/>
        <v>0</v>
      </c>
      <c r="Q69" s="670">
        <f t="shared" si="39"/>
        <v>0</v>
      </c>
      <c r="R69" s="183"/>
      <c r="S69" s="678"/>
      <c r="T69" s="153"/>
      <c r="U69" s="136"/>
      <c r="V69" s="171"/>
      <c r="W69" s="152"/>
      <c r="X69" s="131"/>
    </row>
    <row r="70" spans="1:30" ht="14.4" customHeight="1">
      <c r="A70" s="704"/>
      <c r="B70" s="484">
        <v>9</v>
      </c>
      <c r="C70" s="645">
        <v>10</v>
      </c>
      <c r="D70" s="101" t="s">
        <v>342</v>
      </c>
      <c r="E70" s="102" t="s">
        <v>343</v>
      </c>
      <c r="F70" s="122" t="s">
        <v>362</v>
      </c>
      <c r="G70" s="115" t="s">
        <v>450</v>
      </c>
      <c r="H70" s="373">
        <v>10.99</v>
      </c>
      <c r="I70" s="122"/>
      <c r="J70" s="262"/>
      <c r="K70" s="516"/>
      <c r="L70" s="75"/>
      <c r="M70" s="122"/>
      <c r="N70" s="122" t="s">
        <v>264</v>
      </c>
      <c r="O70" s="122" t="s">
        <v>432</v>
      </c>
      <c r="P70" s="514">
        <f t="shared" si="38"/>
        <v>0</v>
      </c>
      <c r="Q70" s="670">
        <f t="shared" si="39"/>
        <v>0</v>
      </c>
      <c r="R70" s="183"/>
      <c r="S70" s="678"/>
      <c r="T70" s="763" t="s">
        <v>425</v>
      </c>
      <c r="U70" s="763"/>
      <c r="V70" s="763"/>
      <c r="W70" s="764"/>
      <c r="X70" s="131"/>
    </row>
    <row r="71" spans="1:30" ht="13.8" customHeight="1">
      <c r="A71" s="704"/>
      <c r="B71" s="484">
        <v>10</v>
      </c>
      <c r="C71" s="645"/>
      <c r="D71" s="101" t="s">
        <v>139</v>
      </c>
      <c r="E71" s="114" t="s">
        <v>464</v>
      </c>
      <c r="F71" s="442" t="s">
        <v>454</v>
      </c>
      <c r="G71" s="442" t="s">
        <v>450</v>
      </c>
      <c r="H71" s="374">
        <v>200</v>
      </c>
      <c r="I71" s="122"/>
      <c r="J71" s="262"/>
      <c r="K71" s="516"/>
      <c r="L71" s="75"/>
      <c r="M71" s="122"/>
      <c r="N71" s="122" t="s">
        <v>261</v>
      </c>
      <c r="O71" s="122" t="s">
        <v>432</v>
      </c>
      <c r="P71" s="514">
        <f t="shared" si="38"/>
        <v>0</v>
      </c>
      <c r="Q71" s="670">
        <f t="shared" si="39"/>
        <v>0</v>
      </c>
      <c r="R71" s="183"/>
      <c r="S71" s="678"/>
      <c r="T71" s="171"/>
      <c r="U71" s="131"/>
      <c r="V71" s="131"/>
      <c r="W71" s="152"/>
      <c r="X71" s="131"/>
    </row>
    <row r="72" spans="1:30" s="399" customFormat="1" ht="13.8" customHeight="1">
      <c r="A72" s="755"/>
      <c r="B72" s="484">
        <v>11</v>
      </c>
      <c r="C72" s="645"/>
      <c r="D72" s="101" t="s">
        <v>139</v>
      </c>
      <c r="E72" s="114" t="s">
        <v>464</v>
      </c>
      <c r="F72" s="442" t="s">
        <v>455</v>
      </c>
      <c r="G72" s="442" t="s">
        <v>451</v>
      </c>
      <c r="H72" s="374">
        <v>200</v>
      </c>
      <c r="I72" s="122"/>
      <c r="J72" s="262"/>
      <c r="K72" s="516"/>
      <c r="L72" s="75"/>
      <c r="M72" s="122"/>
      <c r="N72" s="122" t="s">
        <v>261</v>
      </c>
      <c r="O72" s="122" t="s">
        <v>432</v>
      </c>
      <c r="P72" s="514">
        <f t="shared" si="38"/>
        <v>0</v>
      </c>
      <c r="Q72" s="670">
        <f t="shared" si="39"/>
        <v>0</v>
      </c>
      <c r="R72" s="403"/>
      <c r="S72" s="679"/>
      <c r="T72" s="673"/>
      <c r="U72" s="404"/>
      <c r="V72" s="404"/>
      <c r="W72" s="405"/>
      <c r="X72" s="404"/>
      <c r="AA72" s="400"/>
      <c r="AB72" s="400"/>
      <c r="AC72" s="400"/>
      <c r="AD72" s="428"/>
    </row>
    <row r="73" spans="1:30" s="399" customFormat="1" ht="13.8" customHeight="1">
      <c r="A73" s="755"/>
      <c r="B73" s="484">
        <v>12</v>
      </c>
      <c r="C73" s="645"/>
      <c r="D73" s="101" t="s">
        <v>139</v>
      </c>
      <c r="E73" s="114" t="s">
        <v>516</v>
      </c>
      <c r="F73" s="442" t="s">
        <v>454</v>
      </c>
      <c r="G73" s="442" t="s">
        <v>450</v>
      </c>
      <c r="H73" s="513">
        <v>100</v>
      </c>
      <c r="I73" s="122"/>
      <c r="J73" s="262"/>
      <c r="K73" s="516"/>
      <c r="L73" s="75"/>
      <c r="M73" s="122"/>
      <c r="N73" s="122" t="s">
        <v>261</v>
      </c>
      <c r="O73" s="122" t="s">
        <v>432</v>
      </c>
      <c r="P73" s="514">
        <f t="shared" si="38"/>
        <v>0</v>
      </c>
      <c r="Q73" s="670">
        <f t="shared" si="39"/>
        <v>0</v>
      </c>
      <c r="R73" s="403"/>
      <c r="S73" s="679"/>
      <c r="T73" s="673"/>
      <c r="U73" s="404"/>
      <c r="V73" s="404"/>
      <c r="W73" s="405"/>
      <c r="X73" s="404"/>
      <c r="AA73" s="400"/>
      <c r="AB73" s="400"/>
      <c r="AC73" s="400"/>
      <c r="AD73" s="428"/>
    </row>
    <row r="74" spans="1:30" s="399" customFormat="1" ht="13.8" customHeight="1">
      <c r="A74" s="755"/>
      <c r="B74" s="484">
        <v>13</v>
      </c>
      <c r="C74" s="645"/>
      <c r="D74" s="101" t="s">
        <v>139</v>
      </c>
      <c r="E74" s="114" t="s">
        <v>517</v>
      </c>
      <c r="F74" s="442" t="s">
        <v>455</v>
      </c>
      <c r="G74" s="442" t="s">
        <v>501</v>
      </c>
      <c r="H74" s="513">
        <v>100</v>
      </c>
      <c r="I74" s="122"/>
      <c r="J74" s="262"/>
      <c r="K74" s="516"/>
      <c r="L74" s="75"/>
      <c r="M74" s="122"/>
      <c r="N74" s="122" t="s">
        <v>261</v>
      </c>
      <c r="O74" s="122" t="s">
        <v>432</v>
      </c>
      <c r="P74" s="514">
        <f t="shared" si="38"/>
        <v>0</v>
      </c>
      <c r="Q74" s="670">
        <f t="shared" si="39"/>
        <v>0</v>
      </c>
      <c r="R74" s="403"/>
      <c r="S74" s="679"/>
      <c r="T74" s="673"/>
      <c r="U74" s="404"/>
      <c r="V74" s="404"/>
      <c r="W74" s="405"/>
      <c r="X74" s="404"/>
      <c r="AA74" s="400"/>
      <c r="AB74" s="400"/>
      <c r="AC74" s="400"/>
      <c r="AD74" s="428"/>
    </row>
    <row r="75" spans="1:30" ht="13.8" customHeight="1">
      <c r="A75" s="704"/>
      <c r="B75" s="484">
        <v>14</v>
      </c>
      <c r="C75" s="618"/>
      <c r="D75" s="401" t="s">
        <v>139</v>
      </c>
      <c r="E75" s="211" t="s">
        <v>439</v>
      </c>
      <c r="F75" s="402"/>
      <c r="G75" s="269"/>
      <c r="H75" s="112"/>
      <c r="I75" s="122"/>
      <c r="J75" s="262"/>
      <c r="K75" s="516"/>
      <c r="L75" s="75"/>
      <c r="M75" s="122"/>
      <c r="N75" s="122"/>
      <c r="O75" s="122" t="s">
        <v>432</v>
      </c>
      <c r="P75" s="514">
        <f t="shared" si="38"/>
        <v>0</v>
      </c>
      <c r="Q75" s="670">
        <f t="shared" si="39"/>
        <v>0</v>
      </c>
      <c r="R75" s="183"/>
      <c r="S75" s="678"/>
      <c r="T75" s="171"/>
      <c r="U75" s="131"/>
      <c r="V75" s="131"/>
      <c r="W75" s="152"/>
      <c r="X75" s="131"/>
    </row>
    <row r="76" spans="1:30" ht="13.8" customHeight="1">
      <c r="A76" s="704"/>
      <c r="B76" s="484">
        <v>15</v>
      </c>
      <c r="C76" s="617"/>
      <c r="D76" s="101" t="s">
        <v>139</v>
      </c>
      <c r="E76" s="102" t="s">
        <v>303</v>
      </c>
      <c r="F76" s="122" t="s">
        <v>362</v>
      </c>
      <c r="G76" s="115" t="s">
        <v>450</v>
      </c>
      <c r="H76" s="103">
        <v>16.100000000000001</v>
      </c>
      <c r="I76" s="122"/>
      <c r="J76" s="262"/>
      <c r="K76" s="516"/>
      <c r="L76" s="75"/>
      <c r="M76" s="122"/>
      <c r="N76" s="122" t="s">
        <v>261</v>
      </c>
      <c r="O76" s="122" t="s">
        <v>432</v>
      </c>
      <c r="P76" s="514">
        <f t="shared" si="38"/>
        <v>0</v>
      </c>
      <c r="Q76" s="670">
        <f t="shared" si="39"/>
        <v>0</v>
      </c>
      <c r="R76" s="183"/>
      <c r="S76" s="678"/>
      <c r="T76" s="171"/>
      <c r="U76" s="131"/>
      <c r="V76" s="131"/>
      <c r="W76" s="152"/>
      <c r="X76" s="131"/>
    </row>
    <row r="77" spans="1:30" ht="13.8" customHeight="1">
      <c r="A77" s="704"/>
      <c r="B77" s="484">
        <v>16</v>
      </c>
      <c r="C77" s="645"/>
      <c r="D77" s="101" t="s">
        <v>139</v>
      </c>
      <c r="E77" s="102" t="s">
        <v>298</v>
      </c>
      <c r="F77" s="122" t="s">
        <v>362</v>
      </c>
      <c r="G77" s="115" t="s">
        <v>450</v>
      </c>
      <c r="H77" s="103">
        <v>0.7</v>
      </c>
      <c r="I77" s="122"/>
      <c r="J77" s="262"/>
      <c r="K77" s="516"/>
      <c r="L77" s="75"/>
      <c r="M77" s="122"/>
      <c r="N77" s="122" t="s">
        <v>261</v>
      </c>
      <c r="O77" s="122" t="s">
        <v>432</v>
      </c>
      <c r="P77" s="514">
        <f t="shared" si="38"/>
        <v>0</v>
      </c>
      <c r="Q77" s="670">
        <f t="shared" si="39"/>
        <v>0</v>
      </c>
      <c r="R77" s="183"/>
      <c r="S77" s="678"/>
      <c r="T77" s="171"/>
      <c r="U77" s="131"/>
      <c r="V77" s="131"/>
      <c r="W77" s="152"/>
      <c r="X77" s="131"/>
    </row>
    <row r="78" spans="1:30" ht="13.8" customHeight="1">
      <c r="A78" s="704"/>
      <c r="B78" s="484">
        <v>17</v>
      </c>
      <c r="C78" s="645">
        <v>15</v>
      </c>
      <c r="D78" s="101" t="s">
        <v>139</v>
      </c>
      <c r="E78" s="102" t="s">
        <v>304</v>
      </c>
      <c r="F78" s="122" t="s">
        <v>362</v>
      </c>
      <c r="G78" s="115" t="s">
        <v>450</v>
      </c>
      <c r="H78" s="103">
        <v>1</v>
      </c>
      <c r="I78" s="122"/>
      <c r="J78" s="262"/>
      <c r="K78" s="516"/>
      <c r="L78" s="75"/>
      <c r="M78" s="122"/>
      <c r="N78" s="122" t="s">
        <v>261</v>
      </c>
      <c r="O78" s="122" t="s">
        <v>432</v>
      </c>
      <c r="P78" s="514">
        <f t="shared" si="38"/>
        <v>0</v>
      </c>
      <c r="Q78" s="670">
        <f t="shared" si="39"/>
        <v>0</v>
      </c>
      <c r="R78" s="183"/>
      <c r="S78" s="678"/>
      <c r="T78" s="171"/>
      <c r="U78" s="131"/>
      <c r="V78" s="131"/>
      <c r="W78" s="152"/>
      <c r="X78" s="131"/>
    </row>
    <row r="79" spans="1:30" ht="14.4" customHeight="1">
      <c r="A79" s="704"/>
      <c r="B79" s="484">
        <v>18</v>
      </c>
      <c r="C79" s="645"/>
      <c r="D79" s="101" t="s">
        <v>265</v>
      </c>
      <c r="E79" s="102" t="s">
        <v>306</v>
      </c>
      <c r="F79" s="122" t="s">
        <v>362</v>
      </c>
      <c r="G79" s="115" t="s">
        <v>450</v>
      </c>
      <c r="H79" s="103">
        <v>9.99</v>
      </c>
      <c r="I79" s="122"/>
      <c r="J79" s="262"/>
      <c r="K79" s="516"/>
      <c r="L79" s="75"/>
      <c r="M79" s="122"/>
      <c r="N79" s="122" t="s">
        <v>264</v>
      </c>
      <c r="O79" s="122" t="s">
        <v>432</v>
      </c>
      <c r="P79" s="514">
        <f t="shared" si="38"/>
        <v>0</v>
      </c>
      <c r="Q79" s="670">
        <f t="shared" si="39"/>
        <v>0</v>
      </c>
      <c r="R79" s="183"/>
      <c r="S79" s="678"/>
      <c r="T79" s="171"/>
      <c r="U79" s="131"/>
      <c r="V79" s="131"/>
      <c r="W79" s="152"/>
      <c r="X79" s="131"/>
    </row>
    <row r="80" spans="1:30" ht="14.4" customHeight="1">
      <c r="A80" s="704"/>
      <c r="B80" s="484">
        <v>20</v>
      </c>
      <c r="C80" s="617">
        <v>25</v>
      </c>
      <c r="D80" s="101" t="s">
        <v>262</v>
      </c>
      <c r="E80" s="102" t="s">
        <v>305</v>
      </c>
      <c r="F80" s="122" t="s">
        <v>362</v>
      </c>
      <c r="G80" s="115" t="s">
        <v>450</v>
      </c>
      <c r="H80" s="103">
        <v>12.99</v>
      </c>
      <c r="I80" s="122"/>
      <c r="J80" s="262"/>
      <c r="K80" s="516"/>
      <c r="L80" s="75"/>
      <c r="M80" s="122"/>
      <c r="N80" s="122" t="s">
        <v>255</v>
      </c>
      <c r="O80" s="122"/>
      <c r="P80" s="514">
        <f t="shared" si="38"/>
        <v>0</v>
      </c>
      <c r="Q80" s="670">
        <f t="shared" si="39"/>
        <v>12.99</v>
      </c>
      <c r="R80" s="183"/>
      <c r="S80" s="678"/>
      <c r="T80" s="674"/>
      <c r="U80" s="481"/>
      <c r="V80" s="481"/>
      <c r="W80" s="481"/>
      <c r="X80" s="171"/>
    </row>
    <row r="81" spans="1:30">
      <c r="A81" s="704"/>
      <c r="B81" s="484">
        <v>21</v>
      </c>
      <c r="C81" s="618"/>
      <c r="D81" s="101" t="s">
        <v>135</v>
      </c>
      <c r="E81" s="102" t="s">
        <v>499</v>
      </c>
      <c r="F81" s="122" t="s">
        <v>362</v>
      </c>
      <c r="G81" s="115" t="s">
        <v>450</v>
      </c>
      <c r="H81" s="112">
        <v>35</v>
      </c>
      <c r="I81" s="122"/>
      <c r="J81" s="262"/>
      <c r="K81" s="516"/>
      <c r="L81" s="75"/>
      <c r="M81" s="122"/>
      <c r="N81" s="122" t="s">
        <v>264</v>
      </c>
      <c r="O81" s="122"/>
      <c r="P81" s="514">
        <f t="shared" si="38"/>
        <v>0</v>
      </c>
      <c r="Q81" s="670">
        <f t="shared" si="39"/>
        <v>35</v>
      </c>
      <c r="R81" s="183"/>
      <c r="S81" s="678"/>
      <c r="T81" s="675"/>
      <c r="U81" s="482"/>
      <c r="V81" s="482"/>
      <c r="W81" s="482"/>
      <c r="X81" s="171"/>
    </row>
    <row r="82" spans="1:30" s="130" customFormat="1" ht="13.8" customHeight="1">
      <c r="A82" s="704"/>
      <c r="B82" s="484">
        <v>22</v>
      </c>
      <c r="C82" s="645" t="s">
        <v>546</v>
      </c>
      <c r="D82" s="205" t="s">
        <v>251</v>
      </c>
      <c r="E82" s="285" t="s">
        <v>549</v>
      </c>
      <c r="F82" s="375" t="s">
        <v>362</v>
      </c>
      <c r="G82" s="377" t="s">
        <v>450</v>
      </c>
      <c r="H82" s="112">
        <v>50.65</v>
      </c>
      <c r="I82" s="122"/>
      <c r="J82" s="262"/>
      <c r="K82" s="516"/>
      <c r="L82" s="75"/>
      <c r="M82" s="122"/>
      <c r="N82" s="122" t="s">
        <v>258</v>
      </c>
      <c r="O82" s="122"/>
      <c r="P82" s="514">
        <f t="shared" si="38"/>
        <v>0</v>
      </c>
      <c r="Q82" s="670">
        <f t="shared" si="39"/>
        <v>50.65</v>
      </c>
      <c r="R82" s="339"/>
      <c r="S82" s="680"/>
      <c r="T82" s="785" t="s">
        <v>457</v>
      </c>
      <c r="U82" s="785"/>
      <c r="V82" s="785"/>
      <c r="W82" s="786"/>
      <c r="X82" s="131"/>
      <c r="AA82" s="380"/>
      <c r="AB82" s="380"/>
      <c r="AC82" s="380"/>
      <c r="AD82" s="428"/>
    </row>
    <row r="83" spans="1:30" ht="13.2" customHeight="1">
      <c r="A83" s="704"/>
      <c r="B83" s="484">
        <v>23</v>
      </c>
      <c r="C83" s="645" t="s">
        <v>547</v>
      </c>
      <c r="D83" s="702" t="s">
        <v>139</v>
      </c>
      <c r="E83" s="114" t="s">
        <v>550</v>
      </c>
      <c r="F83" s="442" t="s">
        <v>454</v>
      </c>
      <c r="G83" s="442" t="s">
        <v>450</v>
      </c>
      <c r="H83" s="374"/>
      <c r="I83" s="375"/>
      <c r="J83" s="376"/>
      <c r="K83" s="516"/>
      <c r="L83" s="75"/>
      <c r="M83" s="375"/>
      <c r="N83" s="375" t="s">
        <v>255</v>
      </c>
      <c r="O83" s="375"/>
      <c r="P83" s="514">
        <f t="shared" si="38"/>
        <v>0</v>
      </c>
      <c r="Q83" s="670">
        <f t="shared" si="39"/>
        <v>0</v>
      </c>
      <c r="R83" s="183"/>
      <c r="S83" s="678"/>
      <c r="T83" s="676"/>
      <c r="U83" s="480"/>
      <c r="V83" s="480"/>
      <c r="W83" s="480"/>
      <c r="X83" s="131"/>
    </row>
    <row r="84" spans="1:30" ht="13.2" customHeight="1">
      <c r="A84" s="704"/>
      <c r="B84" s="484">
        <v>24</v>
      </c>
      <c r="C84" s="645" t="s">
        <v>544</v>
      </c>
      <c r="D84" s="702" t="s">
        <v>9</v>
      </c>
      <c r="E84" s="114" t="s">
        <v>551</v>
      </c>
      <c r="F84" s="442" t="s">
        <v>455</v>
      </c>
      <c r="G84" s="440" t="s">
        <v>538</v>
      </c>
      <c r="H84" s="513"/>
      <c r="I84" s="122"/>
      <c r="J84" s="262"/>
      <c r="K84" s="516"/>
      <c r="L84" s="75"/>
      <c r="M84" s="122"/>
      <c r="N84" s="375" t="s">
        <v>255</v>
      </c>
      <c r="O84" s="375"/>
      <c r="P84" s="514">
        <f t="shared" si="38"/>
        <v>0</v>
      </c>
      <c r="Q84" s="670">
        <f t="shared" si="39"/>
        <v>0</v>
      </c>
      <c r="R84" s="183"/>
      <c r="S84" s="678"/>
      <c r="T84" s="171"/>
      <c r="U84" s="131"/>
      <c r="V84" s="131"/>
      <c r="W84" s="152"/>
      <c r="X84" s="131"/>
    </row>
    <row r="85" spans="1:30">
      <c r="A85" s="704"/>
      <c r="B85" s="484">
        <v>25</v>
      </c>
      <c r="C85" s="645" t="s">
        <v>545</v>
      </c>
      <c r="D85" s="702" t="s">
        <v>139</v>
      </c>
      <c r="E85" s="114" t="s">
        <v>552</v>
      </c>
      <c r="F85" s="442" t="s">
        <v>454</v>
      </c>
      <c r="G85" s="442" t="s">
        <v>450</v>
      </c>
      <c r="H85" s="374"/>
      <c r="I85" s="75"/>
      <c r="J85" s="113"/>
      <c r="K85" s="516"/>
      <c r="L85" s="106"/>
      <c r="M85" s="122"/>
      <c r="N85" s="122"/>
      <c r="O85" s="122"/>
      <c r="P85" s="514">
        <f t="shared" si="38"/>
        <v>0</v>
      </c>
      <c r="Q85" s="670">
        <f t="shared" si="39"/>
        <v>0</v>
      </c>
      <c r="R85" s="183"/>
      <c r="S85" s="678"/>
      <c r="T85" s="171"/>
      <c r="U85" s="131"/>
      <c r="V85" s="131"/>
      <c r="W85" s="152"/>
      <c r="X85" s="131"/>
    </row>
    <row r="86" spans="1:30">
      <c r="A86" s="704"/>
      <c r="B86" s="484">
        <v>26</v>
      </c>
      <c r="C86" s="645" t="s">
        <v>548</v>
      </c>
      <c r="D86" s="702" t="s">
        <v>448</v>
      </c>
      <c r="E86" s="114" t="s">
        <v>553</v>
      </c>
      <c r="F86" s="442" t="s">
        <v>455</v>
      </c>
      <c r="G86" s="440" t="s">
        <v>448</v>
      </c>
      <c r="H86" s="513"/>
      <c r="I86" s="106"/>
      <c r="J86" s="123"/>
      <c r="K86" s="516"/>
      <c r="L86" s="106"/>
      <c r="M86" s="122"/>
      <c r="N86" s="122"/>
      <c r="O86" s="122"/>
      <c r="P86" s="514">
        <f t="shared" si="38"/>
        <v>0</v>
      </c>
      <c r="Q86" s="670">
        <f t="shared" si="39"/>
        <v>0</v>
      </c>
      <c r="R86" s="183"/>
      <c r="S86" s="678"/>
      <c r="T86" s="171"/>
      <c r="U86" s="131"/>
      <c r="V86" s="131"/>
      <c r="W86" s="152"/>
      <c r="X86" s="131"/>
    </row>
    <row r="87" spans="1:30" ht="13.8" customHeight="1">
      <c r="A87" s="704"/>
      <c r="B87" s="484">
        <v>27</v>
      </c>
      <c r="C87" s="645"/>
      <c r="D87" s="702" t="s">
        <v>139</v>
      </c>
      <c r="E87" s="114" t="s">
        <v>554</v>
      </c>
      <c r="F87" s="442" t="s">
        <v>454</v>
      </c>
      <c r="G87" s="442" t="s">
        <v>450</v>
      </c>
      <c r="H87" s="513"/>
      <c r="I87" s="122"/>
      <c r="J87" s="262"/>
      <c r="K87" s="516"/>
      <c r="L87" s="75"/>
      <c r="M87" s="122"/>
      <c r="N87" s="122"/>
      <c r="O87" s="122"/>
      <c r="P87" s="514">
        <f t="shared" si="38"/>
        <v>0</v>
      </c>
      <c r="Q87" s="670">
        <f t="shared" si="39"/>
        <v>0</v>
      </c>
      <c r="R87" s="183"/>
      <c r="S87" s="678"/>
      <c r="T87" s="171"/>
      <c r="U87" s="131"/>
      <c r="V87" s="131"/>
      <c r="W87" s="152"/>
      <c r="X87" s="131"/>
    </row>
    <row r="88" spans="1:30" ht="13.8" customHeight="1">
      <c r="A88" s="704"/>
      <c r="B88" s="484">
        <v>28</v>
      </c>
      <c r="C88" s="618"/>
      <c r="D88" s="702" t="s">
        <v>139</v>
      </c>
      <c r="E88" s="114" t="s">
        <v>555</v>
      </c>
      <c r="F88" s="442" t="s">
        <v>455</v>
      </c>
      <c r="G88" s="442" t="s">
        <v>542</v>
      </c>
      <c r="H88" s="513"/>
      <c r="I88" s="122"/>
      <c r="J88" s="262"/>
      <c r="K88" s="516"/>
      <c r="L88" s="75"/>
      <c r="M88" s="122"/>
      <c r="N88" s="122"/>
      <c r="O88" s="122"/>
      <c r="P88" s="514">
        <f t="shared" si="38"/>
        <v>0</v>
      </c>
      <c r="Q88" s="670">
        <f t="shared" si="39"/>
        <v>0</v>
      </c>
      <c r="R88" s="183"/>
      <c r="S88" s="678"/>
      <c r="T88" s="171"/>
      <c r="U88" s="131"/>
      <c r="V88" s="131"/>
      <c r="W88" s="152"/>
      <c r="X88" s="131"/>
    </row>
    <row r="89" spans="1:30" ht="13.8" customHeight="1">
      <c r="A89" s="704"/>
      <c r="B89" s="484">
        <v>29</v>
      </c>
      <c r="C89" s="142"/>
      <c r="D89" s="110"/>
      <c r="E89" s="285"/>
      <c r="F89" s="375"/>
      <c r="G89" s="375"/>
      <c r="H89" s="111"/>
      <c r="I89" s="122"/>
      <c r="J89" s="262"/>
      <c r="K89" s="516"/>
      <c r="L89" s="75"/>
      <c r="M89" s="122"/>
      <c r="N89" s="122"/>
      <c r="O89" s="122"/>
      <c r="P89" s="514"/>
      <c r="Q89" s="670"/>
      <c r="R89" s="183"/>
      <c r="S89" s="678"/>
      <c r="T89" s="171"/>
      <c r="U89" s="131"/>
      <c r="V89" s="131"/>
      <c r="W89" s="152"/>
      <c r="X89" s="131"/>
    </row>
    <row r="90" spans="1:30" ht="13.8" customHeight="1">
      <c r="A90" s="704"/>
      <c r="B90" s="484">
        <v>30</v>
      </c>
      <c r="C90" s="142"/>
      <c r="D90" s="110"/>
      <c r="E90" s="285"/>
      <c r="F90" s="375"/>
      <c r="G90" s="375"/>
      <c r="H90" s="111"/>
      <c r="I90" s="122"/>
      <c r="J90" s="262"/>
      <c r="K90" s="516"/>
      <c r="L90" s="75"/>
      <c r="M90" s="122"/>
      <c r="N90" s="122"/>
      <c r="O90" s="122"/>
      <c r="P90" s="514"/>
      <c r="Q90" s="670"/>
      <c r="R90" s="183"/>
      <c r="S90" s="678"/>
      <c r="T90" s="171"/>
      <c r="U90" s="131"/>
      <c r="V90" s="131"/>
      <c r="W90" s="152"/>
      <c r="X90" s="131"/>
    </row>
    <row r="91" spans="1:30" ht="13.8" customHeight="1">
      <c r="A91" s="704"/>
      <c r="B91" s="484">
        <v>31</v>
      </c>
      <c r="C91" s="142"/>
      <c r="D91" s="110"/>
      <c r="E91" s="285"/>
      <c r="F91" s="375"/>
      <c r="G91" s="375"/>
      <c r="H91" s="111"/>
      <c r="I91" s="122"/>
      <c r="J91" s="262"/>
      <c r="K91" s="516"/>
      <c r="L91" s="75"/>
      <c r="M91" s="122"/>
      <c r="N91" s="122"/>
      <c r="O91" s="122"/>
      <c r="P91" s="514"/>
      <c r="Q91" s="670"/>
      <c r="R91" s="183"/>
      <c r="S91" s="678"/>
      <c r="T91" s="171"/>
      <c r="U91" s="131"/>
      <c r="V91" s="131"/>
      <c r="W91" s="152"/>
      <c r="X91" s="131"/>
    </row>
    <row r="92" spans="1:30" ht="13.8" customHeight="1">
      <c r="A92" s="704"/>
      <c r="B92" s="484">
        <v>32</v>
      </c>
      <c r="C92" s="142"/>
      <c r="D92" s="110"/>
      <c r="E92" s="285"/>
      <c r="F92" s="375"/>
      <c r="G92" s="375"/>
      <c r="H92" s="111"/>
      <c r="I92" s="122"/>
      <c r="J92" s="262"/>
      <c r="K92" s="516"/>
      <c r="L92" s="75"/>
      <c r="M92" s="122"/>
      <c r="N92" s="122"/>
      <c r="O92" s="122"/>
      <c r="P92" s="514"/>
      <c r="Q92" s="670"/>
      <c r="R92" s="183"/>
      <c r="S92" s="678"/>
      <c r="T92" s="171"/>
      <c r="U92" s="131"/>
      <c r="V92" s="131"/>
      <c r="W92" s="152"/>
      <c r="X92" s="131"/>
    </row>
    <row r="93" spans="1:30" ht="13.8" customHeight="1">
      <c r="A93" s="704"/>
      <c r="B93" s="414"/>
      <c r="C93" s="142"/>
      <c r="D93" s="101"/>
      <c r="E93" s="57" t="s">
        <v>440</v>
      </c>
      <c r="F93" s="448"/>
      <c r="G93" s="455"/>
      <c r="H93" s="470"/>
      <c r="I93" s="122"/>
      <c r="J93" s="262"/>
      <c r="K93" s="122"/>
      <c r="L93" s="375"/>
      <c r="M93" s="122"/>
      <c r="N93" s="122"/>
      <c r="O93" s="122"/>
      <c r="P93" s="107"/>
      <c r="Q93" s="671"/>
      <c r="R93" s="183"/>
      <c r="S93" s="678"/>
      <c r="T93" s="171"/>
      <c r="U93" s="131"/>
      <c r="V93" s="131"/>
      <c r="W93" s="152"/>
      <c r="X93" s="131"/>
    </row>
    <row r="94" spans="1:30" ht="13.8" customHeight="1">
      <c r="A94" s="704"/>
      <c r="B94" s="414"/>
      <c r="C94" s="142"/>
      <c r="D94" s="101"/>
      <c r="E94" s="57" t="s">
        <v>505</v>
      </c>
      <c r="F94" s="449"/>
      <c r="G94" s="269"/>
      <c r="H94" s="471"/>
      <c r="I94" s="122"/>
      <c r="J94" s="262"/>
      <c r="K94" s="122"/>
      <c r="L94" s="375"/>
      <c r="M94" s="122"/>
      <c r="N94" s="122"/>
      <c r="O94" s="122"/>
      <c r="P94" s="107"/>
      <c r="Q94" s="671"/>
      <c r="R94" s="183"/>
      <c r="S94" s="678"/>
      <c r="T94" s="171"/>
      <c r="U94" s="131"/>
      <c r="V94" s="131"/>
      <c r="W94" s="152"/>
      <c r="X94" s="131"/>
    </row>
    <row r="95" spans="1:30" ht="13.8" customHeight="1">
      <c r="A95" s="704"/>
      <c r="B95" s="414"/>
      <c r="C95" s="142"/>
      <c r="D95" s="101"/>
      <c r="E95" s="57" t="s">
        <v>344</v>
      </c>
      <c r="F95" s="449"/>
      <c r="G95" s="269"/>
      <c r="H95" s="471"/>
      <c r="I95" s="122"/>
      <c r="J95" s="262"/>
      <c r="K95" s="122"/>
      <c r="L95" s="375"/>
      <c r="M95" s="122"/>
      <c r="N95" s="122"/>
      <c r="O95" s="122"/>
      <c r="P95" s="107"/>
      <c r="Q95" s="671"/>
      <c r="R95" s="183"/>
      <c r="S95" s="678"/>
      <c r="T95" s="171"/>
      <c r="U95" s="131"/>
      <c r="V95" s="131"/>
      <c r="W95" s="152"/>
      <c r="X95" s="131"/>
    </row>
    <row r="96" spans="1:30" ht="13.8" customHeight="1">
      <c r="A96" s="704"/>
      <c r="B96" s="414"/>
      <c r="C96" s="142"/>
      <c r="D96" s="101"/>
      <c r="E96" s="327" t="s">
        <v>346</v>
      </c>
      <c r="F96" s="450"/>
      <c r="G96" s="456"/>
      <c r="H96" s="472"/>
      <c r="I96" s="122"/>
      <c r="J96" s="262"/>
      <c r="K96" s="122"/>
      <c r="L96" s="375"/>
      <c r="M96" s="122"/>
      <c r="N96" s="122"/>
      <c r="O96" s="122"/>
      <c r="P96" s="107"/>
      <c r="Q96" s="671"/>
      <c r="R96" s="183"/>
      <c r="S96" s="678"/>
      <c r="T96" s="171"/>
      <c r="U96" s="131"/>
      <c r="V96" s="131"/>
      <c r="W96" s="152"/>
      <c r="X96" s="131"/>
    </row>
    <row r="97" spans="1:24" ht="13.8" customHeight="1">
      <c r="A97" s="704"/>
      <c r="B97" s="414"/>
      <c r="C97" s="142"/>
      <c r="D97" s="100"/>
      <c r="E97" s="327" t="s">
        <v>478</v>
      </c>
      <c r="F97" s="450"/>
      <c r="G97" s="456"/>
      <c r="H97" s="472"/>
      <c r="I97" s="122"/>
      <c r="J97" s="262"/>
      <c r="K97" s="122"/>
      <c r="L97" s="375"/>
      <c r="M97" s="122"/>
      <c r="N97" s="122"/>
      <c r="O97" s="122"/>
      <c r="P97" s="107"/>
      <c r="Q97" s="671"/>
      <c r="R97" s="183"/>
      <c r="S97" s="678"/>
      <c r="T97" s="171"/>
      <c r="U97" s="131"/>
      <c r="V97" s="131"/>
      <c r="W97" s="152"/>
      <c r="X97" s="131"/>
    </row>
    <row r="98" spans="1:24" ht="13.8" customHeight="1">
      <c r="A98" s="704"/>
      <c r="B98" s="414"/>
      <c r="C98" s="142"/>
      <c r="D98" s="100"/>
      <c r="E98" s="327" t="s">
        <v>536</v>
      </c>
      <c r="F98" s="450"/>
      <c r="G98" s="456"/>
      <c r="H98" s="472"/>
      <c r="I98" s="122"/>
      <c r="J98" s="262"/>
      <c r="K98" s="122"/>
      <c r="L98" s="375"/>
      <c r="M98" s="122"/>
      <c r="N98" s="122"/>
      <c r="O98" s="122"/>
      <c r="P98" s="107"/>
      <c r="Q98" s="671"/>
      <c r="R98" s="183"/>
      <c r="S98" s="678"/>
      <c r="T98" s="171"/>
      <c r="U98" s="131"/>
      <c r="V98" s="131"/>
      <c r="W98" s="152"/>
      <c r="X98" s="131"/>
    </row>
    <row r="99" spans="1:24" ht="13.8" customHeight="1">
      <c r="A99" s="704"/>
      <c r="B99" s="414"/>
      <c r="C99" s="142"/>
      <c r="D99" s="100"/>
      <c r="E99" s="327" t="s">
        <v>540</v>
      </c>
      <c r="F99" s="450"/>
      <c r="G99" s="456"/>
      <c r="H99" s="472"/>
      <c r="I99" s="122"/>
      <c r="J99" s="262"/>
      <c r="K99" s="122"/>
      <c r="L99" s="375"/>
      <c r="M99" s="122"/>
      <c r="N99" s="122"/>
      <c r="O99" s="122"/>
      <c r="P99" s="107"/>
      <c r="Q99" s="671"/>
      <c r="R99" s="183"/>
      <c r="S99" s="678"/>
      <c r="T99" s="171"/>
      <c r="U99" s="131"/>
      <c r="V99" s="131"/>
      <c r="W99" s="152"/>
      <c r="X99" s="131"/>
    </row>
    <row r="100" spans="1:24" ht="42" customHeight="1">
      <c r="A100" s="704"/>
      <c r="B100" s="414"/>
      <c r="C100" s="142"/>
      <c r="D100" s="100"/>
      <c r="E100" s="327" t="s">
        <v>541</v>
      </c>
      <c r="F100" s="450"/>
      <c r="G100" s="456"/>
      <c r="H100" s="472"/>
      <c r="I100" s="122"/>
      <c r="J100" s="262"/>
      <c r="K100" s="122"/>
      <c r="L100" s="375"/>
      <c r="M100" s="122"/>
      <c r="N100" s="122"/>
      <c r="O100" s="122"/>
      <c r="P100" s="107"/>
      <c r="Q100" s="671"/>
      <c r="R100" s="183"/>
      <c r="S100" s="678"/>
      <c r="T100" s="171"/>
      <c r="U100" s="131"/>
      <c r="V100" s="131"/>
      <c r="W100" s="152"/>
      <c r="X100" s="131"/>
    </row>
    <row r="101" spans="1:24" ht="14.4" customHeight="1">
      <c r="A101" s="704"/>
      <c r="B101" s="414"/>
      <c r="C101" s="801" t="s">
        <v>424</v>
      </c>
      <c r="D101" s="802"/>
      <c r="E101" s="802"/>
      <c r="F101" s="802"/>
      <c r="G101" s="802"/>
      <c r="H101" s="802"/>
      <c r="I101" s="802"/>
      <c r="J101" s="802"/>
      <c r="K101" s="802"/>
      <c r="L101" s="802"/>
      <c r="M101" s="802"/>
      <c r="N101" s="802"/>
      <c r="O101" s="803"/>
      <c r="P101" s="499">
        <f>SUM(P62:P100)</f>
        <v>0</v>
      </c>
      <c r="Q101" s="500">
        <f>SUM(Q62:Q100)</f>
        <v>98.64</v>
      </c>
      <c r="R101" s="634"/>
      <c r="S101" s="681"/>
      <c r="T101" s="153"/>
      <c r="U101" s="152"/>
      <c r="V101" s="152"/>
      <c r="W101" s="152"/>
      <c r="X101" s="152"/>
    </row>
    <row r="102" spans="1:24" ht="14.4" customHeight="1" thickBot="1">
      <c r="A102" s="704"/>
      <c r="B102" s="414"/>
      <c r="C102" s="798" t="s">
        <v>470</v>
      </c>
      <c r="D102" s="799"/>
      <c r="E102" s="799"/>
      <c r="F102" s="799"/>
      <c r="G102" s="799"/>
      <c r="H102" s="799"/>
      <c r="I102" s="799"/>
      <c r="J102" s="799"/>
      <c r="K102" s="799"/>
      <c r="L102" s="799"/>
      <c r="M102" s="799"/>
      <c r="N102" s="799"/>
      <c r="O102" s="800"/>
      <c r="P102" s="783">
        <f>T103-Q101+P101</f>
        <v>1832.6</v>
      </c>
      <c r="Q102" s="784"/>
      <c r="R102" s="672"/>
      <c r="S102" s="483"/>
      <c r="T102" s="677"/>
      <c r="U102" s="635"/>
      <c r="V102" s="722"/>
      <c r="W102" s="722"/>
      <c r="X102" s="635"/>
    </row>
    <row r="103" spans="1:24" ht="15" customHeight="1">
      <c r="A103" s="704"/>
      <c r="B103" s="414"/>
      <c r="C103" s="287"/>
      <c r="D103" s="172"/>
      <c r="E103" s="487"/>
      <c r="F103" s="488"/>
      <c r="G103" s="127"/>
      <c r="H103" s="489"/>
      <c r="I103" s="490"/>
      <c r="J103" s="491"/>
      <c r="K103" s="492"/>
      <c r="L103" s="493"/>
      <c r="M103" s="557"/>
      <c r="N103" s="789" t="s">
        <v>433</v>
      </c>
      <c r="O103" s="789"/>
      <c r="P103" s="789"/>
      <c r="Q103" s="789"/>
      <c r="R103" s="790"/>
      <c r="S103" s="711"/>
      <c r="T103" s="94">
        <f>SUM(P$28:P47)-SUM(Q$28:Q47)</f>
        <v>1931.24</v>
      </c>
      <c r="U103" s="99">
        <f>SUM(U$28:U47)</f>
        <v>482.22</v>
      </c>
      <c r="V103" s="723"/>
      <c r="W103" s="723"/>
      <c r="X103" s="76">
        <f>SUM(V$28:V47)-SUM(W$28:W47)</f>
        <v>6297</v>
      </c>
    </row>
    <row r="104" spans="1:24" ht="14.4" customHeight="1">
      <c r="A104" s="704"/>
      <c r="B104" s="486"/>
      <c r="C104" s="485"/>
      <c r="D104" s="485"/>
      <c r="E104" s="719"/>
      <c r="F104" s="716"/>
      <c r="G104" s="717"/>
      <c r="H104" s="718"/>
      <c r="I104" s="494"/>
      <c r="J104" s="495"/>
      <c r="K104" s="159"/>
      <c r="L104" s="159"/>
      <c r="M104" s="558"/>
      <c r="N104" s="787" t="s">
        <v>329</v>
      </c>
      <c r="O104" s="787"/>
      <c r="P104" s="787"/>
      <c r="Q104" s="787"/>
      <c r="R104" s="788"/>
      <c r="S104" s="710"/>
      <c r="T104" s="810">
        <f>ROUND(SUM(P$28:P47)-SUM(Q$28:Q47)-SUM(U$28:U47),2)</f>
        <v>1449.02</v>
      </c>
      <c r="U104" s="810"/>
      <c r="V104" s="721"/>
      <c r="W104" s="721"/>
      <c r="X104" s="721"/>
    </row>
    <row r="105" spans="1:24" ht="14.4" customHeight="1">
      <c r="A105" s="704"/>
      <c r="B105" s="486"/>
      <c r="C105" s="719"/>
      <c r="D105" s="719"/>
      <c r="E105" s="719"/>
      <c r="F105" s="716"/>
      <c r="G105" s="717"/>
      <c r="H105" s="718"/>
      <c r="I105" s="494"/>
      <c r="J105" s="495"/>
      <c r="K105" s="159"/>
      <c r="L105" s="159"/>
      <c r="M105" s="558"/>
      <c r="N105" s="806" t="s">
        <v>491</v>
      </c>
      <c r="O105" s="807"/>
      <c r="P105" s="807"/>
      <c r="Q105" s="748" t="s">
        <v>569</v>
      </c>
      <c r="R105" s="749"/>
      <c r="S105" s="413"/>
      <c r="T105" s="791">
        <v>1884.24</v>
      </c>
      <c r="U105" s="792"/>
      <c r="V105" s="551"/>
      <c r="W105" s="552"/>
      <c r="X105" s="553"/>
    </row>
    <row r="106" spans="1:24" ht="15" customHeight="1" thickBot="1">
      <c r="A106" s="704"/>
      <c r="B106" s="486"/>
      <c r="C106" s="719"/>
      <c r="D106" s="719"/>
      <c r="E106" s="719"/>
      <c r="F106" s="716"/>
      <c r="G106" s="717"/>
      <c r="H106" s="718"/>
      <c r="I106" s="496"/>
      <c r="J106" s="495"/>
      <c r="K106" s="497"/>
      <c r="L106" s="497"/>
      <c r="M106" s="496"/>
      <c r="N106" s="808" t="s">
        <v>570</v>
      </c>
      <c r="O106" s="809"/>
      <c r="P106" s="804" t="s">
        <v>571</v>
      </c>
      <c r="Q106" s="804"/>
      <c r="R106" s="805"/>
      <c r="S106" s="747"/>
      <c r="T106" s="793">
        <f>IF(ROUND(T104-T105+U125,2)=0,"Dont épargne CC",T104-T105+U125)</f>
        <v>-435.22</v>
      </c>
      <c r="U106" s="793"/>
      <c r="V106" s="551"/>
      <c r="W106" s="552"/>
      <c r="X106" s="553"/>
    </row>
    <row r="107" spans="1:24" ht="15" customHeight="1" thickBot="1">
      <c r="A107" s="704"/>
      <c r="B107" s="414"/>
      <c r="C107" s="485"/>
      <c r="D107" s="719"/>
      <c r="E107" s="719"/>
      <c r="F107" s="425"/>
      <c r="G107" s="157"/>
      <c r="H107" s="473"/>
      <c r="I107" s="157"/>
      <c r="J107" s="264"/>
      <c r="K107" s="157"/>
      <c r="L107" s="157"/>
      <c r="M107" s="157"/>
      <c r="N107" s="157"/>
      <c r="O107" s="157"/>
      <c r="P107" s="141"/>
      <c r="Q107" s="153"/>
      <c r="R107" s="339"/>
      <c r="S107" s="339"/>
      <c r="T107" s="746">
        <v>44347</v>
      </c>
      <c r="U107" s="396"/>
      <c r="V107" s="580" t="s">
        <v>8</v>
      </c>
      <c r="W107" s="578" t="s">
        <v>480</v>
      </c>
      <c r="X107" s="580" t="s">
        <v>9</v>
      </c>
    </row>
    <row r="108" spans="1:24" ht="14.4" customHeight="1" thickBot="1">
      <c r="A108" s="704"/>
      <c r="B108" s="414"/>
      <c r="C108" s="794" t="s">
        <v>118</v>
      </c>
      <c r="D108" s="795"/>
      <c r="E108" s="795"/>
      <c r="F108" s="390"/>
      <c r="G108" s="457"/>
      <c r="H108" s="474"/>
      <c r="I108" s="390"/>
      <c r="J108" s="391"/>
      <c r="K108" s="390"/>
      <c r="L108" s="390"/>
      <c r="M108" s="390"/>
      <c r="N108" s="390"/>
      <c r="O108" s="390"/>
      <c r="P108" s="390"/>
      <c r="Q108" s="392"/>
      <c r="R108" s="339"/>
      <c r="S108" s="339"/>
      <c r="T108" s="715">
        <v>44377</v>
      </c>
      <c r="U108" s="724"/>
      <c r="V108" s="728">
        <v>100</v>
      </c>
      <c r="W108" s="560">
        <v>2</v>
      </c>
      <c r="X108" s="560">
        <v>0</v>
      </c>
    </row>
    <row r="109" spans="1:24" ht="14.4" customHeight="1">
      <c r="A109" s="704"/>
      <c r="B109" s="414"/>
      <c r="C109" s="185"/>
      <c r="D109" s="186"/>
      <c r="E109" s="187"/>
      <c r="F109" s="451"/>
      <c r="G109" s="188"/>
      <c r="H109" s="475"/>
      <c r="I109" s="188"/>
      <c r="J109" s="267"/>
      <c r="K109" s="188"/>
      <c r="L109" s="209"/>
      <c r="M109" s="188"/>
      <c r="N109" s="188"/>
      <c r="O109" s="188"/>
      <c r="P109" s="189"/>
      <c r="Q109" s="190"/>
      <c r="R109" s="339"/>
      <c r="S109" s="339"/>
      <c r="T109" s="713"/>
      <c r="U109" s="725"/>
      <c r="V109" s="729">
        <v>50</v>
      </c>
      <c r="W109" s="155">
        <v>74</v>
      </c>
      <c r="X109" s="155">
        <v>13</v>
      </c>
    </row>
    <row r="110" spans="1:24" ht="14.4" customHeight="1">
      <c r="A110" s="704"/>
      <c r="B110" s="414"/>
      <c r="C110" s="192"/>
      <c r="D110" s="193"/>
      <c r="E110" s="194"/>
      <c r="F110" s="155"/>
      <c r="G110" s="195"/>
      <c r="H110" s="476"/>
      <c r="I110" s="195"/>
      <c r="J110" s="273"/>
      <c r="K110" s="195"/>
      <c r="L110" s="337"/>
      <c r="M110" s="195"/>
      <c r="N110" s="195"/>
      <c r="O110" s="195"/>
      <c r="P110" s="119"/>
      <c r="Q110" s="196"/>
      <c r="R110" s="339"/>
      <c r="S110" s="339"/>
      <c r="T110" s="713"/>
      <c r="U110" s="725"/>
      <c r="V110" s="729">
        <v>20</v>
      </c>
      <c r="W110" s="155">
        <v>17</v>
      </c>
      <c r="X110" s="155">
        <v>4</v>
      </c>
    </row>
    <row r="111" spans="1:24" ht="15" customHeight="1" thickBot="1">
      <c r="A111" s="704"/>
      <c r="B111" s="414"/>
      <c r="C111" s="796" t="s">
        <v>453</v>
      </c>
      <c r="D111" s="797"/>
      <c r="E111" s="797"/>
      <c r="F111" s="690"/>
      <c r="G111" s="690"/>
      <c r="H111" s="690"/>
      <c r="I111" s="690"/>
      <c r="J111" s="690"/>
      <c r="K111" s="690"/>
      <c r="L111" s="690"/>
      <c r="M111" s="690"/>
      <c r="N111" s="690"/>
      <c r="O111" s="690"/>
      <c r="P111" s="691"/>
      <c r="Q111" s="199">
        <f>SUM(Q109:Q110)</f>
        <v>0</v>
      </c>
      <c r="R111" s="339"/>
      <c r="S111" s="339"/>
      <c r="T111" s="713"/>
      <c r="U111" s="725"/>
      <c r="V111" s="729">
        <v>10</v>
      </c>
      <c r="W111" s="155">
        <v>21</v>
      </c>
      <c r="X111" s="155">
        <v>0</v>
      </c>
    </row>
    <row r="112" spans="1:24" ht="14.4" customHeight="1" thickBot="1">
      <c r="A112" s="704"/>
      <c r="B112" s="414"/>
      <c r="C112" s="200"/>
      <c r="D112" s="172"/>
      <c r="E112" s="201"/>
      <c r="F112" s="286"/>
      <c r="G112" s="127"/>
      <c r="H112" s="478"/>
      <c r="I112" s="127"/>
      <c r="J112" s="243"/>
      <c r="K112" s="127"/>
      <c r="L112" s="140"/>
      <c r="M112" s="127"/>
      <c r="N112" s="127"/>
      <c r="O112" s="127"/>
      <c r="P112" s="177"/>
      <c r="Q112" s="202"/>
      <c r="R112" s="339"/>
      <c r="S112" s="339"/>
      <c r="T112" s="713"/>
      <c r="U112" s="726"/>
      <c r="V112" s="729">
        <v>5</v>
      </c>
      <c r="W112" s="155">
        <v>8</v>
      </c>
      <c r="X112" s="155">
        <v>2</v>
      </c>
    </row>
    <row r="113" spans="1:30" ht="15" customHeight="1" thickBot="1">
      <c r="A113" s="704"/>
      <c r="B113" s="414"/>
      <c r="C113" s="794" t="s">
        <v>119</v>
      </c>
      <c r="D113" s="795"/>
      <c r="E113" s="795"/>
      <c r="F113" s="390"/>
      <c r="G113" s="457"/>
      <c r="H113" s="474"/>
      <c r="I113" s="390"/>
      <c r="J113" s="391"/>
      <c r="K113" s="390"/>
      <c r="L113" s="390"/>
      <c r="M113" s="390"/>
      <c r="N113" s="390"/>
      <c r="O113" s="390"/>
      <c r="P113" s="390"/>
      <c r="Q113" s="392"/>
      <c r="R113" s="339"/>
      <c r="S113" s="339"/>
      <c r="T113" s="713"/>
      <c r="U113" s="725"/>
      <c r="V113" s="730">
        <v>2</v>
      </c>
      <c r="W113" s="155"/>
      <c r="X113" s="155"/>
    </row>
    <row r="114" spans="1:30" ht="14.4" customHeight="1">
      <c r="A114" s="704"/>
      <c r="B114" s="414"/>
      <c r="C114" s="185"/>
      <c r="D114" s="519" t="s">
        <v>139</v>
      </c>
      <c r="E114" s="204" t="s">
        <v>266</v>
      </c>
      <c r="F114" s="451"/>
      <c r="G114" s="188"/>
      <c r="H114" s="189"/>
      <c r="I114" s="188"/>
      <c r="J114" s="267"/>
      <c r="K114" s="188"/>
      <c r="L114" s="209"/>
      <c r="M114" s="188"/>
      <c r="N114" s="188"/>
      <c r="O114" s="188"/>
      <c r="P114" s="189"/>
      <c r="Q114" s="190">
        <v>10</v>
      </c>
      <c r="R114" s="339"/>
      <c r="S114" s="339"/>
      <c r="T114" s="713"/>
      <c r="U114" s="725"/>
      <c r="V114" s="730">
        <v>1</v>
      </c>
      <c r="W114" s="155"/>
      <c r="X114" s="155"/>
    </row>
    <row r="115" spans="1:30" ht="14.4" customHeight="1">
      <c r="A115" s="704"/>
      <c r="B115" s="414"/>
      <c r="C115" s="192"/>
      <c r="D115" s="101" t="s">
        <v>139</v>
      </c>
      <c r="E115" s="102" t="s">
        <v>341</v>
      </c>
      <c r="F115" s="122"/>
      <c r="G115" s="269"/>
      <c r="H115" s="119"/>
      <c r="I115" s="269"/>
      <c r="J115" s="273"/>
      <c r="K115" s="269"/>
      <c r="L115" s="75"/>
      <c r="M115" s="269"/>
      <c r="N115" s="269"/>
      <c r="O115" s="269"/>
      <c r="P115" s="119"/>
      <c r="Q115" s="196">
        <v>13.5</v>
      </c>
      <c r="R115" s="339"/>
      <c r="S115" s="339"/>
      <c r="T115" s="713"/>
      <c r="U115" s="725"/>
      <c r="V115" s="731">
        <v>0.5</v>
      </c>
      <c r="W115" s="155"/>
      <c r="X115" s="155"/>
    </row>
    <row r="116" spans="1:30" ht="14.4" customHeight="1">
      <c r="A116" s="704"/>
      <c r="B116" s="414"/>
      <c r="C116" s="192"/>
      <c r="D116" s="205" t="s">
        <v>142</v>
      </c>
      <c r="E116" s="102" t="s">
        <v>239</v>
      </c>
      <c r="F116" s="122"/>
      <c r="G116" s="269"/>
      <c r="H116" s="119"/>
      <c r="I116" s="269"/>
      <c r="J116" s="273"/>
      <c r="K116" s="269"/>
      <c r="L116" s="75"/>
      <c r="M116" s="269"/>
      <c r="N116" s="269"/>
      <c r="O116" s="269"/>
      <c r="P116" s="119"/>
      <c r="Q116" s="196">
        <v>150</v>
      </c>
      <c r="R116" s="339"/>
      <c r="S116" s="339"/>
      <c r="T116" s="77"/>
      <c r="U116" s="727"/>
      <c r="V116" s="731">
        <v>0.2</v>
      </c>
      <c r="W116" s="158"/>
      <c r="X116" s="158"/>
    </row>
    <row r="117" spans="1:30" ht="15" customHeight="1">
      <c r="A117" s="704"/>
      <c r="B117" s="414"/>
      <c r="C117" s="192"/>
      <c r="D117" s="205" t="s">
        <v>434</v>
      </c>
      <c r="E117" s="102" t="s">
        <v>488</v>
      </c>
      <c r="F117" s="122"/>
      <c r="G117" s="269"/>
      <c r="H117" s="119"/>
      <c r="I117" s="269"/>
      <c r="J117" s="273"/>
      <c r="K117" s="269"/>
      <c r="L117" s="75"/>
      <c r="M117" s="269"/>
      <c r="N117" s="269"/>
      <c r="O117" s="269"/>
      <c r="P117" s="119"/>
      <c r="Q117" s="196">
        <v>20</v>
      </c>
      <c r="R117" s="339"/>
      <c r="S117" s="339"/>
      <c r="T117" s="77"/>
      <c r="U117" s="727"/>
      <c r="V117" s="731">
        <v>0.1</v>
      </c>
      <c r="W117" s="158"/>
      <c r="X117" s="158"/>
    </row>
    <row r="118" spans="1:30" ht="15" customHeight="1">
      <c r="A118" s="704"/>
      <c r="B118" s="414"/>
      <c r="C118" s="192"/>
      <c r="D118" s="205"/>
      <c r="E118" s="102"/>
      <c r="F118" s="122"/>
      <c r="G118" s="269"/>
      <c r="H118" s="119"/>
      <c r="I118" s="269"/>
      <c r="J118" s="273"/>
      <c r="K118" s="269"/>
      <c r="L118" s="75"/>
      <c r="M118" s="269"/>
      <c r="N118" s="269"/>
      <c r="O118" s="269"/>
      <c r="P118" s="119"/>
      <c r="Q118" s="196"/>
      <c r="R118" s="339"/>
      <c r="S118" s="339"/>
      <c r="T118" s="77"/>
      <c r="U118" s="727"/>
      <c r="V118" s="731">
        <v>0.05</v>
      </c>
      <c r="W118" s="158"/>
      <c r="X118" s="158"/>
    </row>
    <row r="119" spans="1:30" ht="15" customHeight="1">
      <c r="A119" s="704"/>
      <c r="B119" s="414"/>
      <c r="C119" s="192"/>
      <c r="D119" s="205"/>
      <c r="E119" s="102"/>
      <c r="F119" s="122"/>
      <c r="G119" s="269"/>
      <c r="H119" s="119"/>
      <c r="I119" s="269"/>
      <c r="J119" s="273"/>
      <c r="K119" s="269"/>
      <c r="L119" s="75"/>
      <c r="M119" s="269"/>
      <c r="N119" s="269"/>
      <c r="O119" s="269"/>
      <c r="P119" s="119"/>
      <c r="Q119" s="196"/>
      <c r="R119" s="339"/>
      <c r="S119" s="339"/>
      <c r="T119" s="77"/>
      <c r="U119" s="727"/>
      <c r="V119" s="731">
        <v>0.02</v>
      </c>
      <c r="W119" s="158"/>
      <c r="X119" s="158"/>
    </row>
    <row r="120" spans="1:30" ht="15" customHeight="1" thickBot="1">
      <c r="A120" s="704"/>
      <c r="B120" s="414"/>
      <c r="C120" s="192"/>
      <c r="D120" s="205"/>
      <c r="E120" s="102"/>
      <c r="F120" s="122"/>
      <c r="G120" s="269"/>
      <c r="H120" s="119"/>
      <c r="I120" s="269"/>
      <c r="J120" s="273"/>
      <c r="K120" s="269"/>
      <c r="L120" s="75"/>
      <c r="M120" s="269"/>
      <c r="N120" s="269"/>
      <c r="O120" s="269"/>
      <c r="P120" s="119"/>
      <c r="Q120" s="196"/>
      <c r="R120" s="339"/>
      <c r="S120" s="339"/>
      <c r="T120" s="77"/>
      <c r="U120" s="727"/>
      <c r="V120" s="732">
        <v>0.01</v>
      </c>
      <c r="W120" s="554"/>
      <c r="X120" s="554"/>
    </row>
    <row r="121" spans="1:30" ht="14.4" customHeight="1">
      <c r="A121" s="704"/>
      <c r="B121" s="414"/>
      <c r="C121" s="192"/>
      <c r="D121" s="205"/>
      <c r="E121" s="102"/>
      <c r="F121" s="122"/>
      <c r="G121" s="269"/>
      <c r="H121" s="119"/>
      <c r="I121" s="269"/>
      <c r="J121" s="273"/>
      <c r="K121" s="269"/>
      <c r="L121" s="75"/>
      <c r="M121" s="269"/>
      <c r="N121" s="269"/>
      <c r="O121" s="269"/>
      <c r="P121" s="119"/>
      <c r="Q121" s="196"/>
      <c r="R121" s="339"/>
      <c r="S121" s="339"/>
      <c r="T121" s="77"/>
      <c r="U121" s="727"/>
      <c r="V121" s="733" t="s">
        <v>481</v>
      </c>
      <c r="W121" s="581">
        <f>$V108*W108+$V109*W109+$V110*W110+$V111*W111+$V112*W112</f>
        <v>4490</v>
      </c>
      <c r="X121" s="581">
        <f t="shared" ref="X121" si="40">$V108*X108+$V109*X109+$V110*X110+$V111*X111+$V112*X112</f>
        <v>740</v>
      </c>
    </row>
    <row r="122" spans="1:30" ht="15" customHeight="1" thickBot="1">
      <c r="A122" s="704"/>
      <c r="B122" s="414"/>
      <c r="C122" s="197"/>
      <c r="D122" s="198"/>
      <c r="E122" s="174" t="s">
        <v>136</v>
      </c>
      <c r="F122" s="452"/>
      <c r="G122" s="175"/>
      <c r="H122" s="477"/>
      <c r="I122" s="175"/>
      <c r="J122" s="265"/>
      <c r="K122" s="175"/>
      <c r="L122" s="265"/>
      <c r="M122" s="175"/>
      <c r="N122" s="175"/>
      <c r="O122" s="175"/>
      <c r="P122" s="176"/>
      <c r="Q122" s="199">
        <f>SUM(Q114:Q121)</f>
        <v>193.5</v>
      </c>
      <c r="R122" s="339"/>
      <c r="S122" s="339"/>
      <c r="T122" s="77"/>
      <c r="U122" s="727"/>
      <c r="V122" s="734">
        <v>44378</v>
      </c>
      <c r="W122" s="687">
        <f>SUM(W121:X121)</f>
        <v>5230</v>
      </c>
      <c r="X122" s="687"/>
    </row>
    <row r="123" spans="1:30" ht="15" customHeight="1" thickBot="1">
      <c r="A123" s="704"/>
      <c r="B123" s="414"/>
      <c r="R123" s="339"/>
      <c r="S123" s="339"/>
      <c r="T123" s="77"/>
      <c r="U123" s="727"/>
      <c r="V123" s="735" t="s">
        <v>482</v>
      </c>
      <c r="W123" s="688">
        <v>4636.8100000000004</v>
      </c>
      <c r="X123" s="689"/>
    </row>
    <row r="124" spans="1:30" ht="15.6">
      <c r="A124" s="704"/>
      <c r="B124" s="414"/>
      <c r="C124" s="781" t="s">
        <v>489</v>
      </c>
      <c r="D124" s="782"/>
      <c r="E124" s="782"/>
      <c r="F124" s="387"/>
      <c r="G124" s="458"/>
      <c r="H124" s="479"/>
      <c r="I124" s="387"/>
      <c r="J124" s="388"/>
      <c r="K124" s="387"/>
      <c r="L124" s="387"/>
      <c r="M124" s="387"/>
      <c r="N124" s="387"/>
      <c r="O124" s="387"/>
      <c r="P124" s="387"/>
      <c r="Q124" s="389"/>
      <c r="R124" s="339"/>
      <c r="S124" s="339"/>
      <c r="T124" s="712"/>
      <c r="U124" s="727"/>
      <c r="V124" s="736" t="s">
        <v>245</v>
      </c>
      <c r="W124" s="684">
        <f>IF(W122-W123=0,"OK",W122-W123)</f>
        <v>593.1899999999996</v>
      </c>
      <c r="X124" s="685"/>
    </row>
    <row r="125" spans="1:30" s="184" customFormat="1" ht="15" thickBot="1">
      <c r="A125" s="704"/>
      <c r="B125" s="414"/>
      <c r="C125" s="137"/>
      <c r="D125" s="210" t="s">
        <v>291</v>
      </c>
      <c r="E125" s="211" t="s">
        <v>292</v>
      </c>
      <c r="F125" s="212"/>
      <c r="G125" s="106"/>
      <c r="H125" s="409"/>
      <c r="I125" s="212"/>
      <c r="J125" s="268"/>
      <c r="K125" s="212"/>
      <c r="L125" s="212"/>
      <c r="M125" s="212"/>
      <c r="N125" s="212"/>
      <c r="O125" s="212"/>
      <c r="P125" s="213"/>
      <c r="Q125" s="214">
        <v>9</v>
      </c>
      <c r="R125" s="183"/>
      <c r="S125" s="183"/>
      <c r="T125" s="712" t="s">
        <v>453</v>
      </c>
      <c r="U125" s="727">
        <f>SUM(U107:U124)</f>
        <v>0</v>
      </c>
      <c r="V125" s="579" t="s">
        <v>483</v>
      </c>
      <c r="W125" s="686"/>
      <c r="X125" s="686"/>
      <c r="AD125" s="427"/>
    </row>
    <row r="126" spans="1:30" ht="16.2" customHeight="1">
      <c r="A126" s="704"/>
      <c r="B126" s="414"/>
      <c r="C126" s="137"/>
      <c r="D126" s="210" t="s">
        <v>291</v>
      </c>
      <c r="E126" s="211" t="s">
        <v>293</v>
      </c>
      <c r="F126" s="212"/>
      <c r="G126" s="106"/>
      <c r="H126" s="409"/>
      <c r="I126" s="212"/>
      <c r="J126" s="268"/>
      <c r="K126" s="212"/>
      <c r="L126" s="212"/>
      <c r="M126" s="212"/>
      <c r="N126" s="212"/>
      <c r="O126" s="212"/>
      <c r="P126" s="213"/>
      <c r="Q126" s="214">
        <v>15.95</v>
      </c>
      <c r="R126" s="183"/>
      <c r="S126" s="183"/>
      <c r="T126" s="177"/>
      <c r="U126" s="177"/>
    </row>
    <row r="127" spans="1:30">
      <c r="A127" s="704"/>
      <c r="B127" s="414"/>
      <c r="C127" s="192"/>
      <c r="D127" s="215"/>
      <c r="E127" s="216"/>
      <c r="F127" s="453"/>
      <c r="G127" s="68"/>
      <c r="H127" s="217"/>
      <c r="I127" s="68"/>
      <c r="J127" s="259"/>
      <c r="K127" s="68"/>
      <c r="L127" s="75"/>
      <c r="M127" s="68"/>
      <c r="N127" s="68"/>
      <c r="O127" s="68"/>
      <c r="P127" s="217"/>
      <c r="Q127" s="218"/>
      <c r="R127" s="183"/>
      <c r="S127" s="183"/>
      <c r="T127" s="191"/>
      <c r="U127" s="191"/>
    </row>
    <row r="128" spans="1:30">
      <c r="A128" s="704"/>
      <c r="B128" s="414"/>
      <c r="C128" s="192"/>
      <c r="D128" s="215"/>
      <c r="E128" s="216"/>
      <c r="F128" s="453"/>
      <c r="G128" s="68"/>
      <c r="H128" s="217"/>
      <c r="I128" s="68"/>
      <c r="J128" s="259"/>
      <c r="K128" s="68"/>
      <c r="L128" s="75"/>
      <c r="M128" s="68"/>
      <c r="N128" s="68"/>
      <c r="O128" s="68"/>
      <c r="P128" s="217"/>
      <c r="Q128" s="218"/>
      <c r="R128" s="183"/>
      <c r="S128" s="183"/>
      <c r="T128" s="191"/>
      <c r="U128" s="191"/>
    </row>
    <row r="129" spans="1:30" ht="15" thickBot="1">
      <c r="A129" s="704"/>
      <c r="B129" s="414"/>
      <c r="C129" s="197"/>
      <c r="D129" s="198"/>
      <c r="E129" s="174" t="s">
        <v>136</v>
      </c>
      <c r="F129" s="452"/>
      <c r="G129" s="175"/>
      <c r="H129" s="477"/>
      <c r="I129" s="175"/>
      <c r="J129" s="265"/>
      <c r="K129" s="175"/>
      <c r="L129" s="265"/>
      <c r="M129" s="175"/>
      <c r="N129" s="175"/>
      <c r="O129" s="175"/>
      <c r="P129" s="176"/>
      <c r="Q129" s="199">
        <f>SUM(Q125:Q128)</f>
        <v>24.95</v>
      </c>
    </row>
    <row r="130" spans="1:30">
      <c r="A130" s="352"/>
      <c r="B130" s="414"/>
    </row>
    <row r="131" spans="1:30" ht="16.2" customHeight="1">
      <c r="A131" s="352"/>
      <c r="B131" s="414"/>
      <c r="T131" s="203"/>
    </row>
    <row r="132" spans="1:30">
      <c r="A132" s="352"/>
      <c r="B132" s="414"/>
    </row>
    <row r="133" spans="1:30">
      <c r="A133" s="352"/>
      <c r="B133" s="414"/>
    </row>
    <row r="134" spans="1:30" ht="13.8" customHeight="1">
      <c r="A134" s="352"/>
      <c r="B134" s="414"/>
    </row>
    <row r="135" spans="1:30">
      <c r="A135" s="352"/>
      <c r="B135" s="414"/>
    </row>
    <row r="136" spans="1:30">
      <c r="A136" s="352"/>
      <c r="B136" s="414"/>
    </row>
    <row r="137" spans="1:30">
      <c r="A137" s="352"/>
      <c r="B137" s="414"/>
    </row>
    <row r="138" spans="1:30">
      <c r="A138" s="352"/>
      <c r="B138" s="414"/>
    </row>
    <row r="139" spans="1:30" s="208" customFormat="1">
      <c r="A139" s="352"/>
      <c r="B139" s="414"/>
      <c r="R139" s="340"/>
      <c r="S139" s="340"/>
      <c r="T139" s="206"/>
      <c r="U139" s="206"/>
      <c r="V139" s="207"/>
      <c r="W139" s="207"/>
      <c r="X139" s="207"/>
      <c r="AA139" s="206"/>
      <c r="AB139" s="206"/>
      <c r="AC139" s="206"/>
      <c r="AD139" s="427"/>
    </row>
    <row r="140" spans="1:30" s="208" customFormat="1">
      <c r="A140" s="352"/>
      <c r="B140" s="414"/>
      <c r="R140" s="340"/>
      <c r="S140" s="340"/>
      <c r="T140" s="206"/>
      <c r="U140" s="206"/>
      <c r="V140" s="207"/>
      <c r="W140" s="207"/>
      <c r="X140" s="207"/>
      <c r="AA140" s="206"/>
      <c r="AB140" s="206"/>
      <c r="AC140" s="206"/>
      <c r="AD140" s="427"/>
    </row>
    <row r="141" spans="1:30" s="208" customFormat="1">
      <c r="A141" s="352"/>
      <c r="B141" s="414"/>
      <c r="R141" s="340"/>
      <c r="S141" s="340"/>
      <c r="T141" s="206"/>
      <c r="U141" s="206"/>
      <c r="V141" s="207"/>
      <c r="W141" s="207"/>
      <c r="X141" s="207"/>
      <c r="AA141" s="206"/>
      <c r="AB141" s="206"/>
      <c r="AC141" s="206"/>
      <c r="AD141" s="427"/>
    </row>
    <row r="142" spans="1:30" s="208" customFormat="1" ht="16.2" customHeight="1">
      <c r="A142" s="352"/>
      <c r="B142" s="414"/>
      <c r="R142" s="340"/>
      <c r="S142" s="340"/>
      <c r="T142" s="206"/>
      <c r="U142" s="206"/>
      <c r="V142" s="207"/>
      <c r="W142" s="207"/>
      <c r="X142" s="207"/>
      <c r="AA142" s="206"/>
      <c r="AB142" s="206"/>
      <c r="AC142" s="206"/>
      <c r="AD142" s="427"/>
    </row>
    <row r="143" spans="1:30" s="208" customFormat="1" ht="13.8" customHeight="1">
      <c r="A143" s="352"/>
      <c r="B143" s="414"/>
      <c r="R143" s="340"/>
      <c r="S143" s="340"/>
      <c r="T143" s="206"/>
      <c r="U143" s="206"/>
      <c r="V143" s="551"/>
      <c r="W143" s="552"/>
      <c r="X143" s="553"/>
      <c r="AA143" s="206"/>
      <c r="AB143" s="206"/>
      <c r="AC143" s="206"/>
      <c r="AD143" s="427"/>
    </row>
    <row r="144" spans="1:30" s="208" customFormat="1" ht="13.8" customHeight="1">
      <c r="A144" s="352"/>
      <c r="B144" s="414"/>
      <c r="R144" s="340"/>
      <c r="S144" s="340"/>
      <c r="T144" s="206"/>
      <c r="U144" s="206"/>
      <c r="V144" s="551"/>
      <c r="W144" s="552"/>
      <c r="X144" s="553"/>
      <c r="AA144" s="206"/>
      <c r="AB144" s="206"/>
      <c r="AC144" s="206"/>
      <c r="AD144" s="427"/>
    </row>
    <row r="145" spans="1:24">
      <c r="A145" s="352"/>
      <c r="B145" s="414"/>
      <c r="V145" s="756"/>
      <c r="W145" s="756"/>
      <c r="X145" s="756"/>
    </row>
    <row r="146" spans="1:24">
      <c r="A146" s="352"/>
      <c r="B146" s="414"/>
      <c r="V146" s="564"/>
      <c r="W146" s="565"/>
      <c r="X146" s="566"/>
    </row>
    <row r="147" spans="1:24">
      <c r="A147" s="352"/>
      <c r="B147" s="414"/>
      <c r="V147" s="564"/>
      <c r="W147" s="565"/>
      <c r="X147" s="566"/>
    </row>
    <row r="148" spans="1:24">
      <c r="V148" s="564"/>
      <c r="W148" s="565"/>
      <c r="X148" s="566"/>
    </row>
    <row r="149" spans="1:24">
      <c r="V149" s="564"/>
      <c r="W149" s="565"/>
      <c r="X149" s="566"/>
    </row>
    <row r="150" spans="1:24">
      <c r="V150" s="564"/>
      <c r="W150" s="565"/>
      <c r="X150" s="566"/>
    </row>
    <row r="151" spans="1:24">
      <c r="V151" s="756"/>
      <c r="W151" s="756"/>
      <c r="X151" s="756"/>
    </row>
    <row r="152" spans="1:24">
      <c r="V152" s="566"/>
      <c r="W152" s="565"/>
      <c r="X152" s="566"/>
    </row>
    <row r="153" spans="1:24">
      <c r="V153" s="566"/>
      <c r="W153" s="565"/>
      <c r="X153" s="566"/>
    </row>
    <row r="154" spans="1:24">
      <c r="V154" s="566"/>
      <c r="W154" s="565"/>
      <c r="X154" s="566"/>
    </row>
    <row r="155" spans="1:24">
      <c r="V155" s="566"/>
      <c r="W155" s="565"/>
      <c r="X155" s="566"/>
    </row>
    <row r="156" spans="1:24">
      <c r="V156" s="566"/>
      <c r="W156" s="565"/>
      <c r="X156" s="566"/>
    </row>
    <row r="157" spans="1:24">
      <c r="V157" s="566"/>
      <c r="W157" s="565"/>
      <c r="X157" s="566"/>
    </row>
    <row r="158" spans="1:24">
      <c r="V158" s="566"/>
      <c r="W158" s="565"/>
      <c r="X158" s="566"/>
    </row>
    <row r="159" spans="1:24">
      <c r="V159" s="566"/>
      <c r="W159" s="565"/>
      <c r="X159" s="566"/>
    </row>
    <row r="160" spans="1:24">
      <c r="V160" s="153"/>
      <c r="W160" s="153"/>
      <c r="X160" s="153"/>
    </row>
  </sheetData>
  <autoFilter ref="A27:AC57">
    <filterColumn colId="3"/>
    <filterColumn colId="5"/>
    <filterColumn colId="6"/>
    <filterColumn colId="7"/>
    <filterColumn colId="11"/>
    <filterColumn colId="14"/>
    <filterColumn colId="16"/>
    <filterColumn colId="18"/>
    <filterColumn colId="25"/>
    <filterColumn colId="26"/>
  </autoFilter>
  <sortState ref="AC28:AC44">
    <sortCondition ref="AC27"/>
  </sortState>
  <mergeCells count="56">
    <mergeCell ref="A1:C1"/>
    <mergeCell ref="F1:N1"/>
    <mergeCell ref="N48:P49"/>
    <mergeCell ref="N2:N5"/>
    <mergeCell ref="J2:J5"/>
    <mergeCell ref="P2:X2"/>
    <mergeCell ref="P1:X1"/>
    <mergeCell ref="V3:W3"/>
    <mergeCell ref="P3:T3"/>
    <mergeCell ref="A4:A5"/>
    <mergeCell ref="B2:B5"/>
    <mergeCell ref="C4:C5"/>
    <mergeCell ref="D4:D5"/>
    <mergeCell ref="T62:W67"/>
    <mergeCell ref="P61:Q61"/>
    <mergeCell ref="P4:R4"/>
    <mergeCell ref="C60:Q60"/>
    <mergeCell ref="D48:D50"/>
    <mergeCell ref="E4:E5"/>
    <mergeCell ref="V4:X4"/>
    <mergeCell ref="T48:T49"/>
    <mergeCell ref="M2:M5"/>
    <mergeCell ref="H2:H5"/>
    <mergeCell ref="K2:K5"/>
    <mergeCell ref="I2:I5"/>
    <mergeCell ref="F2:F5"/>
    <mergeCell ref="G2:G5"/>
    <mergeCell ref="L2:L5"/>
    <mergeCell ref="C113:E113"/>
    <mergeCell ref="C102:O102"/>
    <mergeCell ref="C101:O101"/>
    <mergeCell ref="P106:R106"/>
    <mergeCell ref="N105:P105"/>
    <mergeCell ref="N106:O106"/>
    <mergeCell ref="N103:R103"/>
    <mergeCell ref="T105:U105"/>
    <mergeCell ref="T106:U106"/>
    <mergeCell ref="C108:E108"/>
    <mergeCell ref="C111:E111"/>
    <mergeCell ref="T104:U104"/>
    <mergeCell ref="V151:X151"/>
    <mergeCell ref="R5:S5"/>
    <mergeCell ref="V145:X145"/>
    <mergeCell ref="Z4:AC4"/>
    <mergeCell ref="C38:J38"/>
    <mergeCell ref="T70:W70"/>
    <mergeCell ref="U48:U49"/>
    <mergeCell ref="D52:D55"/>
    <mergeCell ref="M52:M57"/>
    <mergeCell ref="E52:E55"/>
    <mergeCell ref="E48:E50"/>
    <mergeCell ref="K52:K57"/>
    <mergeCell ref="C124:E124"/>
    <mergeCell ref="P102:Q102"/>
    <mergeCell ref="T82:W82"/>
    <mergeCell ref="N104:R104"/>
  </mergeCells>
  <conditionalFormatting sqref="D58">
    <cfRule type="expression" dxfId="52" priority="305">
      <formula>#REF!&lt;0</formula>
    </cfRule>
  </conditionalFormatting>
  <conditionalFormatting sqref="E2:E3">
    <cfRule type="expression" dxfId="51" priority="303">
      <formula>$A$2&lt;0</formula>
    </cfRule>
    <cfRule type="expression" dxfId="50" priority="304">
      <formula>$A$2&lt;0</formula>
    </cfRule>
  </conditionalFormatting>
  <conditionalFormatting sqref="D51:D52">
    <cfRule type="expression" dxfId="49" priority="310">
      <formula>A52&lt;0</formula>
    </cfRule>
  </conditionalFormatting>
  <conditionalFormatting sqref="C50:C58">
    <cfRule type="expression" dxfId="48" priority="313">
      <formula>$A$50&lt;0</formula>
    </cfRule>
  </conditionalFormatting>
  <conditionalFormatting sqref="D58 C51:D51 C50:C58 D51:D52">
    <cfRule type="expression" dxfId="47" priority="314">
      <formula>$A$50&lt;0</formula>
    </cfRule>
  </conditionalFormatting>
  <conditionalFormatting sqref="J39:J47 J28:J37">
    <cfRule type="expression" dxfId="46" priority="293">
      <formula>AND(C28&gt;0,J28&gt;0,J28&lt;TODAY())</formula>
    </cfRule>
  </conditionalFormatting>
  <conditionalFormatting sqref="D52">
    <cfRule type="expression" dxfId="45" priority="292">
      <formula>A52&lt;0</formula>
    </cfRule>
  </conditionalFormatting>
  <conditionalFormatting sqref="R52:S57 K51">
    <cfRule type="cellIs" dxfId="44" priority="291" operator="notEqual">
      <formula>0</formula>
    </cfRule>
  </conditionalFormatting>
  <conditionalFormatting sqref="F28:H28 B39:H47 D28:G37 B28:C38 H32:H37">
    <cfRule type="expression" dxfId="43" priority="269" stopIfTrue="1">
      <formula>$B28="M"</formula>
    </cfRule>
    <cfRule type="expression" dxfId="42" priority="270" stopIfTrue="1">
      <formula>$B28="A"</formula>
    </cfRule>
  </conditionalFormatting>
  <conditionalFormatting sqref="C2">
    <cfRule type="expression" dxfId="41" priority="199">
      <formula>$C$2="0 €"</formula>
    </cfRule>
  </conditionalFormatting>
  <conditionalFormatting sqref="C3">
    <cfRule type="expression" dxfId="40" priority="190">
      <formula>$C$3="0 €"</formula>
    </cfRule>
  </conditionalFormatting>
  <conditionalFormatting sqref="D85:D92">
    <cfRule type="expression" dxfId="39" priority="156" stopIfTrue="1">
      <formula>$B85="M"</formula>
    </cfRule>
    <cfRule type="expression" dxfId="38" priority="157" stopIfTrue="1">
      <formula>$B85="A"</formula>
    </cfRule>
  </conditionalFormatting>
  <conditionalFormatting sqref="D85:D92">
    <cfRule type="expression" dxfId="37" priority="154" stopIfTrue="1">
      <formula>$B85="M"</formula>
    </cfRule>
    <cfRule type="expression" dxfId="36" priority="155" stopIfTrue="1">
      <formula>$B85="A"</formula>
    </cfRule>
  </conditionalFormatting>
  <conditionalFormatting sqref="D73:D74">
    <cfRule type="expression" dxfId="35" priority="152" stopIfTrue="1">
      <formula>$B73="M"</formula>
    </cfRule>
    <cfRule type="expression" dxfId="34" priority="153" stopIfTrue="1">
      <formula>$B73="A"</formula>
    </cfRule>
  </conditionalFormatting>
  <conditionalFormatting sqref="D73:D74">
    <cfRule type="expression" dxfId="33" priority="150" stopIfTrue="1">
      <formula>$B73="M"</formula>
    </cfRule>
    <cfRule type="expression" dxfId="32" priority="151" stopIfTrue="1">
      <formula>$B73="A"</formula>
    </cfRule>
  </conditionalFormatting>
  <conditionalFormatting sqref="J85:J86">
    <cfRule type="expression" dxfId="31" priority="149">
      <formula>AND(C85&gt;0,J85&gt;0,J85&lt;TODAY())</formula>
    </cfRule>
  </conditionalFormatting>
  <conditionalFormatting sqref="D85:D86">
    <cfRule type="expression" dxfId="30" priority="147" stopIfTrue="1">
      <formula>$B85="M"</formula>
    </cfRule>
    <cfRule type="expression" dxfId="29" priority="148" stopIfTrue="1">
      <formula>$B85="A"</formula>
    </cfRule>
  </conditionalFormatting>
  <conditionalFormatting sqref="D83">
    <cfRule type="expression" dxfId="28" priority="145" stopIfTrue="1">
      <formula>$B83="M"</formula>
    </cfRule>
    <cfRule type="expression" dxfId="27" priority="146" stopIfTrue="1">
      <formula>$B83="A"</formula>
    </cfRule>
  </conditionalFormatting>
  <conditionalFormatting sqref="D83">
    <cfRule type="expression" dxfId="26" priority="143" stopIfTrue="1">
      <formula>$B83="M"</formula>
    </cfRule>
    <cfRule type="expression" dxfId="25" priority="144" stopIfTrue="1">
      <formula>$B83="A"</formula>
    </cfRule>
  </conditionalFormatting>
  <conditionalFormatting sqref="D83">
    <cfRule type="expression" dxfId="24" priority="141" stopIfTrue="1">
      <formula>$B83="M"</formula>
    </cfRule>
    <cfRule type="expression" dxfId="23" priority="142" stopIfTrue="1">
      <formula>$B83="A"</formula>
    </cfRule>
  </conditionalFormatting>
  <conditionalFormatting sqref="O62:O92">
    <cfRule type="cellIs" dxfId="22" priority="122" operator="equal">
      <formula>0</formula>
    </cfRule>
  </conditionalFormatting>
  <conditionalFormatting sqref="C62:C92">
    <cfRule type="expression" dxfId="21" priority="121">
      <formula>O62=0</formula>
    </cfRule>
  </conditionalFormatting>
  <conditionalFormatting sqref="D85">
    <cfRule type="expression" dxfId="20" priority="112" stopIfTrue="1">
      <formula>$B85="M"</formula>
    </cfRule>
    <cfRule type="expression" dxfId="19" priority="113" stopIfTrue="1">
      <formula>$B85="A"</formula>
    </cfRule>
  </conditionalFormatting>
  <conditionalFormatting sqref="D85">
    <cfRule type="expression" dxfId="18" priority="110" stopIfTrue="1">
      <formula>$B85="M"</formula>
    </cfRule>
    <cfRule type="expression" dxfId="17" priority="111" stopIfTrue="1">
      <formula>$B85="A"</formula>
    </cfRule>
  </conditionalFormatting>
  <conditionalFormatting sqref="D85">
    <cfRule type="expression" dxfId="16" priority="108" stopIfTrue="1">
      <formula>$B85="M"</formula>
    </cfRule>
    <cfRule type="expression" dxfId="15" priority="109" stopIfTrue="1">
      <formula>$B85="A"</formula>
    </cfRule>
  </conditionalFormatting>
  <conditionalFormatting sqref="D87:D88">
    <cfRule type="expression" dxfId="14" priority="75" stopIfTrue="1">
      <formula>$B87="M"</formula>
    </cfRule>
    <cfRule type="expression" dxfId="13" priority="76" stopIfTrue="1">
      <formula>$B87="A"</formula>
    </cfRule>
  </conditionalFormatting>
  <conditionalFormatting sqref="D87:D88">
    <cfRule type="expression" dxfId="12" priority="73" stopIfTrue="1">
      <formula>$B87="M"</formula>
    </cfRule>
    <cfRule type="expression" dxfId="11" priority="74" stopIfTrue="1">
      <formula>$B87="A"</formula>
    </cfRule>
  </conditionalFormatting>
  <conditionalFormatting sqref="D87:D88">
    <cfRule type="expression" dxfId="10" priority="71" stopIfTrue="1">
      <formula>$B87="M"</formula>
    </cfRule>
    <cfRule type="expression" dxfId="9" priority="72" stopIfTrue="1">
      <formula>$B87="A"</formula>
    </cfRule>
  </conditionalFormatting>
  <conditionalFormatting sqref="D87:D88">
    <cfRule type="expression" dxfId="8" priority="69" stopIfTrue="1">
      <formula>$B87="M"</formula>
    </cfRule>
    <cfRule type="expression" dxfId="7" priority="70" stopIfTrue="1">
      <formula>$B87="A"</formula>
    </cfRule>
  </conditionalFormatting>
  <conditionalFormatting sqref="F1">
    <cfRule type="expression" dxfId="6" priority="51">
      <formula>U48&gt;=20</formula>
    </cfRule>
  </conditionalFormatting>
  <conditionalFormatting sqref="M28:M47">
    <cfRule type="expression" dxfId="5" priority="665">
      <formula>AND(C28&lt;&gt;0,OR(L28="Aucun",L28="Multiple"),(#REF!+#REF!)&lt;&gt;0)</formula>
    </cfRule>
    <cfRule type="expression" dxfId="4" priority="666" stopIfTrue="1">
      <formula>OR(L28="Aucun",L28="Multiple")</formula>
    </cfRule>
    <cfRule type="cellIs" dxfId="3" priority="667" operator="equal">
      <formula>"x"</formula>
    </cfRule>
  </conditionalFormatting>
  <conditionalFormatting sqref="H32:H37 C29:G37">
    <cfRule type="expression" dxfId="2" priority="1" stopIfTrue="1">
      <formula>$B29="M"</formula>
    </cfRule>
    <cfRule type="expression" dxfId="1" priority="2" stopIfTrue="1">
      <formula>$B29="A"</formula>
    </cfRule>
  </conditionalFormatting>
  <conditionalFormatting sqref="E1">
    <cfRule type="expression" dxfId="0" priority="876">
      <formula>$U$48&gt;=20</formula>
    </cfRule>
  </conditionalFormatting>
  <dataValidations xWindow="906" yWindow="613" count="8">
    <dataValidation type="list" allowBlank="1" showInputMessage="1" showErrorMessage="1" errorTitle="Budget" error="Choisir dans la liste" promptTitle="Budget" prompt="Choisir dans la liste" sqref="N62:N100">
      <formula1>$N$9:$N$27</formula1>
    </dataValidation>
    <dataValidation type="list" allowBlank="1" showInputMessage="1" showErrorMessage="1" errorTitle="Débiteur" error="Choisir dans la liste" promptTitle="Débiteur" prompt="Choisir dans la liste" sqref="L62:L92 L28:L47">
      <formula1>$AC$28:$AC$38</formula1>
    </dataValidation>
    <dataValidation type="list" allowBlank="1" showInputMessage="1" showErrorMessage="1" errorTitle="Compte" error="Choisir dans la liste" promptTitle="Compte" prompt="Choisir dans la liste" sqref="G75:G86 G62:G72 G28">
      <formula1>$AA$29:$AA$38</formula1>
    </dataValidation>
    <dataValidation type="list" allowBlank="1" showInputMessage="1" showErrorMessage="1" errorTitle="Opération" error="Chosiir dans la liste" promptTitle="Opération" prompt="Choisir dans la liste" sqref="F39:F47">
      <formula1>$Z$28:$Z$34</formula1>
    </dataValidation>
    <dataValidation type="list" allowBlank="1" showInputMessage="1" showErrorMessage="1" errorTitle="Compte" error="Choisir dans la liste" promptTitle="Compte" prompt="Choisir dans la liste" sqref="G39:G47">
      <formula1>$AA$28:$AA$38</formula1>
    </dataValidation>
    <dataValidation type="list" allowBlank="1" showInputMessage="1" showErrorMessage="1" errorTitle="Budget" error="Choisir dans la liste" promptTitle="Budget" prompt="Choisir dans la liste" sqref="N29:N47">
      <formula1>$AB$28:$AB$38</formula1>
    </dataValidation>
    <dataValidation type="list" allowBlank="1" showInputMessage="1" showErrorMessage="1" errorTitle="Compte" error="Choisir dans la liste" promptTitle="Compte" prompt="Choisir dans la liste" sqref="G29:G37">
      <formula1>$DU$28:$DU$41</formula1>
    </dataValidation>
    <dataValidation type="list" allowBlank="1" showInputMessage="1" showErrorMessage="1" errorTitle="Opération" error="Chosiir dans la liste" promptTitle="Opération" prompt="Choisir dans la liste" sqref="F29:F37">
      <formula1>$DT$28:$DT$34</formula1>
    </dataValidation>
  </dataValidations>
  <pageMargins left="0.11811023622047245" right="0.11811023622047245" top="0.11811023622047245" bottom="0.31496062992125984" header="0.11811023622047245" footer="0.11811023622047245"/>
  <pageSetup paperSize="9" scale="10" fitToHeight="2" orientation="landscape" blackAndWhite="1" horizontalDpi="4294967293" verticalDpi="0" r:id="rId1"/>
  <headerFooter>
    <oddFooter>&amp;C&amp;F Edité le &amp;D à &amp;T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89"/>
  <sheetViews>
    <sheetView showZeros="0" topLeftCell="A70" workbookViewId="0">
      <selection activeCell="I86" sqref="I86"/>
    </sheetView>
  </sheetViews>
  <sheetFormatPr baseColWidth="10" defaultRowHeight="14.4"/>
  <cols>
    <col min="1" max="1" width="3.5546875" customWidth="1"/>
  </cols>
  <sheetData>
    <row r="1" spans="1:5" ht="15" thickBot="1"/>
    <row r="2" spans="1:5" ht="15" thickBot="1">
      <c r="A2" s="149"/>
      <c r="B2" s="871" t="s">
        <v>5</v>
      </c>
      <c r="C2" s="872"/>
      <c r="D2" s="872"/>
      <c r="E2" s="873"/>
    </row>
    <row r="3" spans="1:5" ht="15" thickBot="1">
      <c r="A3" s="149"/>
      <c r="B3" s="598" t="s">
        <v>486</v>
      </c>
      <c r="C3" s="599" t="s">
        <v>437</v>
      </c>
      <c r="D3" s="583" t="s">
        <v>245</v>
      </c>
      <c r="E3" s="221" t="s">
        <v>277</v>
      </c>
    </row>
    <row r="4" spans="1:5">
      <c r="A4" s="149"/>
      <c r="B4" s="597">
        <v>465.84</v>
      </c>
      <c r="C4" s="225">
        <v>440.23</v>
      </c>
      <c r="D4" s="594">
        <f>C4-B4</f>
        <v>-25.609999999999957</v>
      </c>
      <c r="E4" s="600" t="s">
        <v>485</v>
      </c>
    </row>
    <row r="5" spans="1:5">
      <c r="A5" s="149"/>
      <c r="B5" s="590">
        <v>386.96</v>
      </c>
      <c r="C5" s="129">
        <v>365.67</v>
      </c>
      <c r="D5" s="595">
        <f t="shared" ref="D5:D8" si="0">C5-B5</f>
        <v>-21.289999999999964</v>
      </c>
      <c r="E5" s="222"/>
    </row>
    <row r="6" spans="1:5">
      <c r="A6" s="149"/>
      <c r="B6" s="590">
        <v>41.29</v>
      </c>
      <c r="C6" s="129">
        <v>40.799999999999997</v>
      </c>
      <c r="D6" s="595">
        <f t="shared" si="0"/>
        <v>-0.49000000000000199</v>
      </c>
      <c r="E6" s="222"/>
    </row>
    <row r="7" spans="1:5">
      <c r="A7" s="149"/>
      <c r="B7" s="590">
        <v>1199.92</v>
      </c>
      <c r="C7" s="129">
        <v>1187.31</v>
      </c>
      <c r="D7" s="595">
        <f t="shared" si="0"/>
        <v>-12.610000000000127</v>
      </c>
      <c r="E7" s="222"/>
    </row>
    <row r="8" spans="1:5" ht="15" thickBot="1">
      <c r="A8" s="149"/>
      <c r="B8" s="591"/>
      <c r="C8" s="592">
        <v>0</v>
      </c>
      <c r="D8" s="596">
        <f t="shared" si="0"/>
        <v>0</v>
      </c>
      <c r="E8" s="222"/>
    </row>
    <row r="9" spans="1:5" ht="15" thickBot="1">
      <c r="A9" s="149"/>
      <c r="B9" s="602">
        <f>SUM(B4:B8)</f>
        <v>2094.0100000000002</v>
      </c>
      <c r="C9" s="603">
        <f t="shared" ref="C9:D9" si="1">SUM(C4:C8)</f>
        <v>2034.01</v>
      </c>
      <c r="D9" s="604">
        <f t="shared" si="1"/>
        <v>-60.00000000000005</v>
      </c>
      <c r="E9" s="607">
        <f>D9</f>
        <v>-60.00000000000005</v>
      </c>
    </row>
    <row r="10" spans="1:5" ht="15" thickBot="1">
      <c r="A10" s="149"/>
      <c r="B10" s="870"/>
      <c r="C10" s="870"/>
      <c r="D10" s="601"/>
      <c r="E10" s="178"/>
    </row>
    <row r="11" spans="1:5" ht="15" thickBot="1">
      <c r="A11" s="149"/>
      <c r="B11" s="587" t="str">
        <f t="shared" ref="B11:B16" si="2">C3</f>
        <v>2018</v>
      </c>
      <c r="C11" s="584">
        <v>43466</v>
      </c>
      <c r="D11" s="585" t="s">
        <v>245</v>
      </c>
      <c r="E11" s="221" t="s">
        <v>277</v>
      </c>
    </row>
    <row r="12" spans="1:5">
      <c r="A12" s="149"/>
      <c r="B12" s="588">
        <f t="shared" si="2"/>
        <v>440.23</v>
      </c>
      <c r="C12" s="226">
        <v>435.22</v>
      </c>
      <c r="D12" s="594">
        <f>C12-B12</f>
        <v>-5.0099999999999909</v>
      </c>
      <c r="E12" s="600" t="s">
        <v>485</v>
      </c>
    </row>
    <row r="13" spans="1:5">
      <c r="A13" s="149"/>
      <c r="B13" s="589">
        <f t="shared" si="2"/>
        <v>365.67</v>
      </c>
      <c r="C13" s="227">
        <v>361.5</v>
      </c>
      <c r="D13" s="595">
        <f t="shared" ref="D13:D16" si="3">C13-B13</f>
        <v>-4.1700000000000159</v>
      </c>
      <c r="E13" s="556"/>
    </row>
    <row r="14" spans="1:5">
      <c r="A14" s="149"/>
      <c r="B14" s="589">
        <f t="shared" si="2"/>
        <v>40.799999999999997</v>
      </c>
      <c r="C14" s="227">
        <v>40.35</v>
      </c>
      <c r="D14" s="595">
        <f t="shared" si="3"/>
        <v>-0.44999999999999574</v>
      </c>
      <c r="E14" s="556"/>
    </row>
    <row r="15" spans="1:5">
      <c r="A15" s="149"/>
      <c r="B15" s="589">
        <f t="shared" si="2"/>
        <v>1187.31</v>
      </c>
      <c r="C15" s="227">
        <v>1173.79</v>
      </c>
      <c r="D15" s="595">
        <f t="shared" si="3"/>
        <v>-13.519999999999982</v>
      </c>
      <c r="E15" s="556"/>
    </row>
    <row r="16" spans="1:5" ht="15" thickBot="1">
      <c r="A16" s="149"/>
      <c r="B16" s="593">
        <f t="shared" si="2"/>
        <v>0</v>
      </c>
      <c r="C16" s="224">
        <v>0</v>
      </c>
      <c r="D16" s="596">
        <f t="shared" si="3"/>
        <v>0</v>
      </c>
      <c r="E16" s="556"/>
    </row>
    <row r="17" spans="1:5" ht="15" thickBot="1">
      <c r="A17" s="149"/>
      <c r="B17" s="605">
        <f>SUM(B12:B16)</f>
        <v>2034.01</v>
      </c>
      <c r="C17" s="606">
        <f t="shared" ref="C17" si="4">SUM(C12:C16)</f>
        <v>2010.8600000000001</v>
      </c>
      <c r="D17" s="604">
        <f t="shared" ref="D17" si="5">SUM(D12:D16)</f>
        <v>-23.149999999999984</v>
      </c>
      <c r="E17" s="607">
        <f>IF(C17=0,"",E9+D17)</f>
        <v>-83.150000000000034</v>
      </c>
    </row>
    <row r="18" spans="1:5" ht="15" thickBot="1">
      <c r="A18" s="149"/>
      <c r="B18" s="870"/>
      <c r="C18" s="870"/>
      <c r="D18" s="601"/>
      <c r="E18" s="178"/>
    </row>
    <row r="19" spans="1:5" ht="15" thickBot="1">
      <c r="A19" s="149"/>
      <c r="B19" s="587">
        <f>C11</f>
        <v>43466</v>
      </c>
      <c r="C19" s="584">
        <v>43497</v>
      </c>
      <c r="D19" s="585" t="s">
        <v>245</v>
      </c>
      <c r="E19" s="221" t="s">
        <v>277</v>
      </c>
    </row>
    <row r="20" spans="1:5">
      <c r="A20" s="149"/>
      <c r="B20" s="588">
        <f>C12</f>
        <v>435.22</v>
      </c>
      <c r="C20" s="226">
        <v>435.22</v>
      </c>
      <c r="D20" s="594">
        <f>C20-B20</f>
        <v>0</v>
      </c>
      <c r="E20" s="600" t="s">
        <v>485</v>
      </c>
    </row>
    <row r="21" spans="1:5">
      <c r="A21" s="149"/>
      <c r="B21" s="589">
        <f>C13</f>
        <v>361.5</v>
      </c>
      <c r="C21" s="227">
        <v>361.5</v>
      </c>
      <c r="D21" s="595">
        <f t="shared" ref="D21:D24" si="6">C21-B21</f>
        <v>0</v>
      </c>
      <c r="E21" s="556"/>
    </row>
    <row r="22" spans="1:5">
      <c r="A22" s="149"/>
      <c r="B22" s="589">
        <f t="shared" ref="B22:B23" si="7">C14</f>
        <v>40.35</v>
      </c>
      <c r="C22" s="227">
        <v>40.450000000000003</v>
      </c>
      <c r="D22" s="595">
        <f t="shared" si="6"/>
        <v>0.10000000000000142</v>
      </c>
      <c r="E22" s="556"/>
    </row>
    <row r="23" spans="1:5">
      <c r="A23" s="149"/>
      <c r="B23" s="589">
        <f t="shared" si="7"/>
        <v>1173.79</v>
      </c>
      <c r="C23" s="227">
        <v>1177.3</v>
      </c>
      <c r="D23" s="595">
        <f t="shared" si="6"/>
        <v>3.5099999999999909</v>
      </c>
      <c r="E23" s="556"/>
    </row>
    <row r="24" spans="1:5" ht="15" thickBot="1">
      <c r="A24" s="149"/>
      <c r="B24" s="593">
        <f>C16</f>
        <v>0</v>
      </c>
      <c r="C24" s="592"/>
      <c r="D24" s="596">
        <f t="shared" si="6"/>
        <v>0</v>
      </c>
      <c r="E24" s="556"/>
    </row>
    <row r="25" spans="1:5" ht="15" thickBot="1">
      <c r="A25" s="149"/>
      <c r="B25" s="605">
        <f>SUM(B20:B24)</f>
        <v>2010.8600000000001</v>
      </c>
      <c r="C25" s="606">
        <f t="shared" ref="C25" si="8">SUM(C20:C24)</f>
        <v>2014.47</v>
      </c>
      <c r="D25" s="604">
        <f t="shared" ref="D25" si="9">SUM(D20:D24)</f>
        <v>3.6099999999999923</v>
      </c>
      <c r="E25" s="607">
        <f>IF(C25=0,"",E17+D25)</f>
        <v>-79.540000000000049</v>
      </c>
    </row>
    <row r="26" spans="1:5" ht="15" thickBot="1">
      <c r="A26" s="149"/>
      <c r="B26" s="870"/>
      <c r="C26" s="870"/>
      <c r="D26" s="601"/>
      <c r="E26" s="178"/>
    </row>
    <row r="27" spans="1:5" ht="15" thickBot="1">
      <c r="A27" s="149"/>
      <c r="B27" s="582">
        <f>C19</f>
        <v>43497</v>
      </c>
      <c r="C27" s="586">
        <v>43556</v>
      </c>
      <c r="D27" s="583" t="s">
        <v>245</v>
      </c>
      <c r="E27" s="221" t="s">
        <v>277</v>
      </c>
    </row>
    <row r="28" spans="1:5">
      <c r="A28" s="149"/>
      <c r="B28" s="588">
        <f>C20</f>
        <v>435.22</v>
      </c>
      <c r="C28" s="223">
        <v>435.22</v>
      </c>
      <c r="D28" s="594">
        <f>C28-B28</f>
        <v>0</v>
      </c>
      <c r="E28" s="600" t="s">
        <v>485</v>
      </c>
    </row>
    <row r="29" spans="1:5">
      <c r="A29" s="149"/>
      <c r="B29" s="589">
        <f t="shared" ref="B29:B32" si="10">C21</f>
        <v>361.5</v>
      </c>
      <c r="C29" s="129">
        <v>361.5</v>
      </c>
      <c r="D29" s="595">
        <f t="shared" ref="D29:D32" si="11">C29-B29</f>
        <v>0</v>
      </c>
      <c r="E29" s="222"/>
    </row>
    <row r="30" spans="1:5">
      <c r="A30" s="149"/>
      <c r="B30" s="589">
        <f t="shared" si="10"/>
        <v>40.450000000000003</v>
      </c>
      <c r="C30" s="129">
        <v>40.450000000000003</v>
      </c>
      <c r="D30" s="595">
        <f t="shared" si="11"/>
        <v>0</v>
      </c>
      <c r="E30" s="222"/>
    </row>
    <row r="31" spans="1:5">
      <c r="A31" s="149"/>
      <c r="B31" s="589">
        <f t="shared" si="10"/>
        <v>1177.3</v>
      </c>
      <c r="C31" s="129">
        <v>1177.3</v>
      </c>
      <c r="D31" s="595">
        <f t="shared" si="11"/>
        <v>0</v>
      </c>
      <c r="E31" s="222"/>
    </row>
    <row r="32" spans="1:5" ht="15" thickBot="1">
      <c r="A32" s="149"/>
      <c r="B32" s="593">
        <f t="shared" si="10"/>
        <v>0</v>
      </c>
      <c r="C32" s="224">
        <v>60.28</v>
      </c>
      <c r="D32" s="596">
        <f t="shared" si="11"/>
        <v>60.28</v>
      </c>
      <c r="E32" s="222"/>
    </row>
    <row r="33" spans="1:5" ht="15" thickBot="1">
      <c r="A33" s="149"/>
      <c r="B33" s="605">
        <f>SUM(B28:B32)</f>
        <v>2014.47</v>
      </c>
      <c r="C33" s="606">
        <f t="shared" ref="C33" si="12">SUM(C28:C32)</f>
        <v>2074.75</v>
      </c>
      <c r="D33" s="604">
        <f t="shared" ref="D33" si="13">SUM(D28:D32)</f>
        <v>60.28</v>
      </c>
      <c r="E33" s="607">
        <f>IF(C33=0,"",E25+D33)</f>
        <v>-19.260000000000048</v>
      </c>
    </row>
    <row r="34" spans="1:5" ht="15" thickBot="1">
      <c r="A34" s="149"/>
      <c r="B34" s="870"/>
      <c r="C34" s="870"/>
      <c r="D34" s="601"/>
      <c r="E34" s="178"/>
    </row>
    <row r="35" spans="1:5" ht="15" customHeight="1" thickBot="1">
      <c r="A35" s="149"/>
      <c r="B35" s="582">
        <f t="shared" ref="B35:B40" si="14">C27</f>
        <v>43556</v>
      </c>
      <c r="C35" s="586">
        <v>43586</v>
      </c>
      <c r="D35" s="583" t="s">
        <v>245</v>
      </c>
      <c r="E35" s="221" t="s">
        <v>277</v>
      </c>
    </row>
    <row r="36" spans="1:5">
      <c r="A36" s="149"/>
      <c r="B36" s="588">
        <f t="shared" si="14"/>
        <v>435.22</v>
      </c>
      <c r="C36" s="223">
        <v>443.44</v>
      </c>
      <c r="D36" s="594">
        <f>C36-B36</f>
        <v>8.2199999999999704</v>
      </c>
      <c r="E36" s="600" t="s">
        <v>485</v>
      </c>
    </row>
    <row r="37" spans="1:5">
      <c r="A37" s="149"/>
      <c r="B37" s="589">
        <f t="shared" si="14"/>
        <v>361.5</v>
      </c>
      <c r="C37" s="129">
        <v>368.35</v>
      </c>
      <c r="D37" s="595">
        <f t="shared" ref="D37:D40" si="15">C37-B37</f>
        <v>6.8500000000000227</v>
      </c>
      <c r="E37" s="222"/>
    </row>
    <row r="38" spans="1:5">
      <c r="A38" s="149"/>
      <c r="B38" s="589">
        <f t="shared" si="14"/>
        <v>40.450000000000003</v>
      </c>
      <c r="C38" s="129">
        <v>41.21</v>
      </c>
      <c r="D38" s="595">
        <f t="shared" si="15"/>
        <v>0.75999999999999801</v>
      </c>
      <c r="E38" s="222"/>
    </row>
    <row r="39" spans="1:5">
      <c r="A39" s="149"/>
      <c r="B39" s="589">
        <f t="shared" si="14"/>
        <v>1177.3</v>
      </c>
      <c r="C39" s="129">
        <v>1177.3</v>
      </c>
      <c r="D39" s="595">
        <f t="shared" si="15"/>
        <v>0</v>
      </c>
      <c r="E39" s="222"/>
    </row>
    <row r="40" spans="1:5" ht="15" thickBot="1">
      <c r="A40" s="149"/>
      <c r="B40" s="593">
        <f t="shared" si="14"/>
        <v>60.28</v>
      </c>
      <c r="C40" s="224">
        <v>89.07</v>
      </c>
      <c r="D40" s="596">
        <f t="shared" si="15"/>
        <v>28.789999999999992</v>
      </c>
      <c r="E40" s="222"/>
    </row>
    <row r="41" spans="1:5" ht="15" thickBot="1">
      <c r="A41" s="149"/>
      <c r="B41" s="605">
        <f>SUM(B36:B40)</f>
        <v>2074.75</v>
      </c>
      <c r="C41" s="606">
        <f t="shared" ref="C41" si="16">SUM(C36:C40)</f>
        <v>2119.37</v>
      </c>
      <c r="D41" s="604">
        <f t="shared" ref="D41" si="17">SUM(D36:D40)</f>
        <v>44.619999999999983</v>
      </c>
      <c r="E41" s="607">
        <f>IF(C41=0,"",E33+D41)</f>
        <v>25.359999999999935</v>
      </c>
    </row>
    <row r="42" spans="1:5" ht="15" thickBot="1">
      <c r="A42" s="149"/>
      <c r="B42" s="870"/>
      <c r="C42" s="870"/>
      <c r="D42" s="601"/>
      <c r="E42" s="178"/>
    </row>
    <row r="43" spans="1:5" ht="14.4" customHeight="1" thickBot="1">
      <c r="A43" s="149"/>
      <c r="B43" s="582">
        <f>C35</f>
        <v>43586</v>
      </c>
      <c r="C43" s="586">
        <v>43617</v>
      </c>
      <c r="D43" s="583" t="s">
        <v>245</v>
      </c>
      <c r="E43" s="221" t="s">
        <v>277</v>
      </c>
    </row>
    <row r="44" spans="1:5">
      <c r="A44" s="149"/>
      <c r="B44" s="588">
        <f>C36</f>
        <v>443.44</v>
      </c>
      <c r="C44" s="223">
        <v>443.44</v>
      </c>
      <c r="D44" s="594">
        <f>C44-B44</f>
        <v>0</v>
      </c>
      <c r="E44" s="600" t="s">
        <v>485</v>
      </c>
    </row>
    <row r="45" spans="1:5">
      <c r="A45" s="149"/>
      <c r="B45" s="589">
        <f t="shared" ref="B45:B48" si="18">C37</f>
        <v>368.35</v>
      </c>
      <c r="C45" s="129">
        <v>368.35</v>
      </c>
      <c r="D45" s="595">
        <f t="shared" ref="D45:D48" si="19">C45-B45</f>
        <v>0</v>
      </c>
      <c r="E45" s="222"/>
    </row>
    <row r="46" spans="1:5">
      <c r="A46" s="149"/>
      <c r="B46" s="589">
        <f t="shared" si="18"/>
        <v>41.21</v>
      </c>
      <c r="C46" s="129">
        <v>41.21</v>
      </c>
      <c r="D46" s="595">
        <f t="shared" si="19"/>
        <v>0</v>
      </c>
      <c r="E46" s="222"/>
    </row>
    <row r="47" spans="1:5">
      <c r="A47" s="149"/>
      <c r="B47" s="589">
        <f t="shared" si="18"/>
        <v>1177.3</v>
      </c>
      <c r="C47" s="129">
        <v>1177.3</v>
      </c>
      <c r="D47" s="595">
        <f t="shared" si="19"/>
        <v>0</v>
      </c>
      <c r="E47" s="222"/>
    </row>
    <row r="48" spans="1:5" ht="15" thickBot="1">
      <c r="A48" s="149"/>
      <c r="B48" s="593">
        <f t="shared" si="18"/>
        <v>89.07</v>
      </c>
      <c r="C48" s="224">
        <v>22.27</v>
      </c>
      <c r="D48" s="596">
        <f t="shared" si="19"/>
        <v>-66.8</v>
      </c>
      <c r="E48" s="222"/>
    </row>
    <row r="49" spans="1:5" ht="15" thickBot="1">
      <c r="A49" s="149"/>
      <c r="B49" s="605">
        <f>SUM(B44:B48)</f>
        <v>2119.37</v>
      </c>
      <c r="C49" s="606">
        <f t="shared" ref="C49" si="20">SUM(C44:C48)</f>
        <v>2052.5700000000002</v>
      </c>
      <c r="D49" s="604">
        <f t="shared" ref="D49" si="21">SUM(D44:D48)</f>
        <v>-66.8</v>
      </c>
      <c r="E49" s="607">
        <f>IF(C49=0,"",E41+D49)</f>
        <v>-41.440000000000062</v>
      </c>
    </row>
    <row r="50" spans="1:5" ht="15" thickBot="1">
      <c r="A50" s="149"/>
      <c r="B50" s="870"/>
      <c r="C50" s="870"/>
      <c r="D50" s="601"/>
      <c r="E50" s="178"/>
    </row>
    <row r="51" spans="1:5" ht="14.4" customHeight="1" thickBot="1">
      <c r="A51" s="149"/>
      <c r="B51" s="582">
        <f>C43</f>
        <v>43617</v>
      </c>
      <c r="C51" s="586">
        <v>43709</v>
      </c>
      <c r="D51" s="583" t="s">
        <v>245</v>
      </c>
      <c r="E51" s="221" t="s">
        <v>277</v>
      </c>
    </row>
    <row r="52" spans="1:5">
      <c r="A52" s="149"/>
      <c r="B52" s="588">
        <f>C44</f>
        <v>443.44</v>
      </c>
      <c r="C52" s="223">
        <v>443.44</v>
      </c>
      <c r="D52" s="594">
        <f>C52-B52</f>
        <v>0</v>
      </c>
      <c r="E52" s="600" t="s">
        <v>485</v>
      </c>
    </row>
    <row r="53" spans="1:5">
      <c r="A53" s="149"/>
      <c r="B53" s="589">
        <f t="shared" ref="B53:B56" si="22">C45</f>
        <v>368.35</v>
      </c>
      <c r="C53" s="129">
        <v>368.35</v>
      </c>
      <c r="D53" s="595">
        <f t="shared" ref="D53:D56" si="23">C53-B53</f>
        <v>0</v>
      </c>
      <c r="E53" s="222"/>
    </row>
    <row r="54" spans="1:5">
      <c r="A54" s="149"/>
      <c r="B54" s="589">
        <f t="shared" si="22"/>
        <v>41.21</v>
      </c>
      <c r="C54" s="129">
        <v>41.04</v>
      </c>
      <c r="D54" s="595">
        <f t="shared" si="23"/>
        <v>-0.17000000000000171</v>
      </c>
      <c r="E54" s="222"/>
    </row>
    <row r="55" spans="1:5">
      <c r="A55" s="149"/>
      <c r="B55" s="589">
        <f t="shared" si="22"/>
        <v>1177.3</v>
      </c>
      <c r="C55" s="129">
        <v>1172.3699999999999</v>
      </c>
      <c r="D55" s="595">
        <f t="shared" si="23"/>
        <v>-4.9300000000000637</v>
      </c>
      <c r="E55" s="222"/>
    </row>
    <row r="56" spans="1:5" ht="15" thickBot="1">
      <c r="A56" s="149"/>
      <c r="B56" s="593">
        <f t="shared" si="22"/>
        <v>22.27</v>
      </c>
      <c r="C56" s="224">
        <v>22.77</v>
      </c>
      <c r="D56" s="596">
        <f t="shared" si="23"/>
        <v>0.5</v>
      </c>
      <c r="E56" s="222"/>
    </row>
    <row r="57" spans="1:5" ht="15" thickBot="1">
      <c r="A57" s="149"/>
      <c r="B57" s="605">
        <f>SUM(B52:B56)</f>
        <v>2052.5700000000002</v>
      </c>
      <c r="C57" s="606">
        <f t="shared" ref="C57" si="24">SUM(C52:C56)</f>
        <v>2047.9699999999998</v>
      </c>
      <c r="D57" s="604">
        <f t="shared" ref="D57" si="25">SUM(D52:D56)</f>
        <v>-4.6000000000000654</v>
      </c>
      <c r="E57" s="607">
        <f>IF(C57=0,"",E49+D57)</f>
        <v>-46.040000000000127</v>
      </c>
    </row>
    <row r="58" spans="1:5" ht="15" thickBot="1">
      <c r="A58" s="149"/>
      <c r="B58" s="870"/>
      <c r="C58" s="870"/>
      <c r="D58" s="601"/>
      <c r="E58" s="178"/>
    </row>
    <row r="59" spans="1:5" ht="14.4" customHeight="1" thickBot="1">
      <c r="A59" s="149"/>
      <c r="B59" s="582">
        <f>C51</f>
        <v>43709</v>
      </c>
      <c r="C59" s="586">
        <v>44105</v>
      </c>
      <c r="D59" s="583" t="s">
        <v>245</v>
      </c>
      <c r="E59" s="221" t="s">
        <v>277</v>
      </c>
    </row>
    <row r="60" spans="1:5">
      <c r="A60" s="149"/>
      <c r="B60" s="588">
        <f>C52</f>
        <v>443.44</v>
      </c>
      <c r="C60" s="223">
        <v>453.05</v>
      </c>
      <c r="D60" s="594">
        <f>C60-B60</f>
        <v>9.6100000000000136</v>
      </c>
      <c r="E60" s="600" t="s">
        <v>485</v>
      </c>
    </row>
    <row r="61" spans="1:5">
      <c r="A61" s="149"/>
      <c r="B61" s="589">
        <f t="shared" ref="B61:B64" si="26">C53</f>
        <v>368.35</v>
      </c>
      <c r="C61" s="129">
        <v>376.32</v>
      </c>
      <c r="D61" s="595">
        <f t="shared" ref="D61:D64" si="27">C61-B61</f>
        <v>7.9699999999999704</v>
      </c>
      <c r="E61" s="222"/>
    </row>
    <row r="62" spans="1:5">
      <c r="A62" s="149"/>
      <c r="B62" s="589">
        <f t="shared" si="26"/>
        <v>41.04</v>
      </c>
      <c r="C62" s="129">
        <v>41.82</v>
      </c>
      <c r="D62" s="595">
        <f t="shared" si="27"/>
        <v>0.78000000000000114</v>
      </c>
      <c r="E62" s="222"/>
    </row>
    <row r="63" spans="1:5">
      <c r="A63" s="149"/>
      <c r="B63" s="589">
        <f t="shared" si="26"/>
        <v>1172.3699999999999</v>
      </c>
      <c r="C63" s="129">
        <v>1216.78</v>
      </c>
      <c r="D63" s="595">
        <f t="shared" si="27"/>
        <v>44.410000000000082</v>
      </c>
      <c r="E63" s="222"/>
    </row>
    <row r="64" spans="1:5" ht="15" thickBot="1">
      <c r="A64" s="149"/>
      <c r="B64" s="593">
        <f t="shared" si="26"/>
        <v>22.77</v>
      </c>
      <c r="C64" s="224">
        <v>0</v>
      </c>
      <c r="D64" s="596">
        <f t="shared" si="27"/>
        <v>-22.77</v>
      </c>
      <c r="E64" s="222"/>
    </row>
    <row r="65" spans="1:9" ht="15" thickBot="1">
      <c r="A65" s="149"/>
      <c r="B65" s="605">
        <f>SUM(B60:B64)</f>
        <v>2047.9699999999998</v>
      </c>
      <c r="C65" s="606">
        <f t="shared" ref="C65" si="28">SUM(C60:C64)</f>
        <v>2087.9700000000003</v>
      </c>
      <c r="D65" s="604">
        <f t="shared" ref="D65" si="29">SUM(D60:D64)</f>
        <v>40.000000000000071</v>
      </c>
      <c r="E65" s="607">
        <f>IF(C65=0,"",E57+D65)</f>
        <v>-6.040000000000056</v>
      </c>
    </row>
    <row r="66" spans="1:9" ht="15" thickBot="1">
      <c r="A66" s="149"/>
      <c r="B66" s="870"/>
      <c r="C66" s="870"/>
      <c r="D66" s="601"/>
      <c r="E66" s="178"/>
    </row>
    <row r="67" spans="1:9" ht="14.4" customHeight="1" thickBot="1">
      <c r="A67" s="149"/>
      <c r="B67" s="582">
        <f>C59</f>
        <v>44105</v>
      </c>
      <c r="C67" s="586">
        <v>44228</v>
      </c>
      <c r="D67" s="583" t="s">
        <v>245</v>
      </c>
      <c r="E67" s="221" t="s">
        <v>277</v>
      </c>
    </row>
    <row r="68" spans="1:9">
      <c r="A68" s="149"/>
      <c r="B68" s="588">
        <f>C60</f>
        <v>453.05</v>
      </c>
      <c r="C68" s="223">
        <v>453.05</v>
      </c>
      <c r="D68" s="594">
        <f>C68-B68</f>
        <v>0</v>
      </c>
      <c r="E68" s="600" t="s">
        <v>485</v>
      </c>
    </row>
    <row r="69" spans="1:9">
      <c r="A69" s="149"/>
      <c r="B69" s="589">
        <f t="shared" ref="B69:B72" si="30">C61</f>
        <v>376.32</v>
      </c>
      <c r="C69" s="129">
        <v>376.32</v>
      </c>
      <c r="D69" s="595">
        <f t="shared" ref="D69:D72" si="31">C69-B69</f>
        <v>0</v>
      </c>
      <c r="E69" s="600"/>
    </row>
    <row r="70" spans="1:9">
      <c r="A70" s="149"/>
      <c r="B70" s="589">
        <f t="shared" si="30"/>
        <v>41.82</v>
      </c>
      <c r="C70" s="129">
        <v>41.96</v>
      </c>
      <c r="D70" s="595">
        <f t="shared" si="31"/>
        <v>0.14000000000000057</v>
      </c>
      <c r="E70" s="222"/>
    </row>
    <row r="71" spans="1:9">
      <c r="A71" s="149"/>
      <c r="B71" s="589">
        <f t="shared" si="30"/>
        <v>1216.78</v>
      </c>
      <c r="C71" s="129">
        <v>1221.6400000000001</v>
      </c>
      <c r="D71" s="595">
        <f t="shared" si="31"/>
        <v>4.8600000000001273</v>
      </c>
      <c r="E71" s="222"/>
    </row>
    <row r="72" spans="1:9" ht="15" thickBot="1">
      <c r="A72" s="149"/>
      <c r="B72" s="593">
        <f t="shared" si="30"/>
        <v>0</v>
      </c>
      <c r="C72" s="224"/>
      <c r="D72" s="596">
        <f t="shared" si="31"/>
        <v>0</v>
      </c>
      <c r="E72" s="222"/>
    </row>
    <row r="73" spans="1:9" ht="15" thickBot="1">
      <c r="A73" s="149"/>
      <c r="B73" s="605">
        <f>SUM(B68:B72)</f>
        <v>2087.9700000000003</v>
      </c>
      <c r="C73" s="606">
        <f t="shared" ref="C73" si="32">SUM(C68:C72)</f>
        <v>2092.9700000000003</v>
      </c>
      <c r="D73" s="604">
        <f t="shared" ref="D73" si="33">SUM(D68:D72)</f>
        <v>5.0000000000001279</v>
      </c>
      <c r="E73" s="607">
        <f>IF(C73=0,"",E65+D73)</f>
        <v>-1.0399999999999281</v>
      </c>
    </row>
    <row r="74" spans="1:9" ht="15" thickBot="1">
      <c r="A74" s="149"/>
      <c r="B74" s="870"/>
      <c r="C74" s="870"/>
      <c r="D74" s="601"/>
      <c r="E74" s="178"/>
    </row>
    <row r="75" spans="1:9" ht="14.4" customHeight="1" thickBot="1">
      <c r="A75" s="149"/>
      <c r="B75" s="582">
        <f>C67</f>
        <v>44228</v>
      </c>
      <c r="C75" s="586"/>
      <c r="D75" s="583" t="s">
        <v>245</v>
      </c>
      <c r="E75" s="221" t="s">
        <v>277</v>
      </c>
      <c r="F75" s="616"/>
      <c r="G75" s="12"/>
      <c r="H75" s="12"/>
      <c r="I75" s="12"/>
    </row>
    <row r="76" spans="1:9">
      <c r="A76" s="149"/>
      <c r="B76" s="588">
        <f>IF(C75&lt;&gt;0,C68,0)</f>
        <v>0</v>
      </c>
      <c r="C76" s="223"/>
      <c r="D76" s="594">
        <f>C76-B76</f>
        <v>0</v>
      </c>
      <c r="E76" s="600" t="s">
        <v>485</v>
      </c>
      <c r="F76" s="12"/>
      <c r="G76" s="12"/>
      <c r="H76" s="12"/>
      <c r="I76" s="12"/>
    </row>
    <row r="77" spans="1:9">
      <c r="A77" s="149"/>
      <c r="B77" s="589">
        <f>IF(C75&lt;&gt;0,C69,0)</f>
        <v>0</v>
      </c>
      <c r="C77" s="129"/>
      <c r="D77" s="595">
        <f t="shared" ref="D77:D80" si="34">C77-B77</f>
        <v>0</v>
      </c>
      <c r="E77" s="222"/>
      <c r="F77" s="12"/>
      <c r="G77" s="12"/>
      <c r="H77" s="12"/>
      <c r="I77" s="12"/>
    </row>
    <row r="78" spans="1:9">
      <c r="A78" s="149"/>
      <c r="B78" s="589">
        <f>IF(C75&lt;&gt;0,C70,0)</f>
        <v>0</v>
      </c>
      <c r="C78" s="129"/>
      <c r="D78" s="595">
        <f t="shared" si="34"/>
        <v>0</v>
      </c>
      <c r="E78" s="222"/>
      <c r="F78" s="12"/>
      <c r="G78" s="12"/>
      <c r="H78" s="12"/>
      <c r="I78" s="12"/>
    </row>
    <row r="79" spans="1:9">
      <c r="A79" s="149"/>
      <c r="B79" s="589">
        <f>IF(C75&lt;&gt;0,C71,0)</f>
        <v>0</v>
      </c>
      <c r="C79" s="129"/>
      <c r="D79" s="595">
        <f t="shared" si="34"/>
        <v>0</v>
      </c>
      <c r="E79" s="222"/>
      <c r="F79" s="12"/>
      <c r="G79" s="12"/>
      <c r="H79" s="12"/>
      <c r="I79" s="12"/>
    </row>
    <row r="80" spans="1:9" ht="15" thickBot="1">
      <c r="A80" s="149"/>
      <c r="B80" s="593">
        <f>IF(C75&lt;&gt;0,C72,0)</f>
        <v>0</v>
      </c>
      <c r="C80" s="224"/>
      <c r="D80" s="596">
        <f t="shared" si="34"/>
        <v>0</v>
      </c>
      <c r="E80" s="222"/>
      <c r="F80" s="12"/>
      <c r="G80" s="12"/>
      <c r="H80" s="12"/>
      <c r="I80" s="12"/>
    </row>
    <row r="81" spans="1:9" ht="15" thickBot="1">
      <c r="A81" s="149"/>
      <c r="B81" s="605">
        <f>SUM(B76:B80)</f>
        <v>0</v>
      </c>
      <c r="C81" s="606">
        <f t="shared" ref="C81" si="35">SUM(C76:C80)</f>
        <v>0</v>
      </c>
      <c r="D81" s="604">
        <f t="shared" ref="D81" si="36">SUM(D76:D80)</f>
        <v>0</v>
      </c>
      <c r="E81" s="607" t="str">
        <f>IF(C81=0,"",E73+D81)</f>
        <v/>
      </c>
      <c r="F81" s="12"/>
      <c r="G81" s="12"/>
      <c r="H81" s="12"/>
      <c r="I81" s="12"/>
    </row>
    <row r="82" spans="1:9" ht="15" thickBot="1">
      <c r="A82" s="149"/>
      <c r="B82" s="870"/>
      <c r="C82" s="870"/>
      <c r="D82" s="601"/>
      <c r="E82" s="178"/>
      <c r="F82" s="12"/>
      <c r="G82" s="12"/>
      <c r="H82" s="12"/>
      <c r="I82" s="12"/>
    </row>
    <row r="83" spans="1:9">
      <c r="B83" s="615"/>
      <c r="C83" s="608"/>
      <c r="D83" s="608"/>
      <c r="E83" s="609"/>
      <c r="F83" s="12"/>
      <c r="G83" s="12"/>
      <c r="H83" s="12"/>
      <c r="I83" s="12"/>
    </row>
    <row r="84" spans="1:9">
      <c r="B84" s="610"/>
      <c r="C84" s="12"/>
      <c r="D84" s="12"/>
      <c r="E84" s="611"/>
      <c r="F84" s="12"/>
      <c r="G84" s="12"/>
      <c r="H84" s="12"/>
      <c r="I84" s="12"/>
    </row>
    <row r="85" spans="1:9">
      <c r="B85" s="610"/>
      <c r="C85" s="12"/>
      <c r="D85" s="12"/>
      <c r="E85" s="611"/>
      <c r="F85" s="12"/>
      <c r="G85" s="12"/>
      <c r="H85" s="12"/>
      <c r="I85" s="12"/>
    </row>
    <row r="86" spans="1:9">
      <c r="B86" s="610"/>
      <c r="C86" s="12"/>
      <c r="D86" s="12"/>
      <c r="E86" s="611"/>
      <c r="F86" s="12"/>
      <c r="G86" s="12"/>
      <c r="H86" s="12"/>
      <c r="I86" s="12"/>
    </row>
    <row r="87" spans="1:9">
      <c r="B87" s="610"/>
      <c r="C87" s="12"/>
      <c r="D87" s="12"/>
      <c r="E87" s="611"/>
      <c r="F87" s="12"/>
      <c r="G87" s="12"/>
      <c r="H87" s="12"/>
      <c r="I87" s="12"/>
    </row>
    <row r="88" spans="1:9">
      <c r="B88" s="610"/>
      <c r="C88" s="12"/>
      <c r="D88" s="12"/>
      <c r="E88" s="611"/>
      <c r="F88" s="12"/>
      <c r="G88" s="12"/>
      <c r="H88" s="12"/>
      <c r="I88" s="12"/>
    </row>
    <row r="89" spans="1:9" ht="15" thickBot="1">
      <c r="B89" s="612"/>
      <c r="C89" s="613"/>
      <c r="D89" s="613"/>
      <c r="E89" s="614"/>
      <c r="F89" s="12"/>
      <c r="G89" s="12"/>
      <c r="H89" s="12"/>
      <c r="I89" s="12"/>
    </row>
  </sheetData>
  <mergeCells count="11">
    <mergeCell ref="B82:C82"/>
    <mergeCell ref="B2:E2"/>
    <mergeCell ref="B34:C34"/>
    <mergeCell ref="B10:C10"/>
    <mergeCell ref="B18:C18"/>
    <mergeCell ref="B26:C26"/>
    <mergeCell ref="B42:C42"/>
    <mergeCell ref="B50:C50"/>
    <mergeCell ref="B58:C58"/>
    <mergeCell ref="B66:C66"/>
    <mergeCell ref="B74:C74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2:N22"/>
  <sheetViews>
    <sheetView workbookViewId="0">
      <selection activeCell="K31" sqref="K31"/>
    </sheetView>
  </sheetViews>
  <sheetFormatPr baseColWidth="10" defaultRowHeight="14.4"/>
  <cols>
    <col min="1" max="1" width="4.77734375" customWidth="1"/>
    <col min="2" max="2" width="2.6640625" customWidth="1"/>
    <col min="3" max="3" width="8.5546875" style="17" bestFit="1" customWidth="1"/>
    <col min="4" max="4" width="55.109375" style="17" customWidth="1"/>
    <col min="5" max="6" width="11.5546875" style="646"/>
    <col min="7" max="7" width="2.6640625" style="646" customWidth="1"/>
    <col min="8" max="9" width="11.5546875" style="646"/>
    <col min="10" max="10" width="1.88671875" style="646" customWidth="1"/>
    <col min="11" max="14" width="11.5546875" style="646"/>
  </cols>
  <sheetData>
    <row r="2" spans="1:14" s="8" customFormat="1">
      <c r="C2" s="650"/>
      <c r="D2" s="650"/>
      <c r="E2" s="876" t="s">
        <v>507</v>
      </c>
      <c r="F2" s="877"/>
      <c r="G2" s="877"/>
      <c r="H2" s="877"/>
      <c r="I2" s="877"/>
      <c r="J2" s="653"/>
      <c r="K2" s="874" t="s">
        <v>508</v>
      </c>
      <c r="L2" s="874"/>
      <c r="M2" s="875"/>
      <c r="N2" s="875"/>
    </row>
    <row r="3" spans="1:14" s="647" customFormat="1" ht="28.8" customHeight="1">
      <c r="C3" s="648" t="s">
        <v>0</v>
      </c>
      <c r="D3" s="648" t="s">
        <v>515</v>
      </c>
      <c r="E3" s="649" t="s">
        <v>506</v>
      </c>
      <c r="F3" s="649" t="s">
        <v>2</v>
      </c>
      <c r="G3" s="649" t="s">
        <v>11</v>
      </c>
      <c r="H3" s="649" t="s">
        <v>3</v>
      </c>
      <c r="I3" s="395" t="s">
        <v>242</v>
      </c>
      <c r="J3" s="654"/>
      <c r="K3" s="385" t="s">
        <v>511</v>
      </c>
      <c r="L3" s="385" t="s">
        <v>512</v>
      </c>
      <c r="M3" s="649" t="s">
        <v>513</v>
      </c>
      <c r="N3" s="644" t="s">
        <v>514</v>
      </c>
    </row>
    <row r="4" spans="1:14">
      <c r="A4" s="3">
        <v>1</v>
      </c>
      <c r="B4" s="3"/>
      <c r="C4" s="16">
        <v>44323</v>
      </c>
      <c r="D4" s="16" t="s">
        <v>509</v>
      </c>
      <c r="E4" s="27">
        <v>100</v>
      </c>
      <c r="F4" s="27"/>
      <c r="G4" s="27"/>
      <c r="H4" s="27"/>
      <c r="I4" s="651"/>
      <c r="J4" s="655"/>
      <c r="K4" s="652"/>
      <c r="L4" s="652"/>
      <c r="M4" s="27"/>
      <c r="N4" s="27"/>
    </row>
    <row r="5" spans="1:14">
      <c r="A5" s="3">
        <v>2</v>
      </c>
      <c r="B5" s="3"/>
      <c r="C5" s="16">
        <v>44323</v>
      </c>
      <c r="D5" s="16" t="s">
        <v>510</v>
      </c>
      <c r="E5" s="27">
        <v>80</v>
      </c>
      <c r="F5" s="27"/>
      <c r="G5" s="27"/>
      <c r="H5" s="27"/>
      <c r="I5" s="651"/>
      <c r="J5" s="655"/>
      <c r="K5" s="652"/>
      <c r="L5" s="652"/>
      <c r="M5" s="27"/>
      <c r="N5" s="27"/>
    </row>
    <row r="6" spans="1:14">
      <c r="A6" s="3">
        <v>3</v>
      </c>
      <c r="B6" s="3"/>
      <c r="C6" s="16"/>
      <c r="D6" s="16"/>
      <c r="E6" s="27"/>
      <c r="F6" s="27"/>
      <c r="G6" s="27"/>
      <c r="H6" s="27"/>
      <c r="I6" s="651"/>
      <c r="J6" s="655"/>
      <c r="K6" s="652"/>
      <c r="L6" s="652"/>
      <c r="M6" s="27"/>
      <c r="N6" s="27"/>
    </row>
    <row r="7" spans="1:14">
      <c r="A7" s="3">
        <v>4</v>
      </c>
      <c r="B7" s="3"/>
      <c r="C7" s="16"/>
      <c r="D7" s="16"/>
      <c r="E7" s="27"/>
      <c r="F7" s="27"/>
      <c r="G7" s="27"/>
      <c r="H7" s="27"/>
      <c r="I7" s="651"/>
      <c r="J7" s="655"/>
      <c r="K7" s="652"/>
      <c r="L7" s="652"/>
      <c r="M7" s="27"/>
      <c r="N7" s="27"/>
    </row>
    <row r="8" spans="1:14">
      <c r="A8" s="3">
        <v>5</v>
      </c>
      <c r="B8" s="3"/>
      <c r="C8" s="16"/>
      <c r="D8" s="16"/>
      <c r="E8" s="27"/>
      <c r="F8" s="27"/>
      <c r="G8" s="27"/>
      <c r="H8" s="27"/>
      <c r="I8" s="651"/>
      <c r="J8" s="655"/>
      <c r="K8" s="652"/>
      <c r="L8" s="652"/>
      <c r="M8" s="27"/>
      <c r="N8" s="27"/>
    </row>
    <row r="9" spans="1:14">
      <c r="A9" s="3">
        <v>6</v>
      </c>
      <c r="B9" s="3"/>
      <c r="C9" s="16"/>
      <c r="D9" s="16"/>
      <c r="E9" s="27"/>
      <c r="F9" s="27"/>
      <c r="G9" s="27"/>
      <c r="H9" s="27"/>
      <c r="I9" s="651"/>
      <c r="J9" s="655"/>
      <c r="K9" s="652"/>
      <c r="L9" s="652"/>
      <c r="M9" s="27"/>
      <c r="N9" s="27"/>
    </row>
    <row r="10" spans="1:14">
      <c r="A10" s="3">
        <v>7</v>
      </c>
      <c r="B10" s="3"/>
      <c r="C10" s="16"/>
      <c r="D10" s="16"/>
      <c r="E10" s="27"/>
      <c r="F10" s="27"/>
      <c r="G10" s="27"/>
      <c r="H10" s="27"/>
      <c r="I10" s="651"/>
      <c r="J10" s="655"/>
      <c r="K10" s="652"/>
      <c r="L10" s="652"/>
      <c r="M10" s="27"/>
      <c r="N10" s="27"/>
    </row>
    <row r="11" spans="1:14">
      <c r="A11" s="3">
        <v>8</v>
      </c>
      <c r="B11" s="3"/>
      <c r="C11" s="16"/>
      <c r="D11" s="16"/>
      <c r="E11" s="27"/>
      <c r="F11" s="27"/>
      <c r="G11" s="27"/>
      <c r="H11" s="27"/>
      <c r="I11" s="651"/>
      <c r="J11" s="655"/>
      <c r="K11" s="652"/>
      <c r="L11" s="652"/>
      <c r="M11" s="27"/>
      <c r="N11" s="27"/>
    </row>
    <row r="12" spans="1:14">
      <c r="A12" s="3">
        <v>9</v>
      </c>
      <c r="B12" s="3"/>
      <c r="C12" s="16"/>
      <c r="D12" s="16"/>
      <c r="E12" s="27"/>
      <c r="F12" s="27"/>
      <c r="G12" s="27"/>
      <c r="H12" s="27"/>
      <c r="I12" s="651"/>
      <c r="J12" s="655"/>
      <c r="K12" s="652"/>
      <c r="L12" s="652"/>
      <c r="M12" s="27"/>
      <c r="N12" s="27"/>
    </row>
    <row r="13" spans="1:14">
      <c r="A13" s="3">
        <v>10</v>
      </c>
      <c r="B13" s="3"/>
      <c r="C13" s="16"/>
      <c r="D13" s="16"/>
      <c r="E13" s="27"/>
      <c r="F13" s="27"/>
      <c r="G13" s="27"/>
      <c r="H13" s="27"/>
      <c r="I13" s="651"/>
      <c r="J13" s="655"/>
      <c r="K13" s="652"/>
      <c r="L13" s="652"/>
      <c r="M13" s="27"/>
      <c r="N13" s="27"/>
    </row>
    <row r="14" spans="1:14">
      <c r="A14" s="3">
        <v>11</v>
      </c>
      <c r="B14" s="3"/>
      <c r="C14" s="16"/>
      <c r="D14" s="16"/>
      <c r="E14" s="27"/>
      <c r="F14" s="27"/>
      <c r="G14" s="27"/>
      <c r="H14" s="27"/>
      <c r="I14" s="651"/>
      <c r="J14" s="655"/>
      <c r="K14" s="652"/>
      <c r="L14" s="652"/>
      <c r="M14" s="27"/>
      <c r="N14" s="27"/>
    </row>
    <row r="15" spans="1:14">
      <c r="A15" s="3">
        <v>12</v>
      </c>
      <c r="B15" s="3"/>
      <c r="C15" s="16"/>
      <c r="D15" s="16"/>
      <c r="E15" s="27"/>
      <c r="F15" s="27"/>
      <c r="G15" s="27"/>
      <c r="H15" s="27"/>
      <c r="I15" s="651"/>
      <c r="J15" s="655"/>
      <c r="K15" s="652"/>
      <c r="L15" s="652"/>
      <c r="M15" s="27"/>
      <c r="N15" s="27"/>
    </row>
    <row r="16" spans="1:14">
      <c r="A16" s="3">
        <v>13</v>
      </c>
      <c r="B16" s="3"/>
      <c r="C16" s="16"/>
      <c r="D16" s="16"/>
      <c r="E16" s="27"/>
      <c r="F16" s="27"/>
      <c r="G16" s="27"/>
      <c r="H16" s="27"/>
      <c r="I16" s="651"/>
      <c r="J16" s="655"/>
      <c r="K16" s="652"/>
      <c r="L16" s="652"/>
      <c r="M16" s="27"/>
      <c r="N16" s="27"/>
    </row>
    <row r="17" spans="1:14">
      <c r="A17" s="3">
        <v>14</v>
      </c>
      <c r="B17" s="3"/>
      <c r="C17" s="16"/>
      <c r="D17" s="16"/>
      <c r="E17" s="27"/>
      <c r="F17" s="27"/>
      <c r="G17" s="27"/>
      <c r="H17" s="27"/>
      <c r="I17" s="651"/>
      <c r="J17" s="655"/>
      <c r="K17" s="652"/>
      <c r="L17" s="652"/>
      <c r="M17" s="27"/>
      <c r="N17" s="27"/>
    </row>
    <row r="18" spans="1:14">
      <c r="A18" s="3">
        <v>15</v>
      </c>
      <c r="B18" s="3"/>
      <c r="C18" s="16"/>
      <c r="D18" s="16"/>
      <c r="E18" s="27"/>
      <c r="F18" s="27"/>
      <c r="G18" s="27"/>
      <c r="H18" s="27"/>
      <c r="I18" s="651"/>
      <c r="J18" s="655"/>
      <c r="K18" s="652"/>
      <c r="L18" s="652"/>
      <c r="M18" s="27"/>
      <c r="N18" s="27"/>
    </row>
    <row r="19" spans="1:14">
      <c r="A19" s="3">
        <v>16</v>
      </c>
      <c r="B19" s="3"/>
      <c r="C19" s="16"/>
      <c r="D19" s="16"/>
      <c r="E19" s="27"/>
      <c r="F19" s="27"/>
      <c r="G19" s="27"/>
      <c r="H19" s="27"/>
      <c r="I19" s="651"/>
      <c r="J19" s="655"/>
      <c r="K19" s="652"/>
      <c r="L19" s="652"/>
      <c r="M19" s="27"/>
      <c r="N19" s="27"/>
    </row>
    <row r="20" spans="1:14">
      <c r="A20" s="3">
        <v>17</v>
      </c>
      <c r="B20" s="3"/>
      <c r="C20" s="16"/>
      <c r="D20" s="16"/>
      <c r="E20" s="27"/>
      <c r="F20" s="27"/>
      <c r="G20" s="27"/>
      <c r="H20" s="27"/>
      <c r="I20" s="651"/>
      <c r="J20" s="655"/>
      <c r="K20" s="652"/>
      <c r="L20" s="652"/>
      <c r="M20" s="27"/>
      <c r="N20" s="27"/>
    </row>
    <row r="21" spans="1:14">
      <c r="A21" s="3">
        <v>18</v>
      </c>
      <c r="B21" s="3"/>
      <c r="C21" s="16"/>
      <c r="D21" s="16"/>
      <c r="E21" s="27"/>
      <c r="F21" s="27"/>
      <c r="G21" s="27"/>
      <c r="H21" s="27"/>
      <c r="I21" s="651"/>
      <c r="J21" s="655"/>
      <c r="K21" s="652"/>
      <c r="L21" s="652"/>
      <c r="M21" s="27"/>
      <c r="N21" s="27"/>
    </row>
    <row r="22" spans="1:14">
      <c r="A22" s="3">
        <v>19</v>
      </c>
      <c r="B22" s="3"/>
      <c r="C22" s="16"/>
      <c r="D22" s="16"/>
      <c r="E22" s="27"/>
      <c r="F22" s="27"/>
      <c r="G22" s="27"/>
      <c r="H22" s="27"/>
      <c r="I22" s="651"/>
      <c r="J22" s="656"/>
      <c r="K22" s="652"/>
      <c r="L22" s="652"/>
      <c r="M22" s="27"/>
      <c r="N22" s="27"/>
    </row>
  </sheetData>
  <mergeCells count="2">
    <mergeCell ref="K2:N2"/>
    <mergeCell ref="E2:I2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1:AC52"/>
  <sheetViews>
    <sheetView showZeros="0" zoomScale="85" zoomScaleNormal="85" workbookViewId="0">
      <pane ySplit="4" topLeftCell="A17" activePane="bottomLeft" state="frozenSplit"/>
      <selection pane="bottomLeft" activeCell="AC21" sqref="AC21"/>
    </sheetView>
  </sheetViews>
  <sheetFormatPr baseColWidth="10" defaultRowHeight="14.4"/>
  <cols>
    <col min="1" max="1" width="1.88671875" customWidth="1"/>
    <col min="2" max="2" width="10.33203125" bestFit="1" customWidth="1"/>
    <col min="3" max="3" width="11.6640625" bestFit="1" customWidth="1"/>
    <col min="17" max="17" width="2.6640625" style="296" customWidth="1"/>
    <col min="22" max="22" width="2.6640625" customWidth="1"/>
    <col min="28" max="28" width="11.5546875" style="10"/>
  </cols>
  <sheetData>
    <row r="1" spans="1:28">
      <c r="D1" s="890" t="s">
        <v>335</v>
      </c>
      <c r="E1" s="890" t="s">
        <v>504</v>
      </c>
      <c r="F1" s="888" t="s">
        <v>561</v>
      </c>
      <c r="G1" s="890" t="s">
        <v>278</v>
      </c>
      <c r="H1" s="890" t="s">
        <v>279</v>
      </c>
      <c r="I1" s="890" t="s">
        <v>4</v>
      </c>
      <c r="J1" s="890" t="s">
        <v>501</v>
      </c>
      <c r="K1" s="890"/>
      <c r="L1" s="888" t="s">
        <v>518</v>
      </c>
      <c r="M1" s="890" t="s">
        <v>423</v>
      </c>
      <c r="N1" s="888" t="s">
        <v>542</v>
      </c>
      <c r="O1" s="890" t="s">
        <v>560</v>
      </c>
      <c r="P1" s="890" t="s">
        <v>294</v>
      </c>
      <c r="Q1" s="894"/>
      <c r="R1" s="879" t="s">
        <v>282</v>
      </c>
      <c r="S1" s="896" t="s">
        <v>445</v>
      </c>
      <c r="T1" s="890" t="s">
        <v>283</v>
      </c>
      <c r="V1" s="12"/>
      <c r="W1" s="879" t="s">
        <v>500</v>
      </c>
      <c r="AB1" s="892" t="s">
        <v>564</v>
      </c>
    </row>
    <row r="2" spans="1:28" ht="13.8" customHeight="1">
      <c r="A2" s="521"/>
      <c r="B2" s="522"/>
      <c r="C2" s="165"/>
      <c r="D2" s="890"/>
      <c r="E2" s="890"/>
      <c r="F2" s="889"/>
      <c r="G2" s="890"/>
      <c r="H2" s="890"/>
      <c r="I2" s="890"/>
      <c r="J2" s="323" t="s">
        <v>448</v>
      </c>
      <c r="K2" s="4" t="s">
        <v>503</v>
      </c>
      <c r="L2" s="889"/>
      <c r="M2" s="890"/>
      <c r="N2" s="889"/>
      <c r="O2" s="890"/>
      <c r="P2" s="890"/>
      <c r="Q2" s="895"/>
      <c r="R2" s="879"/>
      <c r="S2" s="896"/>
      <c r="T2" s="890"/>
      <c r="U2" s="520"/>
      <c r="V2" s="526"/>
      <c r="W2" s="879"/>
      <c r="X2" s="624"/>
      <c r="Y2" s="520"/>
      <c r="Z2" s="546"/>
      <c r="AA2" s="160"/>
      <c r="AB2" s="893"/>
    </row>
    <row r="3" spans="1:28" s="38" customFormat="1" ht="14.4" customHeight="1">
      <c r="A3" s="521"/>
      <c r="B3" s="163" t="s">
        <v>281</v>
      </c>
      <c r="C3" s="524">
        <f ca="1">TODAY()</f>
        <v>44396</v>
      </c>
      <c r="D3" s="636">
        <f>'Actif-Passif-Encours'!P102</f>
        <v>1832.6</v>
      </c>
      <c r="E3" s="637">
        <f>'Actif-Passif-Encours'!X103</f>
        <v>6297</v>
      </c>
      <c r="F3" s="637" t="e">
        <f>'Actif-Passif-Encours'!#REF!</f>
        <v>#REF!</v>
      </c>
      <c r="G3" s="637" t="e">
        <f>'Actif-Passif-Encours'!#REF!</f>
        <v>#REF!</v>
      </c>
      <c r="H3" s="636" t="e">
        <f>'Actif-Passif-Encours'!#REF!</f>
        <v>#REF!</v>
      </c>
      <c r="I3" s="636" t="e">
        <f>'Actif-Passif-Encours'!#REF!</f>
        <v>#REF!</v>
      </c>
      <c r="J3" s="636" t="e">
        <f>'Actif-Passif-Encours'!#REF!</f>
        <v>#REF!</v>
      </c>
      <c r="K3" s="660" t="s">
        <v>322</v>
      </c>
      <c r="L3" s="636" t="e">
        <f>'Actif-Passif-Encours'!#REF!</f>
        <v>#REF!</v>
      </c>
      <c r="M3" s="638" t="e">
        <f>'Actif-Passif-Encours'!#REF!</f>
        <v>#REF!</v>
      </c>
      <c r="N3" s="638" t="e">
        <f>'Actif-Passif-Encours'!#REF!</f>
        <v>#REF!</v>
      </c>
      <c r="O3" s="638" t="e">
        <f>'Actif-Passif-Encours'!#REF!</f>
        <v>#REF!</v>
      </c>
      <c r="P3" s="638" t="e">
        <f>'Actif-Passif-Encours'!#REF!</f>
        <v>#REF!</v>
      </c>
      <c r="Q3" s="525"/>
      <c r="R3" s="638" t="e">
        <f>'Actif-Passif-Encours'!#REF!</f>
        <v>#REF!</v>
      </c>
      <c r="S3" s="638" t="e">
        <f>'Actif-Passif-Encours'!#REF!</f>
        <v>#REF!</v>
      </c>
      <c r="T3" s="636" t="e">
        <f>'Actif-Passif-Encours'!#REF!</f>
        <v>#REF!</v>
      </c>
      <c r="U3" s="160"/>
      <c r="V3" s="526"/>
      <c r="W3" s="164" t="e">
        <f>E3+O3</f>
        <v>#REF!</v>
      </c>
      <c r="X3" s="891" t="s">
        <v>562</v>
      </c>
      <c r="Y3" s="891"/>
      <c r="Z3" s="891"/>
      <c r="AA3" s="891"/>
      <c r="AB3" s="745" t="s">
        <v>563</v>
      </c>
    </row>
    <row r="4" spans="1:28" ht="14.4" customHeight="1">
      <c r="A4" s="521"/>
      <c r="B4" s="522"/>
      <c r="C4" s="165"/>
      <c r="D4" s="879" t="s">
        <v>473</v>
      </c>
      <c r="E4" s="879"/>
      <c r="F4" s="879"/>
      <c r="G4" s="879"/>
      <c r="H4" s="879"/>
      <c r="I4" s="879"/>
      <c r="J4" s="879"/>
      <c r="K4" s="879"/>
      <c r="L4" s="879"/>
      <c r="M4" s="879"/>
      <c r="N4" s="879"/>
      <c r="O4" s="879"/>
      <c r="P4" s="879"/>
      <c r="Q4" s="879"/>
      <c r="R4" s="879"/>
      <c r="S4" s="879"/>
      <c r="T4" s="879"/>
      <c r="U4" s="160"/>
      <c r="V4" s="160"/>
      <c r="W4" s="527"/>
      <c r="X4" s="527"/>
      <c r="Y4" s="527"/>
      <c r="Z4" s="527"/>
      <c r="AA4" s="160"/>
      <c r="AB4" s="541"/>
    </row>
    <row r="5" spans="1:28" s="296" customFormat="1">
      <c r="A5" s="528"/>
      <c r="B5" s="522"/>
      <c r="C5" s="165"/>
      <c r="D5" s="520"/>
      <c r="E5" s="520"/>
      <c r="F5" s="742"/>
      <c r="G5" s="520"/>
      <c r="H5" s="520"/>
      <c r="I5" s="520"/>
      <c r="J5" s="631"/>
      <c r="K5" s="631"/>
      <c r="L5" s="658"/>
      <c r="M5" s="520"/>
      <c r="N5" s="742"/>
      <c r="O5" s="520"/>
      <c r="P5" s="520"/>
      <c r="Q5" s="165"/>
      <c r="R5" s="165"/>
      <c r="S5" s="529"/>
      <c r="T5" s="530"/>
      <c r="U5" s="160"/>
      <c r="V5" s="160"/>
      <c r="W5" s="531"/>
      <c r="X5" s="531"/>
      <c r="Y5" s="531"/>
      <c r="Z5" s="531"/>
      <c r="AA5" s="160"/>
      <c r="AB5" s="542"/>
    </row>
    <row r="6" spans="1:28" ht="14.4" customHeight="1">
      <c r="A6" s="521"/>
      <c r="B6" s="522"/>
      <c r="C6" s="165"/>
      <c r="D6" s="879" t="s">
        <v>311</v>
      </c>
      <c r="E6" s="879"/>
      <c r="F6" s="879"/>
      <c r="G6" s="879"/>
      <c r="H6" s="879"/>
      <c r="I6" s="879"/>
      <c r="J6" s="879"/>
      <c r="K6" s="879"/>
      <c r="L6" s="879"/>
      <c r="M6" s="879"/>
      <c r="N6" s="879"/>
      <c r="O6" s="879"/>
      <c r="P6" s="879"/>
      <c r="Q6" s="879"/>
      <c r="R6" s="879"/>
      <c r="S6" s="879"/>
      <c r="T6" s="879"/>
      <c r="U6" s="879"/>
      <c r="V6" s="625"/>
      <c r="W6" s="625"/>
      <c r="X6" s="624"/>
      <c r="Y6" s="520"/>
      <c r="Z6" s="546"/>
      <c r="AA6" s="160"/>
      <c r="AB6" s="541"/>
    </row>
    <row r="7" spans="1:28" ht="13.8" customHeight="1">
      <c r="A7" s="521"/>
      <c r="B7" s="882" t="s">
        <v>443</v>
      </c>
      <c r="C7" s="884" t="s">
        <v>442</v>
      </c>
      <c r="D7" s="884" t="s">
        <v>519</v>
      </c>
      <c r="E7" s="884" t="s">
        <v>448</v>
      </c>
      <c r="F7" s="740"/>
      <c r="G7" s="884" t="s">
        <v>496</v>
      </c>
      <c r="H7" s="884" t="s">
        <v>497</v>
      </c>
      <c r="I7" s="884" t="s">
        <v>498</v>
      </c>
      <c r="J7" s="879" t="s">
        <v>502</v>
      </c>
      <c r="K7" s="879"/>
      <c r="L7" s="884" t="s">
        <v>518</v>
      </c>
      <c r="M7" s="884" t="s">
        <v>423</v>
      </c>
      <c r="N7" s="740"/>
      <c r="O7" s="884" t="s">
        <v>9</v>
      </c>
      <c r="P7" s="884" t="s">
        <v>294</v>
      </c>
      <c r="Q7" s="533"/>
      <c r="R7" s="884" t="s">
        <v>282</v>
      </c>
      <c r="S7" s="884" t="s">
        <v>339</v>
      </c>
      <c r="T7" s="884" t="s">
        <v>283</v>
      </c>
      <c r="U7" s="886" t="s">
        <v>284</v>
      </c>
      <c r="V7" s="534"/>
      <c r="W7" s="886" t="s">
        <v>472</v>
      </c>
      <c r="X7" s="880" t="s">
        <v>493</v>
      </c>
      <c r="Y7" s="881"/>
      <c r="Z7" s="886" t="s">
        <v>444</v>
      </c>
      <c r="AA7" s="884" t="s">
        <v>442</v>
      </c>
      <c r="AB7" s="882" t="s">
        <v>443</v>
      </c>
    </row>
    <row r="8" spans="1:28" s="629" customFormat="1" ht="13.8" customHeight="1">
      <c r="A8" s="626"/>
      <c r="B8" s="883"/>
      <c r="C8" s="885"/>
      <c r="D8" s="885"/>
      <c r="E8" s="885"/>
      <c r="F8" s="741"/>
      <c r="G8" s="885"/>
      <c r="H8" s="885"/>
      <c r="I8" s="885"/>
      <c r="J8" s="632">
        <v>3022</v>
      </c>
      <c r="K8" s="632">
        <v>5442</v>
      </c>
      <c r="L8" s="885"/>
      <c r="M8" s="885"/>
      <c r="N8" s="741"/>
      <c r="O8" s="885"/>
      <c r="P8" s="885"/>
      <c r="Q8" s="627"/>
      <c r="R8" s="885"/>
      <c r="S8" s="885"/>
      <c r="T8" s="885"/>
      <c r="U8" s="887"/>
      <c r="V8" s="627"/>
      <c r="W8" s="887"/>
      <c r="X8" s="628" t="s">
        <v>494</v>
      </c>
      <c r="Y8" s="628" t="s">
        <v>495</v>
      </c>
      <c r="Z8" s="887"/>
      <c r="AA8" s="885"/>
      <c r="AB8" s="883"/>
    </row>
    <row r="9" spans="1:28" ht="13.8" customHeight="1">
      <c r="A9" s="521"/>
      <c r="B9" s="244"/>
      <c r="C9" s="244">
        <v>43465</v>
      </c>
      <c r="D9" s="283">
        <v>1511.08</v>
      </c>
      <c r="E9" s="283">
        <v>6297</v>
      </c>
      <c r="F9" s="283"/>
      <c r="G9" s="283">
        <v>1368.09</v>
      </c>
      <c r="H9" s="283">
        <v>9563.86</v>
      </c>
      <c r="I9" s="293">
        <v>3960.93</v>
      </c>
      <c r="J9" s="293"/>
      <c r="K9" s="293"/>
      <c r="L9" s="293"/>
      <c r="M9" s="283"/>
      <c r="N9" s="283"/>
      <c r="O9" s="283"/>
      <c r="P9" s="283"/>
      <c r="Q9" s="297"/>
      <c r="R9" s="314">
        <f>SUM(D9:P9)</f>
        <v>22700.959999999999</v>
      </c>
      <c r="S9" s="283">
        <v>1269.54</v>
      </c>
      <c r="T9" s="283"/>
      <c r="U9" s="293">
        <f>R9-S9+T9</f>
        <v>21431.42</v>
      </c>
      <c r="V9" s="533"/>
      <c r="W9" s="315"/>
      <c r="X9" s="315"/>
      <c r="Y9" s="315"/>
      <c r="Z9" s="315"/>
      <c r="AA9" s="244">
        <f t="shared" ref="AA9:AA45" si="0">C9</f>
        <v>43465</v>
      </c>
      <c r="AB9" s="244">
        <f>B9</f>
        <v>0</v>
      </c>
    </row>
    <row r="10" spans="1:28">
      <c r="A10" s="521"/>
      <c r="B10" s="168"/>
      <c r="C10" s="168">
        <v>43496</v>
      </c>
      <c r="D10" s="284">
        <v>788.42</v>
      </c>
      <c r="E10" s="284">
        <v>6203.3</v>
      </c>
      <c r="F10" s="284"/>
      <c r="G10" s="284">
        <v>1476.08</v>
      </c>
      <c r="H10" s="284">
        <v>9731.11</v>
      </c>
      <c r="I10" s="294">
        <v>3960.93</v>
      </c>
      <c r="J10" s="639"/>
      <c r="K10" s="639"/>
      <c r="L10" s="639"/>
      <c r="M10" s="641"/>
      <c r="N10" s="641"/>
      <c r="O10" s="641"/>
      <c r="P10" s="641"/>
      <c r="Q10" s="297"/>
      <c r="R10" s="295">
        <f>SUM(D10:P10)</f>
        <v>22159.84</v>
      </c>
      <c r="S10" s="284">
        <v>1057.95</v>
      </c>
      <c r="T10" s="398"/>
      <c r="U10" s="300">
        <f t="shared" ref="U10:U34" si="1">R10-S10+T10</f>
        <v>21101.89</v>
      </c>
      <c r="V10" s="534"/>
      <c r="W10" s="302">
        <f>IF(U10&lt;&gt;0,U10-U$9,)</f>
        <v>-329.52999999999884</v>
      </c>
      <c r="X10" s="642"/>
      <c r="Y10" s="642"/>
      <c r="Z10" s="642"/>
      <c r="AA10" s="173">
        <f t="shared" si="0"/>
        <v>43496</v>
      </c>
      <c r="AB10" s="543">
        <f t="shared" ref="AB10:AB39" si="2">B10</f>
        <v>0</v>
      </c>
    </row>
    <row r="11" spans="1:28">
      <c r="A11" s="535"/>
      <c r="B11" s="168"/>
      <c r="C11" s="168">
        <v>43524</v>
      </c>
      <c r="D11" s="284">
        <v>680.18</v>
      </c>
      <c r="E11" s="284">
        <v>6105.7</v>
      </c>
      <c r="F11" s="284"/>
      <c r="G11" s="284">
        <v>648.08000000000004</v>
      </c>
      <c r="H11" s="284">
        <v>9831.11</v>
      </c>
      <c r="I11" s="294">
        <v>3960.93</v>
      </c>
      <c r="J11" s="639"/>
      <c r="K11" s="639"/>
      <c r="L11" s="639"/>
      <c r="M11" s="641"/>
      <c r="N11" s="641"/>
      <c r="O11" s="641"/>
      <c r="P11" s="641"/>
      <c r="Q11" s="297"/>
      <c r="R11" s="295">
        <f t="shared" ref="R11:R20" si="3">SUM(D11:P11)</f>
        <v>21226</v>
      </c>
      <c r="S11" s="284">
        <v>846.36</v>
      </c>
      <c r="T11" s="398"/>
      <c r="U11" s="300">
        <f t="shared" si="1"/>
        <v>20379.64</v>
      </c>
      <c r="V11" s="534"/>
      <c r="W11" s="302">
        <f t="shared" ref="W11:W32" si="4">IF(U11&lt;&gt;0,U11-U$9,)</f>
        <v>-1051.7799999999988</v>
      </c>
      <c r="X11" s="642"/>
      <c r="Y11" s="642"/>
      <c r="Z11" s="642"/>
      <c r="AA11" s="173">
        <f t="shared" si="0"/>
        <v>43524</v>
      </c>
      <c r="AB11" s="543">
        <f t="shared" si="2"/>
        <v>0</v>
      </c>
    </row>
    <row r="12" spans="1:28">
      <c r="A12" s="535"/>
      <c r="B12" s="168"/>
      <c r="C12" s="168">
        <v>43555</v>
      </c>
      <c r="D12" s="284">
        <v>709.37</v>
      </c>
      <c r="E12" s="284">
        <v>5786.1</v>
      </c>
      <c r="F12" s="284"/>
      <c r="G12" s="284">
        <v>748.08</v>
      </c>
      <c r="H12" s="284">
        <v>9931.11</v>
      </c>
      <c r="I12" s="294">
        <v>3960.93</v>
      </c>
      <c r="J12" s="639"/>
      <c r="K12" s="639"/>
      <c r="L12" s="639"/>
      <c r="M12" s="641"/>
      <c r="N12" s="641"/>
      <c r="O12" s="641"/>
      <c r="P12" s="641"/>
      <c r="Q12" s="297"/>
      <c r="R12" s="295">
        <f t="shared" si="3"/>
        <v>21135.59</v>
      </c>
      <c r="S12" s="284">
        <v>634.77</v>
      </c>
      <c r="T12" s="398"/>
      <c r="U12" s="300">
        <f t="shared" si="1"/>
        <v>20500.82</v>
      </c>
      <c r="V12" s="534"/>
      <c r="W12" s="302">
        <f t="shared" si="4"/>
        <v>-930.59999999999854</v>
      </c>
      <c r="X12" s="642"/>
      <c r="Y12" s="642"/>
      <c r="Z12" s="642"/>
      <c r="AA12" s="173">
        <f t="shared" si="0"/>
        <v>43555</v>
      </c>
      <c r="AB12" s="543">
        <f t="shared" si="2"/>
        <v>0</v>
      </c>
    </row>
    <row r="13" spans="1:28">
      <c r="A13" s="535"/>
      <c r="B13" s="168"/>
      <c r="C13" s="168">
        <v>43585</v>
      </c>
      <c r="D13" s="284">
        <v>511.41</v>
      </c>
      <c r="E13" s="284">
        <v>5783.5</v>
      </c>
      <c r="F13" s="284"/>
      <c r="G13" s="284">
        <v>848.08</v>
      </c>
      <c r="H13" s="284">
        <v>10031.11</v>
      </c>
      <c r="I13" s="294">
        <v>3960.93</v>
      </c>
      <c r="J13" s="639"/>
      <c r="K13" s="639"/>
      <c r="L13" s="639"/>
      <c r="M13" s="641"/>
      <c r="N13" s="641"/>
      <c r="O13" s="641"/>
      <c r="P13" s="641"/>
      <c r="Q13" s="297"/>
      <c r="R13" s="295">
        <f t="shared" si="3"/>
        <v>21135.03</v>
      </c>
      <c r="S13" s="284">
        <v>423.18</v>
      </c>
      <c r="T13" s="398"/>
      <c r="U13" s="300">
        <f t="shared" si="1"/>
        <v>20711.849999999999</v>
      </c>
      <c r="V13" s="534"/>
      <c r="W13" s="302">
        <f t="shared" si="4"/>
        <v>-719.56999999999971</v>
      </c>
      <c r="X13" s="642"/>
      <c r="Y13" s="642"/>
      <c r="Z13" s="642"/>
      <c r="AA13" s="173">
        <f t="shared" si="0"/>
        <v>43585</v>
      </c>
      <c r="AB13" s="543">
        <f t="shared" si="2"/>
        <v>0</v>
      </c>
    </row>
    <row r="14" spans="1:28">
      <c r="A14" s="535"/>
      <c r="B14" s="173"/>
      <c r="C14" s="173">
        <v>43616</v>
      </c>
      <c r="D14" s="284">
        <v>541.38</v>
      </c>
      <c r="E14" s="284">
        <v>5730.15</v>
      </c>
      <c r="F14" s="284"/>
      <c r="G14" s="284">
        <v>948.08</v>
      </c>
      <c r="H14" s="284">
        <v>10131.11</v>
      </c>
      <c r="I14" s="294">
        <v>3960.93</v>
      </c>
      <c r="J14" s="639"/>
      <c r="K14" s="639"/>
      <c r="L14" s="639"/>
      <c r="M14" s="641"/>
      <c r="N14" s="641"/>
      <c r="O14" s="641"/>
      <c r="P14" s="641"/>
      <c r="Q14" s="298"/>
      <c r="R14" s="295">
        <f t="shared" si="3"/>
        <v>21311.65</v>
      </c>
      <c r="S14" s="284">
        <v>211.59</v>
      </c>
      <c r="T14" s="398"/>
      <c r="U14" s="300">
        <f t="shared" si="1"/>
        <v>21100.06</v>
      </c>
      <c r="V14" s="536"/>
      <c r="W14" s="302">
        <f t="shared" si="4"/>
        <v>-331.35999999999694</v>
      </c>
      <c r="X14" s="642"/>
      <c r="Y14" s="642"/>
      <c r="Z14" s="642"/>
      <c r="AA14" s="173">
        <f t="shared" si="0"/>
        <v>43616</v>
      </c>
      <c r="AB14" s="543">
        <f t="shared" si="2"/>
        <v>0</v>
      </c>
    </row>
    <row r="15" spans="1:28">
      <c r="A15" s="535"/>
      <c r="B15" s="173"/>
      <c r="C15" s="173">
        <v>43646</v>
      </c>
      <c r="D15" s="284">
        <v>555.97</v>
      </c>
      <c r="E15" s="284">
        <v>5675.15</v>
      </c>
      <c r="F15" s="284"/>
      <c r="G15" s="284">
        <v>1048.08</v>
      </c>
      <c r="H15" s="284">
        <v>10231.11</v>
      </c>
      <c r="I15" s="294">
        <v>3960.93</v>
      </c>
      <c r="J15" s="639"/>
      <c r="K15" s="639"/>
      <c r="L15" s="639"/>
      <c r="M15" s="641"/>
      <c r="N15" s="641"/>
      <c r="O15" s="641"/>
      <c r="P15" s="641"/>
      <c r="Q15" s="298"/>
      <c r="R15" s="295">
        <f t="shared" si="3"/>
        <v>21471.24</v>
      </c>
      <c r="S15" s="284"/>
      <c r="T15" s="398"/>
      <c r="U15" s="300">
        <f t="shared" si="1"/>
        <v>21471.24</v>
      </c>
      <c r="V15" s="534"/>
      <c r="W15" s="302">
        <f t="shared" si="4"/>
        <v>39.820000000003347</v>
      </c>
      <c r="X15" s="642"/>
      <c r="Y15" s="642"/>
      <c r="Z15" s="642"/>
      <c r="AA15" s="173">
        <f t="shared" si="0"/>
        <v>43646</v>
      </c>
      <c r="AB15" s="543">
        <f t="shared" si="2"/>
        <v>0</v>
      </c>
    </row>
    <row r="16" spans="1:28">
      <c r="A16" s="535"/>
      <c r="B16" s="173"/>
      <c r="C16" s="173">
        <v>43677</v>
      </c>
      <c r="D16" s="284">
        <v>214.25</v>
      </c>
      <c r="E16" s="284">
        <v>5797.15</v>
      </c>
      <c r="F16" s="284"/>
      <c r="G16" s="284">
        <v>1148.08</v>
      </c>
      <c r="H16" s="284">
        <v>10331.11</v>
      </c>
      <c r="I16" s="294">
        <v>3960.93</v>
      </c>
      <c r="J16" s="639"/>
      <c r="K16" s="639"/>
      <c r="L16" s="639"/>
      <c r="M16" s="641"/>
      <c r="N16" s="641"/>
      <c r="O16" s="641"/>
      <c r="P16" s="641"/>
      <c r="Q16" s="298"/>
      <c r="R16" s="295">
        <f t="shared" si="3"/>
        <v>21451.52</v>
      </c>
      <c r="S16" s="284"/>
      <c r="T16" s="398"/>
      <c r="U16" s="300">
        <f t="shared" si="1"/>
        <v>21451.52</v>
      </c>
      <c r="V16" s="534"/>
      <c r="W16" s="302">
        <f t="shared" si="4"/>
        <v>20.100000000002183</v>
      </c>
      <c r="X16" s="642"/>
      <c r="Y16" s="642"/>
      <c r="Z16" s="642"/>
      <c r="AA16" s="173">
        <f t="shared" si="0"/>
        <v>43677</v>
      </c>
      <c r="AB16" s="543">
        <f t="shared" si="2"/>
        <v>0</v>
      </c>
    </row>
    <row r="17" spans="1:28">
      <c r="A17" s="535"/>
      <c r="B17" s="173"/>
      <c r="C17" s="173">
        <v>43708</v>
      </c>
      <c r="D17" s="284">
        <v>-4.08</v>
      </c>
      <c r="E17" s="284">
        <v>5712.25</v>
      </c>
      <c r="F17" s="284"/>
      <c r="G17" s="284">
        <v>648.08000000000004</v>
      </c>
      <c r="H17" s="284">
        <v>10431.11</v>
      </c>
      <c r="I17" s="294">
        <v>3960.93</v>
      </c>
      <c r="J17" s="639"/>
      <c r="K17" s="639"/>
      <c r="L17" s="639"/>
      <c r="M17" s="641"/>
      <c r="N17" s="641"/>
      <c r="O17" s="641"/>
      <c r="P17" s="641"/>
      <c r="Q17" s="298"/>
      <c r="R17" s="295">
        <f t="shared" si="3"/>
        <v>20748.29</v>
      </c>
      <c r="S17" s="284"/>
      <c r="T17" s="398"/>
      <c r="U17" s="300">
        <f t="shared" si="1"/>
        <v>20748.29</v>
      </c>
      <c r="V17" s="536"/>
      <c r="W17" s="302">
        <f t="shared" si="4"/>
        <v>-683.12999999999738</v>
      </c>
      <c r="X17" s="642"/>
      <c r="Y17" s="642"/>
      <c r="Z17" s="642"/>
      <c r="AA17" s="173">
        <f t="shared" si="0"/>
        <v>43708</v>
      </c>
      <c r="AB17" s="543">
        <f t="shared" si="2"/>
        <v>0</v>
      </c>
    </row>
    <row r="18" spans="1:28">
      <c r="A18" s="535"/>
      <c r="B18" s="168"/>
      <c r="C18" s="168">
        <v>43738</v>
      </c>
      <c r="D18" s="284">
        <v>40.619999999999997</v>
      </c>
      <c r="E18" s="284">
        <v>5714.65</v>
      </c>
      <c r="F18" s="284"/>
      <c r="G18" s="284">
        <v>548.08000000000004</v>
      </c>
      <c r="H18" s="284">
        <v>10531.11</v>
      </c>
      <c r="I18" s="294">
        <v>3960.93</v>
      </c>
      <c r="J18" s="639"/>
      <c r="K18" s="639"/>
      <c r="L18" s="639"/>
      <c r="M18" s="641"/>
      <c r="N18" s="641"/>
      <c r="O18" s="641"/>
      <c r="P18" s="641"/>
      <c r="Q18" s="297"/>
      <c r="R18" s="295">
        <f t="shared" si="3"/>
        <v>20795.39</v>
      </c>
      <c r="S18" s="284"/>
      <c r="T18" s="398"/>
      <c r="U18" s="300">
        <f t="shared" si="1"/>
        <v>20795.39</v>
      </c>
      <c r="V18" s="534"/>
      <c r="W18" s="302">
        <f t="shared" si="4"/>
        <v>-636.02999999999884</v>
      </c>
      <c r="X18" s="642"/>
      <c r="Y18" s="642"/>
      <c r="Z18" s="642"/>
      <c r="AA18" s="173">
        <f t="shared" si="0"/>
        <v>43738</v>
      </c>
      <c r="AB18" s="543">
        <f t="shared" si="2"/>
        <v>0</v>
      </c>
    </row>
    <row r="19" spans="1:28">
      <c r="A19" s="535"/>
      <c r="B19" s="168"/>
      <c r="C19" s="168">
        <v>43769</v>
      </c>
      <c r="D19" s="284">
        <v>262.58</v>
      </c>
      <c r="E19" s="284">
        <v>5565.15</v>
      </c>
      <c r="F19" s="284"/>
      <c r="G19" s="284">
        <v>448.08</v>
      </c>
      <c r="H19" s="284">
        <v>10631.11</v>
      </c>
      <c r="I19" s="294">
        <v>3960.93</v>
      </c>
      <c r="J19" s="639"/>
      <c r="K19" s="639"/>
      <c r="L19" s="639"/>
      <c r="M19" s="641"/>
      <c r="N19" s="641"/>
      <c r="O19" s="641"/>
      <c r="P19" s="641"/>
      <c r="Q19" s="297"/>
      <c r="R19" s="295">
        <f t="shared" si="3"/>
        <v>20867.849999999999</v>
      </c>
      <c r="S19" s="284"/>
      <c r="T19" s="398"/>
      <c r="U19" s="300">
        <f t="shared" si="1"/>
        <v>20867.849999999999</v>
      </c>
      <c r="V19" s="534"/>
      <c r="W19" s="302">
        <f t="shared" si="4"/>
        <v>-563.56999999999971</v>
      </c>
      <c r="X19" s="642"/>
      <c r="Y19" s="642"/>
      <c r="Z19" s="642"/>
      <c r="AA19" s="173">
        <f t="shared" si="0"/>
        <v>43769</v>
      </c>
      <c r="AB19" s="543">
        <f t="shared" si="2"/>
        <v>0</v>
      </c>
    </row>
    <row r="20" spans="1:28">
      <c r="A20" s="535"/>
      <c r="B20" s="168"/>
      <c r="C20" s="168">
        <v>43799</v>
      </c>
      <c r="D20" s="284">
        <v>435.5</v>
      </c>
      <c r="E20" s="284">
        <v>5513.25</v>
      </c>
      <c r="F20" s="284"/>
      <c r="G20" s="284">
        <v>548.08000000000004</v>
      </c>
      <c r="H20" s="284">
        <v>10731.11</v>
      </c>
      <c r="I20" s="294">
        <v>3960.93</v>
      </c>
      <c r="J20" s="639"/>
      <c r="K20" s="639"/>
      <c r="L20" s="639"/>
      <c r="M20" s="641"/>
      <c r="N20" s="641"/>
      <c r="O20" s="641"/>
      <c r="P20" s="641"/>
      <c r="Q20" s="297"/>
      <c r="R20" s="295">
        <f t="shared" si="3"/>
        <v>21188.870000000003</v>
      </c>
      <c r="S20" s="284"/>
      <c r="T20" s="398"/>
      <c r="U20" s="300">
        <f t="shared" si="1"/>
        <v>21188.870000000003</v>
      </c>
      <c r="V20" s="534"/>
      <c r="W20" s="302">
        <f t="shared" si="4"/>
        <v>-242.54999999999563</v>
      </c>
      <c r="X20" s="642"/>
      <c r="Y20" s="642"/>
      <c r="Z20" s="642"/>
      <c r="AA20" s="173">
        <f t="shared" si="0"/>
        <v>43799</v>
      </c>
      <c r="AB20" s="543">
        <f t="shared" si="2"/>
        <v>0</v>
      </c>
    </row>
    <row r="21" spans="1:28">
      <c r="A21" s="521"/>
      <c r="B21" s="244"/>
      <c r="C21" s="244">
        <v>43830</v>
      </c>
      <c r="D21" s="283">
        <v>282.11</v>
      </c>
      <c r="E21" s="283">
        <v>5368.05</v>
      </c>
      <c r="F21" s="283"/>
      <c r="G21" s="283">
        <v>648.08000000000004</v>
      </c>
      <c r="H21" s="283">
        <v>10831.11</v>
      </c>
      <c r="I21" s="293">
        <v>3960.93</v>
      </c>
      <c r="J21" s="293"/>
      <c r="K21" s="293"/>
      <c r="L21" s="293"/>
      <c r="M21" s="283"/>
      <c r="N21" s="283"/>
      <c r="O21" s="283"/>
      <c r="P21" s="423"/>
      <c r="Q21" s="297"/>
      <c r="R21" s="314">
        <f>SUM(D21:P21)</f>
        <v>21090.28</v>
      </c>
      <c r="S21" s="283"/>
      <c r="T21" s="283"/>
      <c r="U21" s="293">
        <f t="shared" si="1"/>
        <v>21090.28</v>
      </c>
      <c r="V21" s="533"/>
      <c r="W21" s="315">
        <f t="shared" si="4"/>
        <v>-341.13999999999942</v>
      </c>
      <c r="X21" s="315"/>
      <c r="Y21" s="315"/>
      <c r="Z21" s="315"/>
      <c r="AA21" s="244">
        <f t="shared" si="0"/>
        <v>43830</v>
      </c>
      <c r="AB21" s="244">
        <f t="shared" si="2"/>
        <v>0</v>
      </c>
    </row>
    <row r="22" spans="1:28" ht="14.4" customHeight="1">
      <c r="A22" s="528"/>
      <c r="B22" s="173"/>
      <c r="C22" s="272">
        <v>43861</v>
      </c>
      <c r="D22" s="284">
        <v>342.16</v>
      </c>
      <c r="E22" s="284">
        <v>5331.05</v>
      </c>
      <c r="F22" s="284"/>
      <c r="G22" s="284">
        <v>754.31</v>
      </c>
      <c r="H22" s="284">
        <v>11007.89</v>
      </c>
      <c r="I22" s="294">
        <v>4045.43</v>
      </c>
      <c r="J22" s="639"/>
      <c r="K22" s="639"/>
      <c r="L22" s="639"/>
      <c r="M22" s="641"/>
      <c r="N22" s="641"/>
      <c r="O22" s="641"/>
      <c r="P22" s="537">
        <v>18720.400000000001</v>
      </c>
      <c r="Q22" s="297"/>
      <c r="R22" s="295">
        <f>SUM(D22:P22)</f>
        <v>40201.240000000005</v>
      </c>
      <c r="S22" s="284"/>
      <c r="T22" s="398"/>
      <c r="U22" s="300">
        <f t="shared" si="1"/>
        <v>40201.240000000005</v>
      </c>
      <c r="V22" s="534"/>
      <c r="W22" s="302">
        <f t="shared" si="4"/>
        <v>18769.820000000007</v>
      </c>
      <c r="X22" s="302">
        <f>IF($U22&lt;&gt;0,$U22-$U$21-P22,)</f>
        <v>390.56000000000495</v>
      </c>
      <c r="Y22" s="302">
        <f>IF(U22&lt;&gt;0,U22-U$21,)</f>
        <v>19110.960000000006</v>
      </c>
      <c r="Z22" s="642"/>
      <c r="AA22" s="173">
        <f t="shared" si="0"/>
        <v>43861</v>
      </c>
      <c r="AB22" s="544">
        <f t="shared" si="2"/>
        <v>0</v>
      </c>
    </row>
    <row r="23" spans="1:28">
      <c r="A23" s="528"/>
      <c r="B23" s="173"/>
      <c r="C23" s="272">
        <v>43890</v>
      </c>
      <c r="D23" s="284">
        <v>337.83</v>
      </c>
      <c r="E23" s="284">
        <v>5236.05</v>
      </c>
      <c r="F23" s="284"/>
      <c r="G23" s="284">
        <v>854.31</v>
      </c>
      <c r="H23" s="284">
        <v>11107.89</v>
      </c>
      <c r="I23" s="294">
        <v>4045.43</v>
      </c>
      <c r="J23" s="639"/>
      <c r="K23" s="639"/>
      <c r="L23" s="639"/>
      <c r="M23" s="641"/>
      <c r="N23" s="641"/>
      <c r="O23" s="641"/>
      <c r="P23" s="537">
        <v>18718.740000000002</v>
      </c>
      <c r="Q23" s="298"/>
      <c r="R23" s="295">
        <f t="shared" ref="R23:R33" si="5">SUM(D23:P23)</f>
        <v>40300.25</v>
      </c>
      <c r="S23" s="284"/>
      <c r="T23" s="398"/>
      <c r="U23" s="300">
        <f t="shared" si="1"/>
        <v>40300.25</v>
      </c>
      <c r="V23" s="534"/>
      <c r="W23" s="302">
        <f t="shared" si="4"/>
        <v>18868.830000000002</v>
      </c>
      <c r="X23" s="302">
        <f t="shared" ref="X23:X33" si="6">IF($U23&lt;&gt;0,$U23-$U$21-P23,)</f>
        <v>491.22999999999956</v>
      </c>
      <c r="Y23" s="302">
        <f t="shared" ref="Y23:Y31" si="7">IF(U23&lt;&gt;0,U23-U$21,)</f>
        <v>19209.97</v>
      </c>
      <c r="Z23" s="642"/>
      <c r="AA23" s="173">
        <f t="shared" si="0"/>
        <v>43890</v>
      </c>
      <c r="AB23" s="544">
        <f t="shared" si="2"/>
        <v>0</v>
      </c>
    </row>
    <row r="24" spans="1:28">
      <c r="A24" s="521"/>
      <c r="B24" s="173"/>
      <c r="C24" s="173">
        <v>43921</v>
      </c>
      <c r="D24" s="284">
        <v>304.77</v>
      </c>
      <c r="E24" s="284">
        <v>5206.05</v>
      </c>
      <c r="F24" s="284"/>
      <c r="G24" s="284">
        <v>954.31</v>
      </c>
      <c r="H24" s="284">
        <v>11207.89</v>
      </c>
      <c r="I24" s="294">
        <v>4045.43</v>
      </c>
      <c r="J24" s="639"/>
      <c r="K24" s="639"/>
      <c r="L24" s="639"/>
      <c r="M24" s="641"/>
      <c r="N24" s="641"/>
      <c r="O24" s="641"/>
      <c r="P24" s="537">
        <v>18718.740000000002</v>
      </c>
      <c r="Q24" s="298"/>
      <c r="R24" s="295">
        <f t="shared" si="5"/>
        <v>40437.19</v>
      </c>
      <c r="S24" s="284"/>
      <c r="T24" s="398"/>
      <c r="U24" s="300">
        <f t="shared" si="1"/>
        <v>40437.19</v>
      </c>
      <c r="V24" s="534"/>
      <c r="W24" s="302">
        <f t="shared" si="4"/>
        <v>19005.770000000004</v>
      </c>
      <c r="X24" s="302">
        <f t="shared" si="6"/>
        <v>628.17000000000189</v>
      </c>
      <c r="Y24" s="302">
        <f t="shared" si="7"/>
        <v>19346.910000000003</v>
      </c>
      <c r="Z24" s="642"/>
      <c r="AA24" s="173">
        <f t="shared" si="0"/>
        <v>43921</v>
      </c>
      <c r="AB24" s="544">
        <f t="shared" si="2"/>
        <v>0</v>
      </c>
    </row>
    <row r="25" spans="1:28">
      <c r="A25" s="535"/>
      <c r="B25" s="173"/>
      <c r="C25" s="173">
        <v>43951</v>
      </c>
      <c r="D25" s="284">
        <v>575.16999999999996</v>
      </c>
      <c r="E25" s="284">
        <v>5448.03</v>
      </c>
      <c r="F25" s="284"/>
      <c r="G25" s="284">
        <v>1054.31</v>
      </c>
      <c r="H25" s="284">
        <v>11307.89</v>
      </c>
      <c r="I25" s="294">
        <v>4045.43</v>
      </c>
      <c r="J25" s="639"/>
      <c r="K25" s="639"/>
      <c r="L25" s="639"/>
      <c r="M25" s="641"/>
      <c r="N25" s="641"/>
      <c r="O25" s="641"/>
      <c r="P25" s="537">
        <v>18718.740000000002</v>
      </c>
      <c r="Q25" s="298"/>
      <c r="R25" s="295">
        <f t="shared" si="5"/>
        <v>41149.570000000007</v>
      </c>
      <c r="S25" s="284"/>
      <c r="T25" s="398"/>
      <c r="U25" s="300">
        <f t="shared" si="1"/>
        <v>41149.570000000007</v>
      </c>
      <c r="V25" s="536"/>
      <c r="W25" s="302">
        <f t="shared" si="4"/>
        <v>19718.150000000009</v>
      </c>
      <c r="X25" s="302">
        <f t="shared" si="6"/>
        <v>1340.5500000000065</v>
      </c>
      <c r="Y25" s="302">
        <f t="shared" si="7"/>
        <v>20059.290000000008</v>
      </c>
      <c r="Z25" s="642"/>
      <c r="AA25" s="173">
        <f t="shared" si="0"/>
        <v>43951</v>
      </c>
      <c r="AB25" s="544">
        <f t="shared" si="2"/>
        <v>0</v>
      </c>
    </row>
    <row r="26" spans="1:28">
      <c r="A26" s="535"/>
      <c r="B26" s="173"/>
      <c r="C26" s="173">
        <v>43982</v>
      </c>
      <c r="D26" s="284">
        <v>208.79</v>
      </c>
      <c r="E26" s="284">
        <v>5448.03</v>
      </c>
      <c r="F26" s="284"/>
      <c r="G26" s="284">
        <v>1154.31</v>
      </c>
      <c r="H26" s="284">
        <v>11407.89</v>
      </c>
      <c r="I26" s="294">
        <v>4045.43</v>
      </c>
      <c r="J26" s="639"/>
      <c r="K26" s="639"/>
      <c r="L26" s="639"/>
      <c r="M26" s="641"/>
      <c r="N26" s="641"/>
      <c r="O26" s="641"/>
      <c r="P26" s="537">
        <v>18718.740000000002</v>
      </c>
      <c r="Q26" s="298"/>
      <c r="R26" s="295">
        <f t="shared" si="5"/>
        <v>40983.19</v>
      </c>
      <c r="S26" s="284"/>
      <c r="T26" s="398"/>
      <c r="U26" s="300">
        <f t="shared" si="1"/>
        <v>40983.19</v>
      </c>
      <c r="V26" s="534"/>
      <c r="W26" s="302">
        <f t="shared" si="4"/>
        <v>19551.770000000004</v>
      </c>
      <c r="X26" s="302">
        <f t="shared" si="6"/>
        <v>1174.1700000000019</v>
      </c>
      <c r="Y26" s="302">
        <f t="shared" si="7"/>
        <v>19892.910000000003</v>
      </c>
      <c r="Z26" s="642"/>
      <c r="AA26" s="173">
        <f t="shared" si="0"/>
        <v>43982</v>
      </c>
      <c r="AB26" s="544">
        <f t="shared" si="2"/>
        <v>0</v>
      </c>
    </row>
    <row r="27" spans="1:28">
      <c r="A27" s="535"/>
      <c r="B27" s="173"/>
      <c r="C27" s="173">
        <v>44012</v>
      </c>
      <c r="D27" s="284">
        <v>64.900000000000006</v>
      </c>
      <c r="E27" s="284">
        <v>5384.13</v>
      </c>
      <c r="F27" s="284"/>
      <c r="G27" s="284">
        <v>1054.31</v>
      </c>
      <c r="H27" s="284">
        <v>11507.890000000001</v>
      </c>
      <c r="I27" s="294">
        <v>4045.43</v>
      </c>
      <c r="J27" s="639"/>
      <c r="K27" s="639"/>
      <c r="L27" s="639"/>
      <c r="M27" s="641"/>
      <c r="N27" s="641"/>
      <c r="O27" s="641"/>
      <c r="P27" s="537">
        <v>18718.740000000002</v>
      </c>
      <c r="Q27" s="298"/>
      <c r="R27" s="295">
        <f t="shared" si="5"/>
        <v>40775.400000000009</v>
      </c>
      <c r="S27" s="284"/>
      <c r="T27" s="398"/>
      <c r="U27" s="300">
        <f t="shared" si="1"/>
        <v>40775.400000000009</v>
      </c>
      <c r="V27" s="534"/>
      <c r="W27" s="302">
        <f t="shared" si="4"/>
        <v>19343.98000000001</v>
      </c>
      <c r="X27" s="302">
        <f t="shared" si="6"/>
        <v>966.38000000000829</v>
      </c>
      <c r="Y27" s="302">
        <f t="shared" si="7"/>
        <v>19685.12000000001</v>
      </c>
      <c r="Z27" s="642"/>
      <c r="AA27" s="173">
        <f t="shared" si="0"/>
        <v>44012</v>
      </c>
      <c r="AB27" s="544">
        <f t="shared" si="2"/>
        <v>0</v>
      </c>
    </row>
    <row r="28" spans="1:28">
      <c r="A28" s="535"/>
      <c r="B28" s="173">
        <v>44071</v>
      </c>
      <c r="C28" s="173">
        <v>44043</v>
      </c>
      <c r="D28" s="284">
        <v>52.76</v>
      </c>
      <c r="E28" s="284">
        <v>5146.53</v>
      </c>
      <c r="F28" s="284"/>
      <c r="G28" s="284">
        <v>1154.31</v>
      </c>
      <c r="H28" s="284">
        <v>11607.89</v>
      </c>
      <c r="I28" s="294">
        <v>4045.43</v>
      </c>
      <c r="J28" s="639"/>
      <c r="K28" s="639"/>
      <c r="L28" s="639"/>
      <c r="M28" s="641"/>
      <c r="N28" s="641"/>
      <c r="O28" s="641"/>
      <c r="P28" s="537">
        <v>18718.740000000002</v>
      </c>
      <c r="Q28" s="298"/>
      <c r="R28" s="295">
        <f t="shared" si="5"/>
        <v>40725.660000000003</v>
      </c>
      <c r="S28" s="284"/>
      <c r="T28" s="398"/>
      <c r="U28" s="300">
        <f t="shared" si="1"/>
        <v>40725.660000000003</v>
      </c>
      <c r="V28" s="534"/>
      <c r="W28" s="302">
        <f t="shared" si="4"/>
        <v>19294.240000000005</v>
      </c>
      <c r="X28" s="302">
        <f t="shared" si="6"/>
        <v>916.64000000000306</v>
      </c>
      <c r="Y28" s="302">
        <f t="shared" si="7"/>
        <v>19635.380000000005</v>
      </c>
      <c r="Z28" s="642"/>
      <c r="AA28" s="173">
        <f t="shared" si="0"/>
        <v>44043</v>
      </c>
      <c r="AB28" s="544">
        <f t="shared" si="2"/>
        <v>44071</v>
      </c>
    </row>
    <row r="29" spans="1:28">
      <c r="A29" s="535"/>
      <c r="B29" s="173">
        <v>44075</v>
      </c>
      <c r="C29" s="173">
        <v>44074</v>
      </c>
      <c r="D29" s="284">
        <v>526.19000000000005</v>
      </c>
      <c r="E29" s="284">
        <v>5146.53</v>
      </c>
      <c r="F29" s="284"/>
      <c r="G29" s="284">
        <v>1254.31</v>
      </c>
      <c r="H29" s="284">
        <v>11707.89</v>
      </c>
      <c r="I29" s="294">
        <v>4045.43</v>
      </c>
      <c r="J29" s="639"/>
      <c r="K29" s="639"/>
      <c r="L29" s="639"/>
      <c r="M29" s="641"/>
      <c r="N29" s="641"/>
      <c r="O29" s="641"/>
      <c r="P29" s="537">
        <v>18718.740000000002</v>
      </c>
      <c r="Q29" s="299"/>
      <c r="R29" s="295">
        <f t="shared" si="5"/>
        <v>41399.089999999997</v>
      </c>
      <c r="S29" s="284"/>
      <c r="T29" s="398"/>
      <c r="U29" s="300">
        <f t="shared" si="1"/>
        <v>41399.089999999997</v>
      </c>
      <c r="V29" s="534"/>
      <c r="W29" s="302">
        <f t="shared" si="4"/>
        <v>19967.669999999998</v>
      </c>
      <c r="X29" s="302">
        <f t="shared" si="6"/>
        <v>1590.0699999999961</v>
      </c>
      <c r="Y29" s="302">
        <f t="shared" si="7"/>
        <v>20308.809999999998</v>
      </c>
      <c r="Z29" s="642"/>
      <c r="AA29" s="173">
        <f t="shared" si="0"/>
        <v>44074</v>
      </c>
      <c r="AB29" s="544">
        <f t="shared" si="2"/>
        <v>44075</v>
      </c>
    </row>
    <row r="30" spans="1:28">
      <c r="A30" s="535"/>
      <c r="B30" s="173">
        <v>44105</v>
      </c>
      <c r="C30" s="173">
        <v>44104</v>
      </c>
      <c r="D30" s="284">
        <v>566.34</v>
      </c>
      <c r="E30" s="284">
        <v>5121.53</v>
      </c>
      <c r="F30" s="284"/>
      <c r="G30" s="284">
        <v>1354.31</v>
      </c>
      <c r="H30" s="284">
        <v>11807.89</v>
      </c>
      <c r="I30" s="294">
        <v>4045.43</v>
      </c>
      <c r="J30" s="639"/>
      <c r="K30" s="639"/>
      <c r="L30" s="639"/>
      <c r="M30" s="641"/>
      <c r="N30" s="641"/>
      <c r="O30" s="641"/>
      <c r="P30" s="537">
        <v>18718.740000000002</v>
      </c>
      <c r="Q30" s="299"/>
      <c r="R30" s="295">
        <f t="shared" si="5"/>
        <v>41614.240000000005</v>
      </c>
      <c r="S30" s="284"/>
      <c r="T30" s="398"/>
      <c r="U30" s="300">
        <f t="shared" si="1"/>
        <v>41614.240000000005</v>
      </c>
      <c r="V30" s="534"/>
      <c r="W30" s="302">
        <f t="shared" si="4"/>
        <v>20182.820000000007</v>
      </c>
      <c r="X30" s="302">
        <f t="shared" si="6"/>
        <v>1805.2200000000048</v>
      </c>
      <c r="Y30" s="302">
        <f t="shared" si="7"/>
        <v>20523.960000000006</v>
      </c>
      <c r="Z30" s="642"/>
      <c r="AA30" s="173">
        <f t="shared" si="0"/>
        <v>44104</v>
      </c>
      <c r="AB30" s="544">
        <f t="shared" si="2"/>
        <v>44105</v>
      </c>
    </row>
    <row r="31" spans="1:28">
      <c r="A31" s="535"/>
      <c r="B31" s="173">
        <v>44135</v>
      </c>
      <c r="C31" s="173">
        <v>44135</v>
      </c>
      <c r="D31" s="284">
        <v>1048.07</v>
      </c>
      <c r="E31" s="284">
        <v>5075.5299999999988</v>
      </c>
      <c r="F31" s="284"/>
      <c r="G31" s="284">
        <v>1454.31</v>
      </c>
      <c r="H31" s="284">
        <v>11907.890000000001</v>
      </c>
      <c r="I31" s="294">
        <v>4045.43</v>
      </c>
      <c r="J31" s="639"/>
      <c r="K31" s="639"/>
      <c r="L31" s="639"/>
      <c r="M31" s="284">
        <v>100</v>
      </c>
      <c r="N31" s="641"/>
      <c r="O31" s="641"/>
      <c r="P31" s="537">
        <v>18718.740000000002</v>
      </c>
      <c r="Q31" s="298"/>
      <c r="R31" s="295">
        <f t="shared" si="5"/>
        <v>42349.97</v>
      </c>
      <c r="S31" s="284"/>
      <c r="T31" s="398"/>
      <c r="U31" s="300">
        <f t="shared" si="1"/>
        <v>42349.97</v>
      </c>
      <c r="V31" s="536"/>
      <c r="W31" s="302">
        <f t="shared" si="4"/>
        <v>20918.550000000003</v>
      </c>
      <c r="X31" s="302">
        <f t="shared" si="6"/>
        <v>2540.9500000000007</v>
      </c>
      <c r="Y31" s="302">
        <f t="shared" si="7"/>
        <v>21259.690000000002</v>
      </c>
      <c r="Z31" s="642"/>
      <c r="AA31" s="173">
        <f t="shared" si="0"/>
        <v>44135</v>
      </c>
      <c r="AB31" s="544">
        <f t="shared" si="2"/>
        <v>44135</v>
      </c>
    </row>
    <row r="32" spans="1:28">
      <c r="A32" s="538"/>
      <c r="B32" s="173">
        <v>44166</v>
      </c>
      <c r="C32" s="173">
        <v>44165</v>
      </c>
      <c r="D32" s="517">
        <v>111.95</v>
      </c>
      <c r="E32" s="517">
        <v>5075.53</v>
      </c>
      <c r="F32" s="517"/>
      <c r="G32" s="517">
        <v>1554.31</v>
      </c>
      <c r="H32" s="517">
        <v>11907.89</v>
      </c>
      <c r="I32" s="518">
        <v>4045.43</v>
      </c>
      <c r="J32" s="639"/>
      <c r="K32" s="639"/>
      <c r="L32" s="639"/>
      <c r="M32" s="517">
        <v>100</v>
      </c>
      <c r="N32" s="641"/>
      <c r="O32" s="517">
        <v>1250</v>
      </c>
      <c r="P32" s="517">
        <v>18718.740000000002</v>
      </c>
      <c r="Q32" s="298"/>
      <c r="R32" s="295">
        <f t="shared" si="5"/>
        <v>42763.850000000006</v>
      </c>
      <c r="S32" s="284">
        <v>0</v>
      </c>
      <c r="T32" s="398"/>
      <c r="U32" s="422">
        <f t="shared" si="1"/>
        <v>42763.850000000006</v>
      </c>
      <c r="V32" s="539"/>
      <c r="W32" s="302">
        <f t="shared" si="4"/>
        <v>21332.430000000008</v>
      </c>
      <c r="X32" s="302">
        <f t="shared" si="6"/>
        <v>2954.8300000000054</v>
      </c>
      <c r="Y32" s="302">
        <f>IF(U32&lt;&gt;0,$U32-$U$21,)</f>
        <v>21673.570000000007</v>
      </c>
      <c r="Z32" s="642"/>
      <c r="AA32" s="173">
        <f t="shared" si="0"/>
        <v>44165</v>
      </c>
      <c r="AB32" s="544">
        <f t="shared" si="2"/>
        <v>44166</v>
      </c>
    </row>
    <row r="33" spans="1:29" s="38" customFormat="1">
      <c r="A33" s="535"/>
      <c r="B33" s="244">
        <v>44222</v>
      </c>
      <c r="C33" s="244">
        <v>44196</v>
      </c>
      <c r="D33" s="283">
        <v>732.21</v>
      </c>
      <c r="E33" s="283">
        <v>4998.5</v>
      </c>
      <c r="F33" s="283"/>
      <c r="G33" s="283">
        <v>1860.28</v>
      </c>
      <c r="H33" s="283">
        <v>12059.82</v>
      </c>
      <c r="I33" s="283">
        <v>4131.75</v>
      </c>
      <c r="J33" s="283"/>
      <c r="K33" s="283"/>
      <c r="L33" s="283"/>
      <c r="M33" s="283">
        <v>100.02</v>
      </c>
      <c r="N33" s="283"/>
      <c r="O33" s="283">
        <v>1250</v>
      </c>
      <c r="P33" s="283">
        <v>18718.740000000002</v>
      </c>
      <c r="Q33" s="421"/>
      <c r="R33" s="314">
        <f t="shared" si="5"/>
        <v>43851.32</v>
      </c>
      <c r="S33" s="283">
        <v>0</v>
      </c>
      <c r="T33" s="283"/>
      <c r="U33" s="283">
        <f t="shared" si="1"/>
        <v>43851.32</v>
      </c>
      <c r="V33" s="165"/>
      <c r="W33" s="423">
        <f t="shared" ref="W33:W34" si="8">IF(U33&lt;&gt;0,U33-U$9,)</f>
        <v>22419.9</v>
      </c>
      <c r="X33" s="315">
        <f t="shared" si="6"/>
        <v>4042.2999999999993</v>
      </c>
      <c r="Y33" s="315">
        <f t="shared" ref="Y33" si="9">IF(U33&lt;&gt;0,U33-U$21,)</f>
        <v>22761.040000000001</v>
      </c>
      <c r="Z33" s="315"/>
      <c r="AA33" s="244">
        <f t="shared" si="0"/>
        <v>44196</v>
      </c>
      <c r="AB33" s="244">
        <f t="shared" si="2"/>
        <v>44222</v>
      </c>
      <c r="AC33" t="s">
        <v>475</v>
      </c>
    </row>
    <row r="34" spans="1:29">
      <c r="A34" s="523"/>
      <c r="B34" s="173">
        <v>44254</v>
      </c>
      <c r="C34" s="173">
        <v>44227</v>
      </c>
      <c r="D34" s="561">
        <v>24.51</v>
      </c>
      <c r="E34" s="561">
        <v>4896.8999999999996</v>
      </c>
      <c r="F34" s="561"/>
      <c r="G34" s="561">
        <v>2160.2800000000002</v>
      </c>
      <c r="H34" s="561">
        <v>12059.82</v>
      </c>
      <c r="I34" s="561">
        <v>4131.75</v>
      </c>
      <c r="J34" s="640"/>
      <c r="K34" s="640"/>
      <c r="L34" s="640"/>
      <c r="M34" s="561">
        <v>100.02</v>
      </c>
      <c r="N34" s="640"/>
      <c r="O34" s="561">
        <v>1050</v>
      </c>
      <c r="P34" s="561">
        <v>18718.740000000002</v>
      </c>
      <c r="Q34" s="562"/>
      <c r="R34" s="422">
        <f t="shared" ref="R34:R35" si="10">SUM(D34:P34)</f>
        <v>43142.020000000004</v>
      </c>
      <c r="S34" s="561"/>
      <c r="T34" s="561"/>
      <c r="U34" s="422">
        <f t="shared" si="1"/>
        <v>43142.020000000004</v>
      </c>
      <c r="V34" s="563"/>
      <c r="W34" s="164">
        <f t="shared" si="8"/>
        <v>21710.600000000006</v>
      </c>
      <c r="X34" s="549"/>
      <c r="Y34" s="549"/>
      <c r="Z34" s="302">
        <f>IF($U34&lt;&gt;0,$U34-$U$33,)</f>
        <v>-709.29999999999563</v>
      </c>
      <c r="AA34" s="173">
        <f t="shared" si="0"/>
        <v>44227</v>
      </c>
      <c r="AB34" s="544">
        <f t="shared" si="2"/>
        <v>44254</v>
      </c>
    </row>
    <row r="35" spans="1:29">
      <c r="A35" s="523"/>
      <c r="B35" s="173">
        <v>44256</v>
      </c>
      <c r="C35" s="173">
        <v>44255</v>
      </c>
      <c r="D35" s="561">
        <v>125.39</v>
      </c>
      <c r="E35" s="561">
        <v>4675.8199999999979</v>
      </c>
      <c r="F35" s="561"/>
      <c r="G35" s="561">
        <v>2160.2799999999997</v>
      </c>
      <c r="H35" s="561">
        <v>12059.820000000002</v>
      </c>
      <c r="I35" s="561">
        <v>4131.75</v>
      </c>
      <c r="J35" s="640"/>
      <c r="K35" s="640"/>
      <c r="L35" s="640"/>
      <c r="M35" s="561">
        <v>100.02</v>
      </c>
      <c r="N35" s="640"/>
      <c r="O35" s="561">
        <v>720</v>
      </c>
      <c r="P35" s="561">
        <v>18718.740000000002</v>
      </c>
      <c r="Q35" s="562"/>
      <c r="R35" s="422">
        <f t="shared" si="10"/>
        <v>42691.82</v>
      </c>
      <c r="S35" s="561"/>
      <c r="T35" s="561"/>
      <c r="U35" s="422">
        <f t="shared" ref="U35:U37" si="11">R35-S35+T35</f>
        <v>42691.82</v>
      </c>
      <c r="V35" s="563"/>
      <c r="W35" s="164">
        <f t="shared" ref="W35:W37" si="12">IF(U35&lt;&gt;0,U35-U$9,)</f>
        <v>21260.400000000001</v>
      </c>
      <c r="X35" s="549"/>
      <c r="Y35" s="549"/>
      <c r="Z35" s="302">
        <f t="shared" ref="Z35:Z47" si="13">IF($U35&lt;&gt;0,$U35-$U$33,)</f>
        <v>-1159.5</v>
      </c>
      <c r="AA35" s="173">
        <f t="shared" si="0"/>
        <v>44255</v>
      </c>
      <c r="AB35" s="544">
        <f t="shared" si="2"/>
        <v>44256</v>
      </c>
    </row>
    <row r="36" spans="1:29">
      <c r="A36" s="523"/>
      <c r="B36" s="173">
        <v>44286</v>
      </c>
      <c r="C36" s="173">
        <v>44286</v>
      </c>
      <c r="D36" s="561">
        <v>18.82</v>
      </c>
      <c r="E36" s="561">
        <v>4545.8199999999979</v>
      </c>
      <c r="F36" s="561"/>
      <c r="G36" s="561">
        <v>2460.2799999999997</v>
      </c>
      <c r="H36" s="561">
        <v>12059.820000000002</v>
      </c>
      <c r="I36" s="561">
        <v>4131.75</v>
      </c>
      <c r="J36" s="640"/>
      <c r="K36" s="640"/>
      <c r="L36" s="640"/>
      <c r="M36" s="561">
        <v>100.02</v>
      </c>
      <c r="N36" s="640"/>
      <c r="O36" s="561">
        <v>740</v>
      </c>
      <c r="P36" s="561">
        <v>18718.740000000002</v>
      </c>
      <c r="Q36" s="562"/>
      <c r="R36" s="422">
        <f t="shared" ref="R36:R37" si="14">SUM(D36:P36)</f>
        <v>42775.25</v>
      </c>
      <c r="S36" s="561"/>
      <c r="T36" s="561"/>
      <c r="U36" s="422">
        <f t="shared" si="11"/>
        <v>42775.25</v>
      </c>
      <c r="V36" s="563"/>
      <c r="W36" s="164">
        <f t="shared" si="12"/>
        <v>21343.83</v>
      </c>
      <c r="X36" s="549"/>
      <c r="Y36" s="549"/>
      <c r="Z36" s="302">
        <f t="shared" si="13"/>
        <v>-1076.0699999999997</v>
      </c>
      <c r="AA36" s="173">
        <f t="shared" si="0"/>
        <v>44286</v>
      </c>
      <c r="AB36" s="544">
        <f t="shared" si="2"/>
        <v>44286</v>
      </c>
    </row>
    <row r="37" spans="1:29">
      <c r="A37" s="523"/>
      <c r="B37" s="173">
        <v>44317</v>
      </c>
      <c r="C37" s="173">
        <v>44316</v>
      </c>
      <c r="D37" s="561">
        <v>152.69999999999999</v>
      </c>
      <c r="E37" s="561">
        <v>4501.8199999999979</v>
      </c>
      <c r="F37" s="561"/>
      <c r="G37" s="561">
        <v>2760.2799999999997</v>
      </c>
      <c r="H37" s="561">
        <v>12059.820000000002</v>
      </c>
      <c r="I37" s="561">
        <v>4131.75</v>
      </c>
      <c r="J37" s="640"/>
      <c r="K37" s="640"/>
      <c r="L37" s="640"/>
      <c r="M37" s="561">
        <v>100.02</v>
      </c>
      <c r="N37" s="640"/>
      <c r="O37" s="561">
        <v>740</v>
      </c>
      <c r="P37" s="561">
        <v>18718.740000000002</v>
      </c>
      <c r="Q37" s="562"/>
      <c r="R37" s="422">
        <f t="shared" si="14"/>
        <v>43165.130000000005</v>
      </c>
      <c r="S37" s="561"/>
      <c r="T37" s="561"/>
      <c r="U37" s="422">
        <f t="shared" si="11"/>
        <v>43165.130000000005</v>
      </c>
      <c r="V37" s="563"/>
      <c r="W37" s="164">
        <f t="shared" si="12"/>
        <v>21733.710000000006</v>
      </c>
      <c r="X37" s="549"/>
      <c r="Y37" s="549"/>
      <c r="Z37" s="302">
        <f t="shared" si="13"/>
        <v>-686.18999999999505</v>
      </c>
      <c r="AA37" s="173">
        <f t="shared" si="0"/>
        <v>44316</v>
      </c>
      <c r="AB37" s="544">
        <f t="shared" si="2"/>
        <v>44317</v>
      </c>
    </row>
    <row r="38" spans="1:29">
      <c r="A38" s="523"/>
      <c r="B38" s="173">
        <v>44348</v>
      </c>
      <c r="C38" s="173">
        <v>44347</v>
      </c>
      <c r="D38" s="561">
        <v>49.23</v>
      </c>
      <c r="E38" s="561">
        <v>4641.0200000000013</v>
      </c>
      <c r="F38" s="561"/>
      <c r="G38" s="561">
        <v>2960.2799999999997</v>
      </c>
      <c r="H38" s="561">
        <v>12059.820000000002</v>
      </c>
      <c r="I38" s="561">
        <v>4131.75</v>
      </c>
      <c r="J38" s="561">
        <v>180</v>
      </c>
      <c r="K38" s="561" t="s">
        <v>322</v>
      </c>
      <c r="L38" s="561">
        <v>27</v>
      </c>
      <c r="M38" s="561">
        <v>100.02</v>
      </c>
      <c r="N38" s="744">
        <v>200</v>
      </c>
      <c r="O38" s="561">
        <v>740</v>
      </c>
      <c r="P38" s="561">
        <v>18718.740000000002</v>
      </c>
      <c r="Q38" s="562"/>
      <c r="R38" s="422">
        <f t="shared" ref="R38:R47" si="15">SUM(D38:P38)</f>
        <v>43807.86</v>
      </c>
      <c r="S38" s="561"/>
      <c r="T38" s="561"/>
      <c r="U38" s="422">
        <f t="shared" ref="U38:U47" si="16">R38-S38+T38</f>
        <v>43807.86</v>
      </c>
      <c r="V38" s="563"/>
      <c r="W38" s="164">
        <f t="shared" ref="W38:W47" si="17">IF(U38&lt;&gt;0,U38-U$9,)</f>
        <v>22376.440000000002</v>
      </c>
      <c r="X38" s="549"/>
      <c r="Y38" s="549"/>
      <c r="Z38" s="302">
        <f t="shared" si="13"/>
        <v>-43.459999999999127</v>
      </c>
      <c r="AA38" s="173">
        <f t="shared" si="0"/>
        <v>44347</v>
      </c>
      <c r="AB38" s="544">
        <f t="shared" si="2"/>
        <v>44348</v>
      </c>
    </row>
    <row r="39" spans="1:29">
      <c r="A39" s="523"/>
      <c r="B39" s="173">
        <v>44378</v>
      </c>
      <c r="C39" s="173">
        <v>44377</v>
      </c>
      <c r="D39" s="561">
        <v>7.87</v>
      </c>
      <c r="E39" s="561">
        <v>4636.8100000000013</v>
      </c>
      <c r="F39" s="561">
        <v>0</v>
      </c>
      <c r="G39" s="561">
        <v>3160.2799999999997</v>
      </c>
      <c r="H39" s="561">
        <v>12059.820000000002</v>
      </c>
      <c r="I39" s="561">
        <v>4131.75</v>
      </c>
      <c r="J39" s="561">
        <v>180</v>
      </c>
      <c r="K39" s="561" t="s">
        <v>322</v>
      </c>
      <c r="L39" s="561">
        <v>27</v>
      </c>
      <c r="M39" s="561">
        <v>100.02</v>
      </c>
      <c r="N39" s="561">
        <v>330</v>
      </c>
      <c r="O39" s="561">
        <v>740</v>
      </c>
      <c r="P39" s="561">
        <v>18718.740000000002</v>
      </c>
      <c r="Q39" s="562"/>
      <c r="R39" s="422">
        <f t="shared" si="15"/>
        <v>44092.290000000008</v>
      </c>
      <c r="S39" s="561"/>
      <c r="T39" s="561"/>
      <c r="U39" s="422">
        <f t="shared" si="16"/>
        <v>44092.290000000008</v>
      </c>
      <c r="V39" s="563"/>
      <c r="W39" s="164">
        <f t="shared" si="17"/>
        <v>22660.87000000001</v>
      </c>
      <c r="X39" s="549"/>
      <c r="Y39" s="549"/>
      <c r="Z39" s="302">
        <f t="shared" si="13"/>
        <v>240.97000000000844</v>
      </c>
      <c r="AA39" s="173">
        <f t="shared" si="0"/>
        <v>44377</v>
      </c>
      <c r="AB39" s="544">
        <f t="shared" si="2"/>
        <v>44378</v>
      </c>
    </row>
    <row r="40" spans="1:29">
      <c r="A40" s="523"/>
      <c r="B40" s="173"/>
      <c r="C40" s="173">
        <v>44408</v>
      </c>
      <c r="D40" s="561"/>
      <c r="E40" s="561"/>
      <c r="F40" s="561"/>
      <c r="G40" s="561"/>
      <c r="H40" s="561"/>
      <c r="I40" s="561"/>
      <c r="J40" s="561"/>
      <c r="K40" s="561"/>
      <c r="L40" s="561"/>
      <c r="M40" s="561"/>
      <c r="N40" s="561"/>
      <c r="O40" s="561"/>
      <c r="P40" s="561"/>
      <c r="Q40" s="562"/>
      <c r="R40" s="422">
        <f t="shared" si="15"/>
        <v>0</v>
      </c>
      <c r="S40" s="561"/>
      <c r="T40" s="561"/>
      <c r="U40" s="422">
        <f t="shared" si="16"/>
        <v>0</v>
      </c>
      <c r="V40" s="563"/>
      <c r="W40" s="164">
        <f t="shared" si="17"/>
        <v>0</v>
      </c>
      <c r="X40" s="549"/>
      <c r="Y40" s="549"/>
      <c r="Z40" s="302">
        <f t="shared" si="13"/>
        <v>0</v>
      </c>
      <c r="AA40" s="173">
        <f t="shared" si="0"/>
        <v>44408</v>
      </c>
      <c r="AB40" s="544"/>
    </row>
    <row r="41" spans="1:29">
      <c r="A41" s="523"/>
      <c r="B41" s="173"/>
      <c r="C41" s="173">
        <v>44439</v>
      </c>
      <c r="D41" s="561"/>
      <c r="E41" s="561"/>
      <c r="F41" s="561"/>
      <c r="G41" s="561"/>
      <c r="H41" s="561"/>
      <c r="I41" s="561"/>
      <c r="J41" s="561"/>
      <c r="K41" s="561"/>
      <c r="L41" s="561"/>
      <c r="M41" s="561"/>
      <c r="N41" s="561"/>
      <c r="O41" s="561"/>
      <c r="P41" s="561"/>
      <c r="Q41" s="562"/>
      <c r="R41" s="422">
        <f t="shared" si="15"/>
        <v>0</v>
      </c>
      <c r="S41" s="561"/>
      <c r="T41" s="561"/>
      <c r="U41" s="422">
        <f t="shared" si="16"/>
        <v>0</v>
      </c>
      <c r="V41" s="563"/>
      <c r="W41" s="164">
        <f t="shared" si="17"/>
        <v>0</v>
      </c>
      <c r="X41" s="549"/>
      <c r="Y41" s="549"/>
      <c r="Z41" s="302">
        <f t="shared" si="13"/>
        <v>0</v>
      </c>
      <c r="AA41" s="173">
        <f t="shared" si="0"/>
        <v>44439</v>
      </c>
      <c r="AB41" s="544"/>
    </row>
    <row r="42" spans="1:29">
      <c r="A42" s="523"/>
      <c r="B42" s="173"/>
      <c r="C42" s="173">
        <v>44469</v>
      </c>
      <c r="D42" s="561"/>
      <c r="E42" s="561"/>
      <c r="F42" s="561"/>
      <c r="G42" s="561"/>
      <c r="H42" s="561"/>
      <c r="I42" s="561"/>
      <c r="J42" s="561"/>
      <c r="K42" s="561"/>
      <c r="L42" s="561"/>
      <c r="M42" s="561"/>
      <c r="N42" s="561"/>
      <c r="O42" s="561"/>
      <c r="P42" s="561"/>
      <c r="Q42" s="562"/>
      <c r="R42" s="422">
        <f t="shared" si="15"/>
        <v>0</v>
      </c>
      <c r="S42" s="561"/>
      <c r="T42" s="561"/>
      <c r="U42" s="422">
        <f t="shared" si="16"/>
        <v>0</v>
      </c>
      <c r="V42" s="563"/>
      <c r="W42" s="164">
        <f t="shared" si="17"/>
        <v>0</v>
      </c>
      <c r="X42" s="549"/>
      <c r="Y42" s="549"/>
      <c r="Z42" s="302">
        <f t="shared" si="13"/>
        <v>0</v>
      </c>
      <c r="AA42" s="173">
        <f t="shared" si="0"/>
        <v>44469</v>
      </c>
      <c r="AB42" s="544"/>
    </row>
    <row r="43" spans="1:29">
      <c r="A43" s="523"/>
      <c r="B43" s="173"/>
      <c r="C43" s="173">
        <v>44500</v>
      </c>
      <c r="D43" s="561"/>
      <c r="E43" s="561"/>
      <c r="F43" s="561"/>
      <c r="G43" s="561"/>
      <c r="H43" s="561"/>
      <c r="I43" s="561"/>
      <c r="J43" s="561"/>
      <c r="K43" s="561"/>
      <c r="L43" s="561"/>
      <c r="M43" s="561"/>
      <c r="N43" s="561"/>
      <c r="O43" s="561"/>
      <c r="P43" s="561"/>
      <c r="Q43" s="562"/>
      <c r="R43" s="422">
        <f t="shared" si="15"/>
        <v>0</v>
      </c>
      <c r="S43" s="561"/>
      <c r="T43" s="561"/>
      <c r="U43" s="422">
        <f t="shared" si="16"/>
        <v>0</v>
      </c>
      <c r="V43" s="563"/>
      <c r="W43" s="164">
        <f t="shared" si="17"/>
        <v>0</v>
      </c>
      <c r="X43" s="549"/>
      <c r="Y43" s="549"/>
      <c r="Z43" s="302">
        <f t="shared" si="13"/>
        <v>0</v>
      </c>
      <c r="AA43" s="173">
        <f t="shared" si="0"/>
        <v>44500</v>
      </c>
      <c r="AB43" s="544"/>
    </row>
    <row r="44" spans="1:29">
      <c r="A44" s="523"/>
      <c r="B44" s="173"/>
      <c r="C44" s="173">
        <v>44530</v>
      </c>
      <c r="D44" s="561"/>
      <c r="E44" s="561"/>
      <c r="F44" s="561"/>
      <c r="G44" s="561"/>
      <c r="H44" s="561"/>
      <c r="I44" s="561"/>
      <c r="J44" s="561"/>
      <c r="K44" s="561"/>
      <c r="L44" s="561"/>
      <c r="M44" s="561"/>
      <c r="N44" s="561"/>
      <c r="O44" s="561"/>
      <c r="P44" s="561"/>
      <c r="Q44" s="562"/>
      <c r="R44" s="422">
        <f t="shared" si="15"/>
        <v>0</v>
      </c>
      <c r="S44" s="561"/>
      <c r="T44" s="561"/>
      <c r="U44" s="422">
        <f t="shared" si="16"/>
        <v>0</v>
      </c>
      <c r="V44" s="563"/>
      <c r="W44" s="164">
        <f t="shared" si="17"/>
        <v>0</v>
      </c>
      <c r="X44" s="549"/>
      <c r="Y44" s="549"/>
      <c r="Z44" s="302">
        <f t="shared" si="13"/>
        <v>0</v>
      </c>
      <c r="AA44" s="173">
        <f t="shared" si="0"/>
        <v>44530</v>
      </c>
      <c r="AB44" s="544"/>
    </row>
    <row r="45" spans="1:29">
      <c r="A45" s="523"/>
      <c r="B45" s="173"/>
      <c r="C45" s="173">
        <v>44561</v>
      </c>
      <c r="D45" s="561"/>
      <c r="E45" s="561"/>
      <c r="F45" s="561"/>
      <c r="G45" s="561"/>
      <c r="H45" s="561"/>
      <c r="I45" s="561"/>
      <c r="J45" s="561"/>
      <c r="K45" s="561"/>
      <c r="L45" s="561"/>
      <c r="M45" s="561"/>
      <c r="N45" s="561"/>
      <c r="O45" s="561"/>
      <c r="P45" s="561"/>
      <c r="Q45" s="562"/>
      <c r="R45" s="422">
        <f t="shared" si="15"/>
        <v>0</v>
      </c>
      <c r="S45" s="561"/>
      <c r="T45" s="561"/>
      <c r="U45" s="422">
        <f t="shared" si="16"/>
        <v>0</v>
      </c>
      <c r="V45" s="563"/>
      <c r="W45" s="164">
        <f t="shared" si="17"/>
        <v>0</v>
      </c>
      <c r="X45" s="549"/>
      <c r="Y45" s="549"/>
      <c r="Z45" s="302">
        <f t="shared" si="13"/>
        <v>0</v>
      </c>
      <c r="AA45" s="173">
        <f t="shared" si="0"/>
        <v>44561</v>
      </c>
      <c r="AB45" s="544"/>
    </row>
    <row r="46" spans="1:29">
      <c r="A46" s="523"/>
      <c r="B46" s="173"/>
      <c r="C46" s="173"/>
      <c r="D46" s="561"/>
      <c r="E46" s="561"/>
      <c r="F46" s="561"/>
      <c r="G46" s="561"/>
      <c r="H46" s="561"/>
      <c r="I46" s="561"/>
      <c r="J46" s="561"/>
      <c r="K46" s="561"/>
      <c r="L46" s="561"/>
      <c r="M46" s="561"/>
      <c r="N46" s="561"/>
      <c r="O46" s="561"/>
      <c r="P46" s="561"/>
      <c r="Q46" s="562"/>
      <c r="R46" s="422">
        <f t="shared" si="15"/>
        <v>0</v>
      </c>
      <c r="S46" s="561"/>
      <c r="T46" s="561"/>
      <c r="U46" s="422">
        <f t="shared" si="16"/>
        <v>0</v>
      </c>
      <c r="V46" s="563"/>
      <c r="W46" s="164">
        <f t="shared" si="17"/>
        <v>0</v>
      </c>
      <c r="X46" s="549"/>
      <c r="Y46" s="549"/>
      <c r="Z46" s="302">
        <f t="shared" si="13"/>
        <v>0</v>
      </c>
      <c r="AA46" s="173"/>
      <c r="AB46" s="544"/>
    </row>
    <row r="47" spans="1:29">
      <c r="A47" s="523"/>
      <c r="B47" s="173"/>
      <c r="C47" s="173"/>
      <c r="D47" s="561"/>
      <c r="E47" s="561"/>
      <c r="F47" s="561"/>
      <c r="G47" s="561"/>
      <c r="H47" s="561"/>
      <c r="I47" s="561"/>
      <c r="J47" s="561"/>
      <c r="K47" s="561"/>
      <c r="L47" s="561"/>
      <c r="M47" s="561"/>
      <c r="N47" s="561"/>
      <c r="O47" s="561"/>
      <c r="P47" s="561"/>
      <c r="Q47" s="562"/>
      <c r="R47" s="422">
        <f t="shared" si="15"/>
        <v>0</v>
      </c>
      <c r="S47" s="561"/>
      <c r="T47" s="561"/>
      <c r="U47" s="422">
        <f t="shared" si="16"/>
        <v>0</v>
      </c>
      <c r="V47" s="563"/>
      <c r="W47" s="164">
        <f t="shared" si="17"/>
        <v>0</v>
      </c>
      <c r="X47" s="549"/>
      <c r="Y47" s="549"/>
      <c r="Z47" s="302">
        <f t="shared" si="13"/>
        <v>0</v>
      </c>
      <c r="AA47" s="173"/>
      <c r="AB47" s="544"/>
    </row>
    <row r="48" spans="1:29" ht="58.2" customHeight="1">
      <c r="A48" s="523"/>
      <c r="B48" s="540"/>
      <c r="C48" s="173" t="s">
        <v>469</v>
      </c>
      <c r="D48" s="540"/>
      <c r="E48" s="550" t="s">
        <v>474</v>
      </c>
      <c r="F48" s="743"/>
      <c r="G48" s="540"/>
      <c r="H48" s="540"/>
      <c r="I48" s="540"/>
      <c r="J48" s="540"/>
      <c r="K48" s="540"/>
      <c r="L48" s="540"/>
      <c r="M48" s="540"/>
      <c r="N48" s="540"/>
      <c r="O48" s="540"/>
      <c r="P48" s="540"/>
      <c r="Q48" s="532"/>
      <c r="R48" s="517"/>
      <c r="S48" s="547"/>
      <c r="T48" s="547"/>
      <c r="U48" s="517"/>
      <c r="V48" s="548"/>
      <c r="W48" s="537"/>
      <c r="X48" s="549"/>
      <c r="Y48" s="549"/>
      <c r="Z48" s="549"/>
      <c r="AA48" s="173" t="str">
        <f t="shared" ref="AA48" si="18">C48</f>
        <v>Voir nouveau fichier pour 2021</v>
      </c>
      <c r="AB48" s="545"/>
    </row>
    <row r="50" spans="2:28" s="397" customFormat="1" ht="21">
      <c r="B50" s="878" t="s">
        <v>466</v>
      </c>
      <c r="C50" s="878"/>
      <c r="D50" s="878"/>
      <c r="E50" s="878"/>
      <c r="F50" s="878"/>
      <c r="G50" s="878"/>
      <c r="H50" s="878"/>
      <c r="I50" s="878"/>
      <c r="J50" s="878"/>
      <c r="K50" s="878"/>
      <c r="L50" s="878"/>
      <c r="M50" s="878"/>
      <c r="N50" s="878"/>
      <c r="O50" s="878"/>
      <c r="P50" s="878"/>
      <c r="Q50" s="878"/>
      <c r="R50" s="878"/>
      <c r="S50" s="878"/>
      <c r="T50" s="878"/>
      <c r="U50" s="878"/>
      <c r="V50" s="878"/>
      <c r="W50" s="878"/>
      <c r="X50" s="878"/>
      <c r="Y50" s="878"/>
      <c r="Z50" s="878"/>
      <c r="AA50" s="878"/>
      <c r="AB50" s="878"/>
    </row>
    <row r="52" spans="2:28" ht="21">
      <c r="B52" s="878" t="s">
        <v>465</v>
      </c>
      <c r="C52" s="878"/>
      <c r="D52" s="878"/>
      <c r="E52" s="878"/>
      <c r="F52" s="878"/>
      <c r="G52" s="878"/>
      <c r="H52" s="878"/>
      <c r="I52" s="878"/>
      <c r="J52" s="878"/>
      <c r="K52" s="878"/>
      <c r="L52" s="878"/>
      <c r="M52" s="878"/>
      <c r="N52" s="878"/>
      <c r="O52" s="878"/>
      <c r="P52" s="878"/>
      <c r="Q52" s="878"/>
      <c r="R52" s="878"/>
      <c r="S52" s="878"/>
      <c r="T52" s="878"/>
      <c r="U52" s="878"/>
      <c r="V52" s="878"/>
      <c r="W52" s="878"/>
      <c r="X52" s="878"/>
      <c r="Y52" s="878"/>
      <c r="Z52" s="878"/>
      <c r="AA52" s="878"/>
      <c r="AB52" s="878"/>
    </row>
  </sheetData>
  <mergeCells count="44">
    <mergeCell ref="Z7:Z8"/>
    <mergeCell ref="AA7:AA8"/>
    <mergeCell ref="AB7:AB8"/>
    <mergeCell ref="J1:K1"/>
    <mergeCell ref="F1:F2"/>
    <mergeCell ref="X3:AA3"/>
    <mergeCell ref="AB1:AB2"/>
    <mergeCell ref="L1:L2"/>
    <mergeCell ref="T1:T2"/>
    <mergeCell ref="W1:W2"/>
    <mergeCell ref="Q1:Q2"/>
    <mergeCell ref="M1:M2"/>
    <mergeCell ref="O1:O2"/>
    <mergeCell ref="P1:P2"/>
    <mergeCell ref="R1:R2"/>
    <mergeCell ref="S1:S2"/>
    <mergeCell ref="N1:N2"/>
    <mergeCell ref="D1:D2"/>
    <mergeCell ref="E1:E2"/>
    <mergeCell ref="G1:G2"/>
    <mergeCell ref="H1:H2"/>
    <mergeCell ref="I1:I2"/>
    <mergeCell ref="S7:S8"/>
    <mergeCell ref="T7:T8"/>
    <mergeCell ref="U7:U8"/>
    <mergeCell ref="W7:W8"/>
    <mergeCell ref="J7:K7"/>
    <mergeCell ref="L7:L8"/>
    <mergeCell ref="B50:AB50"/>
    <mergeCell ref="D4:T4"/>
    <mergeCell ref="B52:AB52"/>
    <mergeCell ref="X7:Y7"/>
    <mergeCell ref="D6:U6"/>
    <mergeCell ref="B7:B8"/>
    <mergeCell ref="C7:C8"/>
    <mergeCell ref="D7:D8"/>
    <mergeCell ref="E7:E8"/>
    <mergeCell ref="G7:G8"/>
    <mergeCell ref="H7:H8"/>
    <mergeCell ref="I7:I8"/>
    <mergeCell ref="M7:M8"/>
    <mergeCell ref="O7:O8"/>
    <mergeCell ref="P7:P8"/>
    <mergeCell ref="R7:R8"/>
  </mergeCells>
  <pageMargins left="0.2" right="0.12" top="0.74803149606299213" bottom="0.74803149606299213" header="0.31496062992125984" footer="0.31496062992125984"/>
  <pageSetup paperSize="9" scale="45" orientation="landscape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E46"/>
  <sheetViews>
    <sheetView showZeros="0" workbookViewId="0">
      <selection activeCell="K16" sqref="K16"/>
    </sheetView>
  </sheetViews>
  <sheetFormatPr baseColWidth="10" defaultRowHeight="14.4"/>
  <cols>
    <col min="1" max="1" width="11.5546875" style="1"/>
    <col min="2" max="2" width="11.5546875" style="9"/>
    <col min="5" max="6" width="3.21875" customWidth="1"/>
  </cols>
  <sheetData>
    <row r="1" spans="1:5">
      <c r="A1" s="29"/>
      <c r="B1" s="28" t="s">
        <v>111</v>
      </c>
    </row>
    <row r="2" spans="1:5">
      <c r="A2" s="897" t="s">
        <v>0</v>
      </c>
      <c r="B2" s="899" t="s">
        <v>7</v>
      </c>
      <c r="C2" s="7" t="s">
        <v>9</v>
      </c>
      <c r="D2" s="24">
        <v>10156.32</v>
      </c>
    </row>
    <row r="3" spans="1:5">
      <c r="A3" s="898"/>
      <c r="B3" s="900"/>
      <c r="C3" s="25" t="s">
        <v>10</v>
      </c>
      <c r="D3" s="7" t="s">
        <v>3</v>
      </c>
    </row>
    <row r="4" spans="1:5">
      <c r="A4" s="2">
        <v>42370</v>
      </c>
      <c r="B4" s="21" t="s">
        <v>5</v>
      </c>
      <c r="C4" s="26">
        <v>1269.54</v>
      </c>
      <c r="D4" s="11">
        <f>IF($A4&lt;&gt;0,$D$2-SUM(C$4:C4),)</f>
        <v>8886.7799999999988</v>
      </c>
    </row>
    <row r="5" spans="1:5">
      <c r="A5" s="2">
        <v>42379</v>
      </c>
      <c r="B5" s="21" t="s">
        <v>69</v>
      </c>
      <c r="C5" s="27">
        <v>211.59</v>
      </c>
      <c r="D5" s="5">
        <f>IF($A5&lt;&gt;0,$D$2-SUM(C$4:C5),)</f>
        <v>8675.19</v>
      </c>
      <c r="E5" s="359"/>
    </row>
    <row r="6" spans="1:5">
      <c r="A6" s="2">
        <v>42410</v>
      </c>
      <c r="B6" s="21" t="s">
        <v>70</v>
      </c>
      <c r="C6" s="27">
        <v>211.59</v>
      </c>
      <c r="D6" s="5">
        <f>IF($A6&lt;&gt;0,$D$2-SUM(C$4:C6),)</f>
        <v>8463.6</v>
      </c>
      <c r="E6" s="359"/>
    </row>
    <row r="7" spans="1:5">
      <c r="A7" s="2">
        <v>42439</v>
      </c>
      <c r="B7" s="21" t="s">
        <v>71</v>
      </c>
      <c r="C7" s="27">
        <v>211.59</v>
      </c>
      <c r="D7" s="5">
        <f>IF($A7&lt;&gt;0,$D$2-SUM(C$4:C7),)</f>
        <v>8252.01</v>
      </c>
      <c r="E7" s="359"/>
    </row>
    <row r="8" spans="1:5">
      <c r="A8" s="2">
        <v>42470</v>
      </c>
      <c r="B8" s="21" t="s">
        <v>72</v>
      </c>
      <c r="C8" s="27">
        <v>211.59</v>
      </c>
      <c r="D8" s="5">
        <f>IF($A8&lt;&gt;0,$D$2-SUM(C$4:C8),)</f>
        <v>8040.42</v>
      </c>
      <c r="E8" s="359"/>
    </row>
    <row r="9" spans="1:5">
      <c r="A9" s="2">
        <v>42500</v>
      </c>
      <c r="B9" s="21" t="s">
        <v>73</v>
      </c>
      <c r="C9" s="27">
        <v>211.59</v>
      </c>
      <c r="D9" s="5">
        <f>IF($A9&lt;&gt;0,$D$2-SUM(C$4:C9),)</f>
        <v>7828.83</v>
      </c>
      <c r="E9" s="359"/>
    </row>
    <row r="10" spans="1:5">
      <c r="A10" s="2">
        <v>42531</v>
      </c>
      <c r="B10" s="21" t="s">
        <v>74</v>
      </c>
      <c r="C10" s="27">
        <v>211.59</v>
      </c>
      <c r="D10" s="5">
        <f>IF($A10&lt;&gt;0,$D$2-SUM(C$4:C10),)</f>
        <v>7617.24</v>
      </c>
      <c r="E10" s="359"/>
    </row>
    <row r="11" spans="1:5">
      <c r="A11" s="2">
        <v>42561</v>
      </c>
      <c r="B11" s="21" t="s">
        <v>75</v>
      </c>
      <c r="C11" s="27">
        <v>211.59</v>
      </c>
      <c r="D11" s="5">
        <f>IF($A11&lt;&gt;0,$D$2-SUM(C$4:C11),)</f>
        <v>7405.65</v>
      </c>
      <c r="E11" s="359"/>
    </row>
    <row r="12" spans="1:5">
      <c r="A12" s="2">
        <v>42592</v>
      </c>
      <c r="B12" s="21" t="s">
        <v>76</v>
      </c>
      <c r="C12" s="27">
        <v>211.59</v>
      </c>
      <c r="D12" s="5">
        <f>IF($A12&lt;&gt;0,$D$2-SUM(C$4:C12),)</f>
        <v>7194.0599999999995</v>
      </c>
      <c r="E12" s="359"/>
    </row>
    <row r="13" spans="1:5">
      <c r="A13" s="2">
        <v>42623</v>
      </c>
      <c r="B13" s="21" t="s">
        <v>77</v>
      </c>
      <c r="C13" s="27">
        <v>211.59</v>
      </c>
      <c r="D13" s="5">
        <f>IF($A13&lt;&gt;0,$D$2-SUM(C$4:C13),)</f>
        <v>6982.4699999999993</v>
      </c>
      <c r="E13" s="359"/>
    </row>
    <row r="14" spans="1:5">
      <c r="A14" s="2">
        <v>42653</v>
      </c>
      <c r="B14" s="21" t="s">
        <v>78</v>
      </c>
      <c r="C14" s="27">
        <v>211.59</v>
      </c>
      <c r="D14" s="5">
        <f>IF($A14&lt;&gt;0,$D$2-SUM(C$4:C14),)</f>
        <v>6770.8799999999992</v>
      </c>
      <c r="E14" s="359"/>
    </row>
    <row r="15" spans="1:5">
      <c r="A15" s="2">
        <v>42684</v>
      </c>
      <c r="B15" s="21" t="s">
        <v>79</v>
      </c>
      <c r="C15" s="27">
        <v>211.59</v>
      </c>
      <c r="D15" s="5">
        <f>IF($A15&lt;&gt;0,$D$2-SUM(C$4:C15),)</f>
        <v>6559.2899999999991</v>
      </c>
      <c r="E15" s="359"/>
    </row>
    <row r="16" spans="1:5">
      <c r="A16" s="2">
        <v>42714</v>
      </c>
      <c r="B16" s="21" t="s">
        <v>80</v>
      </c>
      <c r="C16" s="27">
        <v>211.59</v>
      </c>
      <c r="D16" s="5">
        <f>IF($A16&lt;&gt;0,$D$2-SUM(C$4:C16),)</f>
        <v>6347.6999999999989</v>
      </c>
      <c r="E16" s="359"/>
    </row>
    <row r="17" spans="1:5">
      <c r="A17" s="2">
        <v>42745</v>
      </c>
      <c r="B17" s="21" t="s">
        <v>81</v>
      </c>
      <c r="C17" s="27">
        <v>211.59</v>
      </c>
      <c r="D17" s="5">
        <f>IF($A17&lt;&gt;0,$D$2-SUM(C$4:C17),)</f>
        <v>6136.1099999999988</v>
      </c>
      <c r="E17" s="359"/>
    </row>
    <row r="18" spans="1:5">
      <c r="A18" s="2">
        <v>42776</v>
      </c>
      <c r="B18" s="21" t="s">
        <v>82</v>
      </c>
      <c r="C18" s="27">
        <v>211.59</v>
      </c>
      <c r="D18" s="5">
        <f>IF($A18&lt;&gt;0,$D$2-SUM(C$4:C18),)</f>
        <v>5924.5199999999986</v>
      </c>
      <c r="E18" s="359"/>
    </row>
    <row r="19" spans="1:5">
      <c r="A19" s="2">
        <v>42804</v>
      </c>
      <c r="B19" s="21" t="s">
        <v>83</v>
      </c>
      <c r="C19" s="27">
        <v>211.59</v>
      </c>
      <c r="D19" s="5">
        <f>IF($A19&lt;&gt;0,$D$2-SUM(C$4:C19),)</f>
        <v>5712.9299999999985</v>
      </c>
      <c r="E19" s="359"/>
    </row>
    <row r="20" spans="1:5">
      <c r="A20" s="2">
        <v>42835</v>
      </c>
      <c r="B20" s="21" t="s">
        <v>84</v>
      </c>
      <c r="C20" s="27">
        <v>211.59</v>
      </c>
      <c r="D20" s="5">
        <f>IF($A20&lt;&gt;0,$D$2-SUM(C$4:C20),)</f>
        <v>5501.3399999999983</v>
      </c>
      <c r="E20" s="359"/>
    </row>
    <row r="21" spans="1:5">
      <c r="A21" s="2">
        <v>42865</v>
      </c>
      <c r="B21" s="21" t="s">
        <v>85</v>
      </c>
      <c r="C21" s="27">
        <v>211.59</v>
      </c>
      <c r="D21" s="5">
        <f>IF($A21&lt;&gt;0,$D$2-SUM(C$4:C21),)</f>
        <v>5289.7499999999982</v>
      </c>
      <c r="E21" s="359"/>
    </row>
    <row r="22" spans="1:5">
      <c r="A22" s="2">
        <v>42896</v>
      </c>
      <c r="B22" s="21" t="s">
        <v>86</v>
      </c>
      <c r="C22" s="27">
        <v>211.59</v>
      </c>
      <c r="D22" s="5">
        <f>IF($A22&lt;&gt;0,$D$2-SUM(C$4:C22),)</f>
        <v>5078.159999999998</v>
      </c>
      <c r="E22" s="359"/>
    </row>
    <row r="23" spans="1:5">
      <c r="A23" s="2">
        <v>42926</v>
      </c>
      <c r="B23" s="21" t="s">
        <v>87</v>
      </c>
      <c r="C23" s="27">
        <v>211.59</v>
      </c>
      <c r="D23" s="5">
        <f>IF($A23&lt;&gt;0,$D$2-SUM(C$4:C23),)</f>
        <v>4866.5699999999979</v>
      </c>
      <c r="E23" s="359"/>
    </row>
    <row r="24" spans="1:5">
      <c r="A24" s="2">
        <v>42957</v>
      </c>
      <c r="B24" s="21" t="s">
        <v>88</v>
      </c>
      <c r="C24" s="27">
        <v>211.59</v>
      </c>
      <c r="D24" s="5">
        <f>IF($A24&lt;&gt;0,$D$2-SUM(C$4:C24),)</f>
        <v>4654.9799999999977</v>
      </c>
      <c r="E24" s="359"/>
    </row>
    <row r="25" spans="1:5">
      <c r="A25" s="2">
        <v>42988</v>
      </c>
      <c r="B25" s="21" t="s">
        <v>89</v>
      </c>
      <c r="C25" s="27">
        <v>211.59</v>
      </c>
      <c r="D25" s="5">
        <f>IF($A25&lt;&gt;0,$D$2-SUM(C$4:C25),)</f>
        <v>4443.3899999999976</v>
      </c>
      <c r="E25" s="359"/>
    </row>
    <row r="26" spans="1:5">
      <c r="A26" s="2">
        <v>43018</v>
      </c>
      <c r="B26" s="21" t="s">
        <v>90</v>
      </c>
      <c r="C26" s="27">
        <v>211.59</v>
      </c>
      <c r="D26" s="5">
        <f>IF($A26&lt;&gt;0,$D$2-SUM(C$4:C26),)</f>
        <v>4231.7999999999975</v>
      </c>
      <c r="E26" s="359"/>
    </row>
    <row r="27" spans="1:5">
      <c r="A27" s="2">
        <v>43049</v>
      </c>
      <c r="B27" s="21" t="s">
        <v>91</v>
      </c>
      <c r="C27" s="27">
        <v>211.59</v>
      </c>
      <c r="D27" s="5">
        <f>IF($A27&lt;&gt;0,$D$2-SUM(C$4:C27),)</f>
        <v>4020.2099999999973</v>
      </c>
      <c r="E27" s="359"/>
    </row>
    <row r="28" spans="1:5">
      <c r="A28" s="2">
        <v>43079</v>
      </c>
      <c r="B28" s="21" t="s">
        <v>92</v>
      </c>
      <c r="C28" s="27">
        <v>211.59</v>
      </c>
      <c r="D28" s="5">
        <f>IF($A28&lt;&gt;0,$D$2-SUM(C$4:C28),)</f>
        <v>3808.6199999999972</v>
      </c>
      <c r="E28" s="359"/>
    </row>
    <row r="29" spans="1:5">
      <c r="A29" s="2">
        <v>43110</v>
      </c>
      <c r="B29" s="21" t="s">
        <v>93</v>
      </c>
      <c r="C29" s="27">
        <v>211.59</v>
      </c>
      <c r="D29" s="5">
        <f>IF($A29&lt;&gt;0,$D$2-SUM(C$4:C29),)</f>
        <v>3597.029999999997</v>
      </c>
      <c r="E29" s="359"/>
    </row>
    <row r="30" spans="1:5">
      <c r="A30" s="2">
        <v>43141</v>
      </c>
      <c r="B30" s="21" t="s">
        <v>94</v>
      </c>
      <c r="C30" s="27">
        <v>211.59</v>
      </c>
      <c r="D30" s="5">
        <f>IF($A30&lt;&gt;0,$D$2-SUM(C$4:C30),)</f>
        <v>3385.4399999999969</v>
      </c>
      <c r="E30" s="359"/>
    </row>
    <row r="31" spans="1:5">
      <c r="A31" s="2">
        <v>43169</v>
      </c>
      <c r="B31" s="21" t="s">
        <v>95</v>
      </c>
      <c r="C31" s="27">
        <v>211.59</v>
      </c>
      <c r="D31" s="5">
        <f>IF($A31&lt;&gt;0,$D$2-SUM(C$4:C31),)</f>
        <v>3173.8499999999967</v>
      </c>
      <c r="E31" s="359"/>
    </row>
    <row r="32" spans="1:5">
      <c r="A32" s="2">
        <v>43200</v>
      </c>
      <c r="B32" s="21" t="s">
        <v>96</v>
      </c>
      <c r="C32" s="27">
        <v>211.59</v>
      </c>
      <c r="D32" s="5">
        <f>IF($A32&lt;&gt;0,$D$2-SUM(C$4:C32),)</f>
        <v>2962.2599999999966</v>
      </c>
      <c r="E32" s="359"/>
    </row>
    <row r="33" spans="1:5">
      <c r="A33" s="2">
        <v>43230</v>
      </c>
      <c r="B33" s="21" t="s">
        <v>97</v>
      </c>
      <c r="C33" s="27">
        <v>211.59</v>
      </c>
      <c r="D33" s="5">
        <f>IF($A33&lt;&gt;0,$D$2-SUM(C$4:C33),)</f>
        <v>2750.6699999999964</v>
      </c>
      <c r="E33" s="359"/>
    </row>
    <row r="34" spans="1:5">
      <c r="A34" s="2">
        <v>43261</v>
      </c>
      <c r="B34" s="21" t="s">
        <v>98</v>
      </c>
      <c r="C34" s="27">
        <v>211.59</v>
      </c>
      <c r="D34" s="5">
        <f>IF($A34&lt;&gt;0,$D$2-SUM(C$4:C34),)</f>
        <v>2539.0799999999963</v>
      </c>
      <c r="E34" s="359"/>
    </row>
    <row r="35" spans="1:5">
      <c r="A35" s="2">
        <v>43291</v>
      </c>
      <c r="B35" s="21" t="s">
        <v>99</v>
      </c>
      <c r="C35" s="27">
        <v>211.59</v>
      </c>
      <c r="D35" s="5">
        <f>IF($A35&lt;&gt;0,$D$2-SUM(C$4:C35),)</f>
        <v>2327.4899999999961</v>
      </c>
      <c r="E35" s="359"/>
    </row>
    <row r="36" spans="1:5">
      <c r="A36" s="2">
        <v>43322</v>
      </c>
      <c r="B36" s="21" t="s">
        <v>100</v>
      </c>
      <c r="C36" s="27">
        <v>211.59</v>
      </c>
      <c r="D36" s="5">
        <f>IF($A36&lt;&gt;0,$D$2-SUM(C$4:C36),)</f>
        <v>2115.899999999996</v>
      </c>
      <c r="E36" s="359"/>
    </row>
    <row r="37" spans="1:5">
      <c r="A37" s="2">
        <v>43353</v>
      </c>
      <c r="B37" s="21" t="s">
        <v>101</v>
      </c>
      <c r="C37" s="27">
        <v>211.59</v>
      </c>
      <c r="D37" s="5">
        <f>IF($A37&lt;&gt;0,$D$2-SUM(C$4:C37),)</f>
        <v>1904.3099999999959</v>
      </c>
      <c r="E37" s="359"/>
    </row>
    <row r="38" spans="1:5">
      <c r="A38" s="2">
        <v>43383</v>
      </c>
      <c r="B38" s="21" t="s">
        <v>102</v>
      </c>
      <c r="C38" s="27">
        <v>211.59</v>
      </c>
      <c r="D38" s="5">
        <f>IF($A38&lt;&gt;0,$D$2-SUM(C$4:C38),)</f>
        <v>1692.7199999999957</v>
      </c>
      <c r="E38" s="359"/>
    </row>
    <row r="39" spans="1:5">
      <c r="A39" s="2">
        <v>43414</v>
      </c>
      <c r="B39" s="21" t="s">
        <v>103</v>
      </c>
      <c r="C39" s="27">
        <v>211.59</v>
      </c>
      <c r="D39" s="5">
        <f>IF($A39&lt;&gt;0,$D$2-SUM(C$4:C39),)</f>
        <v>1481.1299999999956</v>
      </c>
      <c r="E39" s="359"/>
    </row>
    <row r="40" spans="1:5">
      <c r="A40" s="2">
        <v>43444</v>
      </c>
      <c r="B40" s="21" t="s">
        <v>104</v>
      </c>
      <c r="C40" s="27">
        <v>211.59</v>
      </c>
      <c r="D40" s="5">
        <f>IF($A40&lt;&gt;0,$D$2-SUM(C$4:C40),)</f>
        <v>1269.5399999999954</v>
      </c>
      <c r="E40" s="359"/>
    </row>
    <row r="41" spans="1:5">
      <c r="A41" s="2">
        <v>43475</v>
      </c>
      <c r="B41" s="21" t="s">
        <v>105</v>
      </c>
      <c r="C41" s="27">
        <v>211.59</v>
      </c>
      <c r="D41" s="5">
        <f>IF($A41&lt;&gt;0,$D$2-SUM(C$4:C41),)</f>
        <v>1057.9499999999953</v>
      </c>
      <c r="E41" s="359"/>
    </row>
    <row r="42" spans="1:5">
      <c r="A42" s="2">
        <v>43506</v>
      </c>
      <c r="B42" s="21" t="s">
        <v>106</v>
      </c>
      <c r="C42" s="27">
        <v>211.59</v>
      </c>
      <c r="D42" s="5">
        <f>IF($A42&lt;&gt;0,$D$2-SUM(C$4:C42),)</f>
        <v>846.35999999999513</v>
      </c>
      <c r="E42" s="359"/>
    </row>
    <row r="43" spans="1:5">
      <c r="A43" s="2">
        <v>43534</v>
      </c>
      <c r="B43" s="21" t="s">
        <v>107</v>
      </c>
      <c r="C43" s="27">
        <v>211.59</v>
      </c>
      <c r="D43" s="5">
        <f>IF($A43&lt;&gt;0,$D$2-SUM(C$4:C43),)</f>
        <v>634.76999999999498</v>
      </c>
      <c r="E43" s="359"/>
    </row>
    <row r="44" spans="1:5">
      <c r="A44" s="2">
        <v>43565</v>
      </c>
      <c r="B44" s="21" t="s">
        <v>108</v>
      </c>
      <c r="C44" s="27">
        <v>211.59</v>
      </c>
      <c r="D44" s="5">
        <f>IF($A44&lt;&gt;0,$D$2-SUM(C$4:C44),)</f>
        <v>423.17999999999483</v>
      </c>
      <c r="E44" s="359"/>
    </row>
    <row r="45" spans="1:5">
      <c r="A45" s="2">
        <v>43595</v>
      </c>
      <c r="B45" s="21" t="s">
        <v>109</v>
      </c>
      <c r="C45" s="27">
        <v>211.59</v>
      </c>
      <c r="D45" s="5">
        <f>IF($A45&lt;&gt;0,$D$2-SUM(C$4:C45),)</f>
        <v>211.58999999999469</v>
      </c>
      <c r="E45" s="359"/>
    </row>
    <row r="46" spans="1:5">
      <c r="A46" s="2">
        <v>43626</v>
      </c>
      <c r="B46" s="21" t="s">
        <v>110</v>
      </c>
      <c r="C46" s="27">
        <v>211.59</v>
      </c>
      <c r="D46" s="5">
        <f>IF($A46&lt;&gt;0,$D$2-SUM(C$4:C46),)</f>
        <v>-5.4569682106375694E-12</v>
      </c>
      <c r="E46" s="359"/>
    </row>
  </sheetData>
  <mergeCells count="2">
    <mergeCell ref="A2:A3"/>
    <mergeCell ref="B2:B3"/>
  </mergeCells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K58"/>
  <sheetViews>
    <sheetView topLeftCell="A49" workbookViewId="0">
      <selection activeCell="F58" sqref="F58"/>
    </sheetView>
  </sheetViews>
  <sheetFormatPr baseColWidth="10" defaultRowHeight="14.4"/>
  <cols>
    <col min="1" max="1" width="11.5546875" style="1"/>
    <col min="2" max="2" width="3" style="9" bestFit="1" customWidth="1"/>
    <col min="3" max="3" width="50.44140625" customWidth="1"/>
    <col min="4" max="6" width="11.5546875" style="10"/>
  </cols>
  <sheetData>
    <row r="1" spans="1:6" s="8" customFormat="1">
      <c r="A1" s="6" t="s">
        <v>0</v>
      </c>
      <c r="B1" s="23"/>
      <c r="C1" s="7" t="s">
        <v>336</v>
      </c>
      <c r="D1" s="7" t="s">
        <v>55</v>
      </c>
      <c r="E1" s="7" t="s">
        <v>56</v>
      </c>
      <c r="F1" s="7" t="s">
        <v>57</v>
      </c>
    </row>
    <row r="2" spans="1:6">
      <c r="A2" s="2">
        <v>42379</v>
      </c>
      <c r="B2" s="21">
        <v>1</v>
      </c>
      <c r="C2" s="3" t="s">
        <v>39</v>
      </c>
      <c r="D2" s="4"/>
      <c r="E2" s="4"/>
      <c r="F2" s="4"/>
    </row>
    <row r="3" spans="1:6">
      <c r="A3" s="2">
        <v>42379</v>
      </c>
      <c r="B3" s="21">
        <v>2</v>
      </c>
      <c r="C3" s="3" t="s">
        <v>38</v>
      </c>
      <c r="D3" s="4"/>
      <c r="E3" s="4"/>
      <c r="F3" s="4"/>
    </row>
    <row r="4" spans="1:6">
      <c r="A4" s="2">
        <v>42379</v>
      </c>
      <c r="B4" s="21">
        <v>3</v>
      </c>
      <c r="C4" s="3" t="s">
        <v>50</v>
      </c>
      <c r="D4" s="4"/>
      <c r="E4" s="4"/>
      <c r="F4" s="4"/>
    </row>
    <row r="5" spans="1:6">
      <c r="A5" s="2">
        <v>42379</v>
      </c>
      <c r="B5" s="21">
        <v>4</v>
      </c>
      <c r="C5" s="3" t="s">
        <v>37</v>
      </c>
      <c r="D5" s="4"/>
      <c r="E5" s="4"/>
      <c r="F5" s="4"/>
    </row>
    <row r="6" spans="1:6">
      <c r="A6" s="2">
        <v>42379</v>
      </c>
      <c r="B6" s="21">
        <v>5</v>
      </c>
      <c r="C6" s="3" t="s">
        <v>32</v>
      </c>
      <c r="D6" s="4"/>
      <c r="E6" s="4"/>
      <c r="F6" s="4"/>
    </row>
    <row r="7" spans="1:6">
      <c r="A7" s="2">
        <v>42379</v>
      </c>
      <c r="B7" s="21">
        <v>6</v>
      </c>
      <c r="C7" s="3" t="s">
        <v>33</v>
      </c>
      <c r="D7" s="4"/>
      <c r="E7" s="4"/>
      <c r="F7" s="4"/>
    </row>
    <row r="8" spans="1:6">
      <c r="A8" s="2">
        <v>42379</v>
      </c>
      <c r="B8" s="21">
        <v>7</v>
      </c>
      <c r="C8" s="3" t="s">
        <v>34</v>
      </c>
      <c r="D8" s="4"/>
      <c r="E8" s="4"/>
      <c r="F8" s="4"/>
    </row>
    <row r="9" spans="1:6">
      <c r="A9" s="2">
        <v>42379</v>
      </c>
      <c r="B9" s="21">
        <v>8</v>
      </c>
      <c r="C9" s="3" t="s">
        <v>35</v>
      </c>
      <c r="D9" s="4"/>
      <c r="E9" s="4"/>
      <c r="F9" s="4"/>
    </row>
    <row r="10" spans="1:6">
      <c r="A10" s="2">
        <v>42379</v>
      </c>
      <c r="B10" s="21">
        <v>9</v>
      </c>
      <c r="C10" s="3" t="s">
        <v>40</v>
      </c>
      <c r="D10" s="4"/>
      <c r="E10" s="4" t="s">
        <v>235</v>
      </c>
      <c r="F10" s="4"/>
    </row>
    <row r="11" spans="1:6">
      <c r="A11" s="2">
        <v>42379</v>
      </c>
      <c r="B11" s="21">
        <v>10</v>
      </c>
      <c r="C11" s="3" t="s">
        <v>36</v>
      </c>
      <c r="D11" s="4"/>
      <c r="E11" s="4" t="s">
        <v>146</v>
      </c>
      <c r="F11" s="4"/>
    </row>
    <row r="12" spans="1:6">
      <c r="A12" s="2">
        <v>42379</v>
      </c>
      <c r="B12" s="21">
        <v>11</v>
      </c>
      <c r="C12" s="3" t="s">
        <v>51</v>
      </c>
      <c r="D12" s="4"/>
      <c r="E12" s="4"/>
      <c r="F12" s="4"/>
    </row>
    <row r="13" spans="1:6">
      <c r="A13" s="2">
        <v>42379</v>
      </c>
      <c r="B13" s="21">
        <v>12</v>
      </c>
      <c r="C13" s="3" t="s">
        <v>45</v>
      </c>
      <c r="D13" s="4"/>
      <c r="E13" s="4" t="s">
        <v>236</v>
      </c>
      <c r="F13" s="4"/>
    </row>
    <row r="14" spans="1:6">
      <c r="A14" s="2">
        <v>42379</v>
      </c>
      <c r="B14" s="21">
        <v>13</v>
      </c>
      <c r="C14" s="3" t="s">
        <v>47</v>
      </c>
      <c r="D14" s="4"/>
      <c r="E14" s="4"/>
      <c r="F14" s="4"/>
    </row>
    <row r="15" spans="1:6">
      <c r="A15" s="2">
        <v>42379</v>
      </c>
      <c r="B15" s="21">
        <v>14</v>
      </c>
      <c r="C15" s="3" t="s">
        <v>48</v>
      </c>
      <c r="D15" s="4"/>
      <c r="E15" s="4"/>
      <c r="F15" s="4"/>
    </row>
    <row r="16" spans="1:6">
      <c r="A16" s="2">
        <v>42379</v>
      </c>
      <c r="B16" s="21">
        <v>15</v>
      </c>
      <c r="C16" s="3" t="s">
        <v>49</v>
      </c>
      <c r="D16" s="4"/>
      <c r="E16" s="4"/>
      <c r="F16" s="4"/>
    </row>
    <row r="17" spans="1:6">
      <c r="A17" s="2">
        <v>42379</v>
      </c>
      <c r="B17" s="21">
        <v>16</v>
      </c>
      <c r="C17" s="3" t="s">
        <v>68</v>
      </c>
      <c r="D17" s="4"/>
      <c r="E17" s="4"/>
      <c r="F17" s="4"/>
    </row>
    <row r="18" spans="1:6">
      <c r="A18" s="2">
        <v>42379</v>
      </c>
      <c r="B18" s="21">
        <v>17</v>
      </c>
      <c r="C18" s="3" t="s">
        <v>52</v>
      </c>
      <c r="D18" s="4"/>
      <c r="E18" s="4"/>
      <c r="F18" s="4"/>
    </row>
    <row r="19" spans="1:6">
      <c r="A19" s="2">
        <v>42379</v>
      </c>
      <c r="B19" s="21">
        <v>18</v>
      </c>
      <c r="C19" s="3" t="s">
        <v>53</v>
      </c>
      <c r="D19" s="4"/>
      <c r="E19" s="4"/>
      <c r="F19" s="4"/>
    </row>
    <row r="20" spans="1:6">
      <c r="A20" s="2">
        <v>42381</v>
      </c>
      <c r="B20" s="21">
        <v>19</v>
      </c>
      <c r="C20" s="3" t="s">
        <v>117</v>
      </c>
      <c r="D20" s="4"/>
      <c r="E20" s="4" t="s">
        <v>235</v>
      </c>
      <c r="F20" s="4"/>
    </row>
    <row r="21" spans="1:6">
      <c r="A21" s="2">
        <v>42433</v>
      </c>
      <c r="B21" s="21">
        <v>20</v>
      </c>
      <c r="C21" s="3" t="s">
        <v>147</v>
      </c>
      <c r="D21" s="4"/>
      <c r="E21" s="4" t="s">
        <v>236</v>
      </c>
      <c r="F21" s="4"/>
    </row>
    <row r="22" spans="1:6">
      <c r="A22" s="2">
        <v>42433</v>
      </c>
      <c r="B22" s="21">
        <v>21</v>
      </c>
      <c r="C22" s="3" t="s">
        <v>148</v>
      </c>
      <c r="D22" s="4"/>
      <c r="E22" s="4"/>
      <c r="F22" s="4"/>
    </row>
    <row r="23" spans="1:6">
      <c r="A23" s="2">
        <v>42454</v>
      </c>
      <c r="B23" s="21">
        <v>22</v>
      </c>
      <c r="C23" s="3" t="s">
        <v>234</v>
      </c>
      <c r="D23" s="4"/>
      <c r="E23" s="4"/>
      <c r="F23" s="4"/>
    </row>
    <row r="24" spans="1:6">
      <c r="A24" s="2"/>
      <c r="B24" s="21"/>
      <c r="C24" s="3"/>
      <c r="D24" s="4"/>
      <c r="E24" s="4"/>
      <c r="F24" s="4"/>
    </row>
    <row r="25" spans="1:6">
      <c r="A25" s="2"/>
      <c r="B25" s="21"/>
      <c r="C25" s="3"/>
      <c r="D25" s="4"/>
      <c r="E25" s="4"/>
      <c r="F25" s="4"/>
    </row>
    <row r="26" spans="1:6">
      <c r="A26" s="2"/>
      <c r="B26" s="21"/>
      <c r="C26" s="3"/>
      <c r="D26" s="4"/>
      <c r="E26" s="4"/>
      <c r="F26" s="4"/>
    </row>
    <row r="27" spans="1:6">
      <c r="A27" s="2"/>
      <c r="B27" s="21"/>
      <c r="C27" s="3"/>
      <c r="D27" s="4"/>
      <c r="E27" s="4"/>
      <c r="F27" s="4"/>
    </row>
    <row r="28" spans="1:6">
      <c r="A28" s="2"/>
      <c r="B28" s="21"/>
      <c r="C28" s="3"/>
      <c r="D28" s="4"/>
      <c r="E28" s="4"/>
      <c r="F28" s="4"/>
    </row>
    <row r="29" spans="1:6">
      <c r="A29" s="2"/>
      <c r="B29" s="21"/>
      <c r="C29" s="3"/>
      <c r="D29" s="4"/>
      <c r="E29" s="4"/>
      <c r="F29" s="4"/>
    </row>
    <row r="30" spans="1:6">
      <c r="A30" s="2"/>
      <c r="B30" s="21"/>
      <c r="C30" s="3"/>
      <c r="D30" s="4"/>
      <c r="E30" s="4"/>
      <c r="F30" s="4"/>
    </row>
    <row r="31" spans="1:6">
      <c r="A31" s="2"/>
      <c r="B31" s="21"/>
      <c r="C31" s="3"/>
      <c r="D31" s="4"/>
      <c r="E31" s="4"/>
      <c r="F31" s="4"/>
    </row>
    <row r="32" spans="1:6">
      <c r="A32" s="6" t="s">
        <v>0</v>
      </c>
      <c r="B32" s="23"/>
      <c r="C32" s="7" t="s">
        <v>337</v>
      </c>
      <c r="D32" s="7" t="s">
        <v>55</v>
      </c>
      <c r="E32" s="7"/>
      <c r="F32" s="7" t="s">
        <v>57</v>
      </c>
    </row>
    <row r="33" spans="1:11">
      <c r="A33" s="2"/>
      <c r="B33" s="21"/>
      <c r="C33" s="219" t="s">
        <v>127</v>
      </c>
      <c r="D33" s="4"/>
      <c r="E33" s="4"/>
      <c r="F33" s="220">
        <v>250</v>
      </c>
      <c r="G33" s="901" t="s">
        <v>332</v>
      </c>
      <c r="H33" s="901"/>
      <c r="I33" s="901"/>
      <c r="J33" s="901"/>
      <c r="K33" s="901"/>
    </row>
    <row r="34" spans="1:11">
      <c r="A34" s="2"/>
      <c r="B34" s="21"/>
      <c r="C34" s="102" t="s">
        <v>246</v>
      </c>
      <c r="D34" s="4"/>
      <c r="E34" s="4"/>
      <c r="F34" s="196">
        <v>2000</v>
      </c>
    </row>
    <row r="35" spans="1:11">
      <c r="A35" s="2"/>
      <c r="B35" s="21"/>
      <c r="C35" s="102" t="s">
        <v>150</v>
      </c>
      <c r="D35" s="4"/>
      <c r="E35" s="4"/>
      <c r="F35" s="196">
        <v>100</v>
      </c>
    </row>
    <row r="36" spans="1:11">
      <c r="A36" s="2"/>
      <c r="B36" s="21"/>
      <c r="C36" s="216" t="s">
        <v>237</v>
      </c>
      <c r="D36" s="4"/>
      <c r="E36" s="4"/>
      <c r="F36" s="218">
        <v>150</v>
      </c>
    </row>
    <row r="37" spans="1:11">
      <c r="A37" s="2"/>
      <c r="B37" s="21"/>
      <c r="C37" s="216" t="s">
        <v>128</v>
      </c>
      <c r="D37" s="4"/>
      <c r="E37" s="4"/>
      <c r="F37" s="218">
        <v>150</v>
      </c>
    </row>
    <row r="38" spans="1:11">
      <c r="A38" s="2"/>
      <c r="B38" s="21"/>
      <c r="C38" s="216" t="s">
        <v>133</v>
      </c>
      <c r="D38" s="4"/>
      <c r="E38" s="4"/>
      <c r="F38" s="218">
        <v>200</v>
      </c>
    </row>
    <row r="39" spans="1:11">
      <c r="A39" s="2"/>
      <c r="B39" s="21"/>
      <c r="C39" s="102" t="s">
        <v>240</v>
      </c>
      <c r="D39" s="4"/>
      <c r="E39" s="4"/>
      <c r="F39" s="196">
        <v>150</v>
      </c>
    </row>
    <row r="40" spans="1:11">
      <c r="A40" s="2"/>
      <c r="B40" s="21"/>
      <c r="C40" s="102" t="s">
        <v>137</v>
      </c>
      <c r="D40" s="4"/>
      <c r="E40" s="4"/>
      <c r="F40" s="4"/>
    </row>
    <row r="41" spans="1:11" ht="14.4" customHeight="1">
      <c r="A41" s="2"/>
      <c r="B41" s="21"/>
      <c r="C41" s="102" t="s">
        <v>333</v>
      </c>
      <c r="D41" s="4"/>
      <c r="E41" s="4"/>
      <c r="F41" s="4"/>
    </row>
    <row r="42" spans="1:11">
      <c r="A42" s="2"/>
      <c r="B42" s="21"/>
      <c r="C42" s="102" t="s">
        <v>145</v>
      </c>
      <c r="D42" s="4"/>
      <c r="E42" s="4"/>
      <c r="F42" s="4"/>
    </row>
    <row r="43" spans="1:11">
      <c r="A43" s="2"/>
      <c r="B43" s="21"/>
      <c r="C43" s="102" t="s">
        <v>248</v>
      </c>
      <c r="D43" s="4"/>
      <c r="E43" s="4"/>
      <c r="F43" s="4"/>
    </row>
    <row r="44" spans="1:11">
      <c r="A44" s="2"/>
      <c r="B44" s="21"/>
      <c r="C44" s="102" t="s">
        <v>249</v>
      </c>
      <c r="D44" s="4"/>
      <c r="E44" s="4"/>
      <c r="F44" s="4"/>
    </row>
    <row r="45" spans="1:11">
      <c r="A45" s="2"/>
      <c r="B45" s="21"/>
      <c r="C45" s="102" t="s">
        <v>250</v>
      </c>
      <c r="D45" s="4"/>
      <c r="E45" s="4"/>
      <c r="F45" s="4"/>
    </row>
    <row r="46" spans="1:11">
      <c r="A46" s="2"/>
      <c r="B46" s="21"/>
      <c r="C46" s="102"/>
      <c r="D46" s="4"/>
      <c r="E46" s="4"/>
      <c r="F46" s="4"/>
    </row>
    <row r="47" spans="1:11">
      <c r="A47" s="2"/>
      <c r="B47" s="21"/>
      <c r="C47" s="102"/>
      <c r="D47" s="4"/>
      <c r="E47" s="4"/>
      <c r="F47" s="4"/>
    </row>
    <row r="48" spans="1:11">
      <c r="A48" s="2"/>
      <c r="B48" s="21"/>
      <c r="C48" s="102"/>
      <c r="D48" s="4"/>
      <c r="E48" s="4"/>
      <c r="F48" s="4"/>
    </row>
    <row r="49" spans="1:6">
      <c r="A49" s="2"/>
      <c r="B49" s="21"/>
      <c r="C49" s="102" t="s">
        <v>326</v>
      </c>
      <c r="D49" s="4"/>
      <c r="E49" s="4"/>
      <c r="F49" s="4"/>
    </row>
    <row r="50" spans="1:6">
      <c r="A50" s="2"/>
      <c r="B50" s="21"/>
      <c r="C50" s="102"/>
      <c r="D50" s="4"/>
      <c r="E50" s="4"/>
      <c r="F50" s="4"/>
    </row>
    <row r="51" spans="1:6">
      <c r="A51" s="2"/>
      <c r="B51" s="21"/>
      <c r="C51" s="102"/>
      <c r="D51" s="4"/>
      <c r="E51" s="4"/>
      <c r="F51" s="4"/>
    </row>
    <row r="52" spans="1:6">
      <c r="A52" s="2"/>
      <c r="B52" s="21"/>
      <c r="C52" s="102"/>
      <c r="D52" s="4"/>
      <c r="E52" s="4"/>
      <c r="F52" s="4"/>
    </row>
    <row r="53" spans="1:6">
      <c r="A53" s="2"/>
      <c r="B53" s="21"/>
      <c r="C53" s="216" t="s">
        <v>247</v>
      </c>
      <c r="D53" s="4"/>
      <c r="E53" s="4"/>
      <c r="F53" s="4"/>
    </row>
    <row r="54" spans="1:6">
      <c r="A54" s="2"/>
      <c r="B54" s="21"/>
      <c r="C54" s="3"/>
      <c r="D54" s="4"/>
      <c r="E54" s="4"/>
      <c r="F54" s="4"/>
    </row>
    <row r="55" spans="1:6">
      <c r="A55" s="2"/>
      <c r="B55" s="21"/>
      <c r="C55" s="288" t="s">
        <v>338</v>
      </c>
      <c r="D55" s="4"/>
      <c r="E55" s="4"/>
      <c r="F55" s="289">
        <f>SUM(F33:F54)</f>
        <v>3000</v>
      </c>
    </row>
    <row r="57" spans="1:6" ht="216">
      <c r="C57" s="559" t="s">
        <v>484</v>
      </c>
    </row>
    <row r="58" spans="1:6" ht="28.8" customHeight="1">
      <c r="C58" s="623" t="s">
        <v>492</v>
      </c>
    </row>
  </sheetData>
  <mergeCells count="1">
    <mergeCell ref="G33:K33"/>
  </mergeCells>
  <conditionalFormatting sqref="C57">
    <cfRule type="expression" dxfId="54" priority="1" stopIfTrue="1">
      <formula>$B57="M"</formula>
    </cfRule>
    <cfRule type="expression" dxfId="53" priority="2" stopIfTrue="1">
      <formula>$B57="A"</formula>
    </cfRule>
  </conditionalFormatting>
  <printOptions horizontalCentered="1"/>
  <pageMargins left="0.23622047244094491" right="0.23622047244094491" top="0" bottom="0.39370078740157483" header="0" footer="0.19685039370078741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J8"/>
  <sheetViews>
    <sheetView workbookViewId="0">
      <selection activeCell="E21" sqref="E21"/>
    </sheetView>
  </sheetViews>
  <sheetFormatPr baseColWidth="10" defaultRowHeight="14.4"/>
  <cols>
    <col min="1" max="1" width="9.44140625" customWidth="1"/>
    <col min="2" max="2" width="29" customWidth="1"/>
    <col min="3" max="3" width="59.44140625" customWidth="1"/>
    <col min="4" max="4" width="3.88671875" customWidth="1"/>
    <col min="5" max="5" width="10.88671875" customWidth="1"/>
    <col min="6" max="7" width="3.88671875" customWidth="1"/>
    <col min="8" max="8" width="9.77734375" customWidth="1"/>
    <col min="9" max="9" width="10.33203125" customWidth="1"/>
    <col min="10" max="10" width="11.44140625" customWidth="1"/>
  </cols>
  <sheetData>
    <row r="1" spans="1:10" ht="15.6">
      <c r="A1" s="902" t="s">
        <v>319</v>
      </c>
      <c r="B1" s="903"/>
      <c r="C1" s="903"/>
      <c r="D1" s="903"/>
      <c r="E1" s="903"/>
      <c r="F1" s="903"/>
      <c r="G1" s="903"/>
      <c r="H1" s="903"/>
      <c r="I1" s="903"/>
      <c r="J1" s="904"/>
    </row>
    <row r="2" spans="1:10" ht="28.8">
      <c r="A2" s="282" t="s">
        <v>324</v>
      </c>
      <c r="B2" s="108"/>
      <c r="C2" s="121" t="s">
        <v>313</v>
      </c>
      <c r="D2" s="106"/>
      <c r="E2" s="123"/>
      <c r="F2" s="106"/>
      <c r="G2" s="106"/>
      <c r="H2" s="106"/>
      <c r="I2" s="109"/>
      <c r="J2" s="138"/>
    </row>
    <row r="3" spans="1:10">
      <c r="A3" s="137">
        <v>43927</v>
      </c>
      <c r="B3" s="108"/>
      <c r="C3" s="121" t="s">
        <v>317</v>
      </c>
      <c r="D3" s="106"/>
      <c r="E3" s="123"/>
      <c r="F3" s="106"/>
      <c r="G3" s="106"/>
      <c r="H3" s="106"/>
      <c r="I3" s="109"/>
      <c r="J3" s="138"/>
    </row>
    <row r="4" spans="1:10">
      <c r="A4" s="246"/>
      <c r="B4" s="117" t="s">
        <v>325</v>
      </c>
      <c r="C4" s="121" t="s">
        <v>316</v>
      </c>
      <c r="D4" s="269"/>
      <c r="E4" s="273"/>
      <c r="F4" s="269"/>
      <c r="G4" s="269"/>
      <c r="H4" s="269"/>
      <c r="I4" s="118"/>
      <c r="J4" s="247"/>
    </row>
    <row r="5" spans="1:10">
      <c r="A5" s="249"/>
      <c r="B5" s="250"/>
      <c r="C5" s="128"/>
      <c r="D5" s="139"/>
      <c r="E5" s="231"/>
      <c r="F5" s="139"/>
      <c r="G5" s="139"/>
      <c r="H5" s="139"/>
      <c r="I5" s="252"/>
      <c r="J5" s="247"/>
    </row>
    <row r="6" spans="1:10">
      <c r="A6" s="249"/>
      <c r="B6" s="250"/>
      <c r="C6" s="128"/>
      <c r="D6" s="139"/>
      <c r="E6" s="231"/>
      <c r="F6" s="139"/>
      <c r="G6" s="139"/>
      <c r="H6" s="139"/>
      <c r="I6" s="252"/>
      <c r="J6" s="281"/>
    </row>
    <row r="7" spans="1:10">
      <c r="A7" s="249"/>
      <c r="B7" s="250"/>
      <c r="C7" s="251"/>
      <c r="D7" s="139"/>
      <c r="E7" s="231"/>
      <c r="F7" s="139"/>
      <c r="G7" s="139"/>
      <c r="H7" s="139"/>
      <c r="I7" s="252"/>
      <c r="J7" s="281"/>
    </row>
    <row r="8" spans="1:10" ht="15" thickBot="1">
      <c r="A8" s="253"/>
      <c r="B8" s="254"/>
      <c r="C8" s="255"/>
      <c r="D8" s="256"/>
      <c r="E8" s="271"/>
      <c r="F8" s="274"/>
      <c r="G8" s="256"/>
      <c r="H8" s="256" t="s">
        <v>275</v>
      </c>
      <c r="I8" s="257">
        <f>SUM(I2:I5)</f>
        <v>0</v>
      </c>
      <c r="J8" s="258"/>
    </row>
  </sheetData>
  <mergeCells count="1">
    <mergeCell ref="A1:J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>
    <pageSetUpPr fitToPage="1"/>
  </sheetPr>
  <dimension ref="A1:T32"/>
  <sheetViews>
    <sheetView zoomScale="90" zoomScaleNormal="90" workbookViewId="0">
      <selection activeCell="M15" sqref="M15"/>
    </sheetView>
  </sheetViews>
  <sheetFormatPr baseColWidth="10" defaultRowHeight="14.4"/>
  <cols>
    <col min="3" max="3" width="11.6640625" bestFit="1" customWidth="1"/>
    <col min="10" max="10" width="2.6640625" style="296" customWidth="1"/>
    <col min="15" max="15" width="2.6640625" customWidth="1"/>
  </cols>
  <sheetData>
    <row r="1" spans="1:20" ht="28.8">
      <c r="A1" s="58"/>
      <c r="B1" s="141"/>
      <c r="C1" s="154"/>
      <c r="D1" s="307" t="s">
        <v>261</v>
      </c>
      <c r="E1" s="307" t="s">
        <v>335</v>
      </c>
      <c r="F1" s="307" t="s">
        <v>6</v>
      </c>
      <c r="G1" s="307" t="s">
        <v>278</v>
      </c>
      <c r="H1" s="307" t="s">
        <v>279</v>
      </c>
      <c r="I1" s="275" t="s">
        <v>4</v>
      </c>
      <c r="J1" s="237"/>
      <c r="K1" s="290" t="s">
        <v>282</v>
      </c>
      <c r="L1" s="156"/>
      <c r="M1" s="161" t="s">
        <v>283</v>
      </c>
      <c r="N1" s="305" t="s">
        <v>284</v>
      </c>
      <c r="O1" s="150"/>
      <c r="P1" s="301" t="s">
        <v>285</v>
      </c>
      <c r="Q1" s="153"/>
      <c r="R1" s="153"/>
      <c r="S1" s="153"/>
      <c r="T1" s="153"/>
    </row>
    <row r="2" spans="1:20">
      <c r="A2" s="58"/>
      <c r="B2" s="162" t="s">
        <v>281</v>
      </c>
      <c r="C2" s="308">
        <f ca="1">TODAY()</f>
        <v>44396</v>
      </c>
      <c r="D2" s="163">
        <f>'Actif-Passif-Encours'!T103</f>
        <v>1931.24</v>
      </c>
      <c r="E2" s="163">
        <f>'Actif-Passif-Encours'!P102</f>
        <v>1832.6</v>
      </c>
      <c r="F2" s="164">
        <f>'Actif-Passif-Encours'!X103</f>
        <v>6297</v>
      </c>
      <c r="G2" s="164" t="e">
        <f>'Actif-Passif-Encours'!#REF!</f>
        <v>#REF!</v>
      </c>
      <c r="H2" s="163" t="e">
        <f>'Actif-Passif-Encours'!#REF!</f>
        <v>#REF!</v>
      </c>
      <c r="I2" s="163" t="e">
        <f>'Actif-Passif-Encours'!#REF!</f>
        <v>#REF!</v>
      </c>
      <c r="J2" s="238"/>
      <c r="K2" s="163" t="e">
        <f>E2+SUM(F2:I2)</f>
        <v>#REF!</v>
      </c>
      <c r="L2" s="156"/>
      <c r="M2" s="163" t="e">
        <f>'Actif-Passif-Encours'!#REF!</f>
        <v>#REF!</v>
      </c>
      <c r="N2" s="164" t="e">
        <f>K2+M2</f>
        <v>#REF!</v>
      </c>
      <c r="O2" s="303"/>
      <c r="P2" s="313" t="e">
        <f>'Actif-Passif-Encours'!#REF!</f>
        <v>#REF!</v>
      </c>
      <c r="Q2" s="905" t="s">
        <v>340</v>
      </c>
      <c r="R2" s="906"/>
      <c r="S2" s="906"/>
      <c r="T2" s="153"/>
    </row>
    <row r="3" spans="1:20">
      <c r="A3" s="58"/>
      <c r="B3" s="141"/>
      <c r="C3" s="165"/>
      <c r="D3" s="907" t="s">
        <v>345</v>
      </c>
      <c r="E3" s="907"/>
      <c r="F3" s="907"/>
      <c r="G3" s="907"/>
      <c r="H3" s="907"/>
      <c r="I3" s="907"/>
      <c r="J3" s="154"/>
      <c r="K3" s="165"/>
      <c r="L3" s="178"/>
      <c r="M3" s="166" t="e">
        <f>M2/K2</f>
        <v>#REF!</v>
      </c>
      <c r="N3" s="153"/>
      <c r="O3" s="153"/>
      <c r="P3" s="153"/>
      <c r="Q3" s="153"/>
      <c r="R3" s="153"/>
      <c r="S3" s="153"/>
      <c r="T3" s="153"/>
    </row>
    <row r="4" spans="1:20" s="296" customFormat="1" ht="14.4" customHeight="1">
      <c r="A4" s="291"/>
      <c r="B4" s="317"/>
      <c r="C4" s="317"/>
      <c r="D4" s="311"/>
      <c r="E4" s="311"/>
      <c r="F4" s="311"/>
      <c r="G4" s="311"/>
      <c r="H4" s="311"/>
      <c r="I4" s="311"/>
      <c r="J4" s="154"/>
      <c r="K4" s="165"/>
      <c r="L4" s="312"/>
      <c r="M4" s="309"/>
      <c r="N4" s="153"/>
      <c r="O4" s="153"/>
      <c r="P4" s="153"/>
      <c r="Q4" s="153"/>
      <c r="R4" s="153"/>
      <c r="S4" s="153"/>
      <c r="T4" s="153"/>
    </row>
    <row r="5" spans="1:20" ht="14.4" customHeight="1">
      <c r="A5" s="58"/>
      <c r="B5" s="317"/>
      <c r="C5" s="317"/>
      <c r="D5" s="879" t="s">
        <v>311</v>
      </c>
      <c r="E5" s="879"/>
      <c r="F5" s="879"/>
      <c r="G5" s="879"/>
      <c r="H5" s="879"/>
      <c r="I5" s="879"/>
      <c r="J5" s="879"/>
      <c r="K5" s="879"/>
      <c r="L5" s="879"/>
      <c r="M5" s="879"/>
      <c r="N5" s="879"/>
      <c r="O5" s="879"/>
      <c r="P5" s="879"/>
      <c r="Q5" s="879"/>
      <c r="R5" s="879"/>
      <c r="S5" s="879"/>
      <c r="T5" s="153"/>
    </row>
    <row r="6" spans="1:20" ht="14.4" customHeight="1">
      <c r="A6" s="58"/>
      <c r="B6" s="317"/>
      <c r="C6" s="317"/>
      <c r="D6" s="908">
        <v>5131</v>
      </c>
      <c r="E6" s="908"/>
      <c r="F6" s="879" t="s">
        <v>6</v>
      </c>
      <c r="G6" s="167">
        <v>6667</v>
      </c>
      <c r="H6" s="167">
        <v>9637</v>
      </c>
      <c r="I6" s="167">
        <v>3443</v>
      </c>
      <c r="J6" s="304"/>
      <c r="K6" s="323"/>
      <c r="L6" s="324"/>
      <c r="M6" s="304"/>
      <c r="N6" s="120"/>
      <c r="O6" s="120"/>
      <c r="P6" s="120"/>
      <c r="Q6" s="791" t="s">
        <v>294</v>
      </c>
      <c r="R6" s="792"/>
      <c r="S6" s="307" t="s">
        <v>136</v>
      </c>
      <c r="T6" s="153"/>
    </row>
    <row r="7" spans="1:20" ht="24" customHeight="1">
      <c r="A7" s="58"/>
      <c r="B7" s="141"/>
      <c r="C7" s="305" t="s">
        <v>334</v>
      </c>
      <c r="D7" s="161" t="s">
        <v>261</v>
      </c>
      <c r="E7" s="161" t="s">
        <v>280</v>
      </c>
      <c r="F7" s="879"/>
      <c r="G7" s="161" t="s">
        <v>278</v>
      </c>
      <c r="H7" s="161" t="s">
        <v>279</v>
      </c>
      <c r="I7" s="161" t="s">
        <v>4</v>
      </c>
      <c r="J7" s="304"/>
      <c r="K7" s="161" t="s">
        <v>282</v>
      </c>
      <c r="L7" s="161" t="s">
        <v>339</v>
      </c>
      <c r="M7" s="161" t="s">
        <v>283</v>
      </c>
      <c r="N7" s="325" t="s">
        <v>284</v>
      </c>
      <c r="O7" s="98"/>
      <c r="P7" s="326" t="s">
        <v>285</v>
      </c>
      <c r="Q7" s="307" t="s">
        <v>295</v>
      </c>
      <c r="R7" s="307" t="s">
        <v>296</v>
      </c>
      <c r="S7" s="307" t="s">
        <v>297</v>
      </c>
      <c r="T7" s="306" t="s">
        <v>334</v>
      </c>
    </row>
    <row r="8" spans="1:20" ht="25.2" customHeight="1">
      <c r="A8" s="58"/>
      <c r="B8" s="310"/>
      <c r="C8" s="244">
        <v>43465</v>
      </c>
      <c r="D8" s="318"/>
      <c r="E8" s="318"/>
      <c r="F8" s="318"/>
      <c r="G8" s="318"/>
      <c r="H8" s="318"/>
      <c r="I8" s="319"/>
      <c r="J8" s="297"/>
      <c r="K8" s="320"/>
      <c r="L8" s="318"/>
      <c r="M8" s="318"/>
      <c r="N8" s="319"/>
      <c r="O8" s="238"/>
      <c r="P8" s="321"/>
      <c r="Q8" s="322"/>
      <c r="R8" s="322"/>
      <c r="S8" s="322"/>
      <c r="T8" s="244">
        <v>43465</v>
      </c>
    </row>
    <row r="9" spans="1:20" ht="25.2" customHeight="1">
      <c r="A9" s="58"/>
      <c r="B9" s="141"/>
      <c r="C9" s="168">
        <v>43496</v>
      </c>
      <c r="D9" s="284"/>
      <c r="E9" s="284"/>
      <c r="F9" s="284"/>
      <c r="G9" s="284"/>
      <c r="H9" s="284"/>
      <c r="I9" s="294"/>
      <c r="J9" s="297"/>
      <c r="K9" s="295"/>
      <c r="L9" s="284"/>
      <c r="M9" s="284"/>
      <c r="N9" s="300"/>
      <c r="O9" s="303"/>
      <c r="P9" s="302"/>
      <c r="Q9" s="120"/>
      <c r="R9" s="120"/>
      <c r="S9" s="120"/>
      <c r="T9" s="168">
        <v>43496</v>
      </c>
    </row>
    <row r="10" spans="1:20" ht="25.2" customHeight="1">
      <c r="A10" s="127"/>
      <c r="B10" s="141"/>
      <c r="C10" s="168">
        <v>43524</v>
      </c>
      <c r="D10" s="284"/>
      <c r="E10" s="284"/>
      <c r="F10" s="284"/>
      <c r="G10" s="284"/>
      <c r="H10" s="284"/>
      <c r="I10" s="294"/>
      <c r="J10" s="297"/>
      <c r="K10" s="295"/>
      <c r="L10" s="284"/>
      <c r="M10" s="284"/>
      <c r="N10" s="300"/>
      <c r="O10" s="303"/>
      <c r="P10" s="302"/>
      <c r="Q10" s="120"/>
      <c r="R10" s="120"/>
      <c r="S10" s="120"/>
      <c r="T10" s="168">
        <v>43524</v>
      </c>
    </row>
    <row r="11" spans="1:20" ht="25.2" customHeight="1">
      <c r="A11" s="127"/>
      <c r="B11" s="141"/>
      <c r="C11" s="168">
        <v>43555</v>
      </c>
      <c r="D11" s="284"/>
      <c r="E11" s="284"/>
      <c r="F11" s="284"/>
      <c r="G11" s="284"/>
      <c r="H11" s="284"/>
      <c r="I11" s="294"/>
      <c r="J11" s="297"/>
      <c r="K11" s="295"/>
      <c r="L11" s="284"/>
      <c r="M11" s="284"/>
      <c r="N11" s="300"/>
      <c r="O11" s="303"/>
      <c r="P11" s="302"/>
      <c r="Q11" s="120"/>
      <c r="R11" s="120"/>
      <c r="S11" s="120"/>
      <c r="T11" s="168">
        <v>43555</v>
      </c>
    </row>
    <row r="12" spans="1:20" ht="25.2" customHeight="1">
      <c r="A12" s="127"/>
      <c r="B12" s="141"/>
      <c r="C12" s="168">
        <v>43585</v>
      </c>
      <c r="D12" s="284"/>
      <c r="E12" s="284"/>
      <c r="F12" s="284"/>
      <c r="G12" s="284"/>
      <c r="H12" s="284"/>
      <c r="I12" s="294"/>
      <c r="J12" s="297"/>
      <c r="K12" s="295"/>
      <c r="L12" s="284"/>
      <c r="M12" s="284"/>
      <c r="N12" s="300"/>
      <c r="O12" s="303"/>
      <c r="P12" s="302"/>
      <c r="Q12" s="120"/>
      <c r="R12" s="120"/>
      <c r="S12" s="120"/>
      <c r="T12" s="168">
        <v>43585</v>
      </c>
    </row>
    <row r="13" spans="1:20" ht="25.2" customHeight="1">
      <c r="A13" s="127"/>
      <c r="B13" s="141"/>
      <c r="C13" s="173">
        <v>43616</v>
      </c>
      <c r="D13" s="284"/>
      <c r="E13" s="284"/>
      <c r="F13" s="284"/>
      <c r="G13" s="284"/>
      <c r="H13" s="284"/>
      <c r="I13" s="294"/>
      <c r="J13" s="298"/>
      <c r="K13" s="295"/>
      <c r="L13" s="284"/>
      <c r="M13" s="284"/>
      <c r="N13" s="300"/>
      <c r="O13" s="233"/>
      <c r="P13" s="302"/>
      <c r="Q13" s="120"/>
      <c r="R13" s="120"/>
      <c r="S13" s="120"/>
      <c r="T13" s="173">
        <v>43616</v>
      </c>
    </row>
    <row r="14" spans="1:20" ht="25.2" customHeight="1">
      <c r="A14" s="127"/>
      <c r="B14" s="141"/>
      <c r="C14" s="173">
        <v>43646</v>
      </c>
      <c r="D14" s="284"/>
      <c r="E14" s="284"/>
      <c r="F14" s="284"/>
      <c r="G14" s="284"/>
      <c r="H14" s="284"/>
      <c r="I14" s="294"/>
      <c r="J14" s="298"/>
      <c r="K14" s="295"/>
      <c r="L14" s="284"/>
      <c r="M14" s="284"/>
      <c r="N14" s="300"/>
      <c r="O14" s="303"/>
      <c r="P14" s="302"/>
      <c r="Q14" s="120"/>
      <c r="R14" s="120"/>
      <c r="S14" s="120"/>
      <c r="T14" s="173">
        <v>43646</v>
      </c>
    </row>
    <row r="15" spans="1:20" ht="25.2" customHeight="1">
      <c r="A15" s="127"/>
      <c r="B15" s="141"/>
      <c r="C15" s="173">
        <v>43677</v>
      </c>
      <c r="D15" s="284"/>
      <c r="E15" s="284"/>
      <c r="F15" s="284"/>
      <c r="G15" s="284"/>
      <c r="H15" s="284"/>
      <c r="I15" s="294"/>
      <c r="J15" s="298"/>
      <c r="K15" s="295"/>
      <c r="L15" s="284"/>
      <c r="M15" s="284"/>
      <c r="N15" s="300"/>
      <c r="O15" s="303"/>
      <c r="P15" s="302"/>
      <c r="Q15" s="120"/>
      <c r="R15" s="120"/>
      <c r="S15" s="120"/>
      <c r="T15" s="173">
        <v>43677</v>
      </c>
    </row>
    <row r="16" spans="1:20" ht="25.2" customHeight="1">
      <c r="A16" s="127"/>
      <c r="B16" s="141"/>
      <c r="C16" s="173">
        <v>43708</v>
      </c>
      <c r="D16" s="284"/>
      <c r="E16" s="284"/>
      <c r="F16" s="284"/>
      <c r="G16" s="284"/>
      <c r="H16" s="284"/>
      <c r="I16" s="294"/>
      <c r="J16" s="298"/>
      <c r="K16" s="295"/>
      <c r="L16" s="284"/>
      <c r="M16" s="284"/>
      <c r="N16" s="300"/>
      <c r="O16" s="233"/>
      <c r="P16" s="302"/>
      <c r="Q16" s="120"/>
      <c r="R16" s="120"/>
      <c r="S16" s="120"/>
      <c r="T16" s="173">
        <v>43708</v>
      </c>
    </row>
    <row r="17" spans="1:20" ht="25.2" customHeight="1">
      <c r="A17" s="127"/>
      <c r="B17" s="141"/>
      <c r="C17" s="168">
        <v>43738</v>
      </c>
      <c r="D17" s="284"/>
      <c r="E17" s="284"/>
      <c r="F17" s="284"/>
      <c r="G17" s="284"/>
      <c r="H17" s="284"/>
      <c r="I17" s="294"/>
      <c r="J17" s="297"/>
      <c r="K17" s="295"/>
      <c r="L17" s="284"/>
      <c r="M17" s="284"/>
      <c r="N17" s="300"/>
      <c r="O17" s="303"/>
      <c r="P17" s="302"/>
      <c r="Q17" s="120"/>
      <c r="R17" s="120"/>
      <c r="S17" s="120"/>
      <c r="T17" s="168">
        <v>43738</v>
      </c>
    </row>
    <row r="18" spans="1:20" ht="25.2" customHeight="1">
      <c r="A18" s="127"/>
      <c r="B18" s="141"/>
      <c r="C18" s="168">
        <v>43769</v>
      </c>
      <c r="D18" s="284"/>
      <c r="E18" s="284"/>
      <c r="F18" s="284"/>
      <c r="G18" s="284"/>
      <c r="H18" s="284"/>
      <c r="I18" s="294"/>
      <c r="J18" s="297"/>
      <c r="K18" s="295"/>
      <c r="L18" s="284"/>
      <c r="M18" s="284"/>
      <c r="N18" s="300"/>
      <c r="O18" s="303"/>
      <c r="P18" s="302"/>
      <c r="Q18" s="120"/>
      <c r="R18" s="120"/>
      <c r="S18" s="120"/>
      <c r="T18" s="168">
        <v>43769</v>
      </c>
    </row>
    <row r="19" spans="1:20" ht="25.2" customHeight="1">
      <c r="A19" s="127"/>
      <c r="B19" s="141"/>
      <c r="C19" s="168">
        <v>43799</v>
      </c>
      <c r="D19" s="284"/>
      <c r="E19" s="284"/>
      <c r="F19" s="284"/>
      <c r="G19" s="284"/>
      <c r="H19" s="284"/>
      <c r="I19" s="294"/>
      <c r="J19" s="297"/>
      <c r="K19" s="295"/>
      <c r="L19" s="284"/>
      <c r="M19" s="284"/>
      <c r="N19" s="300"/>
      <c r="O19" s="303"/>
      <c r="P19" s="302"/>
      <c r="Q19" s="120"/>
      <c r="R19" s="120"/>
      <c r="S19" s="120"/>
      <c r="T19" s="168">
        <v>43799</v>
      </c>
    </row>
    <row r="20" spans="1:20" ht="25.2" customHeight="1">
      <c r="A20" s="58"/>
      <c r="B20" s="59"/>
      <c r="C20" s="244">
        <v>43830</v>
      </c>
      <c r="D20" s="283"/>
      <c r="E20" s="283"/>
      <c r="F20" s="283"/>
      <c r="G20" s="283"/>
      <c r="H20" s="283"/>
      <c r="I20" s="293"/>
      <c r="J20" s="297"/>
      <c r="K20" s="314"/>
      <c r="L20" s="283"/>
      <c r="M20" s="283"/>
      <c r="N20" s="293"/>
      <c r="O20" s="238"/>
      <c r="P20" s="315"/>
      <c r="Q20" s="245"/>
      <c r="R20" s="134"/>
      <c r="S20" s="316"/>
      <c r="T20" s="244">
        <v>43830</v>
      </c>
    </row>
    <row r="21" spans="1:20" ht="25.2" customHeight="1">
      <c r="A21" s="291"/>
      <c r="B21" s="292"/>
      <c r="C21" s="272">
        <v>43861</v>
      </c>
      <c r="D21" s="284"/>
      <c r="E21" s="284"/>
      <c r="F21" s="284"/>
      <c r="G21" s="284"/>
      <c r="H21" s="284"/>
      <c r="I21" s="294"/>
      <c r="J21" s="297"/>
      <c r="K21" s="295"/>
      <c r="L21" s="284"/>
      <c r="M21" s="284"/>
      <c r="N21" s="300"/>
      <c r="O21" s="303"/>
      <c r="P21" s="302"/>
      <c r="Q21" s="132"/>
      <c r="R21" s="120"/>
      <c r="S21" s="228"/>
      <c r="T21" s="272">
        <v>43861</v>
      </c>
    </row>
    <row r="22" spans="1:20" ht="25.2" customHeight="1">
      <c r="A22" s="291"/>
      <c r="B22" s="292"/>
      <c r="C22" s="272">
        <v>43890</v>
      </c>
      <c r="D22" s="284"/>
      <c r="E22" s="284"/>
      <c r="F22" s="284"/>
      <c r="G22" s="284"/>
      <c r="H22" s="284"/>
      <c r="I22" s="294"/>
      <c r="J22" s="298"/>
      <c r="K22" s="295"/>
      <c r="L22" s="284"/>
      <c r="M22" s="284"/>
      <c r="N22" s="300"/>
      <c r="O22" s="303"/>
      <c r="P22" s="302"/>
      <c r="Q22" s="132"/>
      <c r="R22" s="120"/>
      <c r="S22" s="228"/>
      <c r="T22" s="272">
        <v>43890</v>
      </c>
    </row>
    <row r="23" spans="1:20" ht="25.2" customHeight="1">
      <c r="A23" s="58"/>
      <c r="B23" s="59"/>
      <c r="C23" s="173">
        <v>43921</v>
      </c>
      <c r="D23" s="284"/>
      <c r="E23" s="284"/>
      <c r="F23" s="284"/>
      <c r="G23" s="284"/>
      <c r="H23" s="284"/>
      <c r="I23" s="294"/>
      <c r="J23" s="298"/>
      <c r="K23" s="295"/>
      <c r="L23" s="284"/>
      <c r="M23" s="284"/>
      <c r="N23" s="300"/>
      <c r="O23" s="303"/>
      <c r="P23" s="302"/>
      <c r="Q23" s="132"/>
      <c r="R23" s="120"/>
      <c r="S23" s="228"/>
      <c r="T23" s="173">
        <v>43921</v>
      </c>
    </row>
    <row r="24" spans="1:20" ht="25.2" customHeight="1">
      <c r="A24" s="127"/>
      <c r="B24" s="141"/>
      <c r="C24" s="173">
        <v>43951</v>
      </c>
      <c r="D24" s="284"/>
      <c r="E24" s="284"/>
      <c r="F24" s="284"/>
      <c r="G24" s="284"/>
      <c r="H24" s="284"/>
      <c r="I24" s="294"/>
      <c r="J24" s="298"/>
      <c r="K24" s="295"/>
      <c r="L24" s="284"/>
      <c r="M24" s="284"/>
      <c r="N24" s="300"/>
      <c r="O24" s="233"/>
      <c r="P24" s="302"/>
      <c r="Q24" s="120"/>
      <c r="R24" s="120"/>
      <c r="S24" s="228"/>
      <c r="T24" s="173">
        <v>43951</v>
      </c>
    </row>
    <row r="25" spans="1:20" ht="25.2" customHeight="1">
      <c r="A25" s="127"/>
      <c r="B25" s="141"/>
      <c r="C25" s="173">
        <v>43982</v>
      </c>
      <c r="D25" s="284"/>
      <c r="E25" s="284"/>
      <c r="F25" s="284"/>
      <c r="G25" s="284"/>
      <c r="H25" s="284"/>
      <c r="I25" s="294"/>
      <c r="J25" s="298"/>
      <c r="K25" s="295"/>
      <c r="L25" s="284"/>
      <c r="M25" s="284"/>
      <c r="N25" s="300"/>
      <c r="O25" s="303"/>
      <c r="P25" s="302"/>
      <c r="Q25" s="120"/>
      <c r="R25" s="120"/>
      <c r="S25" s="228"/>
      <c r="T25" s="173">
        <v>43982</v>
      </c>
    </row>
    <row r="26" spans="1:20" ht="25.2" customHeight="1">
      <c r="A26" s="127"/>
      <c r="B26" s="141"/>
      <c r="C26" s="173">
        <v>44012</v>
      </c>
      <c r="D26" s="284"/>
      <c r="E26" s="284"/>
      <c r="F26" s="284"/>
      <c r="G26" s="284"/>
      <c r="H26" s="284"/>
      <c r="I26" s="294"/>
      <c r="J26" s="298"/>
      <c r="K26" s="295"/>
      <c r="L26" s="284"/>
      <c r="M26" s="284"/>
      <c r="N26" s="300"/>
      <c r="O26" s="303"/>
      <c r="P26" s="302"/>
      <c r="Q26" s="120"/>
      <c r="R26" s="120"/>
      <c r="S26" s="228"/>
      <c r="T26" s="173">
        <v>44012</v>
      </c>
    </row>
    <row r="27" spans="1:20" ht="25.2" customHeight="1">
      <c r="A27" s="127"/>
      <c r="B27" s="141"/>
      <c r="C27" s="173">
        <v>44043</v>
      </c>
      <c r="D27" s="284"/>
      <c r="E27" s="284"/>
      <c r="F27" s="284"/>
      <c r="G27" s="284"/>
      <c r="H27" s="284"/>
      <c r="I27" s="294"/>
      <c r="J27" s="298"/>
      <c r="K27" s="295"/>
      <c r="L27" s="284"/>
      <c r="M27" s="284"/>
      <c r="N27" s="300"/>
      <c r="O27" s="303"/>
      <c r="P27" s="302"/>
      <c r="Q27" s="120"/>
      <c r="R27" s="120"/>
      <c r="S27" s="228"/>
      <c r="T27" s="173">
        <v>44043</v>
      </c>
    </row>
    <row r="28" spans="1:20" ht="25.2" customHeight="1">
      <c r="A28" s="127"/>
      <c r="B28" s="141"/>
      <c r="C28" s="173">
        <v>44074</v>
      </c>
      <c r="D28" s="284"/>
      <c r="E28" s="284"/>
      <c r="F28" s="284"/>
      <c r="G28" s="284"/>
      <c r="H28" s="284"/>
      <c r="I28" s="294"/>
      <c r="J28" s="299"/>
      <c r="K28" s="295"/>
      <c r="L28" s="284"/>
      <c r="M28" s="284"/>
      <c r="N28" s="300"/>
      <c r="O28" s="303"/>
      <c r="P28" s="302"/>
      <c r="Q28" s="120"/>
      <c r="R28" s="120"/>
      <c r="S28" s="228"/>
      <c r="T28" s="173">
        <v>44074</v>
      </c>
    </row>
    <row r="29" spans="1:20" ht="25.2" customHeight="1">
      <c r="A29" s="127"/>
      <c r="B29" s="141"/>
      <c r="C29" s="173">
        <v>44104</v>
      </c>
      <c r="D29" s="284"/>
      <c r="E29" s="284"/>
      <c r="F29" s="284"/>
      <c r="G29" s="284"/>
      <c r="H29" s="284"/>
      <c r="I29" s="294"/>
      <c r="J29" s="299"/>
      <c r="K29" s="295"/>
      <c r="L29" s="284"/>
      <c r="M29" s="284"/>
      <c r="N29" s="300"/>
      <c r="O29" s="303"/>
      <c r="P29" s="302"/>
      <c r="Q29" s="120"/>
      <c r="R29" s="120"/>
      <c r="S29" s="228"/>
      <c r="T29" s="173">
        <v>44104</v>
      </c>
    </row>
    <row r="30" spans="1:20" ht="25.2" customHeight="1">
      <c r="A30" s="127"/>
      <c r="B30" s="141"/>
      <c r="C30" s="173">
        <v>44135</v>
      </c>
      <c r="D30" s="284"/>
      <c r="E30" s="284"/>
      <c r="F30" s="284"/>
      <c r="G30" s="284"/>
      <c r="H30" s="284"/>
      <c r="I30" s="294"/>
      <c r="J30" s="298"/>
      <c r="K30" s="295"/>
      <c r="L30" s="284"/>
      <c r="M30" s="284"/>
      <c r="N30" s="300"/>
      <c r="O30" s="233"/>
      <c r="P30" s="302"/>
      <c r="Q30" s="120"/>
      <c r="R30" s="120"/>
      <c r="S30" s="228"/>
      <c r="T30" s="173">
        <v>44135</v>
      </c>
    </row>
    <row r="31" spans="1:20" ht="25.2" customHeight="1">
      <c r="A31" s="127"/>
      <c r="B31" s="141"/>
      <c r="C31" s="173">
        <v>44165</v>
      </c>
      <c r="D31" s="284"/>
      <c r="E31" s="284"/>
      <c r="F31" s="284"/>
      <c r="G31" s="284"/>
      <c r="H31" s="284"/>
      <c r="I31" s="294"/>
      <c r="J31" s="298"/>
      <c r="K31" s="295"/>
      <c r="L31" s="284"/>
      <c r="M31" s="284"/>
      <c r="N31" s="300"/>
      <c r="O31" s="303"/>
      <c r="P31" s="302"/>
      <c r="Q31" s="120"/>
      <c r="R31" s="120"/>
      <c r="S31" s="228"/>
      <c r="T31" s="173">
        <v>44165</v>
      </c>
    </row>
    <row r="32" spans="1:20" ht="25.2" customHeight="1">
      <c r="A32" s="127"/>
      <c r="B32" s="141"/>
      <c r="C32" s="244">
        <v>44196</v>
      </c>
      <c r="D32" s="283"/>
      <c r="E32" s="283"/>
      <c r="F32" s="283"/>
      <c r="G32" s="283"/>
      <c r="H32" s="283"/>
      <c r="I32" s="293"/>
      <c r="J32" s="298"/>
      <c r="K32" s="314"/>
      <c r="L32" s="283"/>
      <c r="M32" s="283"/>
      <c r="N32" s="293"/>
      <c r="O32" s="238"/>
      <c r="P32" s="315"/>
      <c r="Q32" s="134"/>
      <c r="R32" s="134"/>
      <c r="S32" s="316"/>
      <c r="T32" s="244">
        <v>44196</v>
      </c>
    </row>
  </sheetData>
  <mergeCells count="6">
    <mergeCell ref="Q2:S2"/>
    <mergeCell ref="D3:I3"/>
    <mergeCell ref="D5:S5"/>
    <mergeCell ref="D6:E6"/>
    <mergeCell ref="F6:F7"/>
    <mergeCell ref="Q6:R6"/>
  </mergeCells>
  <pageMargins left="0.11811023622047245" right="0.11811023622047245" top="0.31496062992125984" bottom="0.35433070866141736" header="0.31496062992125984" footer="0.11811023622047245"/>
  <pageSetup paperSize="9" scale="77" orientation="landscape" horizontalDpi="0" verticalDpi="0" r:id="rId1"/>
  <headerFooter>
    <oddFooter>&amp;CFichier : &amp;F - Edité le &amp;D à &amp;T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H59"/>
  <sheetViews>
    <sheetView workbookViewId="0">
      <selection activeCell="L10" sqref="L10"/>
    </sheetView>
  </sheetViews>
  <sheetFormatPr baseColWidth="10" defaultRowHeight="14.4"/>
  <cols>
    <col min="1" max="1" width="14.44140625" style="10" customWidth="1"/>
    <col min="2" max="2" width="14.44140625" customWidth="1"/>
    <col min="3" max="3" width="56.77734375" customWidth="1"/>
    <col min="4" max="4" width="4.109375" customWidth="1"/>
    <col min="5" max="9" width="14.44140625" customWidth="1"/>
  </cols>
  <sheetData>
    <row r="1" spans="1:8" s="348" customFormat="1" ht="28.8">
      <c r="A1" s="912" t="s">
        <v>368</v>
      </c>
      <c r="B1" s="912"/>
      <c r="C1" s="912"/>
      <c r="D1" s="912"/>
      <c r="E1" s="912"/>
      <c r="F1" s="912"/>
      <c r="G1" s="912"/>
      <c r="H1" s="912"/>
    </row>
    <row r="2" spans="1:8" ht="25.8">
      <c r="A2" s="916" t="s">
        <v>198</v>
      </c>
      <c r="B2" s="917"/>
      <c r="C2" s="917"/>
      <c r="D2" s="917"/>
      <c r="E2" s="917"/>
      <c r="F2" s="917"/>
      <c r="G2" s="917"/>
      <c r="H2" s="918"/>
    </row>
    <row r="3" spans="1:8" ht="18">
      <c r="A3" s="909" t="s">
        <v>174</v>
      </c>
      <c r="B3" s="910"/>
      <c r="C3" s="910"/>
      <c r="D3" s="910"/>
      <c r="E3" s="910"/>
      <c r="F3" s="910"/>
      <c r="G3" s="910"/>
      <c r="H3" s="911"/>
    </row>
    <row r="4" spans="1:8" ht="31.2">
      <c r="A4" s="45" t="s">
        <v>0</v>
      </c>
      <c r="B4" s="45" t="s">
        <v>151</v>
      </c>
      <c r="C4" s="45" t="s">
        <v>6</v>
      </c>
      <c r="D4" s="46"/>
      <c r="E4" s="46" t="s">
        <v>153</v>
      </c>
      <c r="F4" s="46" t="s">
        <v>154</v>
      </c>
      <c r="G4" s="45" t="s">
        <v>27</v>
      </c>
      <c r="H4" s="46" t="s">
        <v>155</v>
      </c>
    </row>
    <row r="5" spans="1:8" ht="28.8" customHeight="1">
      <c r="A5" s="50" t="s">
        <v>156</v>
      </c>
      <c r="B5" s="48" t="s">
        <v>175</v>
      </c>
      <c r="C5" s="48" t="s">
        <v>176</v>
      </c>
      <c r="D5" s="47"/>
      <c r="E5" s="47"/>
      <c r="F5" s="50" t="s">
        <v>223</v>
      </c>
      <c r="G5" s="47"/>
      <c r="H5" s="47"/>
    </row>
    <row r="6" spans="1:8" ht="28.8">
      <c r="A6" s="50" t="s">
        <v>156</v>
      </c>
      <c r="B6" s="48" t="s">
        <v>177</v>
      </c>
      <c r="C6" s="49" t="s">
        <v>178</v>
      </c>
      <c r="D6" s="47"/>
      <c r="E6" s="47"/>
      <c r="F6" s="47"/>
      <c r="G6" s="50" t="s">
        <v>219</v>
      </c>
      <c r="H6" s="50" t="s">
        <v>179</v>
      </c>
    </row>
    <row r="7" spans="1:8" ht="28.8">
      <c r="A7" s="50" t="s">
        <v>179</v>
      </c>
      <c r="B7" s="48" t="s">
        <v>177</v>
      </c>
      <c r="C7" s="48" t="s">
        <v>180</v>
      </c>
      <c r="D7" s="47"/>
      <c r="E7" s="47"/>
      <c r="F7" s="47"/>
      <c r="G7" s="50" t="s">
        <v>226</v>
      </c>
      <c r="H7" s="50" t="s">
        <v>203</v>
      </c>
    </row>
    <row r="8" spans="1:8" ht="28.8">
      <c r="A8" s="50" t="s">
        <v>203</v>
      </c>
      <c r="B8" s="48" t="s">
        <v>177</v>
      </c>
      <c r="C8" s="48" t="s">
        <v>183</v>
      </c>
      <c r="D8" s="50"/>
      <c r="E8" s="50" t="s">
        <v>226</v>
      </c>
      <c r="F8" s="47"/>
      <c r="G8" s="47"/>
      <c r="H8" s="50"/>
    </row>
    <row r="9" spans="1:8" ht="15.6">
      <c r="A9" s="47"/>
      <c r="B9" s="48"/>
      <c r="C9" s="45" t="s">
        <v>184</v>
      </c>
      <c r="D9" s="47"/>
      <c r="E9" s="47"/>
      <c r="F9" s="47"/>
      <c r="G9" s="47"/>
      <c r="H9" s="47"/>
    </row>
    <row r="10" spans="1:8" ht="28.8">
      <c r="A10" s="50" t="s">
        <v>156</v>
      </c>
      <c r="B10" s="48" t="s">
        <v>175</v>
      </c>
      <c r="C10" s="48" t="s">
        <v>176</v>
      </c>
      <c r="D10" s="47"/>
      <c r="E10" s="47"/>
      <c r="F10" s="50" t="s">
        <v>223</v>
      </c>
      <c r="G10" s="47"/>
      <c r="H10" s="47"/>
    </row>
    <row r="11" spans="1:8" ht="28.8">
      <c r="A11" s="50" t="s">
        <v>156</v>
      </c>
      <c r="B11" s="48" t="s">
        <v>177</v>
      </c>
      <c r="C11" s="48" t="s">
        <v>158</v>
      </c>
      <c r="D11" s="47"/>
      <c r="E11" s="47"/>
      <c r="F11" s="47"/>
      <c r="G11" s="50" t="s">
        <v>219</v>
      </c>
      <c r="H11" s="50" t="s">
        <v>164</v>
      </c>
    </row>
    <row r="12" spans="1:8" ht="28.8">
      <c r="A12" s="50" t="s">
        <v>161</v>
      </c>
      <c r="B12" s="48" t="s">
        <v>185</v>
      </c>
      <c r="C12" s="48" t="s">
        <v>186</v>
      </c>
      <c r="D12" s="47"/>
      <c r="E12" s="47"/>
      <c r="F12" s="50" t="s">
        <v>220</v>
      </c>
      <c r="G12" s="47"/>
      <c r="H12" s="47"/>
    </row>
    <row r="13" spans="1:8" ht="28.8">
      <c r="A13" s="50" t="s">
        <v>187</v>
      </c>
      <c r="B13" s="48" t="s">
        <v>177</v>
      </c>
      <c r="C13" s="48" t="s">
        <v>163</v>
      </c>
      <c r="D13" s="47"/>
      <c r="E13" s="47"/>
      <c r="F13" s="47"/>
      <c r="G13" s="50" t="s">
        <v>220</v>
      </c>
      <c r="H13" s="50" t="s">
        <v>164</v>
      </c>
    </row>
    <row r="14" spans="1:8" ht="28.8">
      <c r="A14" s="50" t="s">
        <v>164</v>
      </c>
      <c r="B14" s="48" t="s">
        <v>177</v>
      </c>
      <c r="C14" s="48" t="s">
        <v>188</v>
      </c>
      <c r="D14" s="47"/>
      <c r="E14" s="47"/>
      <c r="F14" s="47"/>
      <c r="G14" s="50" t="s">
        <v>221</v>
      </c>
      <c r="H14" s="50" t="s">
        <v>166</v>
      </c>
    </row>
    <row r="15" spans="1:8" ht="28.8">
      <c r="A15" s="50" t="s">
        <v>166</v>
      </c>
      <c r="B15" s="48" t="s">
        <v>177</v>
      </c>
      <c r="C15" s="48" t="s">
        <v>189</v>
      </c>
      <c r="D15" s="47"/>
      <c r="E15" s="47"/>
      <c r="F15" s="47"/>
      <c r="G15" s="50" t="s">
        <v>221</v>
      </c>
      <c r="H15" s="50" t="s">
        <v>206</v>
      </c>
    </row>
    <row r="16" spans="1:8" ht="28.8">
      <c r="A16" s="50" t="s">
        <v>206</v>
      </c>
      <c r="B16" s="48" t="s">
        <v>190</v>
      </c>
      <c r="C16" s="48" t="s">
        <v>204</v>
      </c>
      <c r="D16" s="47"/>
      <c r="E16" s="47"/>
      <c r="F16" s="47"/>
      <c r="G16" s="50" t="s">
        <v>221</v>
      </c>
      <c r="H16" s="50" t="s">
        <v>181</v>
      </c>
    </row>
    <row r="17" spans="1:8" ht="28.8">
      <c r="A17" s="50" t="s">
        <v>181</v>
      </c>
      <c r="B17" s="48" t="s">
        <v>190</v>
      </c>
      <c r="C17" s="48" t="s">
        <v>205</v>
      </c>
      <c r="D17" s="50"/>
      <c r="E17" s="50" t="s">
        <v>232</v>
      </c>
      <c r="F17" s="47"/>
      <c r="G17" s="47"/>
      <c r="H17" s="50"/>
    </row>
    <row r="18" spans="1:8" ht="28.8">
      <c r="A18" s="50" t="s">
        <v>181</v>
      </c>
      <c r="B18" s="48" t="s">
        <v>190</v>
      </c>
      <c r="C18" s="48" t="s">
        <v>191</v>
      </c>
      <c r="D18" s="47"/>
      <c r="E18" s="47"/>
      <c r="F18" s="47"/>
      <c r="G18" s="50" t="s">
        <v>233</v>
      </c>
      <c r="H18" s="50" t="s">
        <v>192</v>
      </c>
    </row>
    <row r="19" spans="1:8" ht="28.8">
      <c r="A19" s="50" t="s">
        <v>192</v>
      </c>
      <c r="B19" s="48" t="s">
        <v>190</v>
      </c>
      <c r="C19" s="48" t="s">
        <v>193</v>
      </c>
      <c r="D19" s="50"/>
      <c r="E19" s="50" t="s">
        <v>233</v>
      </c>
      <c r="F19" s="47"/>
      <c r="G19" s="47"/>
      <c r="H19" s="47"/>
    </row>
    <row r="20" spans="1:8">
      <c r="A20" s="42"/>
      <c r="B20" s="43"/>
      <c r="C20" s="44"/>
      <c r="D20" s="43"/>
      <c r="E20" s="43"/>
      <c r="F20" s="43"/>
      <c r="G20" s="43"/>
      <c r="H20" s="43"/>
    </row>
    <row r="21" spans="1:8" ht="18" customHeight="1">
      <c r="A21" s="913" t="s">
        <v>207</v>
      </c>
      <c r="B21" s="914"/>
      <c r="C21" s="914"/>
      <c r="D21" s="914"/>
      <c r="E21" s="914"/>
      <c r="F21" s="914"/>
      <c r="G21" s="914"/>
      <c r="H21" s="915"/>
    </row>
    <row r="22" spans="1:8" s="55" customFormat="1" ht="28.8" customHeight="1">
      <c r="A22" s="45" t="s">
        <v>0</v>
      </c>
      <c r="B22" s="45" t="s">
        <v>151</v>
      </c>
      <c r="C22" s="45" t="s">
        <v>6</v>
      </c>
      <c r="D22" s="46"/>
      <c r="E22" s="46" t="s">
        <v>153</v>
      </c>
      <c r="F22" s="46" t="s">
        <v>154</v>
      </c>
      <c r="G22" s="45" t="s">
        <v>27</v>
      </c>
      <c r="H22" s="46" t="s">
        <v>155</v>
      </c>
    </row>
    <row r="23" spans="1:8" ht="28.8" customHeight="1">
      <c r="A23" s="50" t="s">
        <v>156</v>
      </c>
      <c r="B23" s="48" t="s">
        <v>175</v>
      </c>
      <c r="C23" s="48" t="s">
        <v>216</v>
      </c>
      <c r="D23" s="47"/>
      <c r="E23" s="47"/>
      <c r="F23" s="47" t="s">
        <v>159</v>
      </c>
      <c r="G23" s="47"/>
      <c r="H23" s="47"/>
    </row>
    <row r="24" spans="1:8" ht="28.8" customHeight="1">
      <c r="A24" s="50" t="s">
        <v>156</v>
      </c>
      <c r="B24" s="48" t="s">
        <v>177</v>
      </c>
      <c r="C24" s="49" t="s">
        <v>158</v>
      </c>
      <c r="D24" s="47"/>
      <c r="E24" s="47"/>
      <c r="F24" s="47"/>
      <c r="G24" s="50" t="s">
        <v>219</v>
      </c>
      <c r="H24" s="50" t="s">
        <v>179</v>
      </c>
    </row>
    <row r="25" spans="1:8" ht="28.8" customHeight="1">
      <c r="A25" s="50" t="s">
        <v>156</v>
      </c>
      <c r="B25" s="48" t="s">
        <v>182</v>
      </c>
      <c r="C25" s="49" t="s">
        <v>160</v>
      </c>
      <c r="D25" s="47"/>
      <c r="E25" s="47"/>
      <c r="F25" s="47"/>
      <c r="G25" s="50" t="s">
        <v>220</v>
      </c>
      <c r="H25" s="50" t="s">
        <v>208</v>
      </c>
    </row>
    <row r="26" spans="1:8" ht="28.8" customHeight="1">
      <c r="A26" s="50" t="s">
        <v>209</v>
      </c>
      <c r="B26" s="48" t="s">
        <v>177</v>
      </c>
      <c r="C26" s="49" t="s">
        <v>217</v>
      </c>
      <c r="D26" s="47"/>
      <c r="E26" s="47"/>
      <c r="F26" s="47"/>
      <c r="G26" s="50" t="s">
        <v>221</v>
      </c>
      <c r="H26" s="50" t="s">
        <v>203</v>
      </c>
    </row>
    <row r="27" spans="1:8" ht="28.8" customHeight="1">
      <c r="A27" s="50" t="s">
        <v>210</v>
      </c>
      <c r="B27" s="48" t="s">
        <v>182</v>
      </c>
      <c r="C27" s="49" t="s">
        <v>218</v>
      </c>
      <c r="D27" s="47"/>
      <c r="E27" s="47"/>
      <c r="F27" s="47"/>
      <c r="G27" s="50" t="s">
        <v>222</v>
      </c>
      <c r="H27" s="50" t="s">
        <v>215</v>
      </c>
    </row>
    <row r="28" spans="1:8" ht="28.8" customHeight="1">
      <c r="A28" s="50" t="s">
        <v>211</v>
      </c>
      <c r="B28" s="48" t="s">
        <v>177</v>
      </c>
      <c r="C28" s="49" t="s">
        <v>213</v>
      </c>
      <c r="D28" s="50"/>
      <c r="E28" s="50" t="s">
        <v>221</v>
      </c>
      <c r="F28" s="47"/>
      <c r="G28" s="47"/>
      <c r="H28" s="50"/>
    </row>
    <row r="29" spans="1:8" ht="28.8" customHeight="1">
      <c r="A29" s="50" t="s">
        <v>212</v>
      </c>
      <c r="B29" s="48" t="s">
        <v>182</v>
      </c>
      <c r="C29" s="49" t="s">
        <v>214</v>
      </c>
      <c r="D29" s="50"/>
      <c r="E29" s="50" t="s">
        <v>222</v>
      </c>
      <c r="F29" s="47"/>
      <c r="G29" s="47"/>
      <c r="H29" s="50"/>
    </row>
    <row r="30" spans="1:8">
      <c r="A30" s="51"/>
      <c r="B30" s="52"/>
      <c r="C30" s="53"/>
      <c r="D30" s="52"/>
      <c r="E30" s="52"/>
      <c r="F30" s="52"/>
      <c r="G30" s="52"/>
      <c r="H30" s="54"/>
    </row>
    <row r="31" spans="1:8" ht="18">
      <c r="A31" s="909" t="s">
        <v>194</v>
      </c>
      <c r="B31" s="910"/>
      <c r="C31" s="910"/>
      <c r="D31" s="910"/>
      <c r="E31" s="910"/>
      <c r="F31" s="910"/>
      <c r="G31" s="910"/>
      <c r="H31" s="911"/>
    </row>
    <row r="32" spans="1:8" ht="31.2">
      <c r="A32" s="45" t="s">
        <v>0</v>
      </c>
      <c r="B32" s="45" t="s">
        <v>151</v>
      </c>
      <c r="C32" s="45" t="s">
        <v>152</v>
      </c>
      <c r="D32" s="46"/>
      <c r="E32" s="46" t="s">
        <v>153</v>
      </c>
      <c r="F32" s="46" t="s">
        <v>154</v>
      </c>
      <c r="G32" s="45" t="s">
        <v>27</v>
      </c>
      <c r="H32" s="46" t="s">
        <v>155</v>
      </c>
    </row>
    <row r="33" spans="1:8" ht="28.8">
      <c r="A33" s="50" t="s">
        <v>156</v>
      </c>
      <c r="B33" s="47" t="s">
        <v>157</v>
      </c>
      <c r="C33" s="48" t="s">
        <v>158</v>
      </c>
      <c r="D33" s="47"/>
      <c r="E33" s="47"/>
      <c r="F33" s="50" t="s">
        <v>223</v>
      </c>
      <c r="G33" s="47"/>
      <c r="H33" s="47"/>
    </row>
    <row r="34" spans="1:8" ht="28.8">
      <c r="A34" s="50" t="s">
        <v>169</v>
      </c>
      <c r="B34" s="47" t="s">
        <v>157</v>
      </c>
      <c r="C34" s="48" t="s">
        <v>195</v>
      </c>
      <c r="D34" s="47"/>
      <c r="E34" s="47"/>
      <c r="F34" s="47"/>
      <c r="G34" s="50" t="s">
        <v>224</v>
      </c>
      <c r="H34" s="50" t="s">
        <v>161</v>
      </c>
    </row>
    <row r="35" spans="1:8" ht="28.8">
      <c r="A35" s="50" t="s">
        <v>161</v>
      </c>
      <c r="B35" s="47" t="s">
        <v>157</v>
      </c>
      <c r="C35" s="49" t="s">
        <v>196</v>
      </c>
      <c r="D35" s="47"/>
      <c r="E35" s="47"/>
      <c r="F35" s="50" t="s">
        <v>225</v>
      </c>
      <c r="G35" s="47"/>
      <c r="H35" s="47"/>
    </row>
    <row r="36" spans="1:8" ht="28.8">
      <c r="A36" s="50" t="s">
        <v>161</v>
      </c>
      <c r="B36" s="47" t="s">
        <v>162</v>
      </c>
      <c r="C36" s="48" t="s">
        <v>163</v>
      </c>
      <c r="D36" s="47"/>
      <c r="E36" s="47"/>
      <c r="F36" s="47"/>
      <c r="G36" s="50" t="s">
        <v>226</v>
      </c>
      <c r="H36" s="50" t="s">
        <v>164</v>
      </c>
    </row>
    <row r="37" spans="1:8" ht="28.8">
      <c r="A37" s="50" t="s">
        <v>164</v>
      </c>
      <c r="B37" s="47" t="s">
        <v>162</v>
      </c>
      <c r="C37" s="48" t="s">
        <v>165</v>
      </c>
      <c r="D37" s="47"/>
      <c r="E37" s="47"/>
      <c r="F37" s="47"/>
      <c r="G37" s="50" t="s">
        <v>222</v>
      </c>
      <c r="H37" s="50" t="s">
        <v>166</v>
      </c>
    </row>
    <row r="38" spans="1:8" ht="28.8">
      <c r="A38" s="50" t="s">
        <v>166</v>
      </c>
      <c r="B38" s="47" t="s">
        <v>162</v>
      </c>
      <c r="C38" s="48" t="s">
        <v>167</v>
      </c>
      <c r="D38" s="50"/>
      <c r="E38" s="50" t="s">
        <v>222</v>
      </c>
      <c r="F38" s="47"/>
      <c r="G38" s="47"/>
      <c r="H38" s="47"/>
    </row>
    <row r="39" spans="1:8">
      <c r="A39" s="50"/>
      <c r="B39" s="47"/>
      <c r="C39" s="48"/>
      <c r="D39" s="47"/>
      <c r="E39" s="47"/>
      <c r="F39" s="47"/>
      <c r="G39" s="47"/>
      <c r="H39" s="47"/>
    </row>
    <row r="40" spans="1:8" ht="15.6">
      <c r="A40" s="47"/>
      <c r="B40" s="47"/>
      <c r="C40" s="45" t="s">
        <v>168</v>
      </c>
      <c r="D40" s="47"/>
      <c r="E40" s="47"/>
      <c r="F40" s="47"/>
      <c r="G40" s="47"/>
      <c r="H40" s="47"/>
    </row>
    <row r="41" spans="1:8" ht="28.8">
      <c r="A41" s="50" t="s">
        <v>156</v>
      </c>
      <c r="B41" s="47" t="s">
        <v>157</v>
      </c>
      <c r="C41" s="48" t="s">
        <v>158</v>
      </c>
      <c r="D41" s="47"/>
      <c r="E41" s="47"/>
      <c r="F41" s="50" t="s">
        <v>223</v>
      </c>
      <c r="G41" s="47"/>
      <c r="H41" s="47"/>
    </row>
    <row r="42" spans="1:8" ht="28.8">
      <c r="A42" s="50" t="s">
        <v>169</v>
      </c>
      <c r="B42" s="47" t="s">
        <v>157</v>
      </c>
      <c r="C42" s="48" t="s">
        <v>195</v>
      </c>
      <c r="D42" s="47"/>
      <c r="E42" s="47"/>
      <c r="F42" s="47"/>
      <c r="G42" s="50" t="s">
        <v>228</v>
      </c>
      <c r="H42" s="50" t="s">
        <v>161</v>
      </c>
    </row>
    <row r="43" spans="1:8" ht="28.8">
      <c r="A43" s="50" t="s">
        <v>161</v>
      </c>
      <c r="B43" s="47" t="s">
        <v>157</v>
      </c>
      <c r="C43" s="49" t="s">
        <v>197</v>
      </c>
      <c r="D43" s="47"/>
      <c r="E43" s="47"/>
      <c r="F43" s="47"/>
      <c r="G43" s="47"/>
      <c r="H43" s="47"/>
    </row>
    <row r="44" spans="1:8" ht="28.8">
      <c r="A44" s="50" t="s">
        <v>161</v>
      </c>
      <c r="B44" s="47" t="s">
        <v>157</v>
      </c>
      <c r="C44" s="49" t="s">
        <v>170</v>
      </c>
      <c r="D44" s="47"/>
      <c r="E44" s="47"/>
      <c r="F44" s="47"/>
      <c r="G44" s="50" t="s">
        <v>229</v>
      </c>
      <c r="H44" s="50" t="s">
        <v>171</v>
      </c>
    </row>
    <row r="45" spans="1:8" ht="28.8">
      <c r="A45" s="50" t="s">
        <v>161</v>
      </c>
      <c r="B45" s="47" t="s">
        <v>162</v>
      </c>
      <c r="C45" s="48" t="s">
        <v>163</v>
      </c>
      <c r="D45" s="47"/>
      <c r="E45" s="47"/>
      <c r="F45" s="47"/>
      <c r="G45" s="50" t="s">
        <v>220</v>
      </c>
      <c r="H45" s="50" t="s">
        <v>164</v>
      </c>
    </row>
    <row r="46" spans="1:8" ht="28.8">
      <c r="A46" s="50" t="s">
        <v>164</v>
      </c>
      <c r="B46" s="47" t="s">
        <v>162</v>
      </c>
      <c r="C46" s="48" t="s">
        <v>165</v>
      </c>
      <c r="D46" s="47"/>
      <c r="E46" s="47"/>
      <c r="F46" s="47"/>
      <c r="G46" s="50" t="s">
        <v>227</v>
      </c>
      <c r="H46" s="50" t="s">
        <v>166</v>
      </c>
    </row>
    <row r="47" spans="1:8" ht="28.8">
      <c r="A47" s="50" t="s">
        <v>166</v>
      </c>
      <c r="B47" s="47" t="s">
        <v>162</v>
      </c>
      <c r="C47" s="48" t="s">
        <v>167</v>
      </c>
      <c r="D47" s="50"/>
      <c r="E47" s="50" t="s">
        <v>222</v>
      </c>
      <c r="F47" s="47"/>
      <c r="G47" s="47"/>
      <c r="H47" s="47"/>
    </row>
    <row r="48" spans="1:8" ht="28.8">
      <c r="A48" s="50" t="s">
        <v>172</v>
      </c>
      <c r="B48" s="47" t="s">
        <v>157</v>
      </c>
      <c r="C48" s="48" t="s">
        <v>173</v>
      </c>
      <c r="D48" s="47"/>
      <c r="E48" s="47"/>
      <c r="F48" s="50" t="s">
        <v>230</v>
      </c>
      <c r="G48" s="47"/>
      <c r="H48" s="47"/>
    </row>
    <row r="50" spans="1:8" ht="18">
      <c r="A50" s="909" t="s">
        <v>199</v>
      </c>
      <c r="B50" s="910"/>
      <c r="C50" s="910"/>
      <c r="D50" s="910"/>
      <c r="E50" s="910"/>
      <c r="F50" s="910"/>
      <c r="G50" s="910"/>
      <c r="H50" s="911"/>
    </row>
    <row r="51" spans="1:8" ht="31.2">
      <c r="A51" s="45" t="s">
        <v>0</v>
      </c>
      <c r="B51" s="45" t="s">
        <v>151</v>
      </c>
      <c r="C51" s="45" t="s">
        <v>152</v>
      </c>
      <c r="D51" s="46"/>
      <c r="E51" s="46" t="s">
        <v>153</v>
      </c>
      <c r="F51" s="46" t="s">
        <v>154</v>
      </c>
      <c r="G51" s="45" t="s">
        <v>27</v>
      </c>
      <c r="H51" s="46" t="s">
        <v>155</v>
      </c>
    </row>
    <row r="52" spans="1:8" s="55" customFormat="1" ht="28.8" customHeight="1">
      <c r="A52" s="50" t="s">
        <v>200</v>
      </c>
      <c r="B52" s="47" t="s">
        <v>157</v>
      </c>
      <c r="C52" s="47" t="s">
        <v>201</v>
      </c>
      <c r="D52" s="47"/>
      <c r="E52" s="47"/>
      <c r="F52" s="50" t="s">
        <v>223</v>
      </c>
      <c r="G52" s="47"/>
      <c r="H52" s="47"/>
    </row>
    <row r="53" spans="1:8" s="55" customFormat="1" ht="28.8" customHeight="1">
      <c r="A53" s="50" t="s">
        <v>166</v>
      </c>
      <c r="B53" s="47" t="s">
        <v>162</v>
      </c>
      <c r="C53" s="47" t="s">
        <v>202</v>
      </c>
      <c r="D53" s="50"/>
      <c r="E53" s="50" t="s">
        <v>231</v>
      </c>
      <c r="F53" s="47"/>
      <c r="G53" s="47"/>
      <c r="H53" s="47"/>
    </row>
    <row r="54" spans="1:8" s="56" customFormat="1" ht="28.8" customHeight="1"/>
    <row r="55" spans="1:8" s="341" customFormat="1" ht="28.8" customHeight="1"/>
    <row r="56" spans="1:8" s="12" customFormat="1"/>
    <row r="57" spans="1:8">
      <c r="A57"/>
    </row>
    <row r="58" spans="1:8">
      <c r="A58"/>
    </row>
    <row r="59" spans="1:8">
      <c r="A59"/>
    </row>
  </sheetData>
  <mergeCells count="6">
    <mergeCell ref="A50:H50"/>
    <mergeCell ref="A1:H1"/>
    <mergeCell ref="A3:H3"/>
    <mergeCell ref="A31:H31"/>
    <mergeCell ref="A21:H21"/>
    <mergeCell ref="A2:H2"/>
  </mergeCells>
  <pageMargins left="0.7" right="0.7" top="0.75" bottom="0.75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>
    <pageSetUpPr fitToPage="1"/>
  </sheetPr>
  <dimension ref="A1:J53"/>
  <sheetViews>
    <sheetView workbookViewId="0">
      <selection activeCell="C11" sqref="C11"/>
    </sheetView>
  </sheetViews>
  <sheetFormatPr baseColWidth="10" defaultRowHeight="14.4"/>
  <cols>
    <col min="1" max="1" width="3.6640625" bestFit="1" customWidth="1"/>
    <col min="2" max="3" width="16.6640625" customWidth="1"/>
    <col min="4" max="4" width="46.109375" customWidth="1"/>
    <col min="5" max="5" width="4.6640625" customWidth="1"/>
    <col min="6" max="7" width="22.21875" customWidth="1"/>
    <col min="8" max="8" width="24.44140625" customWidth="1"/>
    <col min="9" max="9" width="16.6640625" customWidth="1"/>
    <col min="10" max="10" width="22.21875" customWidth="1"/>
  </cols>
  <sheetData>
    <row r="1" spans="1:10" ht="23.4">
      <c r="B1" s="920" t="s">
        <v>413</v>
      </c>
      <c r="C1" s="920"/>
      <c r="D1" s="920"/>
      <c r="E1" s="920"/>
      <c r="F1" s="920"/>
      <c r="G1" s="920"/>
      <c r="H1" s="920"/>
      <c r="I1" s="920"/>
      <c r="J1" s="920"/>
    </row>
    <row r="2" spans="1:10" ht="18">
      <c r="B2" s="919" t="s">
        <v>408</v>
      </c>
      <c r="C2" s="919"/>
      <c r="D2" s="919"/>
      <c r="E2" s="919"/>
      <c r="F2" s="919"/>
      <c r="G2" s="919"/>
      <c r="H2" s="919"/>
      <c r="I2" s="919"/>
      <c r="J2" s="919"/>
    </row>
    <row r="3" spans="1:10" ht="62.4">
      <c r="B3" s="45" t="s">
        <v>0</v>
      </c>
      <c r="C3" s="46" t="s">
        <v>348</v>
      </c>
      <c r="D3" s="45" t="s">
        <v>7</v>
      </c>
      <c r="E3" s="342" t="s">
        <v>27</v>
      </c>
      <c r="F3" s="46" t="s">
        <v>352</v>
      </c>
      <c r="G3" s="46" t="s">
        <v>353</v>
      </c>
      <c r="H3" s="45" t="s">
        <v>27</v>
      </c>
      <c r="I3" s="46" t="s">
        <v>357</v>
      </c>
      <c r="J3" s="346" t="s">
        <v>356</v>
      </c>
    </row>
    <row r="4" spans="1:10" ht="15.6">
      <c r="A4" s="350" t="s">
        <v>378</v>
      </c>
      <c r="B4" s="45" t="s">
        <v>361</v>
      </c>
      <c r="C4" s="46" t="s">
        <v>11</v>
      </c>
      <c r="D4" s="45" t="s">
        <v>362</v>
      </c>
      <c r="E4" s="46" t="s">
        <v>363</v>
      </c>
      <c r="F4" s="46" t="s">
        <v>364</v>
      </c>
      <c r="G4" s="46" t="s">
        <v>365</v>
      </c>
      <c r="H4" s="45" t="s">
        <v>314</v>
      </c>
      <c r="I4" s="46" t="s">
        <v>366</v>
      </c>
      <c r="J4" s="344" t="s">
        <v>367</v>
      </c>
    </row>
    <row r="5" spans="1:10" ht="43.2" customHeight="1">
      <c r="B5" s="50" t="s">
        <v>358</v>
      </c>
      <c r="C5" s="47" t="s">
        <v>157</v>
      </c>
      <c r="D5" s="343" t="s">
        <v>350</v>
      </c>
      <c r="E5" s="50" t="s">
        <v>404</v>
      </c>
      <c r="F5" s="47"/>
      <c r="G5" s="50" t="s">
        <v>370</v>
      </c>
      <c r="H5" s="50" t="s">
        <v>407</v>
      </c>
      <c r="I5" s="50" t="s">
        <v>354</v>
      </c>
      <c r="J5" s="345" t="s">
        <v>405</v>
      </c>
    </row>
    <row r="6" spans="1:10" ht="43.2">
      <c r="B6" s="50" t="s">
        <v>359</v>
      </c>
      <c r="C6" s="47" t="s">
        <v>349</v>
      </c>
      <c r="D6" s="343" t="s">
        <v>351</v>
      </c>
      <c r="E6" s="50" t="s">
        <v>402</v>
      </c>
      <c r="F6" s="50" t="s">
        <v>369</v>
      </c>
      <c r="G6" s="47" t="s">
        <v>371</v>
      </c>
      <c r="H6" s="47" t="s">
        <v>371</v>
      </c>
      <c r="I6" s="47" t="s">
        <v>371</v>
      </c>
      <c r="J6" s="47" t="s">
        <v>371</v>
      </c>
    </row>
    <row r="8" spans="1:10" ht="15" thickBot="1"/>
    <row r="9" spans="1:10" s="347" customFormat="1" ht="58.2" thickBot="1">
      <c r="B9" s="922" t="s">
        <v>381</v>
      </c>
      <c r="C9" s="923"/>
      <c r="D9" s="924"/>
      <c r="F9" s="921" t="s">
        <v>360</v>
      </c>
      <c r="G9" s="921"/>
      <c r="J9" s="351" t="s">
        <v>406</v>
      </c>
    </row>
    <row r="11" spans="1:10" s="347" customFormat="1" ht="21.6" customHeight="1">
      <c r="E11" s="362" t="s">
        <v>401</v>
      </c>
      <c r="F11" s="48" t="s">
        <v>400</v>
      </c>
      <c r="G11" s="930" t="s">
        <v>409</v>
      </c>
      <c r="H11" s="931"/>
      <c r="I11" s="931"/>
      <c r="J11" s="931"/>
    </row>
    <row r="12" spans="1:10" s="347" customFormat="1" ht="21.6" customHeight="1">
      <c r="E12" s="362" t="s">
        <v>402</v>
      </c>
      <c r="F12" s="48" t="s">
        <v>403</v>
      </c>
      <c r="G12" s="931"/>
      <c r="H12" s="931"/>
      <c r="I12" s="931"/>
      <c r="J12" s="931"/>
    </row>
    <row r="14" spans="1:10" ht="23.4">
      <c r="B14" s="920" t="s">
        <v>413</v>
      </c>
      <c r="C14" s="920"/>
      <c r="D14" s="920"/>
      <c r="E14" s="920"/>
      <c r="F14" s="920"/>
      <c r="G14" s="920"/>
      <c r="H14" s="920"/>
      <c r="I14" s="920"/>
      <c r="J14" s="920"/>
    </row>
    <row r="15" spans="1:10" ht="18">
      <c r="B15" s="919" t="s">
        <v>387</v>
      </c>
      <c r="C15" s="919"/>
      <c r="D15" s="919"/>
      <c r="E15" s="919"/>
      <c r="F15" s="928"/>
      <c r="G15" s="928"/>
      <c r="H15" s="919"/>
      <c r="I15" s="919"/>
      <c r="J15" s="919"/>
    </row>
    <row r="16" spans="1:10" ht="62.4">
      <c r="B16" s="45" t="s">
        <v>0</v>
      </c>
      <c r="C16" s="46" t="s">
        <v>348</v>
      </c>
      <c r="D16" s="45" t="s">
        <v>7</v>
      </c>
      <c r="E16" s="364" t="s">
        <v>27</v>
      </c>
      <c r="F16" s="46" t="s">
        <v>352</v>
      </c>
      <c r="G16" s="46" t="s">
        <v>353</v>
      </c>
      <c r="H16" s="367" t="s">
        <v>27</v>
      </c>
      <c r="I16" s="46" t="s">
        <v>357</v>
      </c>
      <c r="J16" s="346" t="s">
        <v>356</v>
      </c>
    </row>
    <row r="17" spans="1:10" ht="15.6">
      <c r="A17" s="350" t="s">
        <v>378</v>
      </c>
      <c r="B17" s="45" t="s">
        <v>361</v>
      </c>
      <c r="C17" s="46" t="s">
        <v>11</v>
      </c>
      <c r="D17" s="45" t="s">
        <v>362</v>
      </c>
      <c r="E17" s="365" t="s">
        <v>363</v>
      </c>
      <c r="F17" s="46" t="s">
        <v>364</v>
      </c>
      <c r="G17" s="46" t="s">
        <v>365</v>
      </c>
      <c r="H17" s="367" t="s">
        <v>314</v>
      </c>
      <c r="I17" s="46" t="s">
        <v>366</v>
      </c>
      <c r="J17" s="344" t="s">
        <v>367</v>
      </c>
    </row>
    <row r="18" spans="1:10" ht="43.2" customHeight="1">
      <c r="B18" s="50" t="s">
        <v>358</v>
      </c>
      <c r="C18" s="362" t="s">
        <v>157</v>
      </c>
      <c r="D18" s="369" t="s">
        <v>418</v>
      </c>
      <c r="E18" s="366"/>
      <c r="F18" s="362"/>
      <c r="G18" s="50" t="s">
        <v>370</v>
      </c>
      <c r="H18" s="368" t="s">
        <v>371</v>
      </c>
      <c r="I18" s="362" t="s">
        <v>371</v>
      </c>
      <c r="J18" s="362" t="s">
        <v>371</v>
      </c>
    </row>
    <row r="19" spans="1:10" ht="43.2">
      <c r="B19" s="50" t="s">
        <v>384</v>
      </c>
      <c r="C19" s="362" t="s">
        <v>157</v>
      </c>
      <c r="D19" s="343" t="s">
        <v>386</v>
      </c>
      <c r="E19" s="363"/>
      <c r="F19" s="50" t="s">
        <v>369</v>
      </c>
      <c r="G19" s="362"/>
      <c r="H19" s="368" t="s">
        <v>371</v>
      </c>
      <c r="I19" s="362" t="s">
        <v>371</v>
      </c>
      <c r="J19" s="362" t="s">
        <v>371</v>
      </c>
    </row>
    <row r="20" spans="1:10">
      <c r="F20" s="12"/>
      <c r="G20" s="12"/>
    </row>
    <row r="21" spans="1:10" ht="15" thickBot="1">
      <c r="F21" s="12"/>
      <c r="G21" s="12"/>
    </row>
    <row r="22" spans="1:10" ht="58.2" thickBot="1">
      <c r="A22" s="347"/>
      <c r="B22" s="922" t="s">
        <v>385</v>
      </c>
      <c r="C22" s="923"/>
      <c r="D22" s="924"/>
      <c r="E22" s="347"/>
      <c r="F22" s="921" t="s">
        <v>360</v>
      </c>
      <c r="G22" s="921"/>
      <c r="H22" s="347"/>
      <c r="I22" s="347"/>
      <c r="J22" s="351" t="s">
        <v>406</v>
      </c>
    </row>
    <row r="24" spans="1:10" s="347" customFormat="1" ht="21.6" customHeight="1">
      <c r="E24" s="370" t="s">
        <v>414</v>
      </c>
      <c r="F24" s="371" t="s">
        <v>415</v>
      </c>
      <c r="G24" s="372"/>
      <c r="H24" s="372"/>
      <c r="I24" s="372"/>
      <c r="J24" s="372"/>
    </row>
    <row r="25" spans="1:10" s="347" customFormat="1" ht="21.6" customHeight="1">
      <c r="E25" s="370" t="s">
        <v>416</v>
      </c>
      <c r="F25" s="371" t="s">
        <v>417</v>
      </c>
      <c r="G25" s="372"/>
      <c r="H25" s="372"/>
      <c r="I25" s="372"/>
      <c r="J25" s="372"/>
    </row>
    <row r="26" spans="1:10" s="347" customFormat="1" ht="21.6" customHeight="1">
      <c r="E26" s="370" t="s">
        <v>419</v>
      </c>
      <c r="F26" s="371" t="s">
        <v>421</v>
      </c>
      <c r="G26" s="372"/>
      <c r="H26" s="372"/>
      <c r="I26" s="372"/>
      <c r="J26" s="372"/>
    </row>
    <row r="27" spans="1:10" s="347" customFormat="1" ht="21.6" customHeight="1">
      <c r="E27" s="370" t="s">
        <v>420</v>
      </c>
      <c r="F27" s="371" t="s">
        <v>422</v>
      </c>
      <c r="G27" s="372"/>
      <c r="H27" s="372"/>
      <c r="I27" s="372"/>
      <c r="J27" s="372"/>
    </row>
    <row r="29" spans="1:10" ht="23.4">
      <c r="B29" s="920" t="s">
        <v>413</v>
      </c>
      <c r="C29" s="920"/>
      <c r="D29" s="920"/>
      <c r="E29" s="920"/>
      <c r="F29" s="920"/>
      <c r="G29" s="920"/>
      <c r="H29" s="920"/>
      <c r="I29" s="920"/>
      <c r="J29" s="920"/>
    </row>
    <row r="30" spans="1:10" ht="18">
      <c r="B30" s="919" t="s">
        <v>388</v>
      </c>
      <c r="C30" s="919"/>
      <c r="D30" s="919"/>
      <c r="E30" s="919"/>
      <c r="F30" s="928"/>
      <c r="G30" s="928"/>
      <c r="H30" s="919"/>
      <c r="I30" s="919"/>
      <c r="J30" s="919"/>
    </row>
    <row r="31" spans="1:10" ht="62.4">
      <c r="B31" s="45" t="s">
        <v>0</v>
      </c>
      <c r="C31" s="46" t="s">
        <v>348</v>
      </c>
      <c r="D31" s="45" t="s">
        <v>7</v>
      </c>
      <c r="E31" s="364" t="s">
        <v>27</v>
      </c>
      <c r="F31" s="46" t="s">
        <v>352</v>
      </c>
      <c r="G31" s="46" t="s">
        <v>353</v>
      </c>
      <c r="H31" s="367" t="s">
        <v>27</v>
      </c>
      <c r="I31" s="46" t="s">
        <v>357</v>
      </c>
      <c r="J31" s="346" t="s">
        <v>356</v>
      </c>
    </row>
    <row r="32" spans="1:10" ht="15.6">
      <c r="A32" s="350" t="s">
        <v>378</v>
      </c>
      <c r="B32" s="45" t="s">
        <v>361</v>
      </c>
      <c r="C32" s="46" t="s">
        <v>11</v>
      </c>
      <c r="D32" s="45" t="s">
        <v>362</v>
      </c>
      <c r="E32" s="365" t="s">
        <v>363</v>
      </c>
      <c r="F32" s="46" t="s">
        <v>364</v>
      </c>
      <c r="G32" s="46" t="s">
        <v>365</v>
      </c>
      <c r="H32" s="367" t="s">
        <v>314</v>
      </c>
      <c r="I32" s="46" t="s">
        <v>366</v>
      </c>
      <c r="J32" s="344" t="s">
        <v>367</v>
      </c>
    </row>
    <row r="33" spans="1:10" ht="43.2" customHeight="1">
      <c r="B33" s="50" t="s">
        <v>383</v>
      </c>
      <c r="C33" s="362" t="s">
        <v>157</v>
      </c>
      <c r="D33" s="343" t="s">
        <v>412</v>
      </c>
      <c r="E33" s="366"/>
      <c r="F33" s="362" t="s">
        <v>371</v>
      </c>
      <c r="G33" s="50" t="s">
        <v>390</v>
      </c>
      <c r="H33" s="368" t="s">
        <v>371</v>
      </c>
      <c r="I33" s="362" t="s">
        <v>371</v>
      </c>
      <c r="J33" s="362" t="s">
        <v>371</v>
      </c>
    </row>
    <row r="34" spans="1:10" ht="43.2" customHeight="1">
      <c r="B34" s="50" t="s">
        <v>389</v>
      </c>
      <c r="C34" s="362" t="s">
        <v>157</v>
      </c>
      <c r="D34" s="343" t="s">
        <v>411</v>
      </c>
      <c r="E34" s="363"/>
      <c r="F34" s="362" t="s">
        <v>371</v>
      </c>
      <c r="G34" s="50" t="s">
        <v>391</v>
      </c>
      <c r="H34" s="368" t="s">
        <v>371</v>
      </c>
      <c r="I34" s="362" t="s">
        <v>371</v>
      </c>
      <c r="J34" s="362" t="s">
        <v>371</v>
      </c>
    </row>
    <row r="35" spans="1:10">
      <c r="F35" s="12"/>
      <c r="G35" s="12"/>
    </row>
    <row r="36" spans="1:10" ht="15" thickBot="1">
      <c r="F36" s="12"/>
      <c r="G36" s="12"/>
    </row>
    <row r="37" spans="1:10" ht="58.2" thickBot="1">
      <c r="A37" s="347"/>
      <c r="B37" s="922" t="s">
        <v>385</v>
      </c>
      <c r="C37" s="923"/>
      <c r="D37" s="924"/>
      <c r="E37" s="347"/>
      <c r="F37" s="921" t="s">
        <v>360</v>
      </c>
      <c r="G37" s="921"/>
      <c r="H37" s="347"/>
      <c r="I37" s="347"/>
      <c r="J37" s="351" t="s">
        <v>406</v>
      </c>
    </row>
    <row r="39" spans="1:10">
      <c r="E39" s="4" t="s">
        <v>392</v>
      </c>
      <c r="F39" s="361" t="s">
        <v>394</v>
      </c>
      <c r="G39" s="929" t="s">
        <v>410</v>
      </c>
      <c r="H39" s="929"/>
      <c r="I39" s="929"/>
      <c r="J39" s="929"/>
    </row>
    <row r="40" spans="1:10">
      <c r="E40" s="4" t="s">
        <v>393</v>
      </c>
      <c r="F40" s="361" t="s">
        <v>395</v>
      </c>
      <c r="G40" s="929"/>
      <c r="H40" s="929"/>
      <c r="I40" s="929"/>
      <c r="J40" s="929"/>
    </row>
    <row r="41" spans="1:10">
      <c r="E41" s="4" t="s">
        <v>396</v>
      </c>
      <c r="F41" s="361" t="s">
        <v>398</v>
      </c>
      <c r="G41" s="929"/>
      <c r="H41" s="929"/>
      <c r="I41" s="929"/>
      <c r="J41" s="929"/>
    </row>
    <row r="42" spans="1:10">
      <c r="E42" s="4" t="s">
        <v>397</v>
      </c>
      <c r="F42" s="361" t="s">
        <v>399</v>
      </c>
      <c r="G42" s="929"/>
      <c r="H42" s="929"/>
      <c r="I42" s="929"/>
      <c r="J42" s="929"/>
    </row>
    <row r="44" spans="1:10" ht="54" customHeight="1">
      <c r="B44" s="925" t="s">
        <v>382</v>
      </c>
      <c r="C44" s="926"/>
      <c r="D44" s="926"/>
      <c r="E44" s="926"/>
      <c r="F44" s="926"/>
      <c r="G44" s="926"/>
      <c r="H44" s="926"/>
      <c r="I44" s="926"/>
      <c r="J44" s="927"/>
    </row>
    <row r="45" spans="1:10" ht="62.4">
      <c r="B45" s="45" t="s">
        <v>0</v>
      </c>
      <c r="C45" s="46" t="s">
        <v>348</v>
      </c>
      <c r="D45" s="45" t="s">
        <v>7</v>
      </c>
      <c r="E45" s="342" t="s">
        <v>27</v>
      </c>
      <c r="F45" s="46" t="s">
        <v>352</v>
      </c>
      <c r="G45" s="46" t="s">
        <v>353</v>
      </c>
      <c r="H45" s="45" t="s">
        <v>27</v>
      </c>
      <c r="I45" s="46" t="s">
        <v>357</v>
      </c>
      <c r="J45" s="346" t="s">
        <v>356</v>
      </c>
    </row>
    <row r="46" spans="1:10" ht="15.6">
      <c r="A46" s="350" t="s">
        <v>378</v>
      </c>
      <c r="B46" s="45" t="s">
        <v>361</v>
      </c>
      <c r="C46" s="46" t="s">
        <v>11</v>
      </c>
      <c r="D46" s="45" t="s">
        <v>362</v>
      </c>
      <c r="E46" s="46" t="s">
        <v>363</v>
      </c>
      <c r="F46" s="46" t="s">
        <v>364</v>
      </c>
      <c r="G46" s="46" t="s">
        <v>365</v>
      </c>
      <c r="H46" s="45" t="s">
        <v>314</v>
      </c>
      <c r="I46" s="46" t="s">
        <v>366</v>
      </c>
      <c r="J46" s="344" t="s">
        <v>367</v>
      </c>
    </row>
    <row r="47" spans="1:10" ht="43.2">
      <c r="B47" s="50" t="s">
        <v>358</v>
      </c>
      <c r="C47" s="47" t="s">
        <v>157</v>
      </c>
      <c r="D47" s="343" t="s">
        <v>375</v>
      </c>
      <c r="E47" s="47" t="s">
        <v>12</v>
      </c>
      <c r="F47" s="47"/>
      <c r="G47" s="50" t="s">
        <v>372</v>
      </c>
      <c r="H47" s="349" t="s">
        <v>373</v>
      </c>
      <c r="I47" s="50" t="s">
        <v>354</v>
      </c>
      <c r="J47" s="345" t="s">
        <v>355</v>
      </c>
    </row>
    <row r="48" spans="1:10" ht="43.2">
      <c r="B48" s="50" t="s">
        <v>359</v>
      </c>
      <c r="C48" s="47" t="s">
        <v>349</v>
      </c>
      <c r="D48" s="343" t="s">
        <v>376</v>
      </c>
      <c r="E48" s="50" t="s">
        <v>12</v>
      </c>
      <c r="F48" s="50" t="s">
        <v>374</v>
      </c>
      <c r="G48" s="47" t="s">
        <v>371</v>
      </c>
      <c r="H48" s="47" t="s">
        <v>371</v>
      </c>
      <c r="I48" s="47" t="s">
        <v>371</v>
      </c>
      <c r="J48" s="47" t="s">
        <v>371</v>
      </c>
    </row>
    <row r="50" spans="1:10" ht="15" thickBot="1"/>
    <row r="51" spans="1:10" ht="58.2" thickBot="1">
      <c r="A51" s="347"/>
      <c r="B51" s="933" t="s">
        <v>380</v>
      </c>
      <c r="C51" s="933"/>
      <c r="D51" s="933"/>
      <c r="E51" s="347"/>
      <c r="F51" s="921" t="s">
        <v>360</v>
      </c>
      <c r="G51" s="921"/>
      <c r="H51" s="50" t="s">
        <v>379</v>
      </c>
      <c r="I51" s="347"/>
      <c r="J51" s="351" t="s">
        <v>406</v>
      </c>
    </row>
    <row r="53" spans="1:10">
      <c r="E53" s="932" t="s">
        <v>377</v>
      </c>
      <c r="F53" s="932"/>
      <c r="G53" s="932"/>
      <c r="H53" s="932"/>
      <c r="I53" s="932"/>
      <c r="J53" s="932"/>
    </row>
  </sheetData>
  <mergeCells count="18">
    <mergeCell ref="E53:J53"/>
    <mergeCell ref="B51:D51"/>
    <mergeCell ref="F51:G51"/>
    <mergeCell ref="B2:J2"/>
    <mergeCell ref="B1:J1"/>
    <mergeCell ref="F9:G9"/>
    <mergeCell ref="B9:D9"/>
    <mergeCell ref="B44:J44"/>
    <mergeCell ref="B14:J14"/>
    <mergeCell ref="B15:J15"/>
    <mergeCell ref="B22:D22"/>
    <mergeCell ref="F22:G22"/>
    <mergeCell ref="B29:J29"/>
    <mergeCell ref="B30:J30"/>
    <mergeCell ref="B37:D37"/>
    <mergeCell ref="F37:G37"/>
    <mergeCell ref="G39:J42"/>
    <mergeCell ref="G11:J12"/>
  </mergeCells>
  <printOptions horizontalCentered="1" verticalCentered="1"/>
  <pageMargins left="0.23622047244094491" right="0.23622047244094491" top="0.27559055118110237" bottom="0.35433070866141736" header="0.11811023622047245" footer="0.11811023622047245"/>
  <pageSetup paperSize="9" scale="73" fitToHeight="2" orientation="landscape" horizontalDpi="0" verticalDpi="0" r:id="rId1"/>
  <headerFooter>
    <oddFooter>&amp;CFichier : Guy Chanrond - &amp;F - Edité le &amp;D à &amp;T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>
    <pageSetUpPr fitToPage="1"/>
  </sheetPr>
  <dimension ref="A1:L51"/>
  <sheetViews>
    <sheetView workbookViewId="0">
      <selection activeCell="L20" sqref="L20"/>
    </sheetView>
  </sheetViews>
  <sheetFormatPr baseColWidth="10" defaultRowHeight="14.4"/>
  <cols>
    <col min="1" max="1" width="11.21875" style="17" bestFit="1" customWidth="1"/>
    <col min="2" max="2" width="12" bestFit="1" customWidth="1"/>
    <col min="3" max="3" width="30.88671875" bestFit="1" customWidth="1"/>
    <col min="4" max="4" width="11.5546875" style="13"/>
    <col min="5" max="6" width="11.5546875" style="1"/>
    <col min="7" max="7" width="11.5546875" style="9"/>
    <col min="8" max="9" width="11.5546875" style="1"/>
    <col min="10" max="10" width="11.5546875" style="13"/>
    <col min="11" max="11" width="11.5546875" style="10"/>
    <col min="12" max="12" width="45.88671875" bestFit="1" customWidth="1"/>
  </cols>
  <sheetData>
    <row r="1" spans="1:12" ht="18">
      <c r="A1" s="934" t="s">
        <v>116</v>
      </c>
      <c r="B1" s="934"/>
      <c r="C1" s="934"/>
      <c r="D1" s="934"/>
      <c r="E1" s="934"/>
      <c r="F1" s="934"/>
      <c r="G1" s="934"/>
      <c r="H1" s="934"/>
      <c r="I1" s="934"/>
      <c r="J1" s="934"/>
      <c r="K1" s="934"/>
      <c r="L1" s="934"/>
    </row>
    <row r="2" spans="1:12" ht="6" customHeight="1">
      <c r="A2" s="935"/>
      <c r="B2" s="935"/>
      <c r="C2" s="935"/>
      <c r="D2" s="935"/>
      <c r="E2" s="935"/>
      <c r="F2" s="935"/>
      <c r="G2" s="935"/>
      <c r="H2" s="935"/>
      <c r="I2" s="935"/>
      <c r="J2" s="935"/>
      <c r="K2" s="935"/>
      <c r="L2" s="935"/>
    </row>
    <row r="3" spans="1:12" s="8" customFormat="1">
      <c r="A3" s="6" t="s">
        <v>0</v>
      </c>
      <c r="B3" s="7" t="s">
        <v>13</v>
      </c>
      <c r="C3" s="7" t="s">
        <v>14</v>
      </c>
      <c r="D3" s="14" t="s">
        <v>16</v>
      </c>
      <c r="E3" s="6" t="s">
        <v>28</v>
      </c>
      <c r="F3" s="6" t="s">
        <v>17</v>
      </c>
      <c r="G3" s="18" t="s">
        <v>29</v>
      </c>
      <c r="H3" s="6" t="s">
        <v>18</v>
      </c>
      <c r="I3" s="6" t="s">
        <v>19</v>
      </c>
      <c r="J3" s="14" t="s">
        <v>27</v>
      </c>
      <c r="K3" s="7" t="s">
        <v>112</v>
      </c>
      <c r="L3" s="7" t="s">
        <v>46</v>
      </c>
    </row>
    <row r="4" spans="1:12">
      <c r="A4" s="16">
        <v>42192</v>
      </c>
      <c r="B4" s="3" t="s">
        <v>20</v>
      </c>
      <c r="C4" s="3" t="s">
        <v>21</v>
      </c>
      <c r="D4" s="15">
        <v>300</v>
      </c>
      <c r="E4" s="2" t="s">
        <v>12</v>
      </c>
      <c r="F4" s="2" t="s">
        <v>54</v>
      </c>
      <c r="G4" s="21" t="s">
        <v>54</v>
      </c>
      <c r="H4" s="2"/>
      <c r="I4" s="2"/>
      <c r="J4" s="20">
        <f t="shared" ref="J4:J34" si="0">IF(OR(ISBLANK(E4),ISBLANK(F4),ISBLANK(H4),ISBLANK(I4)),D4,)</f>
        <v>300</v>
      </c>
      <c r="K4" s="20">
        <f>IF(A4&lt;&gt;0,SUM(J$4:J4),)</f>
        <v>300</v>
      </c>
      <c r="L4" s="3"/>
    </row>
    <row r="5" spans="1:12">
      <c r="A5" s="16">
        <v>42327</v>
      </c>
      <c r="B5" s="3" t="s">
        <v>22</v>
      </c>
      <c r="C5" s="3" t="s">
        <v>23</v>
      </c>
      <c r="D5" s="15">
        <v>120</v>
      </c>
      <c r="E5" s="2" t="s">
        <v>12</v>
      </c>
      <c r="F5" s="2" t="s">
        <v>12</v>
      </c>
      <c r="G5" s="21">
        <v>151119</v>
      </c>
      <c r="H5" s="2"/>
      <c r="I5" s="2"/>
      <c r="J5" s="20">
        <f t="shared" ref="J5:J20" si="1">IF(OR(ISBLANK(E5),ISBLANK(F5),ISBLANK(H5),ISBLANK(I5)),D5,)</f>
        <v>120</v>
      </c>
      <c r="K5" s="20">
        <f>IF(A5&lt;&gt;0,SUM(J$4:J5),)</f>
        <v>420</v>
      </c>
      <c r="L5" s="3"/>
    </row>
    <row r="6" spans="1:12">
      <c r="A6" s="16">
        <v>42358</v>
      </c>
      <c r="B6" s="3" t="s">
        <v>24</v>
      </c>
      <c r="C6" s="3" t="s">
        <v>25</v>
      </c>
      <c r="D6" s="15">
        <v>60</v>
      </c>
      <c r="E6" s="2" t="s">
        <v>12</v>
      </c>
      <c r="F6" s="2" t="s">
        <v>12</v>
      </c>
      <c r="G6" s="21">
        <v>151229</v>
      </c>
      <c r="H6" s="2">
        <v>42380</v>
      </c>
      <c r="I6" s="2">
        <v>42380</v>
      </c>
      <c r="J6" s="20">
        <f t="shared" si="1"/>
        <v>0</v>
      </c>
      <c r="K6" s="20">
        <f>IF(A6&lt;&gt;0,SUM(J$4:J6),)</f>
        <v>420</v>
      </c>
      <c r="L6" s="3"/>
    </row>
    <row r="7" spans="1:12">
      <c r="A7" s="16">
        <v>42376</v>
      </c>
      <c r="B7" s="3" t="s">
        <v>24</v>
      </c>
      <c r="C7" s="3" t="s">
        <v>26</v>
      </c>
      <c r="D7" s="15">
        <v>790</v>
      </c>
      <c r="E7" s="2" t="s">
        <v>12</v>
      </c>
      <c r="F7" s="2" t="s">
        <v>12</v>
      </c>
      <c r="G7" s="21">
        <v>160108</v>
      </c>
      <c r="H7" s="2">
        <v>42380</v>
      </c>
      <c r="I7" s="2">
        <v>42380</v>
      </c>
      <c r="J7" s="20">
        <f t="shared" si="1"/>
        <v>0</v>
      </c>
      <c r="K7" s="20">
        <f>IF(A7&lt;&gt;0,SUM(J$4:J7),)</f>
        <v>420</v>
      </c>
      <c r="L7" s="3"/>
    </row>
    <row r="8" spans="1:12">
      <c r="A8" s="16">
        <v>42134</v>
      </c>
      <c r="B8" s="19" t="s">
        <v>30</v>
      </c>
      <c r="C8" s="19" t="s">
        <v>31</v>
      </c>
      <c r="D8" s="40"/>
      <c r="E8" s="2" t="s">
        <v>62</v>
      </c>
      <c r="F8" s="2"/>
      <c r="G8" s="21"/>
      <c r="H8" s="2"/>
      <c r="I8" s="2"/>
      <c r="J8" s="20">
        <f t="shared" si="1"/>
        <v>0</v>
      </c>
      <c r="K8" s="20">
        <f>IF(A8&lt;&gt;0,SUM(J$4:J8),)</f>
        <v>420</v>
      </c>
      <c r="L8" s="3" t="s">
        <v>65</v>
      </c>
    </row>
    <row r="9" spans="1:12">
      <c r="A9" s="16">
        <v>42725</v>
      </c>
      <c r="B9" s="3" t="s">
        <v>15</v>
      </c>
      <c r="C9" s="3" t="s">
        <v>41</v>
      </c>
      <c r="D9" s="40"/>
      <c r="E9" s="2" t="s">
        <v>12</v>
      </c>
      <c r="F9" s="2"/>
      <c r="G9" s="21"/>
      <c r="H9" s="2"/>
      <c r="I9" s="2"/>
      <c r="J9" s="20">
        <f t="shared" si="1"/>
        <v>0</v>
      </c>
      <c r="K9" s="20">
        <f>IF(A9&lt;&gt;0,SUM(J$4:J9),)</f>
        <v>420</v>
      </c>
      <c r="L9" s="3"/>
    </row>
    <row r="10" spans="1:12">
      <c r="A10" s="16">
        <v>42370</v>
      </c>
      <c r="B10" s="30" t="s">
        <v>113</v>
      </c>
      <c r="C10" s="30" t="s">
        <v>114</v>
      </c>
      <c r="D10" s="40"/>
      <c r="E10" s="2" t="s">
        <v>12</v>
      </c>
      <c r="F10" s="2"/>
      <c r="G10" s="21"/>
      <c r="H10" s="2"/>
      <c r="I10" s="2"/>
      <c r="J10" s="20">
        <f t="shared" si="1"/>
        <v>0</v>
      </c>
      <c r="K10" s="20">
        <f>IF(A10&lt;&gt;0,SUM(J$4:J10),)</f>
        <v>420</v>
      </c>
    </row>
    <row r="11" spans="1:12">
      <c r="A11" s="16">
        <v>42370</v>
      </c>
      <c r="B11" s="3" t="s">
        <v>15</v>
      </c>
      <c r="C11" s="3" t="s">
        <v>66</v>
      </c>
      <c r="D11" s="15">
        <v>50</v>
      </c>
      <c r="E11" s="2" t="s">
        <v>12</v>
      </c>
      <c r="F11" s="2" t="s">
        <v>12</v>
      </c>
      <c r="G11" s="21">
        <v>151219</v>
      </c>
      <c r="H11" s="2"/>
      <c r="I11" s="2"/>
      <c r="J11" s="20">
        <f t="shared" si="1"/>
        <v>50</v>
      </c>
      <c r="K11" s="20">
        <f>IF(A11&lt;&gt;0,SUM(J$4:J11),)</f>
        <v>470</v>
      </c>
      <c r="L11" s="3" t="s">
        <v>67</v>
      </c>
    </row>
    <row r="12" spans="1:12">
      <c r="A12" s="16">
        <v>42374</v>
      </c>
      <c r="B12" s="3" t="s">
        <v>15</v>
      </c>
      <c r="C12" s="3" t="s">
        <v>60</v>
      </c>
      <c r="D12" s="41"/>
      <c r="E12" s="2" t="s">
        <v>12</v>
      </c>
      <c r="F12" s="2"/>
      <c r="G12" s="21"/>
      <c r="H12" s="2"/>
      <c r="I12" s="2"/>
      <c r="J12" s="20">
        <f t="shared" si="1"/>
        <v>0</v>
      </c>
      <c r="K12" s="20">
        <f>IF(A12&lt;&gt;0,SUM(J$4:J12),)</f>
        <v>470</v>
      </c>
      <c r="L12" s="3"/>
    </row>
    <row r="13" spans="1:12">
      <c r="A13" s="22" t="s">
        <v>61</v>
      </c>
      <c r="B13" s="3" t="s">
        <v>15</v>
      </c>
      <c r="C13" s="3" t="s">
        <v>42</v>
      </c>
      <c r="D13" s="41"/>
      <c r="E13" s="2" t="s">
        <v>12</v>
      </c>
      <c r="F13" s="2"/>
      <c r="G13" s="21"/>
      <c r="H13" s="2"/>
      <c r="I13" s="2"/>
      <c r="J13" s="20">
        <f t="shared" si="1"/>
        <v>0</v>
      </c>
      <c r="K13" s="20">
        <f>IF(A13&lt;&gt;0,SUM(J$4:J13),)</f>
        <v>470</v>
      </c>
      <c r="L13" s="3"/>
    </row>
    <row r="14" spans="1:12">
      <c r="A14" s="16">
        <v>42374</v>
      </c>
      <c r="B14" s="3" t="s">
        <v>15</v>
      </c>
      <c r="C14" s="3" t="s">
        <v>43</v>
      </c>
      <c r="D14" s="41"/>
      <c r="E14" s="2" t="s">
        <v>12</v>
      </c>
      <c r="F14" s="2"/>
      <c r="G14" s="21"/>
      <c r="H14" s="2"/>
      <c r="I14" s="2"/>
      <c r="J14" s="20">
        <f t="shared" si="1"/>
        <v>0</v>
      </c>
      <c r="K14" s="20">
        <f>IF(A14&lt;&gt;0,SUM(J$4:J14),)</f>
        <v>470</v>
      </c>
      <c r="L14" s="3"/>
    </row>
    <row r="15" spans="1:12">
      <c r="A15" s="16">
        <v>42374</v>
      </c>
      <c r="B15" s="3" t="s">
        <v>15</v>
      </c>
      <c r="C15" s="3" t="s">
        <v>44</v>
      </c>
      <c r="D15" s="41"/>
      <c r="E15" s="2" t="s">
        <v>12</v>
      </c>
      <c r="F15" s="2"/>
      <c r="G15" s="21"/>
      <c r="H15" s="2"/>
      <c r="I15" s="2"/>
      <c r="J15" s="20">
        <f t="shared" si="1"/>
        <v>0</v>
      </c>
      <c r="K15" s="20">
        <f>IF(A15&lt;&gt;0,SUM(J$4:J15),)</f>
        <v>470</v>
      </c>
      <c r="L15" s="3"/>
    </row>
    <row r="16" spans="1:12">
      <c r="A16" s="16">
        <v>42380</v>
      </c>
      <c r="B16" s="3" t="s">
        <v>58</v>
      </c>
      <c r="C16" s="3" t="s">
        <v>59</v>
      </c>
      <c r="D16" s="15">
        <v>120.32</v>
      </c>
      <c r="E16" s="2" t="s">
        <v>12</v>
      </c>
      <c r="F16" s="2"/>
      <c r="G16" s="21"/>
      <c r="H16" s="2"/>
      <c r="I16" s="2"/>
      <c r="J16" s="20">
        <f t="shared" si="1"/>
        <v>120.32</v>
      </c>
      <c r="K16" s="20">
        <f>IF(A16&lt;&gt;0,SUM(J$4:J16),)</f>
        <v>590.31999999999994</v>
      </c>
      <c r="L16" s="3"/>
    </row>
    <row r="17" spans="1:12">
      <c r="A17" s="16">
        <v>42380</v>
      </c>
      <c r="B17" s="3" t="s">
        <v>15</v>
      </c>
      <c r="C17" s="3" t="s">
        <v>63</v>
      </c>
      <c r="D17" s="15">
        <v>590</v>
      </c>
      <c r="E17" s="2" t="s">
        <v>12</v>
      </c>
      <c r="F17" s="2" t="s">
        <v>12</v>
      </c>
      <c r="G17" s="21">
        <v>160111</v>
      </c>
      <c r="H17" s="2"/>
      <c r="I17" s="2"/>
      <c r="J17" s="20">
        <f t="shared" si="1"/>
        <v>590</v>
      </c>
      <c r="K17" s="20">
        <f>IF(A17&lt;&gt;0,SUM(J$4:J17),)</f>
        <v>1180.32</v>
      </c>
      <c r="L17" s="3" t="s">
        <v>64</v>
      </c>
    </row>
    <row r="18" spans="1:12">
      <c r="A18" s="16">
        <v>42382</v>
      </c>
      <c r="B18" s="3" t="s">
        <v>120</v>
      </c>
      <c r="C18" s="3" t="s">
        <v>123</v>
      </c>
      <c r="D18" s="15">
        <v>11.5</v>
      </c>
      <c r="E18" s="2" t="s">
        <v>12</v>
      </c>
      <c r="F18" s="2" t="s">
        <v>12</v>
      </c>
      <c r="G18" s="21" t="s">
        <v>12</v>
      </c>
      <c r="H18" s="2">
        <v>42382</v>
      </c>
      <c r="I18" s="2" t="s">
        <v>12</v>
      </c>
      <c r="J18" s="20">
        <f t="shared" si="1"/>
        <v>0</v>
      </c>
      <c r="K18" s="20">
        <f>IF(A18&lt;&gt;0,SUM(J$4:J18),)</f>
        <v>1180.32</v>
      </c>
      <c r="L18" s="3"/>
    </row>
    <row r="19" spans="1:12">
      <c r="A19" s="16">
        <v>42382</v>
      </c>
      <c r="B19" s="3" t="s">
        <v>121</v>
      </c>
      <c r="C19" s="3" t="s">
        <v>122</v>
      </c>
      <c r="D19" s="15">
        <v>2.2000000000000002</v>
      </c>
      <c r="E19" s="2"/>
      <c r="F19" s="2"/>
      <c r="G19" s="21"/>
      <c r="H19" s="2"/>
      <c r="I19" s="2"/>
      <c r="J19" s="20">
        <f t="shared" si="1"/>
        <v>2.2000000000000002</v>
      </c>
      <c r="K19" s="20">
        <f>IF(A19&lt;&gt;0,SUM(J$4:J19),)</f>
        <v>1182.52</v>
      </c>
      <c r="L19" s="3"/>
    </row>
    <row r="20" spans="1:12">
      <c r="A20" s="16">
        <v>42383</v>
      </c>
      <c r="B20" s="3" t="s">
        <v>124</v>
      </c>
      <c r="C20" s="3" t="s">
        <v>125</v>
      </c>
      <c r="D20" s="15">
        <v>50</v>
      </c>
      <c r="E20" s="2"/>
      <c r="F20" s="2"/>
      <c r="G20" s="21"/>
      <c r="H20" s="2"/>
      <c r="I20" s="2"/>
      <c r="J20" s="20">
        <f t="shared" si="1"/>
        <v>50</v>
      </c>
      <c r="K20" s="20">
        <f>IF(A20&lt;&gt;0,SUM(J$4:J20),)</f>
        <v>1232.52</v>
      </c>
      <c r="L20" s="3"/>
    </row>
    <row r="21" spans="1:12">
      <c r="A21" s="16">
        <v>42383</v>
      </c>
      <c r="B21" s="3" t="s">
        <v>24</v>
      </c>
      <c r="C21" s="3" t="s">
        <v>126</v>
      </c>
      <c r="D21" s="15">
        <v>27.2</v>
      </c>
      <c r="E21" s="2"/>
      <c r="F21" s="2"/>
      <c r="G21" s="21"/>
      <c r="H21" s="2"/>
      <c r="I21" s="2"/>
      <c r="J21" s="20">
        <f t="shared" si="0"/>
        <v>27.2</v>
      </c>
      <c r="K21" s="20">
        <f>IF(A21&lt;&gt;0,SUM(J$4:J21),)</f>
        <v>1259.72</v>
      </c>
      <c r="L21" s="3"/>
    </row>
    <row r="22" spans="1:12" s="38" customFormat="1">
      <c r="A22" s="32"/>
      <c r="B22" s="33"/>
      <c r="C22" s="33"/>
      <c r="D22" s="34"/>
      <c r="E22" s="35"/>
      <c r="F22" s="35"/>
      <c r="G22" s="36"/>
      <c r="H22" s="35"/>
      <c r="I22" s="35"/>
      <c r="J22" s="37">
        <f t="shared" si="0"/>
        <v>0</v>
      </c>
      <c r="K22" s="37">
        <f>IF(A22&lt;&gt;0,SUM(J$4:J22),)</f>
        <v>0</v>
      </c>
      <c r="L22" s="33"/>
    </row>
    <row r="23" spans="1:12">
      <c r="A23" s="16"/>
      <c r="B23" s="3"/>
      <c r="C23" s="31" t="s">
        <v>129</v>
      </c>
      <c r="D23" s="39"/>
      <c r="E23" s="2"/>
      <c r="F23" s="2"/>
      <c r="G23" s="21"/>
      <c r="H23" s="2"/>
      <c r="I23" s="2"/>
      <c r="J23" s="20">
        <f t="shared" si="0"/>
        <v>0</v>
      </c>
      <c r="K23" s="20">
        <f>IF(A23&lt;&gt;0,SUM(J$4:J23),)</f>
        <v>0</v>
      </c>
      <c r="L23" s="3"/>
    </row>
    <row r="24" spans="1:12">
      <c r="A24" s="16"/>
      <c r="B24" s="3"/>
      <c r="C24" s="3" t="s">
        <v>130</v>
      </c>
      <c r="D24" s="15"/>
      <c r="E24" s="2"/>
      <c r="F24" s="2"/>
      <c r="G24" s="21"/>
      <c r="H24" s="2"/>
      <c r="I24" s="2"/>
      <c r="J24" s="20">
        <f t="shared" si="0"/>
        <v>0</v>
      </c>
      <c r="K24" s="20">
        <f>IF(A24&lt;&gt;0,SUM(J$4:J24),)</f>
        <v>0</v>
      </c>
      <c r="L24" s="3"/>
    </row>
    <row r="25" spans="1:12">
      <c r="A25" s="16"/>
      <c r="B25" s="3"/>
      <c r="C25" s="3" t="s">
        <v>131</v>
      </c>
      <c r="D25" s="15"/>
      <c r="E25" s="2"/>
      <c r="F25" s="2"/>
      <c r="G25" s="21"/>
      <c r="H25" s="2"/>
      <c r="I25" s="2"/>
      <c r="J25" s="20">
        <f t="shared" ref="J25" si="2">IF(OR(ISBLANK(E25),ISBLANK(F25),ISBLANK(H25),ISBLANK(I25)),D25,)</f>
        <v>0</v>
      </c>
      <c r="K25" s="20">
        <f>IF(A25&lt;&gt;0,SUM(J$4:J25),)</f>
        <v>0</v>
      </c>
      <c r="L25" s="3"/>
    </row>
    <row r="26" spans="1:12">
      <c r="A26" s="16"/>
      <c r="B26" s="3"/>
      <c r="C26" s="31" t="s">
        <v>134</v>
      </c>
      <c r="D26" s="15"/>
      <c r="E26" s="2"/>
      <c r="F26" s="2"/>
      <c r="G26" s="21"/>
      <c r="H26" s="2"/>
      <c r="I26" s="2"/>
      <c r="J26" s="20">
        <f t="shared" si="0"/>
        <v>0</v>
      </c>
      <c r="K26" s="20">
        <f>IF(A26&lt;&gt;0,SUM(J$4:J26),)</f>
        <v>0</v>
      </c>
      <c r="L26" s="3"/>
    </row>
    <row r="27" spans="1:12">
      <c r="A27" s="16"/>
      <c r="B27" s="3"/>
      <c r="C27" s="3" t="s">
        <v>132</v>
      </c>
      <c r="D27" s="15">
        <v>300</v>
      </c>
      <c r="E27" s="2"/>
      <c r="F27" s="2"/>
      <c r="G27" s="21"/>
      <c r="H27" s="2"/>
      <c r="I27" s="2"/>
      <c r="J27" s="20">
        <f t="shared" si="0"/>
        <v>300</v>
      </c>
      <c r="K27" s="20">
        <f>IF(A27&lt;&gt;0,SUM(J$4:J27),)</f>
        <v>0</v>
      </c>
      <c r="L27" s="3"/>
    </row>
    <row r="28" spans="1:12">
      <c r="A28" s="16"/>
      <c r="B28" s="3"/>
      <c r="C28" s="3"/>
      <c r="D28" s="15"/>
      <c r="E28" s="2"/>
      <c r="F28" s="2"/>
      <c r="G28" s="21"/>
      <c r="H28" s="2"/>
      <c r="I28" s="2"/>
      <c r="J28" s="20">
        <f t="shared" si="0"/>
        <v>0</v>
      </c>
      <c r="K28" s="20">
        <f>IF(A28&lt;&gt;0,SUM(J$4:J28),)</f>
        <v>0</v>
      </c>
      <c r="L28" s="3"/>
    </row>
    <row r="29" spans="1:12">
      <c r="A29" s="16"/>
      <c r="B29" s="3"/>
      <c r="C29" s="3"/>
      <c r="D29" s="15"/>
      <c r="E29" s="2"/>
      <c r="F29" s="2"/>
      <c r="G29" s="21"/>
      <c r="H29" s="2"/>
      <c r="I29" s="2"/>
      <c r="J29" s="20">
        <f t="shared" si="0"/>
        <v>0</v>
      </c>
      <c r="K29" s="20">
        <f>IF(A29&lt;&gt;0,SUM(J$4:J29),)</f>
        <v>0</v>
      </c>
      <c r="L29" s="3"/>
    </row>
    <row r="30" spans="1:12">
      <c r="A30" s="16"/>
      <c r="B30" s="3"/>
      <c r="C30" s="3"/>
      <c r="D30" s="15"/>
      <c r="E30" s="2"/>
      <c r="F30" s="2"/>
      <c r="G30" s="21"/>
      <c r="H30" s="2"/>
      <c r="I30" s="2"/>
      <c r="J30" s="20">
        <f t="shared" si="0"/>
        <v>0</v>
      </c>
      <c r="K30" s="20">
        <f>IF(A30&lt;&gt;0,SUM(J$4:J30),)</f>
        <v>0</v>
      </c>
      <c r="L30" s="3"/>
    </row>
    <row r="31" spans="1:12">
      <c r="A31" s="16"/>
      <c r="B31" s="3"/>
      <c r="C31" s="3"/>
      <c r="D31" s="15"/>
      <c r="E31" s="2"/>
      <c r="F31" s="2"/>
      <c r="G31" s="21"/>
      <c r="H31" s="2"/>
      <c r="I31" s="2"/>
      <c r="J31" s="20">
        <f t="shared" si="0"/>
        <v>0</v>
      </c>
      <c r="K31" s="20">
        <f>IF(A31&lt;&gt;0,SUM(J$4:J31),)</f>
        <v>0</v>
      </c>
      <c r="L31" s="3"/>
    </row>
    <row r="32" spans="1:12">
      <c r="A32" s="16"/>
      <c r="B32" s="3"/>
      <c r="C32" s="3"/>
      <c r="D32" s="15"/>
      <c r="E32" s="2"/>
      <c r="F32" s="2"/>
      <c r="G32" s="21"/>
      <c r="H32" s="2"/>
      <c r="I32" s="2"/>
      <c r="J32" s="20">
        <f t="shared" si="0"/>
        <v>0</v>
      </c>
      <c r="K32" s="20">
        <f>IF(A32&lt;&gt;0,SUM(J$4:J32),)</f>
        <v>0</v>
      </c>
      <c r="L32" s="3"/>
    </row>
    <row r="33" spans="1:12">
      <c r="A33" s="16"/>
      <c r="B33" s="3"/>
      <c r="C33" s="3"/>
      <c r="D33" s="15"/>
      <c r="E33" s="2"/>
      <c r="F33" s="2"/>
      <c r="G33" s="21"/>
      <c r="H33" s="2"/>
      <c r="I33" s="2"/>
      <c r="J33" s="20">
        <f t="shared" si="0"/>
        <v>0</v>
      </c>
      <c r="K33" s="20">
        <f>IF(A33&lt;&gt;0,SUM(J$4:J33),)</f>
        <v>0</v>
      </c>
      <c r="L33" s="3"/>
    </row>
    <row r="34" spans="1:12">
      <c r="A34" s="16"/>
      <c r="B34" s="3"/>
      <c r="C34" s="3"/>
      <c r="D34" s="15"/>
      <c r="E34" s="2"/>
      <c r="F34" s="2"/>
      <c r="G34" s="21"/>
      <c r="H34" s="2"/>
      <c r="I34" s="2"/>
      <c r="J34" s="20">
        <f t="shared" si="0"/>
        <v>0</v>
      </c>
      <c r="K34" s="20">
        <f>IF(A34&lt;&gt;0,SUM(J$4:J34),)</f>
        <v>0</v>
      </c>
      <c r="L34" s="3"/>
    </row>
    <row r="35" spans="1:12">
      <c r="A35" s="16"/>
      <c r="B35" s="3"/>
      <c r="C35" s="3"/>
      <c r="D35" s="15"/>
      <c r="E35" s="2"/>
      <c r="F35" s="2"/>
      <c r="G35" s="21"/>
      <c r="H35" s="2"/>
      <c r="I35" s="2"/>
      <c r="J35" s="20">
        <f t="shared" ref="J35" si="3">IF(OR(ISBLANK(E35),ISBLANK(F35),ISBLANK(H35),ISBLANK(I35)),D35,)</f>
        <v>0</v>
      </c>
      <c r="K35" s="20">
        <f>IF(A35&lt;&gt;0,SUM(J$4:J35),)</f>
        <v>0</v>
      </c>
      <c r="L35" s="3"/>
    </row>
    <row r="36" spans="1:12">
      <c r="A36" s="16"/>
      <c r="B36" s="3"/>
      <c r="C36" s="3"/>
      <c r="D36" s="15"/>
      <c r="E36" s="2"/>
      <c r="F36" s="2"/>
      <c r="G36" s="21"/>
      <c r="H36" s="2"/>
      <c r="I36" s="2"/>
      <c r="J36" s="20">
        <f t="shared" ref="J36:J51" si="4">IF(OR(ISBLANK(E36),ISBLANK(F36),ISBLANK(H36),ISBLANK(I36)),D36,)</f>
        <v>0</v>
      </c>
      <c r="K36" s="20">
        <f>IF(A36&lt;&gt;0,SUM(J$4:J36),)</f>
        <v>0</v>
      </c>
      <c r="L36" s="3"/>
    </row>
    <row r="37" spans="1:12">
      <c r="A37" s="16"/>
      <c r="B37" s="3"/>
      <c r="C37" s="3"/>
      <c r="D37" s="15"/>
      <c r="E37" s="2"/>
      <c r="F37" s="2"/>
      <c r="G37" s="21"/>
      <c r="H37" s="2"/>
      <c r="I37" s="2"/>
      <c r="J37" s="20">
        <f t="shared" si="4"/>
        <v>0</v>
      </c>
      <c r="K37" s="20">
        <f>IF(A37&lt;&gt;0,SUM(J$4:J37),)</f>
        <v>0</v>
      </c>
      <c r="L37" s="3"/>
    </row>
    <row r="38" spans="1:12">
      <c r="A38" s="16"/>
      <c r="B38" s="3"/>
      <c r="C38" s="3"/>
      <c r="D38" s="15"/>
      <c r="E38" s="2"/>
      <c r="F38" s="2"/>
      <c r="G38" s="21"/>
      <c r="H38" s="2"/>
      <c r="I38" s="2"/>
      <c r="J38" s="20">
        <f t="shared" si="4"/>
        <v>0</v>
      </c>
      <c r="K38" s="20">
        <f>IF(A38&lt;&gt;0,SUM(J$4:J38),)</f>
        <v>0</v>
      </c>
      <c r="L38" s="3"/>
    </row>
    <row r="39" spans="1:12">
      <c r="A39" s="16"/>
      <c r="B39" s="3"/>
      <c r="C39" s="3"/>
      <c r="D39" s="15"/>
      <c r="E39" s="2"/>
      <c r="F39" s="2"/>
      <c r="G39" s="21"/>
      <c r="H39" s="2"/>
      <c r="I39" s="2"/>
      <c r="J39" s="20">
        <f t="shared" si="4"/>
        <v>0</v>
      </c>
      <c r="K39" s="20">
        <f>IF(A39&lt;&gt;0,SUM(J$4:J39),)</f>
        <v>0</v>
      </c>
      <c r="L39" s="3"/>
    </row>
    <row r="40" spans="1:12">
      <c r="A40" s="16"/>
      <c r="B40" s="3"/>
      <c r="C40" s="3"/>
      <c r="D40" s="15"/>
      <c r="E40" s="2"/>
      <c r="F40" s="2"/>
      <c r="G40" s="21"/>
      <c r="H40" s="2"/>
      <c r="I40" s="2"/>
      <c r="J40" s="20">
        <f t="shared" si="4"/>
        <v>0</v>
      </c>
      <c r="K40" s="20">
        <f>IF(A40&lt;&gt;0,SUM(J$4:J40),)</f>
        <v>0</v>
      </c>
      <c r="L40" s="3"/>
    </row>
    <row r="41" spans="1:12">
      <c r="A41" s="16"/>
      <c r="B41" s="3"/>
      <c r="C41" s="3"/>
      <c r="D41" s="15"/>
      <c r="E41" s="2"/>
      <c r="F41" s="2"/>
      <c r="G41" s="21"/>
      <c r="H41" s="2"/>
      <c r="I41" s="2"/>
      <c r="J41" s="20">
        <f t="shared" si="4"/>
        <v>0</v>
      </c>
      <c r="K41" s="20">
        <f>IF(A41&lt;&gt;0,SUM(J$4:J41),)</f>
        <v>0</v>
      </c>
      <c r="L41" s="3"/>
    </row>
    <row r="42" spans="1:12">
      <c r="A42" s="16"/>
      <c r="B42" s="3"/>
      <c r="C42" s="3"/>
      <c r="D42" s="15"/>
      <c r="E42" s="2"/>
      <c r="F42" s="2"/>
      <c r="G42" s="21"/>
      <c r="H42" s="2"/>
      <c r="I42" s="2"/>
      <c r="J42" s="20">
        <f t="shared" si="4"/>
        <v>0</v>
      </c>
      <c r="K42" s="20">
        <f>IF(A42&lt;&gt;0,SUM(J$4:J42),)</f>
        <v>0</v>
      </c>
      <c r="L42" s="3"/>
    </row>
    <row r="43" spans="1:12">
      <c r="A43" s="16"/>
      <c r="B43" s="3"/>
      <c r="C43" s="3"/>
      <c r="D43" s="15"/>
      <c r="E43" s="2"/>
      <c r="F43" s="2"/>
      <c r="G43" s="21"/>
      <c r="H43" s="2"/>
      <c r="I43" s="2"/>
      <c r="J43" s="20">
        <f t="shared" si="4"/>
        <v>0</v>
      </c>
      <c r="K43" s="20">
        <f>IF(A43&lt;&gt;0,SUM(J$4:J43),)</f>
        <v>0</v>
      </c>
      <c r="L43" s="3"/>
    </row>
    <row r="44" spans="1:12">
      <c r="A44" s="16"/>
      <c r="B44" s="3"/>
      <c r="C44" s="3"/>
      <c r="D44" s="15"/>
      <c r="E44" s="2"/>
      <c r="F44" s="2"/>
      <c r="G44" s="21"/>
      <c r="H44" s="2"/>
      <c r="I44" s="2"/>
      <c r="J44" s="20">
        <f t="shared" si="4"/>
        <v>0</v>
      </c>
      <c r="K44" s="20">
        <f>IF(A44&lt;&gt;0,SUM(J$4:J44),)</f>
        <v>0</v>
      </c>
      <c r="L44" s="3"/>
    </row>
    <row r="45" spans="1:12">
      <c r="A45" s="16"/>
      <c r="B45" s="3"/>
      <c r="C45" s="3"/>
      <c r="D45" s="15"/>
      <c r="E45" s="2"/>
      <c r="F45" s="2"/>
      <c r="G45" s="21"/>
      <c r="H45" s="2"/>
      <c r="I45" s="2"/>
      <c r="J45" s="20">
        <f t="shared" si="4"/>
        <v>0</v>
      </c>
      <c r="K45" s="20">
        <f>IF(A45&lt;&gt;0,SUM(J$4:J45),)</f>
        <v>0</v>
      </c>
      <c r="L45" s="3"/>
    </row>
    <row r="46" spans="1:12">
      <c r="A46" s="16"/>
      <c r="B46" s="3"/>
      <c r="C46" s="3"/>
      <c r="D46" s="15"/>
      <c r="E46" s="2"/>
      <c r="F46" s="2"/>
      <c r="G46" s="21"/>
      <c r="H46" s="2"/>
      <c r="I46" s="2"/>
      <c r="J46" s="20">
        <f t="shared" si="4"/>
        <v>0</v>
      </c>
      <c r="K46" s="20">
        <f>IF(A46&lt;&gt;0,SUM(J$4:J46),)</f>
        <v>0</v>
      </c>
      <c r="L46" s="3"/>
    </row>
    <row r="47" spans="1:12">
      <c r="A47" s="16"/>
      <c r="B47" s="3"/>
      <c r="C47" s="3"/>
      <c r="D47" s="15"/>
      <c r="E47" s="2"/>
      <c r="F47" s="2"/>
      <c r="G47" s="21"/>
      <c r="H47" s="2"/>
      <c r="I47" s="2"/>
      <c r="J47" s="20">
        <f t="shared" si="4"/>
        <v>0</v>
      </c>
      <c r="K47" s="20">
        <f>IF(A47&lt;&gt;0,SUM(J$4:J47),)</f>
        <v>0</v>
      </c>
      <c r="L47" s="3"/>
    </row>
    <row r="48" spans="1:12">
      <c r="A48" s="16"/>
      <c r="B48" s="3"/>
      <c r="C48" s="3"/>
      <c r="D48" s="15"/>
      <c r="E48" s="2"/>
      <c r="F48" s="2"/>
      <c r="G48" s="21"/>
      <c r="H48" s="2"/>
      <c r="I48" s="2"/>
      <c r="J48" s="20">
        <f t="shared" si="4"/>
        <v>0</v>
      </c>
      <c r="K48" s="20">
        <f>IF(A48&lt;&gt;0,SUM(J$4:J48),)</f>
        <v>0</v>
      </c>
      <c r="L48" s="3"/>
    </row>
    <row r="49" spans="1:12">
      <c r="A49" s="16"/>
      <c r="B49" s="3"/>
      <c r="C49" s="3"/>
      <c r="D49" s="15"/>
      <c r="E49" s="2"/>
      <c r="F49" s="2"/>
      <c r="G49" s="21"/>
      <c r="H49" s="2"/>
      <c r="I49" s="2"/>
      <c r="J49" s="20">
        <f t="shared" si="4"/>
        <v>0</v>
      </c>
      <c r="K49" s="20">
        <f>IF(A49&lt;&gt;0,SUM(J$4:J49),)</f>
        <v>0</v>
      </c>
      <c r="L49" s="3"/>
    </row>
    <row r="50" spans="1:12">
      <c r="A50" s="16"/>
      <c r="B50" s="3"/>
      <c r="C50" s="3"/>
      <c r="D50" s="15"/>
      <c r="E50" s="2"/>
      <c r="F50" s="2"/>
      <c r="G50" s="21"/>
      <c r="H50" s="2"/>
      <c r="I50" s="2"/>
      <c r="J50" s="20">
        <f t="shared" si="4"/>
        <v>0</v>
      </c>
      <c r="K50" s="20">
        <f>IF(A50&lt;&gt;0,SUM(J$4:J50),)</f>
        <v>0</v>
      </c>
      <c r="L50" s="3"/>
    </row>
    <row r="51" spans="1:12">
      <c r="A51" s="16"/>
      <c r="B51" s="3"/>
      <c r="C51" s="3"/>
      <c r="D51" s="15"/>
      <c r="E51" s="2"/>
      <c r="F51" s="2"/>
      <c r="G51" s="21"/>
      <c r="H51" s="2"/>
      <c r="I51" s="2"/>
      <c r="J51" s="20">
        <f t="shared" si="4"/>
        <v>0</v>
      </c>
      <c r="K51" s="20">
        <f>IF(A51&lt;&gt;0,SUM(J$4:J51),)</f>
        <v>0</v>
      </c>
      <c r="L51" s="3"/>
    </row>
  </sheetData>
  <mergeCells count="2">
    <mergeCell ref="A1:L1"/>
    <mergeCell ref="A2:L2"/>
  </mergeCells>
  <printOptions horizontalCentered="1"/>
  <pageMargins left="0.23622047244094491" right="0.23622047244094491" top="0" bottom="0.39370078740157483" header="0" footer="0.19685039370078741"/>
  <pageSetup paperSize="9" scale="74" fitToHeight="16" orientation="landscape" horizontalDpi="4294967293" r:id="rId1"/>
  <headerFooter>
    <oddFooter>&amp;CFichier : &amp;F - Onglet &amp;A - Page &amp;P/&amp;N - Edité le &amp;D à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6</vt:i4>
      </vt:variant>
    </vt:vector>
  </HeadingPairs>
  <TitlesOfParts>
    <vt:vector size="17" baseType="lpstr">
      <vt:lpstr>Actif-Passif-Encours</vt:lpstr>
      <vt:lpstr>Historique Recettes</vt:lpstr>
      <vt:lpstr>PEA</vt:lpstr>
      <vt:lpstr>Solde Général</vt:lpstr>
      <vt:lpstr>Détail Passif</vt:lpstr>
      <vt:lpstr>Projets</vt:lpstr>
      <vt:lpstr>Litiges</vt:lpstr>
      <vt:lpstr>Trame vierge Solde Général</vt:lpstr>
      <vt:lpstr>Procédures périmées 1</vt:lpstr>
      <vt:lpstr>Procédures périmées 2</vt:lpstr>
      <vt:lpstr>Détail Encours</vt:lpstr>
      <vt:lpstr>'Actif-Passif-Encours'!Impression_des_titres</vt:lpstr>
      <vt:lpstr>'Détail Encours'!Impression_des_titres</vt:lpstr>
      <vt:lpstr>Projets!Impression_des_titres</vt:lpstr>
      <vt:lpstr>'Actif-Passif-Encours'!Zone_d_impression</vt:lpstr>
      <vt:lpstr>'Procédures périmées 2'!Zone_d_impression</vt:lpstr>
      <vt:lpstr>'Trame vierge Solde Général'!Zone_d_impression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2021-07-19T19:26:16Z</dcterms:modified>
</cp:coreProperties>
</file>