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drawings/drawing4.xml" ContentType="application/vnd.openxmlformats-officedocument.drawing+xml"/>
  <Override PartName="/xl/activeX/activeX4.xml" ContentType="application/vnd.ms-office.activeX+xml"/>
  <Override PartName="/xl/activeX/activeX4.bin" ContentType="application/vnd.ms-office.activeX"/>
  <Override PartName="/xl/comments2.xml" ContentType="application/vnd.openxmlformats-officedocument.spreadsheetml.comments+xml"/>
  <Override PartName="/xl/drawings/drawing5.xml" ContentType="application/vnd.openxmlformats-officedocument.drawing+xml"/>
  <Override PartName="/xl/activeX/activeX5.xml" ContentType="application/vnd.ms-office.activeX+xml"/>
  <Override PartName="/xl/activeX/activeX5.bin" ContentType="application/vnd.ms-office.activeX"/>
  <Override PartName="/xl/comments3.xml" ContentType="application/vnd.openxmlformats-officedocument.spreadsheetml.comments+xml"/>
  <Override PartName="/xl/drawings/drawing6.xml" ContentType="application/vnd.openxmlformats-officedocument.drawing+xml"/>
  <Override PartName="/xl/activeX/activeX6.xml" ContentType="application/vnd.ms-office.activeX+xml"/>
  <Override PartName="/xl/activeX/activeX6.bin" ContentType="application/vnd.ms-office.activeX"/>
  <Override PartName="/xl/comments4.xml" ContentType="application/vnd.openxmlformats-officedocument.spreadsheetml.comments+xml"/>
  <Override PartName="/xl/drawings/drawing7.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omments5.xml" ContentType="application/vnd.openxmlformats-officedocument.spreadsheetml.comments+xml"/>
  <Override PartName="/xl/drawings/drawing8.xml" ContentType="application/vnd.openxmlformats-officedocument.drawing+xml"/>
  <Override PartName="/xl/activeX/activeX9.xml" ContentType="application/vnd.ms-office.activeX+xml"/>
  <Override PartName="/xl/activeX/activeX9.bin" ContentType="application/vnd.ms-office.activeX"/>
  <Override PartName="/xl/comments6.xml" ContentType="application/vnd.openxmlformats-officedocument.spreadsheetml.comments+xml"/>
  <Override PartName="/xl/drawings/drawing9.xml" ContentType="application/vnd.openxmlformats-officedocument.drawing+xml"/>
  <Override PartName="/xl/activeX/activeX10.xml" ContentType="application/vnd.ms-office.activeX+xml"/>
  <Override PartName="/xl/activeX/activeX10.bin" ContentType="application/vnd.ms-office.activeX"/>
  <Override PartName="/xl/comments7.xml" ContentType="application/vnd.openxmlformats-officedocument.spreadsheetml.comments+xml"/>
  <Override PartName="/xl/drawings/drawing10.xml" ContentType="application/vnd.openxmlformats-officedocument.drawing+xml"/>
  <Override PartName="/xl/activeX/activeX11.xml" ContentType="application/vnd.ms-office.activeX+xml"/>
  <Override PartName="/xl/activeX/activeX11.bin" ContentType="application/vnd.ms-office.activeX"/>
  <Override PartName="/xl/comments8.xml" ContentType="application/vnd.openxmlformats-officedocument.spreadsheetml.comments+xml"/>
  <Override PartName="/xl/drawings/drawing11.xml" ContentType="application/vnd.openxmlformats-officedocument.drawing+xml"/>
  <Override PartName="/xl/activeX/activeX12.xml" ContentType="application/vnd.ms-office.activeX+xml"/>
  <Override PartName="/xl/activeX/activeX12.bin" ContentType="application/vnd.ms-office.activeX"/>
  <Override PartName="/xl/comments9.xml" ContentType="application/vnd.openxmlformats-officedocument.spreadsheetml.comments+xml"/>
  <Override PartName="/xl/drawings/drawing12.xml" ContentType="application/vnd.openxmlformats-officedocument.drawing+xml"/>
  <Override PartName="/xl/activeX/activeX13.xml" ContentType="application/vnd.ms-office.activeX+xml"/>
  <Override PartName="/xl/activeX/activeX13.bin" ContentType="application/vnd.ms-office.activeX"/>
  <Override PartName="/xl/comments10.xml" ContentType="application/vnd.openxmlformats-officedocument.spreadsheetml.comments+xml"/>
  <Override PartName="/xl/drawings/drawing13.xml" ContentType="application/vnd.openxmlformats-officedocument.drawing+xml"/>
  <Override PartName="/xl/activeX/activeX14.xml" ContentType="application/vnd.ms-office.activeX+xml"/>
  <Override PartName="/xl/activeX/activeX14.bin" ContentType="application/vnd.ms-office.activeX"/>
  <Override PartName="/xl/comments11.xml" ContentType="application/vnd.openxmlformats-officedocument.spreadsheetml.comments+xml"/>
  <Override PartName="/xl/drawings/drawing14.xml" ContentType="application/vnd.openxmlformats-officedocument.drawing+xml"/>
  <Override PartName="/xl/activeX/activeX15.xml" ContentType="application/vnd.ms-office.activeX+xml"/>
  <Override PartName="/xl/activeX/activeX15.bin" ContentType="application/vnd.ms-office.activeX"/>
  <Override PartName="/xl/comments12.xml" ContentType="application/vnd.openxmlformats-officedocument.spreadsheetml.comments+xml"/>
  <Override PartName="/xl/drawings/drawing15.xml" ContentType="application/vnd.openxmlformats-officedocument.drawing+xml"/>
  <Override PartName="/xl/activeX/activeX16.xml" ContentType="application/vnd.ms-office.activeX+xml"/>
  <Override PartName="/xl/activeX/activeX16.bin" ContentType="application/vnd.ms-office.activeX"/>
  <Override PartName="/xl/comments13.xml" ContentType="application/vnd.openxmlformats-officedocument.spreadsheetml.comments+xml"/>
  <Override PartName="/xl/drawings/drawing16.xml" ContentType="application/vnd.openxmlformats-officedocument.drawing+xml"/>
  <Override PartName="/xl/activeX/activeX17.xml" ContentType="application/vnd.ms-office.activeX+xml"/>
  <Override PartName="/xl/activeX/activeX17.bin" ContentType="application/vnd.ms-office.activeX"/>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Nicolas\Downloads\"/>
    </mc:Choice>
  </mc:AlternateContent>
  <workbookProtection workbookPassword="DAE1" lockStructure="1"/>
  <bookViews>
    <workbookView xWindow="0" yWindow="0" windowWidth="20490" windowHeight="5355" tabRatio="811" firstSheet="1" activeTab="1"/>
  </bookViews>
  <sheets>
    <sheet name="fêtes_B" sheetId="4" state="hidden" r:id="rId1"/>
    <sheet name="dates" sheetId="1" r:id="rId2"/>
    <sheet name="recap" sheetId="92" r:id="rId3"/>
    <sheet name="comparatif fiche paie&amp;planning " sheetId="94" r:id="rId4"/>
    <sheet name="Janvier" sheetId="35" r:id="rId5"/>
    <sheet name="Février" sheetId="78" r:id="rId6"/>
    <sheet name="Mars" sheetId="91" r:id="rId7"/>
    <sheet name="Avril" sheetId="90" r:id="rId8"/>
    <sheet name="Mai" sheetId="89" r:id="rId9"/>
    <sheet name="Juin" sheetId="88" r:id="rId10"/>
    <sheet name="Juillet" sheetId="87" r:id="rId11"/>
    <sheet name="Août" sheetId="86" r:id="rId12"/>
    <sheet name="Septembre" sheetId="85" r:id="rId13"/>
    <sheet name="Octobre" sheetId="82" r:id="rId14"/>
    <sheet name="Novembre" sheetId="83" r:id="rId15"/>
    <sheet name="Décembre" sheetId="84" r:id="rId16"/>
    <sheet name="données" sheetId="2" r:id="rId17"/>
    <sheet name="FICHE DE PAIE" sheetId="63" r:id="rId18"/>
    <sheet name="Jour Férié" sheetId="75" r:id="rId19"/>
    <sheet name="vacances" sheetId="95" r:id="rId20"/>
    <sheet name="C_2" sheetId="6" state="hidden" r:id="rId21"/>
    <sheet name="C_1" sheetId="7" state="hidden" r:id="rId22"/>
    <sheet name="dessins" sheetId="8" state="hidden" r:id="rId23"/>
  </sheets>
  <definedNames>
    <definedName name="_xlnm._FilterDatabase" localSheetId="20" hidden="1">C_2!$C$8:$C$13</definedName>
    <definedName name="_Regression_Int" localSheetId="22" hidden="1">1</definedName>
    <definedName name="anée" localSheetId="11">'Jour Férié'!#REF!</definedName>
    <definedName name="anée" localSheetId="7">'Jour Férié'!#REF!</definedName>
    <definedName name="anée" localSheetId="15">'Jour Férié'!#REF!</definedName>
    <definedName name="anée" localSheetId="10">'Jour Férié'!#REF!</definedName>
    <definedName name="anée" localSheetId="9">'Jour Férié'!#REF!</definedName>
    <definedName name="anée" localSheetId="8">'Jour Férié'!#REF!</definedName>
    <definedName name="anée" localSheetId="6">'Jour Férié'!#REF!</definedName>
    <definedName name="anée" localSheetId="14">'Jour Férié'!#REF!</definedName>
    <definedName name="anée" localSheetId="13">'Jour Férié'!#REF!</definedName>
    <definedName name="anée" localSheetId="12">'Jour Férié'!#REF!</definedName>
    <definedName name="anée">'Jour Férié'!#REF!</definedName>
    <definedName name="annee">dates!$H$1</definedName>
    <definedName name="astreinte">dates!$CG$1:$CG$3</definedName>
    <definedName name="bissext" localSheetId="11">C_1!#REF!</definedName>
    <definedName name="bissext" localSheetId="7">C_1!#REF!</definedName>
    <definedName name="bissext" localSheetId="15">C_1!#REF!</definedName>
    <definedName name="bissext" localSheetId="10">C_1!#REF!</definedName>
    <definedName name="bissext" localSheetId="9">C_1!#REF!</definedName>
    <definedName name="bissext" localSheetId="8">C_1!#REF!</definedName>
    <definedName name="bissext" localSheetId="6">C_1!#REF!</definedName>
    <definedName name="bissext" localSheetId="14">C_1!#REF!</definedName>
    <definedName name="bissext" localSheetId="13">C_1!#REF!</definedName>
    <definedName name="bissext" localSheetId="12">C_1!#REF!</definedName>
    <definedName name="bissext">C_1!#REF!</definedName>
    <definedName name="boulot">dates!$L$1:$L$4</definedName>
    <definedName name="dispocontrainte">dates!$CG$1:$CG$3</definedName>
    <definedName name="Données">données!$A$2:$J$13</definedName>
    <definedName name="fêtes">dates!$C$1:$G$366</definedName>
    <definedName name="indisponible">dates!$CF$1:$CF$12</definedName>
    <definedName name="jours">C_1!$Z$1:$AA$40</definedName>
    <definedName name="MOI">dates!$CH$1:$CH$12</definedName>
    <definedName name="mois">Janvier!$C$52</definedName>
    <definedName name="n">#REF!</definedName>
    <definedName name="payes">#REF!</definedName>
    <definedName name="total_jours">Janvier!$G$52</definedName>
    <definedName name="_xlnm.Print_Area" localSheetId="11">Août!$B$1:$AK$36</definedName>
    <definedName name="_xlnm.Print_Area" localSheetId="7">Avril!$B$1:$AK$36</definedName>
    <definedName name="_xlnm.Print_Area" localSheetId="21">C_1!$B$5:$J$44</definedName>
    <definedName name="_xlnm.Print_Area" localSheetId="20">C_2!$A$5:$I$48</definedName>
    <definedName name="_xlnm.Print_Area" localSheetId="1">dates!$J$2</definedName>
    <definedName name="_xlnm.Print_Area" localSheetId="15">Décembre!$B$1:$AK$36</definedName>
    <definedName name="_xlnm.Print_Area" localSheetId="22">dessins!#REF!</definedName>
    <definedName name="_xlnm.Print_Area" localSheetId="16">données!$B$18</definedName>
    <definedName name="_xlnm.Print_Area" localSheetId="5">Février!$B$1:$AK$36</definedName>
    <definedName name="_xlnm.Print_Area" localSheetId="4">Janvier!$B$1:$AK$36</definedName>
    <definedName name="_xlnm.Print_Area" localSheetId="10">Juillet!$B$1:$AK$36</definedName>
    <definedName name="_xlnm.Print_Area" localSheetId="9">Juin!$B$1:$AK$36</definedName>
    <definedName name="_xlnm.Print_Area" localSheetId="8">Mai!$B$1:$AK$36</definedName>
    <definedName name="_xlnm.Print_Area" localSheetId="6">Mars!$B$1:$AK$36</definedName>
    <definedName name="_xlnm.Print_Area" localSheetId="14">Novembre!$B$1:$AK$36</definedName>
    <definedName name="_xlnm.Print_Area" localSheetId="13">Octobre!$B$1:$AK$36</definedName>
    <definedName name="_xlnm.Print_Area" localSheetId="12">Septembre!$B$1:$AK$36</definedName>
    <definedName name="Zone_impres_MI" localSheetId="22">dessins!#REF!</definedName>
  </definedNames>
  <calcPr calcId="152511"/>
</workbook>
</file>

<file path=xl/calcChain.xml><?xml version="1.0" encoding="utf-8"?>
<calcChain xmlns="http://schemas.openxmlformats.org/spreadsheetml/2006/main">
  <c r="P22" i="1" l="1"/>
  <c r="O22" i="1"/>
  <c r="P20" i="1"/>
  <c r="O20" i="1"/>
  <c r="O18" i="1"/>
  <c r="N18" i="1"/>
  <c r="N20" i="1"/>
  <c r="F15" i="75" l="1"/>
  <c r="C51" i="84"/>
  <c r="P50" i="84" s="1"/>
  <c r="P51" i="84" s="1"/>
  <c r="C51" i="83"/>
  <c r="P50" i="83" s="1"/>
  <c r="P51" i="83" s="1"/>
  <c r="C51" i="82"/>
  <c r="K50" i="82" s="1"/>
  <c r="K51" i="82" s="1"/>
  <c r="E4" i="82" s="1"/>
  <c r="F5" i="82" s="1"/>
  <c r="C4" i="82" s="1"/>
  <c r="C51" i="85"/>
  <c r="C51" i="86"/>
  <c r="C51" i="87"/>
  <c r="G51" i="87" s="1"/>
  <c r="C51" i="88"/>
  <c r="K50" i="88" s="1"/>
  <c r="K51" i="88" s="1"/>
  <c r="E4" i="88" s="1"/>
  <c r="F5" i="88" s="1"/>
  <c r="F6" i="88" s="1"/>
  <c r="C51" i="89"/>
  <c r="C51" i="90"/>
  <c r="U50" i="90" s="1"/>
  <c r="U51" i="90" s="1"/>
  <c r="C51" i="91"/>
  <c r="K50" i="91" s="1"/>
  <c r="K51" i="91" s="1"/>
  <c r="C51" i="78"/>
  <c r="U50" i="78" s="1"/>
  <c r="U51" i="78" s="1"/>
  <c r="C51" i="35"/>
  <c r="AM1" i="35" s="1"/>
  <c r="BM178" i="1"/>
  <c r="BI176" i="1"/>
  <c r="BX176" i="1"/>
  <c r="BX175" i="1"/>
  <c r="BM174" i="1"/>
  <c r="BI174" i="1"/>
  <c r="BM173" i="1"/>
  <c r="BI173" i="1"/>
  <c r="BM172" i="1"/>
  <c r="BM171" i="1"/>
  <c r="BM170" i="1"/>
  <c r="BU169" i="1"/>
  <c r="BX169" i="1" s="1"/>
  <c r="BQ169" i="1"/>
  <c r="BU168" i="1"/>
  <c r="BM168" i="1"/>
  <c r="BU167" i="1"/>
  <c r="BM167" i="1"/>
  <c r="Q167" i="1"/>
  <c r="BU166" i="1"/>
  <c r="BM166" i="1"/>
  <c r="Q166" i="1"/>
  <c r="BU165" i="1"/>
  <c r="Q165" i="1"/>
  <c r="BU164" i="1"/>
  <c r="BM164" i="1"/>
  <c r="AG164" i="1"/>
  <c r="Q164" i="1"/>
  <c r="BU163" i="1"/>
  <c r="AD163" i="1"/>
  <c r="AG163" i="1" s="1"/>
  <c r="Q163" i="1"/>
  <c r="BU162" i="1"/>
  <c r="AD162" i="1"/>
  <c r="Q162" i="1"/>
  <c r="BU161" i="1"/>
  <c r="AD161" i="1"/>
  <c r="Q161" i="1"/>
  <c r="BU160" i="1"/>
  <c r="Q160" i="1"/>
  <c r="BU159" i="1"/>
  <c r="Q159" i="1"/>
  <c r="BU158" i="1"/>
  <c r="AD158" i="1"/>
  <c r="Q158" i="1"/>
  <c r="BU157" i="1"/>
  <c r="BM157" i="1"/>
  <c r="AD157" i="1"/>
  <c r="AG157" i="1" s="1"/>
  <c r="Q157" i="1"/>
  <c r="BU156" i="1"/>
  <c r="BM156" i="1"/>
  <c r="Q156" i="1"/>
  <c r="AD155" i="1"/>
  <c r="AG155" i="1" s="1"/>
  <c r="AA155" i="1"/>
  <c r="AA162" i="1" s="1"/>
  <c r="AG162" i="1"/>
  <c r="Q155" i="1"/>
  <c r="Q153" i="1"/>
  <c r="Q171" i="1" s="1"/>
  <c r="AA39" i="1"/>
  <c r="Q32" i="1"/>
  <c r="Q50" i="1" s="1"/>
  <c r="Q61" i="1"/>
  <c r="AW61" i="1" s="1"/>
  <c r="Q92" i="1"/>
  <c r="AW92" i="1" s="1"/>
  <c r="Q122" i="1"/>
  <c r="Q183" i="1"/>
  <c r="Q201" i="1" s="1"/>
  <c r="Q214" i="1"/>
  <c r="AW214" i="1" s="1"/>
  <c r="Q245" i="1"/>
  <c r="AW271" i="1" s="1"/>
  <c r="Q275" i="1"/>
  <c r="Q306" i="1"/>
  <c r="AW332" i="1" s="1"/>
  <c r="Q336" i="1"/>
  <c r="BM361" i="1"/>
  <c r="BI359" i="1"/>
  <c r="BX359" i="1"/>
  <c r="BX358" i="1"/>
  <c r="BM357" i="1"/>
  <c r="BQ357" i="1" s="1"/>
  <c r="BI357" i="1"/>
  <c r="BX357" i="1"/>
  <c r="BM356" i="1"/>
  <c r="BI356" i="1"/>
  <c r="BX356" i="1" s="1"/>
  <c r="BM355" i="1"/>
  <c r="BM354" i="1"/>
  <c r="BM353" i="1"/>
  <c r="BU352" i="1"/>
  <c r="BX352" i="1" s="1"/>
  <c r="BQ352" i="1"/>
  <c r="BU351" i="1"/>
  <c r="BM351" i="1"/>
  <c r="BU350" i="1"/>
  <c r="BM350" i="1"/>
  <c r="Q350" i="1"/>
  <c r="BU349" i="1"/>
  <c r="BM349" i="1"/>
  <c r="Q349" i="1"/>
  <c r="BU348" i="1"/>
  <c r="Q348" i="1"/>
  <c r="BU347" i="1"/>
  <c r="BM347" i="1"/>
  <c r="AG347" i="1"/>
  <c r="Q347" i="1"/>
  <c r="BU346" i="1"/>
  <c r="AD346" i="1"/>
  <c r="AG346" i="1" s="1"/>
  <c r="Q346" i="1"/>
  <c r="BU345" i="1"/>
  <c r="AD345" i="1"/>
  <c r="Q345" i="1"/>
  <c r="BU344" i="1"/>
  <c r="AD344" i="1"/>
  <c r="Q344" i="1"/>
  <c r="BU343" i="1"/>
  <c r="Q343" i="1"/>
  <c r="BU342" i="1"/>
  <c r="Q342" i="1"/>
  <c r="BU341" i="1"/>
  <c r="AD341" i="1"/>
  <c r="Q341" i="1"/>
  <c r="BU340" i="1"/>
  <c r="BM340" i="1"/>
  <c r="AD340" i="1"/>
  <c r="AG340" i="1" s="1"/>
  <c r="Q340" i="1"/>
  <c r="BU339" i="1"/>
  <c r="BM339" i="1"/>
  <c r="Q339" i="1"/>
  <c r="AD338" i="1"/>
  <c r="AG338" i="1" s="1"/>
  <c r="AA338" i="1"/>
  <c r="Q338" i="1"/>
  <c r="BM331" i="1"/>
  <c r="BI329" i="1"/>
  <c r="BX328" i="1"/>
  <c r="BM327" i="1"/>
  <c r="BI327" i="1"/>
  <c r="BM326" i="1"/>
  <c r="BQ326" i="1" s="1"/>
  <c r="BI326" i="1"/>
  <c r="BM325" i="1"/>
  <c r="BM324" i="1"/>
  <c r="BM323" i="1"/>
  <c r="BU322" i="1"/>
  <c r="BX322" i="1"/>
  <c r="BQ322" i="1"/>
  <c r="BU321" i="1"/>
  <c r="BM321" i="1"/>
  <c r="BU320" i="1"/>
  <c r="BM320" i="1"/>
  <c r="Q320" i="1"/>
  <c r="BU319" i="1"/>
  <c r="BM319" i="1"/>
  <c r="Q319" i="1"/>
  <c r="BU318" i="1"/>
  <c r="Q318" i="1"/>
  <c r="BU317" i="1"/>
  <c r="BM317" i="1"/>
  <c r="AG317" i="1"/>
  <c r="Q317" i="1"/>
  <c r="BU316" i="1"/>
  <c r="AD316" i="1"/>
  <c r="AG316" i="1" s="1"/>
  <c r="Q316" i="1"/>
  <c r="BU315" i="1"/>
  <c r="AD315" i="1"/>
  <c r="Q315" i="1"/>
  <c r="BU314" i="1"/>
  <c r="AD314" i="1"/>
  <c r="Q314" i="1"/>
  <c r="BU313" i="1"/>
  <c r="AD313" i="1"/>
  <c r="Q313" i="1"/>
  <c r="BU312" i="1"/>
  <c r="Q312" i="1"/>
  <c r="BU311" i="1"/>
  <c r="Q311" i="1"/>
  <c r="BU310" i="1"/>
  <c r="BM310" i="1"/>
  <c r="Q310" i="1"/>
  <c r="BU309" i="1"/>
  <c r="BM309" i="1"/>
  <c r="Q309" i="1"/>
  <c r="AD308" i="1"/>
  <c r="AG308" i="1" s="1"/>
  <c r="AA308" i="1"/>
  <c r="Q308" i="1"/>
  <c r="BM300" i="1"/>
  <c r="BI298" i="1"/>
  <c r="BX298" i="1" s="1"/>
  <c r="BX297" i="1"/>
  <c r="BM296" i="1"/>
  <c r="BQ296" i="1" s="1"/>
  <c r="BI296" i="1"/>
  <c r="BM295" i="1"/>
  <c r="BQ295" i="1" s="1"/>
  <c r="BI295" i="1"/>
  <c r="BM294" i="1"/>
  <c r="BM293" i="1"/>
  <c r="BM292" i="1"/>
  <c r="BU291" i="1"/>
  <c r="BX291" i="1"/>
  <c r="BQ291" i="1"/>
  <c r="BU290" i="1"/>
  <c r="BM290" i="1"/>
  <c r="BU289" i="1"/>
  <c r="BM289" i="1"/>
  <c r="Q289" i="1"/>
  <c r="BU288" i="1"/>
  <c r="BM288" i="1"/>
  <c r="Q288" i="1"/>
  <c r="BU287" i="1"/>
  <c r="Q287" i="1"/>
  <c r="BU286" i="1"/>
  <c r="BM286" i="1"/>
  <c r="AG286" i="1"/>
  <c r="Q286" i="1"/>
  <c r="BU285" i="1"/>
  <c r="AD285" i="1"/>
  <c r="AG285" i="1" s="1"/>
  <c r="Q285" i="1"/>
  <c r="BU284" i="1"/>
  <c r="AD284" i="1"/>
  <c r="Q284" i="1"/>
  <c r="BU283" i="1"/>
  <c r="AD283" i="1"/>
  <c r="Q283" i="1"/>
  <c r="BU282" i="1"/>
  <c r="AD282" i="1"/>
  <c r="Q282" i="1"/>
  <c r="BU281" i="1"/>
  <c r="Q281" i="1"/>
  <c r="BU280" i="1"/>
  <c r="Q280" i="1"/>
  <c r="BU279" i="1"/>
  <c r="BM279" i="1"/>
  <c r="Q279" i="1"/>
  <c r="BU278" i="1"/>
  <c r="BM278" i="1"/>
  <c r="AD278" i="1"/>
  <c r="AG278" i="1" s="1"/>
  <c r="Q278" i="1"/>
  <c r="AD277" i="1"/>
  <c r="AG277" i="1"/>
  <c r="AA277" i="1"/>
  <c r="AA284" i="1" s="1"/>
  <c r="Q277" i="1"/>
  <c r="BM270" i="1"/>
  <c r="BI268" i="1"/>
  <c r="BX268" i="1" s="1"/>
  <c r="BX267" i="1"/>
  <c r="BM266" i="1"/>
  <c r="BQ266" i="1" s="1"/>
  <c r="BI266" i="1"/>
  <c r="BX266" i="1" s="1"/>
  <c r="BM265" i="1"/>
  <c r="BI265" i="1"/>
  <c r="BM264" i="1"/>
  <c r="BM263" i="1"/>
  <c r="BM262" i="1"/>
  <c r="BU261" i="1"/>
  <c r="BX261" i="1" s="1"/>
  <c r="BQ261" i="1"/>
  <c r="BU260" i="1"/>
  <c r="BM260" i="1"/>
  <c r="BU259" i="1"/>
  <c r="BM259" i="1"/>
  <c r="Q259" i="1"/>
  <c r="BU258" i="1"/>
  <c r="BM258" i="1"/>
  <c r="Q258" i="1"/>
  <c r="BU257" i="1"/>
  <c r="Q257" i="1"/>
  <c r="BU256" i="1"/>
  <c r="BM256" i="1"/>
  <c r="AG256" i="1"/>
  <c r="Q256" i="1"/>
  <c r="BU255" i="1"/>
  <c r="AD255" i="1"/>
  <c r="AG255" i="1" s="1"/>
  <c r="Q255" i="1"/>
  <c r="BU254" i="1"/>
  <c r="AD254" i="1"/>
  <c r="Q254" i="1"/>
  <c r="BU253" i="1"/>
  <c r="AD253" i="1"/>
  <c r="Q253" i="1"/>
  <c r="BU252" i="1"/>
  <c r="AD252" i="1"/>
  <c r="Q252" i="1"/>
  <c r="BU251" i="1"/>
  <c r="Q251" i="1"/>
  <c r="BU250" i="1"/>
  <c r="Q250" i="1"/>
  <c r="BU249" i="1"/>
  <c r="BM249" i="1"/>
  <c r="BM269" i="1" s="1"/>
  <c r="Q249" i="1"/>
  <c r="BU248" i="1"/>
  <c r="BM248" i="1"/>
  <c r="AD248" i="1"/>
  <c r="AG248" i="1" s="1"/>
  <c r="Q248" i="1"/>
  <c r="AD247" i="1"/>
  <c r="AA247" i="1"/>
  <c r="Q247" i="1"/>
  <c r="BM239" i="1"/>
  <c r="BI237" i="1"/>
  <c r="BX236" i="1"/>
  <c r="BM235" i="1"/>
  <c r="BQ235" i="1" s="1"/>
  <c r="BI235" i="1"/>
  <c r="BM234" i="1"/>
  <c r="BI234" i="1"/>
  <c r="BM233" i="1"/>
  <c r="BM232" i="1"/>
  <c r="BM231" i="1"/>
  <c r="BU230" i="1"/>
  <c r="BX230" i="1" s="1"/>
  <c r="BQ230" i="1"/>
  <c r="BU229" i="1"/>
  <c r="BM229" i="1"/>
  <c r="BU228" i="1"/>
  <c r="BM228" i="1"/>
  <c r="Q228" i="1"/>
  <c r="BU227" i="1"/>
  <c r="BM227" i="1"/>
  <c r="Q227" i="1"/>
  <c r="BU226" i="1"/>
  <c r="Q226" i="1"/>
  <c r="BU225" i="1"/>
  <c r="BM225" i="1"/>
  <c r="AG225" i="1"/>
  <c r="Q225" i="1"/>
  <c r="BU224" i="1"/>
  <c r="AD224" i="1"/>
  <c r="AG224" i="1" s="1"/>
  <c r="Q224" i="1"/>
  <c r="BU223" i="1"/>
  <c r="AD223" i="1"/>
  <c r="Q223" i="1"/>
  <c r="BU222" i="1"/>
  <c r="AD222" i="1"/>
  <c r="Q222" i="1"/>
  <c r="BU221" i="1"/>
  <c r="Q221" i="1"/>
  <c r="BU220" i="1"/>
  <c r="Q220" i="1"/>
  <c r="BU219" i="1"/>
  <c r="Q219" i="1"/>
  <c r="BU218" i="1"/>
  <c r="BM218" i="1"/>
  <c r="Q218" i="1"/>
  <c r="BU217" i="1"/>
  <c r="BM217" i="1"/>
  <c r="Q217" i="1"/>
  <c r="AD216" i="1"/>
  <c r="AA216" i="1"/>
  <c r="Q216" i="1"/>
  <c r="BM208" i="1"/>
  <c r="BI206" i="1"/>
  <c r="BX206" i="1" s="1"/>
  <c r="BX205" i="1"/>
  <c r="BM204" i="1"/>
  <c r="BI204" i="1"/>
  <c r="BM203" i="1"/>
  <c r="BI203" i="1"/>
  <c r="BM202" i="1"/>
  <c r="BM201" i="1"/>
  <c r="BM200" i="1"/>
  <c r="BU199" i="1"/>
  <c r="BX199" i="1" s="1"/>
  <c r="BQ199" i="1"/>
  <c r="BU198" i="1"/>
  <c r="BM198" i="1"/>
  <c r="BU197" i="1"/>
  <c r="BM197" i="1"/>
  <c r="Q197" i="1"/>
  <c r="BU196" i="1"/>
  <c r="BM196" i="1"/>
  <c r="Q196" i="1"/>
  <c r="BU195" i="1"/>
  <c r="Q195" i="1"/>
  <c r="BU194" i="1"/>
  <c r="BM194" i="1"/>
  <c r="AG194" i="1"/>
  <c r="Q194" i="1"/>
  <c r="BU193" i="1"/>
  <c r="AD193" i="1"/>
  <c r="AG193" i="1" s="1"/>
  <c r="Q193" i="1"/>
  <c r="BU192" i="1"/>
  <c r="AD192" i="1"/>
  <c r="Q192" i="1"/>
  <c r="BU191" i="1"/>
  <c r="AD191" i="1"/>
  <c r="Q191" i="1"/>
  <c r="BU190" i="1"/>
  <c r="Q190" i="1"/>
  <c r="BU189" i="1"/>
  <c r="Q189" i="1"/>
  <c r="BU188" i="1"/>
  <c r="AD188" i="1"/>
  <c r="Q188" i="1"/>
  <c r="BU187" i="1"/>
  <c r="BM187" i="1"/>
  <c r="AD187" i="1"/>
  <c r="AG187" i="1" s="1"/>
  <c r="Q187" i="1"/>
  <c r="BU186" i="1"/>
  <c r="BM186" i="1"/>
  <c r="Q186" i="1"/>
  <c r="AD185" i="1"/>
  <c r="AA185" i="1"/>
  <c r="Q185" i="1"/>
  <c r="BM147" i="1"/>
  <c r="BI145" i="1"/>
  <c r="BX144" i="1"/>
  <c r="BM143" i="1"/>
  <c r="BQ143" i="1" s="1"/>
  <c r="BI143" i="1"/>
  <c r="BX143" i="1" s="1"/>
  <c r="BM142" i="1"/>
  <c r="BI142" i="1"/>
  <c r="BM141" i="1"/>
  <c r="BM140" i="1"/>
  <c r="BM139" i="1"/>
  <c r="BU138" i="1"/>
  <c r="BX138" i="1" s="1"/>
  <c r="BQ138" i="1"/>
  <c r="BU137" i="1"/>
  <c r="BM137" i="1"/>
  <c r="BU136" i="1"/>
  <c r="BM136" i="1"/>
  <c r="Q136" i="1"/>
  <c r="BU135" i="1"/>
  <c r="BM135" i="1"/>
  <c r="Q135" i="1"/>
  <c r="BU134" i="1"/>
  <c r="Q134" i="1"/>
  <c r="BU133" i="1"/>
  <c r="BM133" i="1"/>
  <c r="AG133" i="1"/>
  <c r="Q133" i="1"/>
  <c r="BU132" i="1"/>
  <c r="AD132" i="1"/>
  <c r="AG132" i="1" s="1"/>
  <c r="Q132" i="1"/>
  <c r="BU131" i="1"/>
  <c r="AD131" i="1"/>
  <c r="Q131" i="1"/>
  <c r="BU130" i="1"/>
  <c r="AD130" i="1"/>
  <c r="Q130" i="1"/>
  <c r="BU129" i="1"/>
  <c r="Q129" i="1"/>
  <c r="BU128" i="1"/>
  <c r="Q128" i="1"/>
  <c r="BU127" i="1"/>
  <c r="AD127" i="1"/>
  <c r="Q127" i="1"/>
  <c r="BU126" i="1"/>
  <c r="BM126" i="1"/>
  <c r="AD126" i="1"/>
  <c r="AG126" i="1" s="1"/>
  <c r="Q126" i="1"/>
  <c r="BU125" i="1"/>
  <c r="BM125" i="1"/>
  <c r="Q125" i="1"/>
  <c r="AD124" i="1"/>
  <c r="AA124" i="1"/>
  <c r="AA131" i="1"/>
  <c r="Q124" i="1"/>
  <c r="BM117" i="1"/>
  <c r="BI115" i="1"/>
  <c r="BX115" i="1"/>
  <c r="BX114" i="1"/>
  <c r="BM113" i="1"/>
  <c r="BQ113" i="1" s="1"/>
  <c r="BI113" i="1"/>
  <c r="BM112" i="1"/>
  <c r="BI112" i="1"/>
  <c r="BX112" i="1" s="1"/>
  <c r="BM111" i="1"/>
  <c r="BM110" i="1"/>
  <c r="BM109" i="1"/>
  <c r="BU108" i="1"/>
  <c r="BX108" i="1" s="1"/>
  <c r="BQ108" i="1"/>
  <c r="BU107" i="1"/>
  <c r="BM107" i="1"/>
  <c r="BU106" i="1"/>
  <c r="BM106" i="1"/>
  <c r="Q106" i="1"/>
  <c r="BU105" i="1"/>
  <c r="BM105" i="1"/>
  <c r="Q105" i="1"/>
  <c r="BU104" i="1"/>
  <c r="Q104" i="1"/>
  <c r="BU103" i="1"/>
  <c r="BM103" i="1"/>
  <c r="AG103" i="1"/>
  <c r="Q103" i="1"/>
  <c r="BU102" i="1"/>
  <c r="AD102" i="1"/>
  <c r="AG102" i="1" s="1"/>
  <c r="Q102" i="1"/>
  <c r="BU101" i="1"/>
  <c r="AD101" i="1"/>
  <c r="Q101" i="1"/>
  <c r="BU100" i="1"/>
  <c r="AD100" i="1"/>
  <c r="Q100" i="1"/>
  <c r="BU99" i="1"/>
  <c r="AD99" i="1"/>
  <c r="Q99" i="1"/>
  <c r="BU98" i="1"/>
  <c r="Q98" i="1"/>
  <c r="BU97" i="1"/>
  <c r="Q97" i="1"/>
  <c r="BU96" i="1"/>
  <c r="BM96" i="1"/>
  <c r="Q96" i="1"/>
  <c r="BU95" i="1"/>
  <c r="BM95" i="1"/>
  <c r="BM116" i="1" s="1"/>
  <c r="Q95" i="1"/>
  <c r="AD94" i="1"/>
  <c r="AG94" i="1" s="1"/>
  <c r="AA94" i="1"/>
  <c r="AA101" i="1" s="1"/>
  <c r="Q94" i="1"/>
  <c r="BM86" i="1"/>
  <c r="BI84" i="1"/>
  <c r="BX84" i="1" s="1"/>
  <c r="BX83" i="1"/>
  <c r="BM82" i="1"/>
  <c r="BI82" i="1"/>
  <c r="BX82" i="1"/>
  <c r="BM81" i="1"/>
  <c r="BI81" i="1"/>
  <c r="BX81" i="1" s="1"/>
  <c r="BM80" i="1"/>
  <c r="BM79" i="1"/>
  <c r="BM78" i="1"/>
  <c r="BU77" i="1"/>
  <c r="BX77" i="1"/>
  <c r="BQ77" i="1"/>
  <c r="BU76" i="1"/>
  <c r="BM76" i="1"/>
  <c r="BM85" i="1"/>
  <c r="BU75" i="1"/>
  <c r="BM75" i="1"/>
  <c r="Q75" i="1"/>
  <c r="BU74" i="1"/>
  <c r="BM74" i="1"/>
  <c r="Q74" i="1"/>
  <c r="BU73" i="1"/>
  <c r="Q73" i="1"/>
  <c r="BU72" i="1"/>
  <c r="BM72" i="1"/>
  <c r="AG72" i="1"/>
  <c r="Q72" i="1"/>
  <c r="BU71" i="1"/>
  <c r="AD71" i="1"/>
  <c r="AG71" i="1" s="1"/>
  <c r="Q71" i="1"/>
  <c r="BU70" i="1"/>
  <c r="AD70" i="1"/>
  <c r="Q70" i="1"/>
  <c r="BU69" i="1"/>
  <c r="AD69" i="1"/>
  <c r="Q69" i="1"/>
  <c r="BU68" i="1"/>
  <c r="Q68" i="1"/>
  <c r="BU67" i="1"/>
  <c r="Q67" i="1"/>
  <c r="BU66" i="1"/>
  <c r="Q66" i="1"/>
  <c r="BU65" i="1"/>
  <c r="BM65" i="1"/>
  <c r="Q65" i="1"/>
  <c r="BU64" i="1"/>
  <c r="BM64" i="1"/>
  <c r="Q64" i="1"/>
  <c r="AD63" i="1"/>
  <c r="AG63" i="1"/>
  <c r="AA63" i="1"/>
  <c r="AA70" i="1"/>
  <c r="AG70" i="1" s="1"/>
  <c r="Q63" i="1"/>
  <c r="BM57" i="1"/>
  <c r="BI55" i="1"/>
  <c r="BX55" i="1" s="1"/>
  <c r="BX54" i="1"/>
  <c r="BM53" i="1"/>
  <c r="BI53" i="1"/>
  <c r="BX53" i="1" s="1"/>
  <c r="BM52" i="1"/>
  <c r="BI52" i="1"/>
  <c r="BQ52" i="1" s="1"/>
  <c r="BM51" i="1"/>
  <c r="BM50" i="1"/>
  <c r="BM49" i="1"/>
  <c r="BU48" i="1"/>
  <c r="BX48" i="1" s="1"/>
  <c r="BQ48" i="1"/>
  <c r="BU47" i="1"/>
  <c r="BM47" i="1"/>
  <c r="BU46" i="1"/>
  <c r="BM46" i="1"/>
  <c r="Q46" i="1"/>
  <c r="BU45" i="1"/>
  <c r="BM45" i="1"/>
  <c r="Q45" i="1"/>
  <c r="BU44" i="1"/>
  <c r="Q44" i="1"/>
  <c r="BU43" i="1"/>
  <c r="BM43" i="1"/>
  <c r="AG43" i="1"/>
  <c r="Q43" i="1"/>
  <c r="BU42" i="1"/>
  <c r="AD42" i="1"/>
  <c r="AG42" i="1" s="1"/>
  <c r="Q42" i="1"/>
  <c r="BU41" i="1"/>
  <c r="AD41" i="1"/>
  <c r="Q41" i="1"/>
  <c r="BU40" i="1"/>
  <c r="AD40" i="1"/>
  <c r="Q40" i="1"/>
  <c r="BU39" i="1"/>
  <c r="AD39" i="1"/>
  <c r="AG39" i="1" s="1"/>
  <c r="Q39" i="1"/>
  <c r="BU38" i="1"/>
  <c r="Q38" i="1"/>
  <c r="BU37" i="1"/>
  <c r="Q37" i="1"/>
  <c r="BU36" i="1"/>
  <c r="BM36" i="1"/>
  <c r="Q36" i="1"/>
  <c r="BU35" i="1"/>
  <c r="BM35" i="1"/>
  <c r="AD35" i="1"/>
  <c r="AG35" i="1" s="1"/>
  <c r="Q35" i="1"/>
  <c r="AD34" i="1"/>
  <c r="AA34" i="1"/>
  <c r="Q34" i="1"/>
  <c r="Q1" i="1"/>
  <c r="O350" i="1"/>
  <c r="AA348" i="1" s="1"/>
  <c r="BU17" i="1"/>
  <c r="BU16" i="1"/>
  <c r="BU15" i="1"/>
  <c r="BU14" i="1"/>
  <c r="BU13" i="1"/>
  <c r="BU12" i="1"/>
  <c r="BU11" i="1"/>
  <c r="BU10" i="1"/>
  <c r="BU9" i="1"/>
  <c r="BU8" i="1"/>
  <c r="BU7" i="1"/>
  <c r="BU6" i="1"/>
  <c r="BU5" i="1"/>
  <c r="BU4" i="1"/>
  <c r="BM26" i="1"/>
  <c r="BM22" i="1"/>
  <c r="BM21" i="1"/>
  <c r="BM20" i="1"/>
  <c r="BM19" i="1"/>
  <c r="BM18" i="1"/>
  <c r="BM16" i="1"/>
  <c r="BM15" i="1"/>
  <c r="BM14" i="1"/>
  <c r="BM12" i="1"/>
  <c r="BM5" i="1"/>
  <c r="BM4" i="1"/>
  <c r="BM25" i="1" s="1"/>
  <c r="Q15" i="1"/>
  <c r="Q14" i="1"/>
  <c r="Q13" i="1"/>
  <c r="Q12" i="1"/>
  <c r="Q11" i="1"/>
  <c r="Q10" i="1"/>
  <c r="Q9" i="1"/>
  <c r="Q8" i="1"/>
  <c r="Q7" i="1"/>
  <c r="Q6" i="1"/>
  <c r="Q5" i="1"/>
  <c r="Q4" i="1"/>
  <c r="Q3" i="1"/>
  <c r="AD11" i="1"/>
  <c r="AD10" i="1"/>
  <c r="AD9" i="1"/>
  <c r="AD8" i="1"/>
  <c r="AD3" i="1"/>
  <c r="AA3" i="1"/>
  <c r="AG3" i="1"/>
  <c r="BI22" i="1"/>
  <c r="BI21" i="1"/>
  <c r="Q4" i="63"/>
  <c r="N14" i="63"/>
  <c r="N9" i="63"/>
  <c r="AD68" i="1" s="1"/>
  <c r="BA18" i="63"/>
  <c r="AS23" i="63"/>
  <c r="AS22" i="63"/>
  <c r="BH22" i="63" s="1"/>
  <c r="Q10" i="63"/>
  <c r="F13" i="75"/>
  <c r="F10" i="75"/>
  <c r="F9" i="75"/>
  <c r="F8" i="75"/>
  <c r="F7" i="75"/>
  <c r="F6" i="75"/>
  <c r="F14" i="75"/>
  <c r="F5" i="75"/>
  <c r="F4" i="75"/>
  <c r="F3" i="75"/>
  <c r="BQ176" i="1"/>
  <c r="BX113" i="1"/>
  <c r="AA192" i="1"/>
  <c r="AG192" i="1" s="1"/>
  <c r="BQ359" i="1"/>
  <c r="BQ268" i="1"/>
  <c r="BQ115" i="1"/>
  <c r="BQ81" i="1"/>
  <c r="BQ82" i="1"/>
  <c r="BQ55" i="1"/>
  <c r="I5" i="94"/>
  <c r="J5" i="94" s="1"/>
  <c r="S17" i="94"/>
  <c r="P4" i="94"/>
  <c r="P5" i="94"/>
  <c r="P6" i="94"/>
  <c r="P7" i="94"/>
  <c r="P8" i="94"/>
  <c r="P9" i="94"/>
  <c r="P10" i="94"/>
  <c r="P11" i="94"/>
  <c r="P12" i="94"/>
  <c r="P13" i="94"/>
  <c r="P14" i="94"/>
  <c r="P15" i="94"/>
  <c r="P17" i="94"/>
  <c r="G17" i="94"/>
  <c r="J17" i="94"/>
  <c r="M17" i="94"/>
  <c r="D17" i="94"/>
  <c r="B3" i="75"/>
  <c r="B4" i="75"/>
  <c r="B5" i="75" s="1"/>
  <c r="O137" i="1"/>
  <c r="V22" i="92"/>
  <c r="O287" i="1"/>
  <c r="O321" i="1"/>
  <c r="O320" i="1"/>
  <c r="AA318" i="1" s="1"/>
  <c r="O319" i="1"/>
  <c r="O312" i="1"/>
  <c r="O308" i="1"/>
  <c r="O307" i="1"/>
  <c r="O313" i="1" s="1"/>
  <c r="O306" i="1"/>
  <c r="O260" i="1"/>
  <c r="O259" i="1"/>
  <c r="AA257" i="1" s="1"/>
  <c r="O258" i="1"/>
  <c r="O257" i="1"/>
  <c r="O251" i="1"/>
  <c r="F12" i="94" s="1"/>
  <c r="G12" i="94" s="1"/>
  <c r="O247" i="1"/>
  <c r="O246" i="1"/>
  <c r="O252" i="1" s="1"/>
  <c r="O245" i="1"/>
  <c r="O168" i="1"/>
  <c r="O167" i="1"/>
  <c r="AA165" i="1" s="1"/>
  <c r="O166" i="1"/>
  <c r="O159" i="1"/>
  <c r="AA159" i="1" s="1"/>
  <c r="O155" i="1"/>
  <c r="O161" i="1" s="1"/>
  <c r="O154" i="1"/>
  <c r="O160" i="1" s="1"/>
  <c r="O153" i="1"/>
  <c r="O351" i="1"/>
  <c r="O349" i="1"/>
  <c r="O342" i="1"/>
  <c r="F15" i="94" s="1"/>
  <c r="G15" i="94" s="1"/>
  <c r="O338" i="1"/>
  <c r="O344" i="1" s="1"/>
  <c r="O337" i="1"/>
  <c r="O343" i="1" s="1"/>
  <c r="O336" i="1"/>
  <c r="O290" i="1"/>
  <c r="O289" i="1"/>
  <c r="AA287" i="1" s="1"/>
  <c r="O288" i="1"/>
  <c r="O281" i="1"/>
  <c r="AA281" i="1" s="1"/>
  <c r="O277" i="1"/>
  <c r="O283" i="1" s="1"/>
  <c r="O276" i="1"/>
  <c r="O282" i="1" s="1"/>
  <c r="O275" i="1"/>
  <c r="O229" i="1"/>
  <c r="O228" i="1"/>
  <c r="AA226" i="1" s="1"/>
  <c r="O227" i="1"/>
  <c r="O220" i="1"/>
  <c r="F11" i="94" s="1"/>
  <c r="G11" i="94" s="1"/>
  <c r="O216" i="1"/>
  <c r="O222" i="1" s="1"/>
  <c r="O215" i="1"/>
  <c r="O214" i="1"/>
  <c r="O198" i="1"/>
  <c r="O197" i="1"/>
  <c r="AA195" i="1" s="1"/>
  <c r="O196" i="1"/>
  <c r="O189" i="1"/>
  <c r="F10" i="94" s="1"/>
  <c r="G10" i="94" s="1"/>
  <c r="O185" i="1"/>
  <c r="O191" i="1" s="1"/>
  <c r="O184" i="1"/>
  <c r="O183" i="1"/>
  <c r="O139" i="1"/>
  <c r="O138" i="1"/>
  <c r="AA134" i="1" s="1"/>
  <c r="O128" i="1"/>
  <c r="O124" i="1"/>
  <c r="O130" i="1" s="1"/>
  <c r="O123" i="1"/>
  <c r="O129" i="1" s="1"/>
  <c r="O122" i="1"/>
  <c r="O67" i="1"/>
  <c r="O7" i="1"/>
  <c r="F4" i="94" s="1"/>
  <c r="G4" i="94" s="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37" i="1"/>
  <c r="I336"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07" i="1"/>
  <c r="I30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276" i="1"/>
  <c r="I275"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46" i="1"/>
  <c r="I24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15" i="1"/>
  <c r="I21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184" i="1"/>
  <c r="I183" i="1"/>
  <c r="I155" i="1"/>
  <c r="I156" i="1"/>
  <c r="D156" i="1" s="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54" i="1"/>
  <c r="I15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23" i="1"/>
  <c r="I122"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93" i="1"/>
  <c r="I9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62" i="1"/>
  <c r="I61" i="1"/>
  <c r="I34" i="1"/>
  <c r="I35" i="1"/>
  <c r="I36" i="1"/>
  <c r="I37" i="1"/>
  <c r="I38" i="1"/>
  <c r="I39" i="1"/>
  <c r="I40" i="1"/>
  <c r="I41" i="1"/>
  <c r="I42" i="1"/>
  <c r="I43" i="1"/>
  <c r="I44" i="1"/>
  <c r="I45" i="1"/>
  <c r="I46" i="1"/>
  <c r="I47" i="1"/>
  <c r="I48" i="1"/>
  <c r="I49" i="1"/>
  <c r="I50" i="1"/>
  <c r="I51" i="1"/>
  <c r="I52" i="1"/>
  <c r="I53" i="1"/>
  <c r="I54" i="1"/>
  <c r="I55" i="1"/>
  <c r="I56" i="1"/>
  <c r="I57" i="1"/>
  <c r="I58" i="1"/>
  <c r="I59" i="1"/>
  <c r="I60" i="1"/>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2" i="1"/>
  <c r="I33" i="1"/>
  <c r="I32" i="1"/>
  <c r="I1" i="1"/>
  <c r="O98" i="1"/>
  <c r="AA98" i="1" s="1"/>
  <c r="O38" i="1"/>
  <c r="AA38" i="1" s="1"/>
  <c r="O76" i="1"/>
  <c r="O75" i="1"/>
  <c r="AA73" i="1" s="1"/>
  <c r="O74" i="1"/>
  <c r="O94" i="1"/>
  <c r="O93" i="1"/>
  <c r="O99" i="1" s="1"/>
  <c r="O92" i="1"/>
  <c r="O109" i="1"/>
  <c r="O108" i="1"/>
  <c r="AA104" i="1" s="1"/>
  <c r="O107" i="1"/>
  <c r="O61" i="1"/>
  <c r="O47" i="1"/>
  <c r="O46" i="1"/>
  <c r="AA44" i="1" s="1"/>
  <c r="O45" i="1"/>
  <c r="O34" i="1"/>
  <c r="O40" i="1" s="1"/>
  <c r="O33" i="1"/>
  <c r="O32" i="1"/>
  <c r="O1" i="1"/>
  <c r="O63" i="1"/>
  <c r="O62" i="1"/>
  <c r="O68" i="1" s="1"/>
  <c r="U52" i="91"/>
  <c r="E51" i="91"/>
  <c r="M31" i="91"/>
  <c r="M30" i="91"/>
  <c r="M29" i="91"/>
  <c r="AI28" i="91"/>
  <c r="M28" i="91"/>
  <c r="I28" i="91"/>
  <c r="T2" i="91"/>
  <c r="C2" i="91"/>
  <c r="T1" i="91"/>
  <c r="C1" i="91"/>
  <c r="U52" i="90"/>
  <c r="P52" i="90"/>
  <c r="E51" i="90"/>
  <c r="M31" i="90"/>
  <c r="M30" i="90"/>
  <c r="M29" i="90"/>
  <c r="AI28" i="90"/>
  <c r="M28" i="90"/>
  <c r="I28" i="90"/>
  <c r="T2" i="90"/>
  <c r="C2" i="90"/>
  <c r="T1" i="90"/>
  <c r="C1" i="90"/>
  <c r="U52" i="89"/>
  <c r="P52" i="89"/>
  <c r="E51" i="89"/>
  <c r="M31" i="89"/>
  <c r="M30" i="89"/>
  <c r="M29" i="89"/>
  <c r="AI28" i="89"/>
  <c r="M28" i="89"/>
  <c r="I28" i="89"/>
  <c r="T2" i="89"/>
  <c r="C2" i="89"/>
  <c r="T1" i="89"/>
  <c r="C1" i="89"/>
  <c r="U52" i="88"/>
  <c r="P52" i="88"/>
  <c r="E51" i="88"/>
  <c r="M31" i="88"/>
  <c r="M30" i="88"/>
  <c r="M29" i="88"/>
  <c r="AI28" i="88"/>
  <c r="M28" i="88"/>
  <c r="I28" i="88"/>
  <c r="T2" i="88"/>
  <c r="C2" i="88"/>
  <c r="T1" i="88"/>
  <c r="C1" i="88"/>
  <c r="U52" i="87"/>
  <c r="P52" i="87"/>
  <c r="E51" i="87"/>
  <c r="M31" i="87"/>
  <c r="M30" i="87"/>
  <c r="M29" i="87"/>
  <c r="AI28" i="87"/>
  <c r="M28" i="87"/>
  <c r="I28" i="87"/>
  <c r="T2" i="87"/>
  <c r="C2" i="87"/>
  <c r="T1" i="87"/>
  <c r="C1" i="87"/>
  <c r="U52" i="86"/>
  <c r="P52" i="86"/>
  <c r="E51" i="86"/>
  <c r="M31" i="86"/>
  <c r="M30" i="86"/>
  <c r="M29" i="86"/>
  <c r="AI28" i="86"/>
  <c r="M28" i="86"/>
  <c r="I28" i="86"/>
  <c r="T2" i="86"/>
  <c r="C2" i="86"/>
  <c r="T1" i="86"/>
  <c r="C1" i="86"/>
  <c r="U52" i="85"/>
  <c r="P52" i="85"/>
  <c r="E51" i="85"/>
  <c r="M31" i="85"/>
  <c r="M30" i="85"/>
  <c r="M29" i="85"/>
  <c r="AI28" i="85"/>
  <c r="M28" i="85"/>
  <c r="I28" i="85"/>
  <c r="T2" i="85"/>
  <c r="C2" i="85"/>
  <c r="T1" i="85"/>
  <c r="C1" i="85"/>
  <c r="U52" i="84"/>
  <c r="P52" i="84"/>
  <c r="E51" i="84"/>
  <c r="M31" i="84"/>
  <c r="M30" i="84"/>
  <c r="M29" i="84"/>
  <c r="AI28" i="84"/>
  <c r="M28" i="84"/>
  <c r="I28" i="84"/>
  <c r="T2" i="84"/>
  <c r="C2" i="84"/>
  <c r="T1" i="84"/>
  <c r="C1" i="84"/>
  <c r="U52" i="83"/>
  <c r="P52" i="83"/>
  <c r="E51" i="83"/>
  <c r="M31" i="83"/>
  <c r="M30" i="83"/>
  <c r="M29" i="83"/>
  <c r="AI28" i="83"/>
  <c r="M28" i="83"/>
  <c r="I28" i="83"/>
  <c r="T2" i="83"/>
  <c r="C2" i="83"/>
  <c r="T1" i="83"/>
  <c r="C1" i="83"/>
  <c r="U52" i="82"/>
  <c r="P52" i="82"/>
  <c r="E51" i="82"/>
  <c r="M31" i="82"/>
  <c r="M30" i="82"/>
  <c r="M29" i="82"/>
  <c r="AI28" i="82"/>
  <c r="M28" i="82"/>
  <c r="I28" i="82"/>
  <c r="T2" i="82"/>
  <c r="C2" i="82"/>
  <c r="T1" i="82"/>
  <c r="C1" i="82"/>
  <c r="U52" i="78"/>
  <c r="P52" i="78"/>
  <c r="E51" i="78"/>
  <c r="M31" i="78"/>
  <c r="M30" i="78"/>
  <c r="M29" i="78"/>
  <c r="AI28" i="78"/>
  <c r="M28" i="78"/>
  <c r="I28" i="78"/>
  <c r="T2" i="78"/>
  <c r="C2" i="78"/>
  <c r="T1" i="78"/>
  <c r="C1" i="78"/>
  <c r="B15" i="75"/>
  <c r="B13" i="75"/>
  <c r="B12" i="75"/>
  <c r="B11" i="75"/>
  <c r="B6" i="75"/>
  <c r="B7" i="75" s="1"/>
  <c r="O15" i="1"/>
  <c r="AA13" i="1" s="1"/>
  <c r="O14" i="1"/>
  <c r="O16" i="1"/>
  <c r="O3" i="1"/>
  <c r="O9" i="1" s="1"/>
  <c r="O2" i="1"/>
  <c r="BI24" i="1"/>
  <c r="BX24" i="1" s="1"/>
  <c r="BX23" i="1"/>
  <c r="BX22" i="1"/>
  <c r="BQ22" i="1"/>
  <c r="BX21" i="1"/>
  <c r="BQ21" i="1"/>
  <c r="BX17" i="1"/>
  <c r="BQ17" i="1"/>
  <c r="AG12" i="1"/>
  <c r="AG11" i="1"/>
  <c r="AA10" i="1"/>
  <c r="AG10" i="1" s="1"/>
  <c r="N5" i="63"/>
  <c r="AD339" i="1" s="1"/>
  <c r="AG339" i="1" s="1"/>
  <c r="AD4" i="1"/>
  <c r="AG4" i="1" s="1"/>
  <c r="N8" i="63"/>
  <c r="AD38" i="1" s="1"/>
  <c r="N7" i="63"/>
  <c r="AD219" i="1" s="1"/>
  <c r="AD6" i="1"/>
  <c r="Q7" i="63"/>
  <c r="N6" i="63"/>
  <c r="AD218" i="1" s="1"/>
  <c r="AG218" i="1" s="1"/>
  <c r="AD5" i="1"/>
  <c r="AG5" i="1"/>
  <c r="BA27" i="63"/>
  <c r="AS25" i="63"/>
  <c r="BA25" i="63" s="1"/>
  <c r="BH25" i="63"/>
  <c r="BH24" i="63"/>
  <c r="BH23" i="63"/>
  <c r="BA23" i="63"/>
  <c r="BA22" i="63"/>
  <c r="BH18" i="63"/>
  <c r="Q13" i="63"/>
  <c r="Q12" i="63"/>
  <c r="K11" i="63"/>
  <c r="Q11" i="63"/>
  <c r="Q9" i="63"/>
  <c r="AW26" i="63"/>
  <c r="C1" i="35"/>
  <c r="H1" i="7"/>
  <c r="H2" i="7"/>
  <c r="E3" i="7" s="1"/>
  <c r="H3" i="7"/>
  <c r="E4" i="7"/>
  <c r="C9" i="7" s="1"/>
  <c r="C11" i="7"/>
  <c r="H5" i="7"/>
  <c r="I5" i="7"/>
  <c r="H6" i="7"/>
  <c r="H7" i="7"/>
  <c r="C8" i="7"/>
  <c r="C10" i="7"/>
  <c r="C12" i="7"/>
  <c r="C13" i="7"/>
  <c r="C16" i="7"/>
  <c r="C17" i="7"/>
  <c r="C18" i="7"/>
  <c r="C20" i="7"/>
  <c r="C21" i="7"/>
  <c r="C22" i="7"/>
  <c r="C24" i="7"/>
  <c r="C25" i="7"/>
  <c r="C26" i="7"/>
  <c r="C28" i="7"/>
  <c r="C29" i="7"/>
  <c r="C30" i="7"/>
  <c r="C32" i="7"/>
  <c r="C33" i="7"/>
  <c r="C34" i="7"/>
  <c r="C36" i="7"/>
  <c r="D36" i="7"/>
  <c r="D37" i="7" s="1"/>
  <c r="C38" i="7" s="1"/>
  <c r="C37" i="7"/>
  <c r="E39" i="7"/>
  <c r="E40" i="7"/>
  <c r="E41" i="7"/>
  <c r="D1" i="6"/>
  <c r="E1" i="6"/>
  <c r="E2" i="6" s="1"/>
  <c r="G8" i="6" s="1"/>
  <c r="D2" i="6"/>
  <c r="D3" i="6"/>
  <c r="E3" i="6"/>
  <c r="B5" i="6"/>
  <c r="F5" i="6"/>
  <c r="B6" i="6"/>
  <c r="F6" i="6"/>
  <c r="D39" i="6"/>
  <c r="E39" i="6"/>
  <c r="F39" i="6"/>
  <c r="G39" i="6"/>
  <c r="H39" i="6"/>
  <c r="D40" i="6"/>
  <c r="E40" i="6"/>
  <c r="F40" i="6"/>
  <c r="G40" i="6"/>
  <c r="H40" i="6"/>
  <c r="D41" i="6"/>
  <c r="E41" i="6"/>
  <c r="F41" i="6"/>
  <c r="G41" i="6"/>
  <c r="H41" i="6"/>
  <c r="C44" i="6"/>
  <c r="C45" i="6"/>
  <c r="C46" i="6"/>
  <c r="C1" i="1"/>
  <c r="C2" i="1"/>
  <c r="C3" i="1"/>
  <c r="C4" i="1"/>
  <c r="C5" i="1"/>
  <c r="C6" i="1"/>
  <c r="C7" i="1"/>
  <c r="C8" i="1"/>
  <c r="C9" i="1"/>
  <c r="C10" i="1"/>
  <c r="C11" i="1"/>
  <c r="C12" i="1"/>
  <c r="C13" i="1"/>
  <c r="C14" i="1"/>
  <c r="C15" i="1"/>
  <c r="C16" i="1"/>
  <c r="C17" i="1"/>
  <c r="C18" i="1"/>
  <c r="C19" i="1"/>
  <c r="C20" i="1"/>
  <c r="C21" i="1"/>
  <c r="C22" i="1"/>
  <c r="C23" i="1"/>
  <c r="C24" i="1"/>
  <c r="C25" i="1"/>
  <c r="C26" i="1"/>
  <c r="C27" i="1"/>
  <c r="C28" i="1"/>
  <c r="C29" i="1"/>
  <c r="C30" i="1"/>
  <c r="C31" i="1"/>
  <c r="C35" i="1"/>
  <c r="C40" i="1"/>
  <c r="C51" i="1"/>
  <c r="C56" i="1"/>
  <c r="D3" i="2"/>
  <c r="C43" i="1" s="1"/>
  <c r="C4" i="4"/>
  <c r="C6" i="4"/>
  <c r="C8" i="4"/>
  <c r="C10" i="4"/>
  <c r="C12" i="4"/>
  <c r="C14" i="4"/>
  <c r="C16" i="4"/>
  <c r="C18" i="4"/>
  <c r="C19" i="4"/>
  <c r="C21" i="4"/>
  <c r="C23" i="4"/>
  <c r="C25" i="4"/>
  <c r="C27" i="4"/>
  <c r="C29" i="4"/>
  <c r="C31" i="4"/>
  <c r="C33" i="4"/>
  <c r="C35" i="4"/>
  <c r="C36" i="4"/>
  <c r="C38" i="4"/>
  <c r="C40" i="4"/>
  <c r="C41" i="4"/>
  <c r="C43" i="4"/>
  <c r="C44" i="4"/>
  <c r="C46" i="4"/>
  <c r="C48" i="4"/>
  <c r="C49" i="4"/>
  <c r="C51" i="4"/>
  <c r="C53" i="4"/>
  <c r="C55" i="4"/>
  <c r="C56" i="4"/>
  <c r="C58" i="4"/>
  <c r="C60" i="4"/>
  <c r="C61" i="4"/>
  <c r="C63" i="4"/>
  <c r="C65" i="4"/>
  <c r="C67" i="4"/>
  <c r="C69" i="4"/>
  <c r="C71" i="4"/>
  <c r="C73" i="4"/>
  <c r="C75" i="4"/>
  <c r="C77" i="4"/>
  <c r="C79" i="4"/>
  <c r="C81" i="4"/>
  <c r="C83" i="4"/>
  <c r="C85" i="4"/>
  <c r="C87" i="4"/>
  <c r="C89" i="4"/>
  <c r="C91" i="4"/>
  <c r="C93" i="4"/>
  <c r="C95" i="4"/>
  <c r="C97" i="4"/>
  <c r="C99" i="4"/>
  <c r="C101" i="4"/>
  <c r="C103" i="4"/>
  <c r="C105" i="4"/>
  <c r="C107" i="4"/>
  <c r="C109" i="4"/>
  <c r="C111" i="4"/>
  <c r="C113" i="4"/>
  <c r="C115" i="4"/>
  <c r="C117" i="4"/>
  <c r="C119" i="4"/>
  <c r="C120" i="4"/>
  <c r="C121" i="4"/>
  <c r="C123" i="4"/>
  <c r="C125" i="4"/>
  <c r="C127" i="4"/>
  <c r="C129" i="4"/>
  <c r="C130" i="4"/>
  <c r="C132" i="4"/>
  <c r="C134" i="4"/>
  <c r="C136" i="4"/>
  <c r="C138" i="4"/>
  <c r="C139" i="4"/>
  <c r="C141" i="4"/>
  <c r="C143" i="4"/>
  <c r="C145" i="4"/>
  <c r="C147" i="4"/>
  <c r="C149" i="4"/>
  <c r="C151" i="4"/>
  <c r="C153" i="4"/>
  <c r="C155" i="4"/>
  <c r="C157" i="4"/>
  <c r="C158" i="4"/>
  <c r="C160" i="4"/>
  <c r="C162" i="4"/>
  <c r="C164" i="4"/>
  <c r="C166" i="4"/>
  <c r="C167" i="4"/>
  <c r="C169" i="4"/>
  <c r="C170" i="4"/>
  <c r="C171" i="4"/>
  <c r="C173" i="4"/>
  <c r="C175" i="4"/>
  <c r="C177" i="4"/>
  <c r="C178" i="4"/>
  <c r="C180" i="4"/>
  <c r="C182" i="4"/>
  <c r="C184" i="4"/>
  <c r="C186" i="4"/>
  <c r="C188" i="4"/>
  <c r="C190" i="4"/>
  <c r="C192" i="4"/>
  <c r="C194" i="4"/>
  <c r="C196" i="4"/>
  <c r="C198" i="4"/>
  <c r="C200" i="4"/>
  <c r="C202" i="4"/>
  <c r="C204" i="4"/>
  <c r="T1" i="35"/>
  <c r="C2" i="35"/>
  <c r="T2" i="35"/>
  <c r="I28" i="35"/>
  <c r="M28" i="35"/>
  <c r="AI28" i="35"/>
  <c r="M29" i="35"/>
  <c r="M30" i="35"/>
  <c r="M31" i="35"/>
  <c r="K52" i="35"/>
  <c r="P52" i="35"/>
  <c r="C33" i="1"/>
  <c r="C37" i="1"/>
  <c r="C41" i="1"/>
  <c r="C45" i="1"/>
  <c r="C49" i="1"/>
  <c r="C53" i="1"/>
  <c r="C57" i="1"/>
  <c r="C34" i="1"/>
  <c r="C38" i="1"/>
  <c r="C42" i="1"/>
  <c r="C46" i="1"/>
  <c r="C50" i="1"/>
  <c r="C54" i="1"/>
  <c r="C58" i="1"/>
  <c r="C55" i="1"/>
  <c r="C47" i="1"/>
  <c r="C39" i="1"/>
  <c r="C60" i="1"/>
  <c r="C52" i="1"/>
  <c r="C44" i="1"/>
  <c r="C36" i="1"/>
  <c r="C15" i="7"/>
  <c r="K52" i="90"/>
  <c r="K52" i="91"/>
  <c r="K52" i="88"/>
  <c r="K52" i="89"/>
  <c r="K52" i="86"/>
  <c r="K52" i="87"/>
  <c r="K52" i="84"/>
  <c r="K52" i="85"/>
  <c r="K52" i="82"/>
  <c r="K52" i="83"/>
  <c r="G51" i="84"/>
  <c r="I13" i="94"/>
  <c r="J13" i="94"/>
  <c r="AA282" i="1"/>
  <c r="AG282" i="1" s="1"/>
  <c r="I12" i="94"/>
  <c r="J12" i="94"/>
  <c r="AA252" i="1"/>
  <c r="AG252" i="1" s="1"/>
  <c r="Q5" i="63"/>
  <c r="Q6" i="63"/>
  <c r="U50" i="85"/>
  <c r="U51" i="85" s="1"/>
  <c r="K50" i="85"/>
  <c r="K51" i="85" s="1"/>
  <c r="E4" i="85" s="1"/>
  <c r="U50" i="84"/>
  <c r="U51" i="84" s="1"/>
  <c r="G51" i="89"/>
  <c r="G50" i="89"/>
  <c r="BX237" i="1"/>
  <c r="BQ237" i="1"/>
  <c r="BX296" i="1"/>
  <c r="AA345" i="1"/>
  <c r="AG345" i="1" s="1"/>
  <c r="AA223" i="1"/>
  <c r="AG223" i="1" s="1"/>
  <c r="BX235" i="1"/>
  <c r="BQ24" i="1"/>
  <c r="BX295" i="1"/>
  <c r="BX326" i="1"/>
  <c r="AA315" i="1"/>
  <c r="AG315" i="1" s="1"/>
  <c r="BX204" i="1"/>
  <c r="O341" i="1"/>
  <c r="L15" i="94" s="1"/>
  <c r="M15" i="94" s="1"/>
  <c r="G50" i="84"/>
  <c r="G50" i="90"/>
  <c r="P50" i="86"/>
  <c r="P51" i="86" s="1"/>
  <c r="C30" i="86" s="1"/>
  <c r="D30" i="86" s="1"/>
  <c r="E30" i="86" s="1"/>
  <c r="F30" i="86" s="1"/>
  <c r="G30" i="86" s="1"/>
  <c r="I30" i="86" s="1"/>
  <c r="J30" i="86" s="1"/>
  <c r="C31" i="86" s="1"/>
  <c r="D31" i="86" s="1"/>
  <c r="E31" i="86" s="1"/>
  <c r="F31" i="86" s="1"/>
  <c r="G31" i="86" s="1"/>
  <c r="I31" i="86" s="1"/>
  <c r="J31" i="86" s="1"/>
  <c r="C32" i="86" s="1"/>
  <c r="D32" i="86" s="1"/>
  <c r="E32" i="86" s="1"/>
  <c r="F32" i="86" s="1"/>
  <c r="G32" i="86" s="1"/>
  <c r="I32" i="86" s="1"/>
  <c r="J32" i="86" s="1"/>
  <c r="C33" i="86" s="1"/>
  <c r="D33" i="86" s="1"/>
  <c r="E33" i="86" s="1"/>
  <c r="F33" i="86" s="1"/>
  <c r="G33" i="86" s="1"/>
  <c r="I33" i="86" s="1"/>
  <c r="J33" i="86" s="1"/>
  <c r="P50" i="90"/>
  <c r="P51" i="90" s="1"/>
  <c r="K50" i="84"/>
  <c r="K51" i="84" s="1"/>
  <c r="E4" i="84" s="1"/>
  <c r="K50" i="90"/>
  <c r="K51" i="90" s="1"/>
  <c r="K50" i="83"/>
  <c r="K51" i="83" s="1"/>
  <c r="U50" i="91"/>
  <c r="U51" i="91" s="1"/>
  <c r="AC30" i="91" s="1"/>
  <c r="G51" i="83"/>
  <c r="U50" i="83"/>
  <c r="U51" i="83" s="1"/>
  <c r="AC30" i="83" s="1"/>
  <c r="Q140" i="1"/>
  <c r="AW275" i="1"/>
  <c r="C30" i="84"/>
  <c r="D30" i="84" s="1"/>
  <c r="E30" i="84" s="1"/>
  <c r="F30" i="84" s="1"/>
  <c r="G30" i="84" s="1"/>
  <c r="I30" i="84" s="1"/>
  <c r="J30" i="84" s="1"/>
  <c r="C31" i="84" s="1"/>
  <c r="D31" i="84" s="1"/>
  <c r="E31" i="84" s="1"/>
  <c r="F31" i="84" s="1"/>
  <c r="G31" i="84" s="1"/>
  <c r="I31" i="84" s="1"/>
  <c r="J31" i="84" s="1"/>
  <c r="C32" i="84" s="1"/>
  <c r="D32" i="84" s="1"/>
  <c r="E32" i="84" s="1"/>
  <c r="F32" i="84" s="1"/>
  <c r="G32" i="84" s="1"/>
  <c r="I32" i="84" s="1"/>
  <c r="J32" i="84" s="1"/>
  <c r="C33" i="84" s="1"/>
  <c r="D33" i="84" s="1"/>
  <c r="E33" i="84" s="1"/>
  <c r="F33" i="84" s="1"/>
  <c r="G33" i="84" s="1"/>
  <c r="I33" i="84" s="1"/>
  <c r="J33" i="84" s="1"/>
  <c r="G51" i="86"/>
  <c r="K50" i="86"/>
  <c r="K51" i="86" s="1"/>
  <c r="G50" i="86"/>
  <c r="U50" i="86"/>
  <c r="U51" i="86" s="1"/>
  <c r="P50" i="89"/>
  <c r="P51" i="89" s="1"/>
  <c r="U50" i="89"/>
  <c r="U51" i="89" s="1"/>
  <c r="AC30" i="89" s="1"/>
  <c r="K50" i="89"/>
  <c r="K51" i="89" s="1"/>
  <c r="AC30" i="84"/>
  <c r="AD30" i="84" s="1"/>
  <c r="AE30" i="84" s="1"/>
  <c r="AG30" i="84" s="1"/>
  <c r="AH30" i="84" s="1"/>
  <c r="AI30" i="84" s="1"/>
  <c r="AJ30" i="84" s="1"/>
  <c r="AC31" i="84" s="1"/>
  <c r="AD31" i="84" s="1"/>
  <c r="AE31" i="84" s="1"/>
  <c r="AG31" i="84" s="1"/>
  <c r="AH31" i="84" s="1"/>
  <c r="AI31" i="84" s="1"/>
  <c r="AJ31" i="84" s="1"/>
  <c r="AC32" i="84" s="1"/>
  <c r="AD32" i="84" s="1"/>
  <c r="AE32" i="84" s="1"/>
  <c r="AG32" i="84" s="1"/>
  <c r="AH32" i="84" s="1"/>
  <c r="AI32" i="84" s="1"/>
  <c r="AJ32" i="84" s="1"/>
  <c r="AC33" i="84" s="1"/>
  <c r="AD33" i="84" s="1"/>
  <c r="AE33" i="84" s="1"/>
  <c r="AG33" i="84" s="1"/>
  <c r="AH33" i="84" s="1"/>
  <c r="AI33" i="84" s="1"/>
  <c r="AJ33" i="84" s="1"/>
  <c r="G51" i="90"/>
  <c r="BQ112" i="1" l="1"/>
  <c r="BQ356" i="1"/>
  <c r="BQ298" i="1"/>
  <c r="BQ53" i="1"/>
  <c r="BM146" i="1"/>
  <c r="BM207" i="1"/>
  <c r="BQ84" i="1"/>
  <c r="B8" i="75"/>
  <c r="K50" i="78"/>
  <c r="K51" i="78" s="1"/>
  <c r="E4" i="78" s="1"/>
  <c r="F5" i="78" s="1"/>
  <c r="C6" i="78" s="1"/>
  <c r="G50" i="78"/>
  <c r="BQ206" i="1"/>
  <c r="AG101" i="1"/>
  <c r="AG216" i="1"/>
  <c r="C4" i="88"/>
  <c r="AG124" i="1"/>
  <c r="AG185" i="1"/>
  <c r="G51" i="82"/>
  <c r="AG131" i="1"/>
  <c r="BM330" i="1"/>
  <c r="BM360" i="1"/>
  <c r="AW240" i="1"/>
  <c r="C5" i="88"/>
  <c r="G51" i="91"/>
  <c r="G52" i="91" s="1"/>
  <c r="G50" i="83"/>
  <c r="G52" i="83" s="1"/>
  <c r="AW306" i="1"/>
  <c r="AW209" i="1"/>
  <c r="C34" i="84"/>
  <c r="D34" i="84" s="1"/>
  <c r="E34" i="84" s="1"/>
  <c r="F34" i="84" s="1"/>
  <c r="G34" i="84" s="1"/>
  <c r="I34" i="84" s="1"/>
  <c r="J34" i="84" s="1"/>
  <c r="C35" i="84" s="1"/>
  <c r="D35" i="84" s="1"/>
  <c r="E35" i="84" s="1"/>
  <c r="F35" i="84" s="1"/>
  <c r="G35" i="84" s="1"/>
  <c r="I35" i="84" s="1"/>
  <c r="J35" i="84" s="1"/>
  <c r="G50" i="88"/>
  <c r="G51" i="88"/>
  <c r="G50" i="91"/>
  <c r="P50" i="91"/>
  <c r="P51" i="91" s="1"/>
  <c r="C30" i="91" s="1"/>
  <c r="D30" i="91" s="1"/>
  <c r="E30" i="91" s="1"/>
  <c r="F30" i="91" s="1"/>
  <c r="G30" i="91" s="1"/>
  <c r="I30" i="91" s="1"/>
  <c r="J30" i="91" s="1"/>
  <c r="C31" i="91" s="1"/>
  <c r="D31" i="91" s="1"/>
  <c r="E31" i="91" s="1"/>
  <c r="F31" i="91" s="1"/>
  <c r="G31" i="91" s="1"/>
  <c r="I31" i="91" s="1"/>
  <c r="J31" i="91" s="1"/>
  <c r="C32" i="91" s="1"/>
  <c r="D32" i="91" s="1"/>
  <c r="E32" i="91" s="1"/>
  <c r="F32" i="91" s="1"/>
  <c r="G32" i="91" s="1"/>
  <c r="I32" i="91" s="1"/>
  <c r="J32" i="91" s="1"/>
  <c r="C33" i="91" s="1"/>
  <c r="D33" i="91" s="1"/>
  <c r="E33" i="91" s="1"/>
  <c r="F33" i="91" s="1"/>
  <c r="G33" i="91" s="1"/>
  <c r="I33" i="91" s="1"/>
  <c r="J33" i="91" s="1"/>
  <c r="AW183" i="1"/>
  <c r="BQ204" i="1"/>
  <c r="AG284" i="1"/>
  <c r="AA342" i="1"/>
  <c r="O284" i="1"/>
  <c r="AD165" i="1"/>
  <c r="AD348" i="1"/>
  <c r="AD257" i="1"/>
  <c r="AD195" i="1"/>
  <c r="AK195" i="1" s="1"/>
  <c r="AD134" i="1"/>
  <c r="AD226" i="1"/>
  <c r="AD13" i="1"/>
  <c r="AK13" i="1" s="1"/>
  <c r="U14" i="63"/>
  <c r="Q18" i="63" s="1"/>
  <c r="AD318" i="1"/>
  <c r="AK318" i="1" s="1"/>
  <c r="AD287" i="1"/>
  <c r="AD104" i="1"/>
  <c r="AD44" i="1"/>
  <c r="AK44" i="1" s="1"/>
  <c r="BX142" i="1"/>
  <c r="BQ142" i="1"/>
  <c r="BX203" i="1"/>
  <c r="BQ203" i="1"/>
  <c r="BX327" i="1"/>
  <c r="BQ327" i="1"/>
  <c r="J4" i="88"/>
  <c r="O4" i="88" s="1"/>
  <c r="T4" i="88" s="1"/>
  <c r="Y4" i="88" s="1"/>
  <c r="AD4" i="88" s="1"/>
  <c r="AI4" i="88" s="1"/>
  <c r="E8" i="88" s="1"/>
  <c r="J8" i="88" s="1"/>
  <c r="O8" i="88" s="1"/>
  <c r="T8" i="88" s="1"/>
  <c r="Y8" i="88" s="1"/>
  <c r="AD8" i="88" s="1"/>
  <c r="AI8" i="88" s="1"/>
  <c r="E12" i="88" s="1"/>
  <c r="J12" i="88" s="1"/>
  <c r="O12" i="88" s="1"/>
  <c r="T12" i="88" s="1"/>
  <c r="Y12" i="88" s="1"/>
  <c r="AD12" i="88" s="1"/>
  <c r="AI12" i="88" s="1"/>
  <c r="E16" i="88" s="1"/>
  <c r="J16" i="88" s="1"/>
  <c r="O16" i="88" s="1"/>
  <c r="T16" i="88" s="1"/>
  <c r="Y16" i="88" s="1"/>
  <c r="AD16" i="88" s="1"/>
  <c r="AI16" i="88" s="1"/>
  <c r="C6" i="88"/>
  <c r="G51" i="78"/>
  <c r="U50" i="88"/>
  <c r="U51" i="88" s="1"/>
  <c r="AC30" i="88" s="1"/>
  <c r="AD30" i="88" s="1"/>
  <c r="AE30" i="88" s="1"/>
  <c r="AA41" i="1"/>
  <c r="AG41" i="1" s="1"/>
  <c r="AG34" i="1"/>
  <c r="BX145" i="1"/>
  <c r="BQ145" i="1"/>
  <c r="BM177" i="1"/>
  <c r="BX174" i="1"/>
  <c r="BQ174" i="1"/>
  <c r="H8" i="6"/>
  <c r="B14" i="6" s="1"/>
  <c r="C14" i="6" s="1"/>
  <c r="D14" i="6" s="1"/>
  <c r="E14" i="6" s="1"/>
  <c r="F14" i="6" s="1"/>
  <c r="G14" i="6" s="1"/>
  <c r="H14" i="6" s="1"/>
  <c r="B20" i="6" s="1"/>
  <c r="C20" i="6" s="1"/>
  <c r="D20" i="6" s="1"/>
  <c r="E20" i="6" s="1"/>
  <c r="F20" i="6" s="1"/>
  <c r="G20" i="6" s="1"/>
  <c r="H20" i="6" s="1"/>
  <c r="B26" i="6" s="1"/>
  <c r="C26" i="6" s="1"/>
  <c r="D26" i="6" s="1"/>
  <c r="E26" i="6" s="1"/>
  <c r="F26" i="6" s="1"/>
  <c r="G26" i="6" s="1"/>
  <c r="H26" i="6" s="1"/>
  <c r="B32" i="6" s="1"/>
  <c r="C32" i="6" s="1"/>
  <c r="D32" i="6" s="1"/>
  <c r="E32" i="6" s="1"/>
  <c r="F32" i="6" s="1"/>
  <c r="G32" i="6" s="1"/>
  <c r="H32" i="6" s="1"/>
  <c r="B38" i="6" s="1"/>
  <c r="AK104" i="1"/>
  <c r="AG38" i="1"/>
  <c r="AK226" i="1"/>
  <c r="AD73" i="1"/>
  <c r="BX234" i="1"/>
  <c r="BQ234" i="1"/>
  <c r="AA254" i="1"/>
  <c r="AG254" i="1" s="1"/>
  <c r="AG247" i="1"/>
  <c r="BX265" i="1"/>
  <c r="BQ265" i="1"/>
  <c r="BM299" i="1"/>
  <c r="AD159" i="1"/>
  <c r="AG159" i="1" s="1"/>
  <c r="AD342" i="1"/>
  <c r="AG342" i="1" s="1"/>
  <c r="AD189" i="1"/>
  <c r="AD128" i="1"/>
  <c r="AD7" i="1"/>
  <c r="Q8" i="63"/>
  <c r="AD220" i="1"/>
  <c r="AD312" i="1"/>
  <c r="AD281" i="1"/>
  <c r="AG281" i="1" s="1"/>
  <c r="AD251" i="1"/>
  <c r="AD98" i="1"/>
  <c r="AG98" i="1" s="1"/>
  <c r="P50" i="88"/>
  <c r="P51" i="88" s="1"/>
  <c r="P50" i="82"/>
  <c r="P51" i="82" s="1"/>
  <c r="C30" i="82" s="1"/>
  <c r="P50" i="78"/>
  <c r="P51" i="78" s="1"/>
  <c r="C30" i="78" s="1"/>
  <c r="D30" i="78" s="1"/>
  <c r="E30" i="78" s="1"/>
  <c r="F30" i="78" s="1"/>
  <c r="G30" i="78" s="1"/>
  <c r="I30" i="78" s="1"/>
  <c r="J30" i="78" s="1"/>
  <c r="C31" i="78" s="1"/>
  <c r="D31" i="78" s="1"/>
  <c r="E31" i="78" s="1"/>
  <c r="F31" i="78" s="1"/>
  <c r="G31" i="78" s="1"/>
  <c r="I31" i="78" s="1"/>
  <c r="J31" i="78" s="1"/>
  <c r="C32" i="78" s="1"/>
  <c r="D32" i="78" s="1"/>
  <c r="E32" i="78" s="1"/>
  <c r="F32" i="78" s="1"/>
  <c r="G32" i="78" s="1"/>
  <c r="I32" i="78" s="1"/>
  <c r="J32" i="78" s="1"/>
  <c r="C33" i="78" s="1"/>
  <c r="D33" i="78" s="1"/>
  <c r="E33" i="78" s="1"/>
  <c r="F33" i="78" s="1"/>
  <c r="G33" i="78" s="1"/>
  <c r="I33" i="78" s="1"/>
  <c r="J33" i="78" s="1"/>
  <c r="C34" i="78" s="1"/>
  <c r="D34" i="78" s="1"/>
  <c r="E34" i="78" s="1"/>
  <c r="F34" i="78" s="1"/>
  <c r="G34" i="78" s="1"/>
  <c r="I34" i="78" s="1"/>
  <c r="J34" i="78" s="1"/>
  <c r="C35" i="78" s="1"/>
  <c r="D35" i="78" s="1"/>
  <c r="E35" i="78" s="1"/>
  <c r="F35" i="78" s="1"/>
  <c r="G35" i="78" s="1"/>
  <c r="I35" i="78" s="1"/>
  <c r="J35" i="78" s="1"/>
  <c r="B8" i="6"/>
  <c r="C8" i="6" s="1"/>
  <c r="D38" i="7"/>
  <c r="BM56" i="1"/>
  <c r="AD67" i="1"/>
  <c r="BM238" i="1"/>
  <c r="BQ329" i="1"/>
  <c r="BX329" i="1"/>
  <c r="BX173" i="1"/>
  <c r="BQ173" i="1"/>
  <c r="AK165" i="1"/>
  <c r="AK257" i="1"/>
  <c r="AD36" i="1"/>
  <c r="AG36" i="1" s="1"/>
  <c r="AD37" i="1"/>
  <c r="BX52" i="1"/>
  <c r="AD65" i="1"/>
  <c r="AG65" i="1" s="1"/>
  <c r="AD66" i="1"/>
  <c r="AD95" i="1"/>
  <c r="AG95" i="1" s="1"/>
  <c r="AD221" i="1"/>
  <c r="AD309" i="1"/>
  <c r="AG309" i="1" s="1"/>
  <c r="AD310" i="1"/>
  <c r="AG310" i="1" s="1"/>
  <c r="C48" i="1"/>
  <c r="C32" i="1"/>
  <c r="AK73" i="1"/>
  <c r="D297" i="1"/>
  <c r="AK134" i="1"/>
  <c r="AD96" i="1"/>
  <c r="AG96" i="1" s="1"/>
  <c r="AD97" i="1"/>
  <c r="AD129" i="1"/>
  <c r="AD190" i="1"/>
  <c r="AD217" i="1"/>
  <c r="AG217" i="1" s="1"/>
  <c r="AD249" i="1"/>
  <c r="AG249" i="1" s="1"/>
  <c r="AD250" i="1"/>
  <c r="AD279" i="1"/>
  <c r="AG279" i="1" s="1"/>
  <c r="AD280" i="1"/>
  <c r="AD311" i="1"/>
  <c r="AD343" i="1"/>
  <c r="AD156" i="1"/>
  <c r="AG156" i="1" s="1"/>
  <c r="AD160" i="1"/>
  <c r="C59" i="1"/>
  <c r="C35" i="7"/>
  <c r="C31" i="7"/>
  <c r="C27" i="7"/>
  <c r="C23" i="7"/>
  <c r="C19" i="7"/>
  <c r="C14" i="7"/>
  <c r="AK287" i="1"/>
  <c r="O250" i="1"/>
  <c r="L12" i="94" s="1"/>
  <c r="M12" i="94" s="1"/>
  <c r="AK348" i="1"/>
  <c r="AD64" i="1"/>
  <c r="AG64" i="1" s="1"/>
  <c r="AD125" i="1"/>
  <c r="AG125" i="1" s="1"/>
  <c r="AD186" i="1"/>
  <c r="AG186" i="1" s="1"/>
  <c r="D158" i="1"/>
  <c r="D265" i="1"/>
  <c r="F6" i="78"/>
  <c r="AA251" i="1"/>
  <c r="AG251" i="1" s="1"/>
  <c r="T3" i="92"/>
  <c r="O280" i="1"/>
  <c r="L13" i="94" s="1"/>
  <c r="M13" i="94" s="1"/>
  <c r="D29" i="1"/>
  <c r="AG30" i="88"/>
  <c r="AH30" i="88" s="1"/>
  <c r="AI30" i="88" s="1"/>
  <c r="AJ30" i="88" s="1"/>
  <c r="AC31" i="88" s="1"/>
  <c r="AD31" i="88" s="1"/>
  <c r="AE31" i="88" s="1"/>
  <c r="AG31" i="88" s="1"/>
  <c r="AH31" i="88" s="1"/>
  <c r="AI31" i="88" s="1"/>
  <c r="AJ31" i="88" s="1"/>
  <c r="AC32" i="88" s="1"/>
  <c r="AD32" i="88" s="1"/>
  <c r="AE32" i="88" s="1"/>
  <c r="AG32" i="88" s="1"/>
  <c r="AH32" i="88" s="1"/>
  <c r="AI32" i="88" s="1"/>
  <c r="AJ32" i="88" s="1"/>
  <c r="AC33" i="88" s="1"/>
  <c r="AD33" i="88" s="1"/>
  <c r="AE33" i="88" s="1"/>
  <c r="AG33" i="88" s="1"/>
  <c r="AH33" i="88" s="1"/>
  <c r="AI33" i="88" s="1"/>
  <c r="AJ33" i="88" s="1"/>
  <c r="AC34" i="88" s="1"/>
  <c r="AD34" i="88" s="1"/>
  <c r="AE34" i="88" s="1"/>
  <c r="AG34" i="88" s="1"/>
  <c r="AH34" i="88" s="1"/>
  <c r="AI34" i="88" s="1"/>
  <c r="AJ34" i="88" s="1"/>
  <c r="AC35" i="88" s="1"/>
  <c r="AD35" i="88" s="1"/>
  <c r="AE35" i="88" s="1"/>
  <c r="AG35" i="88" s="1"/>
  <c r="AH35" i="88" s="1"/>
  <c r="AI35" i="88" s="1"/>
  <c r="AJ35" i="88" s="1"/>
  <c r="J4" i="82"/>
  <c r="O4" i="82" s="1"/>
  <c r="T4" i="82" s="1"/>
  <c r="Y4" i="82" s="1"/>
  <c r="AD4" i="82" s="1"/>
  <c r="AI4" i="82" s="1"/>
  <c r="E8" i="82" s="1"/>
  <c r="J8" i="82" s="1"/>
  <c r="O8" i="82" s="1"/>
  <c r="T8" i="82" s="1"/>
  <c r="Y8" i="82" s="1"/>
  <c r="AD8" i="82" s="1"/>
  <c r="AI8" i="82" s="1"/>
  <c r="E12" i="82" s="1"/>
  <c r="J12" i="82" s="1"/>
  <c r="O12" i="82" s="1"/>
  <c r="T12" i="82" s="1"/>
  <c r="Y12" i="82" s="1"/>
  <c r="AD12" i="82" s="1"/>
  <c r="AI12" i="82" s="1"/>
  <c r="E16" i="82" s="1"/>
  <c r="J16" i="82" s="1"/>
  <c r="O16" i="82" s="1"/>
  <c r="T16" i="82" s="1"/>
  <c r="Y16" i="82" s="1"/>
  <c r="AD16" i="82" s="1"/>
  <c r="AI16" i="82" s="1"/>
  <c r="E20" i="82" s="1"/>
  <c r="J20" i="82" s="1"/>
  <c r="O20" i="82" s="1"/>
  <c r="T20" i="82" s="1"/>
  <c r="Y20" i="82" s="1"/>
  <c r="AD20" i="82" s="1"/>
  <c r="AI20" i="82" s="1"/>
  <c r="AW118" i="1"/>
  <c r="J4" i="78"/>
  <c r="O4" i="78" s="1"/>
  <c r="T4" i="78" s="1"/>
  <c r="D214" i="1"/>
  <c r="D226" i="1"/>
  <c r="F6" i="82"/>
  <c r="D20" i="1"/>
  <c r="E20" i="88"/>
  <c r="J20" i="88" s="1"/>
  <c r="O20" i="88" s="1"/>
  <c r="T20" i="88" s="1"/>
  <c r="Y20" i="88" s="1"/>
  <c r="AD20" i="88" s="1"/>
  <c r="AI20" i="88" s="1"/>
  <c r="E24" i="88" s="1"/>
  <c r="J24" i="88" s="1"/>
  <c r="K25" i="88" s="1"/>
  <c r="H24" i="88" s="1"/>
  <c r="G52" i="78"/>
  <c r="D26" i="1"/>
  <c r="D48" i="1"/>
  <c r="D44" i="1"/>
  <c r="D40" i="1"/>
  <c r="D200" i="1"/>
  <c r="D238" i="1"/>
  <c r="D263" i="1"/>
  <c r="D300" i="1"/>
  <c r="D296" i="1"/>
  <c r="D284" i="1"/>
  <c r="D83" i="1"/>
  <c r="D236" i="1"/>
  <c r="O226" i="1"/>
  <c r="I11" i="94" s="1"/>
  <c r="J11" i="94" s="1"/>
  <c r="D346" i="1"/>
  <c r="F13" i="94"/>
  <c r="G13" i="94" s="1"/>
  <c r="O37" i="1"/>
  <c r="L5" i="94" s="1"/>
  <c r="M5" i="94" s="1"/>
  <c r="O223" i="1"/>
  <c r="T16" i="92"/>
  <c r="R8" i="92"/>
  <c r="AA189" i="1"/>
  <c r="T8" i="92"/>
  <c r="O339" i="1"/>
  <c r="BI361" i="1" s="1"/>
  <c r="BQ361" i="1" s="1"/>
  <c r="F7" i="94"/>
  <c r="G7" i="94" s="1"/>
  <c r="P15" i="92"/>
  <c r="O131" i="1"/>
  <c r="T9" i="92"/>
  <c r="O64" i="1"/>
  <c r="BI86" i="1" s="1"/>
  <c r="BQ86" i="1" s="1"/>
  <c r="N2" i="92"/>
  <c r="P4" i="92"/>
  <c r="O10" i="1"/>
  <c r="O219" i="1"/>
  <c r="L11" i="94" s="1"/>
  <c r="M11" i="94" s="1"/>
  <c r="O254" i="1"/>
  <c r="R14" i="92"/>
  <c r="F9" i="94"/>
  <c r="G9" i="94" s="1"/>
  <c r="O41" i="1"/>
  <c r="O217" i="1"/>
  <c r="BI239" i="1" s="1"/>
  <c r="BQ239" i="1" s="1"/>
  <c r="R2" i="92"/>
  <c r="O345" i="1"/>
  <c r="F14" i="94"/>
  <c r="G14" i="94" s="1"/>
  <c r="O66" i="1"/>
  <c r="L6" i="94" s="1"/>
  <c r="M6" i="94" s="1"/>
  <c r="O95" i="1"/>
  <c r="R15" i="92"/>
  <c r="P2" i="92"/>
  <c r="T14" i="92"/>
  <c r="F5" i="94"/>
  <c r="G5" i="94" s="1"/>
  <c r="P16" i="92"/>
  <c r="P9" i="92"/>
  <c r="R16" i="92"/>
  <c r="O221" i="1"/>
  <c r="D65" i="1"/>
  <c r="D232" i="1"/>
  <c r="D228" i="1"/>
  <c r="D256" i="1"/>
  <c r="D34" i="1"/>
  <c r="Q263" i="1"/>
  <c r="D55" i="1"/>
  <c r="D51" i="1"/>
  <c r="D203" i="1"/>
  <c r="N236" i="1"/>
  <c r="N233" i="1"/>
  <c r="N327" i="1"/>
  <c r="D365" i="1"/>
  <c r="N359" i="1"/>
  <c r="D349" i="1"/>
  <c r="D341" i="1"/>
  <c r="D53" i="1"/>
  <c r="G52" i="90"/>
  <c r="D261" i="1"/>
  <c r="D294" i="1"/>
  <c r="D42" i="1"/>
  <c r="AW245" i="1"/>
  <c r="D344" i="1"/>
  <c r="D58" i="1"/>
  <c r="D89" i="1"/>
  <c r="D74" i="1"/>
  <c r="D194" i="1"/>
  <c r="D240" i="1"/>
  <c r="D224" i="1"/>
  <c r="D220" i="1"/>
  <c r="D216" i="1"/>
  <c r="D273" i="1"/>
  <c r="D302" i="1"/>
  <c r="D290" i="1"/>
  <c r="D282" i="1"/>
  <c r="D227" i="1"/>
  <c r="O195" i="1"/>
  <c r="I10" i="94" s="1"/>
  <c r="J10" i="94" s="1"/>
  <c r="D1" i="1"/>
  <c r="D23" i="1"/>
  <c r="D19" i="1"/>
  <c r="D15" i="1"/>
  <c r="D11" i="1"/>
  <c r="D37" i="1"/>
  <c r="AC30" i="86"/>
  <c r="AD30" i="86" s="1"/>
  <c r="AE30" i="86" s="1"/>
  <c r="AG30" i="86" s="1"/>
  <c r="AH30" i="86" s="1"/>
  <c r="AI30" i="86" s="1"/>
  <c r="AJ30" i="86" s="1"/>
  <c r="AC31" i="86" s="1"/>
  <c r="AD31" i="86" s="1"/>
  <c r="AE31" i="86" s="1"/>
  <c r="AG31" i="86" s="1"/>
  <c r="AH31" i="86" s="1"/>
  <c r="AI31" i="86" s="1"/>
  <c r="AJ31" i="86" s="1"/>
  <c r="AC32" i="86" s="1"/>
  <c r="AD32" i="86" s="1"/>
  <c r="AE32" i="86" s="1"/>
  <c r="AG32" i="86" s="1"/>
  <c r="AH32" i="86" s="1"/>
  <c r="AI32" i="86" s="1"/>
  <c r="AJ32" i="86" s="1"/>
  <c r="AC33" i="86" s="1"/>
  <c r="AD33" i="86" s="1"/>
  <c r="AE33" i="86" s="1"/>
  <c r="AG33" i="86" s="1"/>
  <c r="AH33" i="86" s="1"/>
  <c r="AI33" i="86" s="1"/>
  <c r="AJ33" i="86" s="1"/>
  <c r="AC34" i="86" s="1"/>
  <c r="AD34" i="86" s="1"/>
  <c r="AE34" i="86" s="1"/>
  <c r="AG34" i="86" s="1"/>
  <c r="AH34" i="86" s="1"/>
  <c r="AI34" i="86" s="1"/>
  <c r="AJ34" i="86" s="1"/>
  <c r="AC35" i="86" s="1"/>
  <c r="AD35" i="86" s="1"/>
  <c r="AE35" i="86" s="1"/>
  <c r="AG35" i="86" s="1"/>
  <c r="AH35" i="86" s="1"/>
  <c r="AI35" i="86" s="1"/>
  <c r="AJ35" i="86" s="1"/>
  <c r="D87" i="1"/>
  <c r="AC34" i="84"/>
  <c r="AD34" i="84" s="1"/>
  <c r="AE34" i="84" s="1"/>
  <c r="AG34" i="84" s="1"/>
  <c r="AH34" i="84" s="1"/>
  <c r="AI34" i="84" s="1"/>
  <c r="AJ34" i="84" s="1"/>
  <c r="AC35" i="84" s="1"/>
  <c r="AD35" i="84" s="1"/>
  <c r="AE35" i="84" s="1"/>
  <c r="AG35" i="84" s="1"/>
  <c r="AH35" i="84" s="1"/>
  <c r="AI35" i="84" s="1"/>
  <c r="AJ35" i="84" s="1"/>
  <c r="D217" i="1"/>
  <c r="D337" i="1"/>
  <c r="G52" i="84"/>
  <c r="N55" i="1"/>
  <c r="D47" i="1"/>
  <c r="D39" i="1"/>
  <c r="D36" i="1"/>
  <c r="N71" i="1"/>
  <c r="N72" i="1"/>
  <c r="D73" i="1"/>
  <c r="N116" i="1"/>
  <c r="N132" i="1"/>
  <c r="N175" i="1"/>
  <c r="N203" i="1"/>
  <c r="D186" i="1"/>
  <c r="N262" i="1"/>
  <c r="N256" i="1"/>
  <c r="N298" i="1"/>
  <c r="N295" i="1"/>
  <c r="N357" i="1"/>
  <c r="N329" i="1"/>
  <c r="N317" i="1"/>
  <c r="N328" i="1"/>
  <c r="N316" i="1"/>
  <c r="D360" i="1"/>
  <c r="D356" i="1"/>
  <c r="D352" i="1"/>
  <c r="D348" i="1"/>
  <c r="D340" i="1"/>
  <c r="D205" i="1"/>
  <c r="J4" i="85"/>
  <c r="O4" i="85" s="1"/>
  <c r="T4" i="85" s="1"/>
  <c r="Y4" i="85" s="1"/>
  <c r="AD4" i="85" s="1"/>
  <c r="AI4" i="85" s="1"/>
  <c r="E8" i="85" s="1"/>
  <c r="J8" i="85" s="1"/>
  <c r="O8" i="85" s="1"/>
  <c r="T8" i="85" s="1"/>
  <c r="Y8" i="85" s="1"/>
  <c r="AD8" i="85" s="1"/>
  <c r="AI8" i="85" s="1"/>
  <c r="E12" i="85" s="1"/>
  <c r="J12" i="85" s="1"/>
  <c r="O12" i="85" s="1"/>
  <c r="T12" i="85" s="1"/>
  <c r="Y12" i="85" s="1"/>
  <c r="AD12" i="85" s="1"/>
  <c r="AI12" i="85" s="1"/>
  <c r="E16" i="85" s="1"/>
  <c r="J16" i="85" s="1"/>
  <c r="O16" i="85" s="1"/>
  <c r="T16" i="85" s="1"/>
  <c r="Y16" i="85" s="1"/>
  <c r="AD16" i="85" s="1"/>
  <c r="AI16" i="85" s="1"/>
  <c r="E20" i="85" s="1"/>
  <c r="J20" i="85" s="1"/>
  <c r="O20" i="85" s="1"/>
  <c r="T20" i="85" s="1"/>
  <c r="Q232" i="1"/>
  <c r="D54" i="1"/>
  <c r="D364" i="1"/>
  <c r="D212" i="1"/>
  <c r="D35" i="1"/>
  <c r="D38" i="1"/>
  <c r="O348" i="1"/>
  <c r="I15" i="94" s="1"/>
  <c r="J15" i="94" s="1"/>
  <c r="D49" i="1"/>
  <c r="D32" i="1"/>
  <c r="D50" i="1"/>
  <c r="AW153" i="1"/>
  <c r="D57" i="1"/>
  <c r="C5" i="78"/>
  <c r="J4" i="84"/>
  <c r="O4" i="84" s="1"/>
  <c r="T4" i="84" s="1"/>
  <c r="Y4" i="84" s="1"/>
  <c r="AD4" i="84" s="1"/>
  <c r="AI4" i="84" s="1"/>
  <c r="E8" i="84" s="1"/>
  <c r="J8" i="84" s="1"/>
  <c r="O8" i="84" s="1"/>
  <c r="T8" i="84" s="1"/>
  <c r="Y8" i="84" s="1"/>
  <c r="AD8" i="84" s="1"/>
  <c r="AI8" i="84" s="1"/>
  <c r="E12" i="84" s="1"/>
  <c r="J12" i="84" s="1"/>
  <c r="O12" i="84" s="1"/>
  <c r="T12" i="84" s="1"/>
  <c r="Y12" i="84" s="1"/>
  <c r="AD12" i="84" s="1"/>
  <c r="AI12" i="84" s="1"/>
  <c r="E16" i="84" s="1"/>
  <c r="J16" i="84" s="1"/>
  <c r="O16" i="84" s="1"/>
  <c r="T16" i="84" s="1"/>
  <c r="Y16" i="84" s="1"/>
  <c r="AD16" i="84" s="1"/>
  <c r="AI16" i="84" s="1"/>
  <c r="E20" i="84" s="1"/>
  <c r="J20" i="84" s="1"/>
  <c r="O20" i="84" s="1"/>
  <c r="T20" i="84" s="1"/>
  <c r="Y20" i="84" s="1"/>
  <c r="AD20" i="84" s="1"/>
  <c r="AI20" i="84" s="1"/>
  <c r="D30" i="82"/>
  <c r="E30" i="82" s="1"/>
  <c r="F30" i="82" s="1"/>
  <c r="G30" i="82" s="1"/>
  <c r="I30" i="82" s="1"/>
  <c r="J30" i="82" s="1"/>
  <c r="C31" i="82" s="1"/>
  <c r="D31" i="82" s="1"/>
  <c r="E31" i="82" s="1"/>
  <c r="F31" i="82" s="1"/>
  <c r="G31" i="82" s="1"/>
  <c r="I31" i="82" s="1"/>
  <c r="J31" i="82" s="1"/>
  <c r="C32" i="82" s="1"/>
  <c r="D32" i="82" s="1"/>
  <c r="E32" i="82" s="1"/>
  <c r="F32" i="82" s="1"/>
  <c r="G32" i="82" s="1"/>
  <c r="I32" i="82" s="1"/>
  <c r="J32" i="82" s="1"/>
  <c r="C33" i="82" s="1"/>
  <c r="D33" i="82" s="1"/>
  <c r="E33" i="82" s="1"/>
  <c r="F33" i="82" s="1"/>
  <c r="G33" i="82" s="1"/>
  <c r="I33" i="82" s="1"/>
  <c r="J33" i="82" s="1"/>
  <c r="C34" i="82" s="1"/>
  <c r="D34" i="82" s="1"/>
  <c r="E34" i="82" s="1"/>
  <c r="F34" i="82" s="1"/>
  <c r="G34" i="82" s="1"/>
  <c r="I34" i="82" s="1"/>
  <c r="J34" i="82" s="1"/>
  <c r="C35" i="82" s="1"/>
  <c r="D35" i="82" s="1"/>
  <c r="E35" i="82" s="1"/>
  <c r="F35" i="82" s="1"/>
  <c r="G35" i="82" s="1"/>
  <c r="I35" i="82" s="1"/>
  <c r="J35" i="82" s="1"/>
  <c r="Q110" i="1"/>
  <c r="C5" i="82"/>
  <c r="D60" i="1"/>
  <c r="AW179" i="1"/>
  <c r="D59" i="1"/>
  <c r="D56" i="1"/>
  <c r="D45" i="1"/>
  <c r="D41" i="1"/>
  <c r="AC30" i="78"/>
  <c r="AD30" i="78" s="1"/>
  <c r="AE30" i="78" s="1"/>
  <c r="AG30" i="78" s="1"/>
  <c r="AH30" i="78" s="1"/>
  <c r="AI30" i="78" s="1"/>
  <c r="AJ30" i="78" s="1"/>
  <c r="AC31" i="78" s="1"/>
  <c r="AD31" i="78" s="1"/>
  <c r="AE31" i="78" s="1"/>
  <c r="AG31" i="78" s="1"/>
  <c r="AH31" i="78" s="1"/>
  <c r="AI31" i="78" s="1"/>
  <c r="AJ31" i="78" s="1"/>
  <c r="AC32" i="78" s="1"/>
  <c r="AD32" i="78" s="1"/>
  <c r="AE32" i="78" s="1"/>
  <c r="AG32" i="78" s="1"/>
  <c r="AH32" i="78" s="1"/>
  <c r="AI32" i="78" s="1"/>
  <c r="AJ32" i="78" s="1"/>
  <c r="AC33" i="78" s="1"/>
  <c r="AD33" i="78" s="1"/>
  <c r="AE33" i="78" s="1"/>
  <c r="AG33" i="78" s="1"/>
  <c r="AH33" i="78" s="1"/>
  <c r="AI33" i="78" s="1"/>
  <c r="AJ33" i="78" s="1"/>
  <c r="AC34" i="78" s="1"/>
  <c r="AD34" i="78" s="1"/>
  <c r="AE34" i="78" s="1"/>
  <c r="AG34" i="78" s="1"/>
  <c r="AH34" i="78" s="1"/>
  <c r="AI34" i="78" s="1"/>
  <c r="AJ34" i="78" s="1"/>
  <c r="AC35" i="78" s="1"/>
  <c r="AD35" i="78" s="1"/>
  <c r="AE35" i="78" s="1"/>
  <c r="AG35" i="78" s="1"/>
  <c r="AH35" i="78" s="1"/>
  <c r="AI35" i="78" s="1"/>
  <c r="AJ35" i="78" s="1"/>
  <c r="C30" i="90"/>
  <c r="D30" i="90" s="1"/>
  <c r="E30" i="90" s="1"/>
  <c r="F30" i="90" s="1"/>
  <c r="G30" i="90" s="1"/>
  <c r="I30" i="90" s="1"/>
  <c r="J30" i="90" s="1"/>
  <c r="C31" i="90" s="1"/>
  <c r="D31" i="90" s="1"/>
  <c r="E31" i="90" s="1"/>
  <c r="F31" i="90" s="1"/>
  <c r="G31" i="90" s="1"/>
  <c r="I31" i="90" s="1"/>
  <c r="J31" i="90" s="1"/>
  <c r="C32" i="90" s="1"/>
  <c r="D32" i="90" s="1"/>
  <c r="E32" i="90" s="1"/>
  <c r="F32" i="90" s="1"/>
  <c r="G32" i="90" s="1"/>
  <c r="I32" i="90" s="1"/>
  <c r="J32" i="90" s="1"/>
  <c r="C33" i="90" s="1"/>
  <c r="D33" i="90" s="1"/>
  <c r="E33" i="90" s="1"/>
  <c r="F33" i="90" s="1"/>
  <c r="G33" i="90" s="1"/>
  <c r="I33" i="90" s="1"/>
  <c r="J33" i="90" s="1"/>
  <c r="C34" i="90" s="1"/>
  <c r="D34" i="90" s="1"/>
  <c r="E34" i="90" s="1"/>
  <c r="F34" i="90" s="1"/>
  <c r="G34" i="90" s="1"/>
  <c r="I34" i="90" s="1"/>
  <c r="J34" i="90" s="1"/>
  <c r="C35" i="90" s="1"/>
  <c r="D35" i="90" s="1"/>
  <c r="E35" i="90" s="1"/>
  <c r="F35" i="90" s="1"/>
  <c r="G35" i="90" s="1"/>
  <c r="I35" i="90" s="1"/>
  <c r="J35" i="90" s="1"/>
  <c r="N115" i="1"/>
  <c r="D210" i="1"/>
  <c r="D80" i="1"/>
  <c r="D70" i="1"/>
  <c r="D78" i="1"/>
  <c r="D67" i="1"/>
  <c r="AD30" i="89"/>
  <c r="AE30" i="89" s="1"/>
  <c r="AG30" i="89" s="1"/>
  <c r="AH30" i="89" s="1"/>
  <c r="AI30" i="89" s="1"/>
  <c r="AJ30" i="89" s="1"/>
  <c r="AC31" i="89" s="1"/>
  <c r="AD31" i="89" s="1"/>
  <c r="AE31" i="89" s="1"/>
  <c r="AG31" i="89" s="1"/>
  <c r="AH31" i="89" s="1"/>
  <c r="AI31" i="89" s="1"/>
  <c r="AJ31" i="89" s="1"/>
  <c r="AC32" i="89" s="1"/>
  <c r="AD32" i="89" s="1"/>
  <c r="AE32" i="89" s="1"/>
  <c r="AG32" i="89" s="1"/>
  <c r="AH32" i="89" s="1"/>
  <c r="AI32" i="89" s="1"/>
  <c r="AJ32" i="89" s="1"/>
  <c r="AC33" i="89" s="1"/>
  <c r="AD33" i="89" s="1"/>
  <c r="AE33" i="89" s="1"/>
  <c r="AG33" i="89" s="1"/>
  <c r="AH33" i="89" s="1"/>
  <c r="AI33" i="89" s="1"/>
  <c r="AJ33" i="89" s="1"/>
  <c r="AC34" i="89" s="1"/>
  <c r="AD34" i="89" s="1"/>
  <c r="AE34" i="89" s="1"/>
  <c r="AG34" i="89" s="1"/>
  <c r="AH34" i="89" s="1"/>
  <c r="AI34" i="89" s="1"/>
  <c r="AJ34" i="89" s="1"/>
  <c r="AC35" i="89" s="1"/>
  <c r="AD35" i="89" s="1"/>
  <c r="AE35" i="89" s="1"/>
  <c r="AG35" i="89" s="1"/>
  <c r="AH35" i="89" s="1"/>
  <c r="AI35" i="89" s="1"/>
  <c r="AJ35" i="89" s="1"/>
  <c r="D4" i="1"/>
  <c r="D243" i="1"/>
  <c r="D225" i="1"/>
  <c r="D241" i="1"/>
  <c r="N263" i="1"/>
  <c r="D268" i="1"/>
  <c r="D252" i="1"/>
  <c r="D17" i="1"/>
  <c r="D28" i="1"/>
  <c r="N134" i="1"/>
  <c r="N347" i="1"/>
  <c r="N323" i="1"/>
  <c r="N264" i="1"/>
  <c r="D267" i="1"/>
  <c r="D222" i="1"/>
  <c r="D188" i="1"/>
  <c r="D18" i="1"/>
  <c r="D195" i="1"/>
  <c r="D183" i="1"/>
  <c r="D304" i="1"/>
  <c r="D242" i="1"/>
  <c r="D30" i="1"/>
  <c r="O13" i="1"/>
  <c r="AW87" i="1"/>
  <c r="G51" i="35"/>
  <c r="D301" i="1"/>
  <c r="Q324" i="1"/>
  <c r="D291" i="1"/>
  <c r="D189" i="1"/>
  <c r="D293" i="1"/>
  <c r="D289" i="1"/>
  <c r="D285" i="1"/>
  <c r="D281" i="1"/>
  <c r="D351" i="1"/>
  <c r="D62" i="1"/>
  <c r="D163" i="1"/>
  <c r="D202" i="1"/>
  <c r="D72" i="1"/>
  <c r="D91" i="1"/>
  <c r="D235" i="1"/>
  <c r="C34" i="86"/>
  <c r="D34" i="86" s="1"/>
  <c r="E34" i="86" s="1"/>
  <c r="F34" i="86" s="1"/>
  <c r="G34" i="86" s="1"/>
  <c r="I34" i="86" s="1"/>
  <c r="J34" i="86" s="1"/>
  <c r="C35" i="86" s="1"/>
  <c r="D35" i="86" s="1"/>
  <c r="E35" i="86" s="1"/>
  <c r="F35" i="86" s="1"/>
  <c r="G35" i="86" s="1"/>
  <c r="I35" i="86" s="1"/>
  <c r="J35" i="86" s="1"/>
  <c r="D233" i="1"/>
  <c r="D254" i="1"/>
  <c r="D270" i="1"/>
  <c r="D250" i="1"/>
  <c r="N353" i="1"/>
  <c r="D350" i="1"/>
  <c r="D280" i="1"/>
  <c r="D292" i="1"/>
  <c r="D255" i="1"/>
  <c r="D230" i="1"/>
  <c r="D283" i="1"/>
  <c r="D204" i="1"/>
  <c r="D338" i="1"/>
  <c r="D342" i="1"/>
  <c r="D271" i="1"/>
  <c r="D192" i="1"/>
  <c r="D357" i="1"/>
  <c r="D211" i="1"/>
  <c r="D184" i="1"/>
  <c r="Q79" i="1"/>
  <c r="K50" i="35"/>
  <c r="K51" i="35" s="1"/>
  <c r="D298" i="1"/>
  <c r="D13" i="1"/>
  <c r="D79" i="1"/>
  <c r="N297" i="1"/>
  <c r="D366" i="1"/>
  <c r="D362" i="1"/>
  <c r="D358" i="1"/>
  <c r="D190" i="1"/>
  <c r="D86" i="1"/>
  <c r="D66" i="1"/>
  <c r="D76" i="1"/>
  <c r="D71" i="1"/>
  <c r="D63" i="1"/>
  <c r="D84" i="1"/>
  <c r="C4" i="78"/>
  <c r="D104" i="1"/>
  <c r="D88" i="1"/>
  <c r="D90" i="1"/>
  <c r="D77" i="1"/>
  <c r="D68" i="1"/>
  <c r="D64" i="1"/>
  <c r="D229" i="1"/>
  <c r="D231" i="1"/>
  <c r="D239" i="1"/>
  <c r="D244" i="1"/>
  <c r="D219" i="1"/>
  <c r="D245" i="1"/>
  <c r="D248" i="1"/>
  <c r="D21" i="1"/>
  <c r="D2" i="1"/>
  <c r="N354" i="1"/>
  <c r="D234" i="1"/>
  <c r="D196" i="1"/>
  <c r="D207" i="1"/>
  <c r="D353" i="1"/>
  <c r="D75" i="1"/>
  <c r="D279" i="1"/>
  <c r="D288" i="1"/>
  <c r="D218" i="1"/>
  <c r="D208" i="1"/>
  <c r="D213" i="1"/>
  <c r="D199" i="1"/>
  <c r="D191" i="1"/>
  <c r="G52" i="89"/>
  <c r="D237" i="1"/>
  <c r="D221" i="1"/>
  <c r="D258" i="1"/>
  <c r="D303" i="1"/>
  <c r="D299" i="1"/>
  <c r="D295" i="1"/>
  <c r="C30" i="89"/>
  <c r="D30" i="89" s="1"/>
  <c r="E30" i="89" s="1"/>
  <c r="F30" i="89" s="1"/>
  <c r="G30" i="89" s="1"/>
  <c r="I30" i="89" s="1"/>
  <c r="J30" i="89" s="1"/>
  <c r="C31" i="89" s="1"/>
  <c r="D31" i="89" s="1"/>
  <c r="E31" i="89" s="1"/>
  <c r="F31" i="89" s="1"/>
  <c r="G31" i="89" s="1"/>
  <c r="I31" i="89" s="1"/>
  <c r="J31" i="89" s="1"/>
  <c r="C32" i="89" s="1"/>
  <c r="D32" i="89" s="1"/>
  <c r="E32" i="89" s="1"/>
  <c r="F32" i="89" s="1"/>
  <c r="G32" i="89" s="1"/>
  <c r="I32" i="89" s="1"/>
  <c r="J32" i="89" s="1"/>
  <c r="C33" i="89" s="1"/>
  <c r="D33" i="89" s="1"/>
  <c r="E33" i="89" s="1"/>
  <c r="F33" i="89" s="1"/>
  <c r="G33" i="89" s="1"/>
  <c r="I33" i="89" s="1"/>
  <c r="J33" i="89" s="1"/>
  <c r="C34" i="89" s="1"/>
  <c r="D34" i="89" s="1"/>
  <c r="E34" i="89" s="1"/>
  <c r="F34" i="89" s="1"/>
  <c r="G34" i="89" s="1"/>
  <c r="I34" i="89" s="1"/>
  <c r="J34" i="89" s="1"/>
  <c r="C35" i="89" s="1"/>
  <c r="D35" i="89" s="1"/>
  <c r="E35" i="89" s="1"/>
  <c r="F35" i="89" s="1"/>
  <c r="G35" i="89" s="1"/>
  <c r="I35" i="89" s="1"/>
  <c r="J35" i="89" s="1"/>
  <c r="E4" i="86"/>
  <c r="F5" i="86" s="1"/>
  <c r="D120" i="1"/>
  <c r="D94" i="1"/>
  <c r="D107" i="1"/>
  <c r="D98" i="1"/>
  <c r="H25" i="88"/>
  <c r="D109" i="1"/>
  <c r="D111" i="1"/>
  <c r="D95" i="1"/>
  <c r="D108" i="1"/>
  <c r="D116" i="1"/>
  <c r="D92" i="1"/>
  <c r="D99" i="1"/>
  <c r="D112" i="1"/>
  <c r="D106" i="1"/>
  <c r="D97" i="1"/>
  <c r="B9" i="75"/>
  <c r="B10" i="75" s="1"/>
  <c r="D148" i="1" s="1"/>
  <c r="D113" i="1"/>
  <c r="D105" i="1"/>
  <c r="D101" i="1"/>
  <c r="D96" i="1"/>
  <c r="D119" i="1"/>
  <c r="D102" i="1"/>
  <c r="D121" i="1"/>
  <c r="D110" i="1"/>
  <c r="D115" i="1"/>
  <c r="D103" i="1"/>
  <c r="D118" i="1"/>
  <c r="D100" i="1"/>
  <c r="D117" i="1"/>
  <c r="E4" i="90"/>
  <c r="N54" i="1"/>
  <c r="D43" i="1"/>
  <c r="N78" i="1"/>
  <c r="N80" i="1"/>
  <c r="O73" i="1"/>
  <c r="N81" i="1"/>
  <c r="N79" i="1"/>
  <c r="N83" i="1"/>
  <c r="N104" i="1"/>
  <c r="K104" i="1" s="1"/>
  <c r="N102" i="1"/>
  <c r="N110" i="1"/>
  <c r="N111" i="1"/>
  <c r="N113" i="1"/>
  <c r="N103" i="1"/>
  <c r="N112" i="1"/>
  <c r="N146" i="1"/>
  <c r="N143" i="1"/>
  <c r="N141" i="1"/>
  <c r="N145" i="1"/>
  <c r="N142" i="1"/>
  <c r="N140" i="1"/>
  <c r="N144" i="1"/>
  <c r="N174" i="1"/>
  <c r="N170" i="1"/>
  <c r="N172" i="1"/>
  <c r="N176" i="1"/>
  <c r="N171" i="1"/>
  <c r="N164" i="1"/>
  <c r="D206" i="1"/>
  <c r="N206" i="1"/>
  <c r="D198" i="1"/>
  <c r="N201" i="1"/>
  <c r="N194" i="1"/>
  <c r="Q19" i="1"/>
  <c r="AW1" i="1"/>
  <c r="AW27" i="1"/>
  <c r="G50" i="87"/>
  <c r="G52" i="87" s="1"/>
  <c r="P50" i="87"/>
  <c r="P51" i="87" s="1"/>
  <c r="C30" i="87" s="1"/>
  <c r="K50" i="87"/>
  <c r="K51" i="87" s="1"/>
  <c r="U50" i="87"/>
  <c r="U51" i="87" s="1"/>
  <c r="N114" i="1"/>
  <c r="N84" i="1"/>
  <c r="D46" i="1"/>
  <c r="N43" i="1"/>
  <c r="D347" i="1"/>
  <c r="N358" i="1"/>
  <c r="D339" i="1"/>
  <c r="N346" i="1"/>
  <c r="N355" i="1"/>
  <c r="D14" i="1"/>
  <c r="D6" i="1"/>
  <c r="D12" i="1"/>
  <c r="D8" i="1"/>
  <c r="D24" i="1"/>
  <c r="D16" i="1"/>
  <c r="D22" i="1"/>
  <c r="D10" i="1"/>
  <c r="D31" i="1"/>
  <c r="D7" i="1"/>
  <c r="D27" i="1"/>
  <c r="D3" i="1"/>
  <c r="D251" i="1"/>
  <c r="D246" i="1"/>
  <c r="D272" i="1"/>
  <c r="D264" i="1"/>
  <c r="D249" i="1"/>
  <c r="D247" i="1"/>
  <c r="D259" i="1"/>
  <c r="D260" i="1"/>
  <c r="D257" i="1"/>
  <c r="D269" i="1"/>
  <c r="D253" i="1"/>
  <c r="AW32" i="1"/>
  <c r="AW58" i="1"/>
  <c r="D114" i="1"/>
  <c r="D61" i="1"/>
  <c r="D93" i="1"/>
  <c r="N105" i="1"/>
  <c r="N163" i="1"/>
  <c r="N82" i="1"/>
  <c r="N205" i="1"/>
  <c r="D33" i="1"/>
  <c r="N42" i="1"/>
  <c r="N53" i="1"/>
  <c r="N24" i="1"/>
  <c r="D25" i="1"/>
  <c r="N21" i="1"/>
  <c r="N12" i="1"/>
  <c r="N23" i="1"/>
  <c r="D9" i="1"/>
  <c r="N22" i="1"/>
  <c r="N11" i="1"/>
  <c r="D5" i="1"/>
  <c r="N50" i="1"/>
  <c r="D52" i="1"/>
  <c r="N52" i="1"/>
  <c r="N325" i="1"/>
  <c r="D306" i="1"/>
  <c r="N326" i="1"/>
  <c r="N324" i="1"/>
  <c r="N356" i="1"/>
  <c r="D354" i="1"/>
  <c r="AW148" i="1"/>
  <c r="AW122" i="1"/>
  <c r="D81" i="1"/>
  <c r="D82" i="1"/>
  <c r="D85" i="1"/>
  <c r="D69" i="1"/>
  <c r="N133" i="1"/>
  <c r="N193" i="1"/>
  <c r="N200" i="1"/>
  <c r="N202" i="1"/>
  <c r="N204" i="1"/>
  <c r="N231" i="1"/>
  <c r="N235" i="1"/>
  <c r="N224" i="1"/>
  <c r="D215" i="1"/>
  <c r="N234" i="1"/>
  <c r="N232" i="1"/>
  <c r="N225" i="1"/>
  <c r="N294" i="1"/>
  <c r="N292" i="1"/>
  <c r="N296" i="1"/>
  <c r="D274" i="1"/>
  <c r="D266" i="1"/>
  <c r="N268" i="1"/>
  <c r="N265" i="1"/>
  <c r="D262" i="1"/>
  <c r="N267" i="1"/>
  <c r="N266" i="1"/>
  <c r="N255" i="1"/>
  <c r="D275" i="1"/>
  <c r="N285" i="1"/>
  <c r="N286" i="1"/>
  <c r="N293" i="1"/>
  <c r="AW362" i="1"/>
  <c r="AW336" i="1"/>
  <c r="Q354" i="1"/>
  <c r="G52" i="86"/>
  <c r="D193" i="1"/>
  <c r="D361" i="1"/>
  <c r="N237" i="1"/>
  <c r="D336" i="1"/>
  <c r="D345" i="1"/>
  <c r="D363" i="1"/>
  <c r="D355" i="1"/>
  <c r="P5" i="78"/>
  <c r="C6" i="82"/>
  <c r="E4" i="89"/>
  <c r="F5" i="89" s="1"/>
  <c r="C30" i="88"/>
  <c r="D30" i="88" s="1"/>
  <c r="E30" i="88" s="1"/>
  <c r="F30" i="88" s="1"/>
  <c r="G30" i="88" s="1"/>
  <c r="I30" i="88" s="1"/>
  <c r="J30" i="88" s="1"/>
  <c r="C31" i="88" s="1"/>
  <c r="D31" i="88" s="1"/>
  <c r="E31" i="88" s="1"/>
  <c r="F31" i="88" s="1"/>
  <c r="G31" i="88" s="1"/>
  <c r="I31" i="88" s="1"/>
  <c r="J31" i="88" s="1"/>
  <c r="C32" i="88" s="1"/>
  <c r="D32" i="88" s="1"/>
  <c r="E32" i="88" s="1"/>
  <c r="F32" i="88" s="1"/>
  <c r="G32" i="88" s="1"/>
  <c r="I32" i="88" s="1"/>
  <c r="J32" i="88" s="1"/>
  <c r="C33" i="88" s="1"/>
  <c r="D33" i="88" s="1"/>
  <c r="E33" i="88" s="1"/>
  <c r="F33" i="88" s="1"/>
  <c r="G33" i="88" s="1"/>
  <c r="I33" i="88" s="1"/>
  <c r="J33" i="88" s="1"/>
  <c r="C34" i="88" s="1"/>
  <c r="D34" i="88" s="1"/>
  <c r="E34" i="88" s="1"/>
  <c r="F34" i="88" s="1"/>
  <c r="G34" i="88" s="1"/>
  <c r="I34" i="88" s="1"/>
  <c r="J34" i="88" s="1"/>
  <c r="C35" i="88" s="1"/>
  <c r="D35" i="88" s="1"/>
  <c r="E35" i="88" s="1"/>
  <c r="F35" i="88" s="1"/>
  <c r="G35" i="88" s="1"/>
  <c r="I35" i="88" s="1"/>
  <c r="J35" i="88" s="1"/>
  <c r="AC30" i="85"/>
  <c r="AD30" i="85" s="1"/>
  <c r="AE30" i="85" s="1"/>
  <c r="AG30" i="85" s="1"/>
  <c r="AH30" i="85" s="1"/>
  <c r="AI30" i="85" s="1"/>
  <c r="AJ30" i="85" s="1"/>
  <c r="AC31" i="85" s="1"/>
  <c r="AD31" i="85" s="1"/>
  <c r="AE31" i="85" s="1"/>
  <c r="AG31" i="85" s="1"/>
  <c r="AH31" i="85" s="1"/>
  <c r="AI31" i="85" s="1"/>
  <c r="AJ31" i="85" s="1"/>
  <c r="AC32" i="85" s="1"/>
  <c r="AD32" i="85" s="1"/>
  <c r="AE32" i="85" s="1"/>
  <c r="AG32" i="85" s="1"/>
  <c r="AH32" i="85" s="1"/>
  <c r="AI32" i="85" s="1"/>
  <c r="AJ32" i="85" s="1"/>
  <c r="AC33" i="85" s="1"/>
  <c r="AD33" i="85" s="1"/>
  <c r="AE33" i="85" s="1"/>
  <c r="AG33" i="85" s="1"/>
  <c r="AH33" i="85" s="1"/>
  <c r="AI33" i="85" s="1"/>
  <c r="AJ33" i="85" s="1"/>
  <c r="AC34" i="85" s="1"/>
  <c r="AD34" i="85" s="1"/>
  <c r="AE34" i="85" s="1"/>
  <c r="AG34" i="85" s="1"/>
  <c r="AH34" i="85" s="1"/>
  <c r="AI34" i="85" s="1"/>
  <c r="AJ34" i="85" s="1"/>
  <c r="AC35" i="85" s="1"/>
  <c r="AD35" i="85" s="1"/>
  <c r="AE35" i="85" s="1"/>
  <c r="AG35" i="85" s="1"/>
  <c r="AH35" i="85" s="1"/>
  <c r="AI35" i="85" s="1"/>
  <c r="AJ35" i="85" s="1"/>
  <c r="N51" i="1"/>
  <c r="AD30" i="83"/>
  <c r="AE30" i="83" s="1"/>
  <c r="AG30" i="83" s="1"/>
  <c r="AH30" i="83" s="1"/>
  <c r="AI30" i="83" s="1"/>
  <c r="AJ30" i="83" s="1"/>
  <c r="AC31" i="83" s="1"/>
  <c r="AD31" i="83" s="1"/>
  <c r="AE31" i="83" s="1"/>
  <c r="AG31" i="83" s="1"/>
  <c r="AH31" i="83" s="1"/>
  <c r="AI31" i="83" s="1"/>
  <c r="AJ31" i="83" s="1"/>
  <c r="AC32" i="83" s="1"/>
  <c r="AD32" i="83" s="1"/>
  <c r="AE32" i="83" s="1"/>
  <c r="AG32" i="83" s="1"/>
  <c r="AH32" i="83" s="1"/>
  <c r="AI32" i="83" s="1"/>
  <c r="AJ32" i="83" s="1"/>
  <c r="AC33" i="83" s="1"/>
  <c r="AD33" i="83" s="1"/>
  <c r="AE33" i="83" s="1"/>
  <c r="AG33" i="83" s="1"/>
  <c r="AH33" i="83" s="1"/>
  <c r="AI33" i="83" s="1"/>
  <c r="AJ33" i="83" s="1"/>
  <c r="AC34" i="83" s="1"/>
  <c r="AD34" i="83" s="1"/>
  <c r="AE34" i="83" s="1"/>
  <c r="AG34" i="83" s="1"/>
  <c r="AH34" i="83" s="1"/>
  <c r="AI34" i="83" s="1"/>
  <c r="AJ34" i="83" s="1"/>
  <c r="AC35" i="83" s="1"/>
  <c r="AD35" i="83" s="1"/>
  <c r="AE35" i="83" s="1"/>
  <c r="AG35" i="83" s="1"/>
  <c r="AH35" i="83" s="1"/>
  <c r="AI35" i="83" s="1"/>
  <c r="AJ35" i="83" s="1"/>
  <c r="AD30" i="91"/>
  <c r="AE30" i="91" s="1"/>
  <c r="AG30" i="91" s="1"/>
  <c r="AH30" i="91" s="1"/>
  <c r="AI30" i="91" s="1"/>
  <c r="AJ30" i="91" s="1"/>
  <c r="AC31" i="91" s="1"/>
  <c r="AD31" i="91" s="1"/>
  <c r="AE31" i="91" s="1"/>
  <c r="AG31" i="91" s="1"/>
  <c r="AH31" i="91" s="1"/>
  <c r="AI31" i="91" s="1"/>
  <c r="AJ31" i="91" s="1"/>
  <c r="AC32" i="91" s="1"/>
  <c r="AD32" i="91" s="1"/>
  <c r="AE32" i="91" s="1"/>
  <c r="AG32" i="91" s="1"/>
  <c r="AH32" i="91" s="1"/>
  <c r="AI32" i="91" s="1"/>
  <c r="AJ32" i="91" s="1"/>
  <c r="AC33" i="91" s="1"/>
  <c r="AD33" i="91" s="1"/>
  <c r="AE33" i="91" s="1"/>
  <c r="AG33" i="91" s="1"/>
  <c r="AH33" i="91" s="1"/>
  <c r="AI33" i="91" s="1"/>
  <c r="AJ33" i="91" s="1"/>
  <c r="AC34" i="91" s="1"/>
  <c r="AD34" i="91" s="1"/>
  <c r="AE34" i="91" s="1"/>
  <c r="AG34" i="91" s="1"/>
  <c r="AH34" i="91" s="1"/>
  <c r="AI34" i="91" s="1"/>
  <c r="AJ34" i="91" s="1"/>
  <c r="AC35" i="91" s="1"/>
  <c r="AD35" i="91" s="1"/>
  <c r="AE35" i="91" s="1"/>
  <c r="AG35" i="91" s="1"/>
  <c r="AH35" i="91" s="1"/>
  <c r="AI35" i="91" s="1"/>
  <c r="AJ35" i="91" s="1"/>
  <c r="N49" i="1"/>
  <c r="E4" i="83"/>
  <c r="AW301" i="1"/>
  <c r="Q293" i="1"/>
  <c r="E4" i="91"/>
  <c r="B14" i="75"/>
  <c r="D333" i="1" s="1"/>
  <c r="D223" i="1"/>
  <c r="D209" i="1"/>
  <c r="D187" i="1"/>
  <c r="D185" i="1"/>
  <c r="D343" i="1"/>
  <c r="D359" i="1"/>
  <c r="D277" i="1"/>
  <c r="D305" i="1"/>
  <c r="D197" i="1"/>
  <c r="D276" i="1"/>
  <c r="D201" i="1"/>
  <c r="D278" i="1"/>
  <c r="D286" i="1"/>
  <c r="D287" i="1"/>
  <c r="G50" i="35"/>
  <c r="U50" i="35"/>
  <c r="U51" i="35" s="1"/>
  <c r="P50" i="35"/>
  <c r="P51" i="35" s="1"/>
  <c r="P50" i="85"/>
  <c r="P51" i="85" s="1"/>
  <c r="G50" i="85"/>
  <c r="G51" i="85"/>
  <c r="N173" i="1"/>
  <c r="AC30" i="90"/>
  <c r="AD30" i="90" s="1"/>
  <c r="AE30" i="90" s="1"/>
  <c r="AG30" i="90" s="1"/>
  <c r="AH30" i="90" s="1"/>
  <c r="AI30" i="90" s="1"/>
  <c r="AJ30" i="90" s="1"/>
  <c r="AC31" i="90" s="1"/>
  <c r="AD31" i="90" s="1"/>
  <c r="AE31" i="90" s="1"/>
  <c r="AG31" i="90" s="1"/>
  <c r="AH31" i="90" s="1"/>
  <c r="AI31" i="90" s="1"/>
  <c r="AJ31" i="90" s="1"/>
  <c r="AC32" i="90" s="1"/>
  <c r="AD32" i="90" s="1"/>
  <c r="AE32" i="90" s="1"/>
  <c r="AG32" i="90" s="1"/>
  <c r="AH32" i="90" s="1"/>
  <c r="AI32" i="90" s="1"/>
  <c r="AJ32" i="90" s="1"/>
  <c r="AC33" i="90" s="1"/>
  <c r="AD33" i="90" s="1"/>
  <c r="AE33" i="90" s="1"/>
  <c r="AG33" i="90" s="1"/>
  <c r="AH33" i="90" s="1"/>
  <c r="AI33" i="90" s="1"/>
  <c r="AJ33" i="90" s="1"/>
  <c r="AC34" i="90" s="1"/>
  <c r="AD34" i="90" s="1"/>
  <c r="AE34" i="90" s="1"/>
  <c r="AG34" i="90" s="1"/>
  <c r="AH34" i="90" s="1"/>
  <c r="AI34" i="90" s="1"/>
  <c r="AJ34" i="90" s="1"/>
  <c r="AC35" i="90" s="1"/>
  <c r="AD35" i="90" s="1"/>
  <c r="AE35" i="90" s="1"/>
  <c r="AG35" i="90" s="1"/>
  <c r="AH35" i="90" s="1"/>
  <c r="AI35" i="90" s="1"/>
  <c r="AJ35" i="90" s="1"/>
  <c r="U50" i="82"/>
  <c r="U51" i="82" s="1"/>
  <c r="G50" i="82"/>
  <c r="C30" i="83"/>
  <c r="D30" i="83" s="1"/>
  <c r="E30" i="83" s="1"/>
  <c r="F30" i="83" s="1"/>
  <c r="G30" i="83" s="1"/>
  <c r="I30" i="83" s="1"/>
  <c r="J30" i="83" s="1"/>
  <c r="C31" i="83" s="1"/>
  <c r="D31" i="83" s="1"/>
  <c r="E31" i="83" s="1"/>
  <c r="F31" i="83" s="1"/>
  <c r="G31" i="83" s="1"/>
  <c r="I31" i="83" s="1"/>
  <c r="J31" i="83" s="1"/>
  <c r="C32" i="83" s="1"/>
  <c r="D32" i="83" s="1"/>
  <c r="E32" i="83" s="1"/>
  <c r="F32" i="83" s="1"/>
  <c r="G32" i="83" s="1"/>
  <c r="I32" i="83" s="1"/>
  <c r="J32" i="83" s="1"/>
  <c r="C33" i="83" s="1"/>
  <c r="D33" i="83" s="1"/>
  <c r="E33" i="83" s="1"/>
  <c r="F33" i="83" s="1"/>
  <c r="G33" i="83" s="1"/>
  <c r="I33" i="83" s="1"/>
  <c r="J33" i="83" s="1"/>
  <c r="C34" i="83" s="1"/>
  <c r="D34" i="83" s="1"/>
  <c r="E34" i="83" s="1"/>
  <c r="F34" i="83" s="1"/>
  <c r="G34" i="83" s="1"/>
  <c r="I34" i="83" s="1"/>
  <c r="J34" i="83" s="1"/>
  <c r="C35" i="83" s="1"/>
  <c r="D35" i="83" s="1"/>
  <c r="E35" i="83" s="1"/>
  <c r="F35" i="83" s="1"/>
  <c r="G35" i="83" s="1"/>
  <c r="I35" i="83" s="1"/>
  <c r="J35" i="83" s="1"/>
  <c r="O70" i="1"/>
  <c r="AA312" i="1"/>
  <c r="AG312" i="1" s="1"/>
  <c r="O162" i="1"/>
  <c r="O158" i="1"/>
  <c r="L9" i="94" s="1"/>
  <c r="M9" i="94" s="1"/>
  <c r="O127" i="1"/>
  <c r="L8" i="94" s="1"/>
  <c r="M8" i="94" s="1"/>
  <c r="P14" i="92"/>
  <c r="N14" i="92"/>
  <c r="N8" i="92"/>
  <c r="O97" i="1"/>
  <c r="O278" i="1"/>
  <c r="BI300" i="1" s="1"/>
  <c r="BQ300" i="1" s="1"/>
  <c r="O156" i="1"/>
  <c r="BI178" i="1" s="1"/>
  <c r="BQ178" i="1" s="1"/>
  <c r="P3" i="92"/>
  <c r="T15" i="92"/>
  <c r="O39" i="1"/>
  <c r="N15" i="92"/>
  <c r="O100" i="1"/>
  <c r="P10" i="92" s="1"/>
  <c r="O125" i="1"/>
  <c r="BI147" i="1" s="1"/>
  <c r="BQ147" i="1" s="1"/>
  <c r="AA220" i="1"/>
  <c r="AG220" i="1" s="1"/>
  <c r="O248" i="1"/>
  <c r="BI270" i="1" s="1"/>
  <c r="BQ270" i="1" s="1"/>
  <c r="R4" i="92"/>
  <c r="O253" i="1"/>
  <c r="R10" i="92" s="1"/>
  <c r="O309" i="1"/>
  <c r="T2" i="92"/>
  <c r="O311" i="1"/>
  <c r="L14" i="94" s="1"/>
  <c r="M14" i="94" s="1"/>
  <c r="O315" i="1"/>
  <c r="AA67" i="1"/>
  <c r="AG67" i="1" s="1"/>
  <c r="F6" i="94"/>
  <c r="G6" i="94" s="1"/>
  <c r="O8" i="1"/>
  <c r="N3" i="92"/>
  <c r="O6" i="1"/>
  <c r="O4" i="1"/>
  <c r="N16" i="92"/>
  <c r="O69" i="1"/>
  <c r="N10" i="92" s="1"/>
  <c r="N4" i="92"/>
  <c r="BI117" i="1"/>
  <c r="BQ117" i="1" s="1"/>
  <c r="AA128" i="1"/>
  <c r="AG128" i="1" s="1"/>
  <c r="F8" i="94"/>
  <c r="G8" i="94" s="1"/>
  <c r="P8" i="92"/>
  <c r="O190" i="1"/>
  <c r="R3" i="92"/>
  <c r="O188" i="1"/>
  <c r="O192" i="1"/>
  <c r="R11" i="92" s="1"/>
  <c r="O186" i="1"/>
  <c r="O314" i="1"/>
  <c r="T10" i="92" s="1"/>
  <c r="T4" i="92"/>
  <c r="O101" i="1"/>
  <c r="O35" i="1"/>
  <c r="BI57" i="1" s="1"/>
  <c r="BQ57" i="1" s="1"/>
  <c r="AA7" i="1"/>
  <c r="AG7" i="1" s="1"/>
  <c r="O65" i="1"/>
  <c r="O36" i="1"/>
  <c r="O310" i="1"/>
  <c r="O249" i="1"/>
  <c r="O279" i="1"/>
  <c r="O340" i="1"/>
  <c r="O157" i="1"/>
  <c r="O126" i="1"/>
  <c r="O218" i="1"/>
  <c r="O187" i="1"/>
  <c r="O96" i="1"/>
  <c r="O5" i="1"/>
  <c r="G52" i="88" l="1"/>
  <c r="G52" i="82"/>
  <c r="O233" i="1"/>
  <c r="H26" i="88"/>
  <c r="AA8" i="1"/>
  <c r="AG8" i="1" s="1"/>
  <c r="I4" i="94"/>
  <c r="J4" i="94" s="1"/>
  <c r="K26" i="88"/>
  <c r="V2" i="92"/>
  <c r="B36" i="6"/>
  <c r="C38" i="6"/>
  <c r="C43" i="6" s="1"/>
  <c r="C39" i="6" s="1"/>
  <c r="B42" i="6"/>
  <c r="C13" i="6"/>
  <c r="D8" i="6"/>
  <c r="AS20" i="63"/>
  <c r="AS5" i="63"/>
  <c r="AS21" i="63"/>
  <c r="AS13" i="63"/>
  <c r="Y18" i="63"/>
  <c r="AS15" i="63"/>
  <c r="AS10" i="63"/>
  <c r="AS6" i="63"/>
  <c r="AS8" i="63"/>
  <c r="AS12" i="63"/>
  <c r="AS7" i="63"/>
  <c r="AS19" i="63"/>
  <c r="AS11" i="63"/>
  <c r="AS17" i="63"/>
  <c r="AS9" i="63"/>
  <c r="AS16" i="63"/>
  <c r="AS14" i="63"/>
  <c r="AG189" i="1"/>
  <c r="B13" i="6"/>
  <c r="B12" i="6"/>
  <c r="B18" i="6"/>
  <c r="K5" i="78"/>
  <c r="H6" i="78" s="1"/>
  <c r="O51" i="1"/>
  <c r="O114" i="1"/>
  <c r="O104" i="1"/>
  <c r="AA99" i="1" s="1"/>
  <c r="AG99" i="1" s="1"/>
  <c r="D166" i="1"/>
  <c r="D131" i="1"/>
  <c r="AA221" i="1"/>
  <c r="AG221" i="1" s="1"/>
  <c r="D122" i="1"/>
  <c r="O11" i="1"/>
  <c r="AA6" i="1" s="1"/>
  <c r="AG6" i="1" s="1"/>
  <c r="D129" i="1"/>
  <c r="O346" i="1"/>
  <c r="C15" i="94" s="1"/>
  <c r="D15" i="94" s="1"/>
  <c r="D125" i="1"/>
  <c r="D153" i="1"/>
  <c r="D164" i="1"/>
  <c r="O165" i="1"/>
  <c r="I9" i="94" s="1"/>
  <c r="J9" i="94" s="1"/>
  <c r="D165" i="1"/>
  <c r="O71" i="1"/>
  <c r="AA66" i="1" s="1"/>
  <c r="AG66" i="1" s="1"/>
  <c r="D178" i="1"/>
  <c r="D143" i="1"/>
  <c r="D172" i="1"/>
  <c r="I7" i="94"/>
  <c r="J7" i="94" s="1"/>
  <c r="D176" i="1"/>
  <c r="D160" i="1"/>
  <c r="D161" i="1"/>
  <c r="D127" i="1"/>
  <c r="D169" i="1"/>
  <c r="K6" i="78"/>
  <c r="D168" i="1"/>
  <c r="D167" i="1"/>
  <c r="D157" i="1"/>
  <c r="D132" i="1"/>
  <c r="R13" i="92"/>
  <c r="D170" i="1"/>
  <c r="D159" i="1"/>
  <c r="D144" i="1"/>
  <c r="D171" i="1"/>
  <c r="D145" i="1"/>
  <c r="O255" i="1"/>
  <c r="C12" i="94" s="1"/>
  <c r="D12" i="94" s="1"/>
  <c r="AA190" i="1"/>
  <c r="AG190" i="1" s="1"/>
  <c r="P11" i="92"/>
  <c r="V15" i="92"/>
  <c r="V14" i="92"/>
  <c r="AA10" i="92" s="1"/>
  <c r="V8" i="92"/>
  <c r="AA2" i="92" s="1"/>
  <c r="AA5" i="92" s="1"/>
  <c r="AA6" i="92" s="1"/>
  <c r="O163" i="1"/>
  <c r="C9" i="94" s="1"/>
  <c r="D9" i="94" s="1"/>
  <c r="N9" i="92"/>
  <c r="P5" i="92"/>
  <c r="O170" i="1"/>
  <c r="O264" i="1"/>
  <c r="T6" i="92"/>
  <c r="O235" i="1"/>
  <c r="N13" i="92"/>
  <c r="AA343" i="1"/>
  <c r="AG343" i="1" s="1"/>
  <c r="T11" i="92"/>
  <c r="N11" i="92"/>
  <c r="O200" i="1"/>
  <c r="O132" i="1"/>
  <c r="AA127" i="1" s="1"/>
  <c r="AG127" i="1" s="1"/>
  <c r="O140" i="1"/>
  <c r="O262" i="1"/>
  <c r="R9" i="92"/>
  <c r="V16" i="92"/>
  <c r="O172" i="1"/>
  <c r="O224" i="1"/>
  <c r="C11" i="94" s="1"/>
  <c r="D11" i="94" s="1"/>
  <c r="O204" i="1"/>
  <c r="O42" i="1"/>
  <c r="O110" i="1"/>
  <c r="O323" i="1"/>
  <c r="O327" i="1"/>
  <c r="C5" i="94"/>
  <c r="D5" i="94" s="1"/>
  <c r="O292" i="1"/>
  <c r="O231" i="1"/>
  <c r="N239" i="1" s="1"/>
  <c r="O325" i="1"/>
  <c r="O193" i="1"/>
  <c r="AA188" i="1" s="1"/>
  <c r="AG188" i="1" s="1"/>
  <c r="O144" i="1"/>
  <c r="O112" i="1"/>
  <c r="N6" i="92"/>
  <c r="D152" i="1"/>
  <c r="D146" i="1"/>
  <c r="D30" i="87"/>
  <c r="E30" i="87" s="1"/>
  <c r="F30" i="87" s="1"/>
  <c r="G30" i="87" s="1"/>
  <c r="I30" i="87" s="1"/>
  <c r="J30" i="87" s="1"/>
  <c r="C31" i="87" s="1"/>
  <c r="D31" i="87" s="1"/>
  <c r="E31" i="87" s="1"/>
  <c r="F31" i="87" s="1"/>
  <c r="G31" i="87" s="1"/>
  <c r="I31" i="87" s="1"/>
  <c r="J31" i="87" s="1"/>
  <c r="C32" i="87" s="1"/>
  <c r="D32" i="87" s="1"/>
  <c r="E32" i="87" s="1"/>
  <c r="F32" i="87" s="1"/>
  <c r="G32" i="87" s="1"/>
  <c r="I32" i="87" s="1"/>
  <c r="J32" i="87" s="1"/>
  <c r="C33" i="87" s="1"/>
  <c r="D33" i="87" s="1"/>
  <c r="E33" i="87" s="1"/>
  <c r="F33" i="87" s="1"/>
  <c r="G33" i="87" s="1"/>
  <c r="I33" i="87" s="1"/>
  <c r="J33" i="87" s="1"/>
  <c r="C34" i="87" s="1"/>
  <c r="D34" i="87" s="1"/>
  <c r="E34" i="87" s="1"/>
  <c r="F34" i="87" s="1"/>
  <c r="G34" i="87" s="1"/>
  <c r="I34" i="87" s="1"/>
  <c r="J34" i="87" s="1"/>
  <c r="C35" i="87" s="1"/>
  <c r="D35" i="87" s="1"/>
  <c r="E35" i="87" s="1"/>
  <c r="F35" i="87" s="1"/>
  <c r="G35" i="87" s="1"/>
  <c r="I35" i="87" s="1"/>
  <c r="J35" i="87" s="1"/>
  <c r="D179" i="1"/>
  <c r="D154" i="1"/>
  <c r="D142" i="1"/>
  <c r="C40" i="6"/>
  <c r="O353" i="1"/>
  <c r="D331" i="1"/>
  <c r="O294" i="1"/>
  <c r="C41" i="6"/>
  <c r="O316" i="1"/>
  <c r="C14" i="94" s="1"/>
  <c r="D14" i="94" s="1"/>
  <c r="O357" i="1"/>
  <c r="O202" i="1"/>
  <c r="D182" i="1"/>
  <c r="D173" i="1"/>
  <c r="D174" i="1"/>
  <c r="D175" i="1"/>
  <c r="D141" i="1"/>
  <c r="D135" i="1"/>
  <c r="O266" i="1"/>
  <c r="D177" i="1"/>
  <c r="AA250" i="1"/>
  <c r="AG250" i="1" s="1"/>
  <c r="AG261" i="1" s="1"/>
  <c r="AO261" i="1" s="1"/>
  <c r="O285" i="1"/>
  <c r="C13" i="94" s="1"/>
  <c r="D13" i="94" s="1"/>
  <c r="G52" i="35"/>
  <c r="C3" i="2" s="1"/>
  <c r="D4" i="2" s="1"/>
  <c r="F5" i="91" s="1"/>
  <c r="D147" i="1"/>
  <c r="J4" i="86"/>
  <c r="D124" i="1"/>
  <c r="D181" i="1"/>
  <c r="D123" i="1"/>
  <c r="D126" i="1"/>
  <c r="D128" i="1"/>
  <c r="E4" i="35"/>
  <c r="E24" i="84"/>
  <c r="AA219" i="1"/>
  <c r="AG219" i="1" s="1"/>
  <c r="H5" i="78"/>
  <c r="O53" i="1"/>
  <c r="O49" i="1"/>
  <c r="O296" i="1"/>
  <c r="H4" i="78"/>
  <c r="O174" i="1"/>
  <c r="O142" i="1"/>
  <c r="D314" i="1"/>
  <c r="O355" i="1"/>
  <c r="AC30" i="87"/>
  <c r="AD30" i="87" s="1"/>
  <c r="AE30" i="87" s="1"/>
  <c r="AG30" i="87" s="1"/>
  <c r="AH30" i="87" s="1"/>
  <c r="AI30" i="87" s="1"/>
  <c r="AJ30" i="87" s="1"/>
  <c r="AC31" i="87" s="1"/>
  <c r="AD31" i="87" s="1"/>
  <c r="AE31" i="87" s="1"/>
  <c r="AG31" i="87" s="1"/>
  <c r="AH31" i="87" s="1"/>
  <c r="AI31" i="87" s="1"/>
  <c r="AJ31" i="87" s="1"/>
  <c r="AC32" i="87" s="1"/>
  <c r="AD32" i="87" s="1"/>
  <c r="AE32" i="87" s="1"/>
  <c r="AG32" i="87" s="1"/>
  <c r="AH32" i="87" s="1"/>
  <c r="AI32" i="87" s="1"/>
  <c r="AJ32" i="87" s="1"/>
  <c r="AC33" i="87" s="1"/>
  <c r="AD33" i="87" s="1"/>
  <c r="AE33" i="87" s="1"/>
  <c r="AG33" i="87" s="1"/>
  <c r="AH33" i="87" s="1"/>
  <c r="AI33" i="87" s="1"/>
  <c r="AJ33" i="87" s="1"/>
  <c r="AC34" i="87" s="1"/>
  <c r="AD34" i="87" s="1"/>
  <c r="AE34" i="87" s="1"/>
  <c r="AG34" i="87" s="1"/>
  <c r="AH34" i="87" s="1"/>
  <c r="AI34" i="87" s="1"/>
  <c r="AJ34" i="87" s="1"/>
  <c r="AC35" i="87" s="1"/>
  <c r="AD35" i="87" s="1"/>
  <c r="AE35" i="87" s="1"/>
  <c r="AG35" i="87" s="1"/>
  <c r="AH35" i="87" s="1"/>
  <c r="AI35" i="87" s="1"/>
  <c r="AJ35" i="87" s="1"/>
  <c r="O102" i="1"/>
  <c r="O80" i="1"/>
  <c r="D180" i="1"/>
  <c r="N136" i="1"/>
  <c r="D150" i="1"/>
  <c r="D140" i="1"/>
  <c r="N135" i="1"/>
  <c r="D133" i="1"/>
  <c r="D139" i="1"/>
  <c r="D138" i="1"/>
  <c r="D136" i="1"/>
  <c r="D151" i="1"/>
  <c r="D313" i="1"/>
  <c r="D312" i="1"/>
  <c r="D317" i="1"/>
  <c r="D329" i="1"/>
  <c r="D326" i="1"/>
  <c r="E4" i="87"/>
  <c r="J4" i="87" s="1"/>
  <c r="O4" i="87" s="1"/>
  <c r="T4" i="87" s="1"/>
  <c r="Y4" i="87" s="1"/>
  <c r="AD4" i="87" s="1"/>
  <c r="AI4" i="87" s="1"/>
  <c r="E8" i="87" s="1"/>
  <c r="J8" i="87" s="1"/>
  <c r="O8" i="87" s="1"/>
  <c r="T8" i="87" s="1"/>
  <c r="Y8" i="87" s="1"/>
  <c r="AD8" i="87" s="1"/>
  <c r="AI8" i="87" s="1"/>
  <c r="E12" i="87" s="1"/>
  <c r="J12" i="87" s="1"/>
  <c r="O12" i="87" s="1"/>
  <c r="T12" i="87" s="1"/>
  <c r="Y12" i="87" s="1"/>
  <c r="AD12" i="87" s="1"/>
  <c r="AI12" i="87" s="1"/>
  <c r="E16" i="87" s="1"/>
  <c r="J16" i="87" s="1"/>
  <c r="O16" i="87" s="1"/>
  <c r="T16" i="87" s="1"/>
  <c r="Y16" i="87" s="1"/>
  <c r="AD16" i="87" s="1"/>
  <c r="AI16" i="87" s="1"/>
  <c r="E20" i="87" s="1"/>
  <c r="J20" i="87" s="1"/>
  <c r="O20" i="87" s="1"/>
  <c r="T20" i="87" s="1"/>
  <c r="Y20" i="87" s="1"/>
  <c r="O78" i="1"/>
  <c r="J4" i="90"/>
  <c r="O4" i="90" s="1"/>
  <c r="T4" i="90" s="1"/>
  <c r="Y4" i="90" s="1"/>
  <c r="AD4" i="90" s="1"/>
  <c r="AI4" i="90" s="1"/>
  <c r="E8" i="90" s="1"/>
  <c r="J8" i="90" s="1"/>
  <c r="O8" i="90" s="1"/>
  <c r="T8" i="90" s="1"/>
  <c r="Y8" i="90" s="1"/>
  <c r="AD8" i="90" s="1"/>
  <c r="AI8" i="90" s="1"/>
  <c r="E12" i="90" s="1"/>
  <c r="J12" i="90" s="1"/>
  <c r="O12" i="90" s="1"/>
  <c r="T12" i="90" s="1"/>
  <c r="Y12" i="90" s="1"/>
  <c r="AD12" i="90" s="1"/>
  <c r="AI12" i="90" s="1"/>
  <c r="E16" i="90" s="1"/>
  <c r="J16" i="90" s="1"/>
  <c r="O16" i="90" s="1"/>
  <c r="T16" i="90" s="1"/>
  <c r="Y16" i="90" s="1"/>
  <c r="AD16" i="90" s="1"/>
  <c r="AI16" i="90" s="1"/>
  <c r="E20" i="90" s="1"/>
  <c r="J20" i="90" s="1"/>
  <c r="O20" i="90" s="1"/>
  <c r="T20" i="90" s="1"/>
  <c r="Y20" i="90" s="1"/>
  <c r="D149" i="1"/>
  <c r="D130" i="1"/>
  <c r="D137" i="1"/>
  <c r="D155" i="1"/>
  <c r="D319" i="1"/>
  <c r="D328" i="1"/>
  <c r="R6" i="92"/>
  <c r="O82" i="1"/>
  <c r="P6" i="92"/>
  <c r="AA68" i="1"/>
  <c r="AG68" i="1" s="1"/>
  <c r="I6" i="94"/>
  <c r="J6" i="94" s="1"/>
  <c r="D162" i="1"/>
  <c r="F6" i="86"/>
  <c r="C4" i="86"/>
  <c r="C6" i="86"/>
  <c r="C5" i="86"/>
  <c r="Y20" i="85"/>
  <c r="E24" i="82"/>
  <c r="D134" i="1"/>
  <c r="D307" i="1"/>
  <c r="D334" i="1"/>
  <c r="AC30" i="82"/>
  <c r="AD30" i="82" s="1"/>
  <c r="AE30" i="82" s="1"/>
  <c r="AG30" i="82" s="1"/>
  <c r="AH30" i="82" s="1"/>
  <c r="AI30" i="82" s="1"/>
  <c r="AJ30" i="82" s="1"/>
  <c r="AC31" i="82" s="1"/>
  <c r="AD31" i="82" s="1"/>
  <c r="AE31" i="82" s="1"/>
  <c r="AG31" i="82" s="1"/>
  <c r="AH31" i="82" s="1"/>
  <c r="AI31" i="82" s="1"/>
  <c r="AJ31" i="82" s="1"/>
  <c r="AC32" i="82" s="1"/>
  <c r="AD32" i="82" s="1"/>
  <c r="AE32" i="82" s="1"/>
  <c r="AG32" i="82" s="1"/>
  <c r="AH32" i="82" s="1"/>
  <c r="AI32" i="82" s="1"/>
  <c r="AJ32" i="82" s="1"/>
  <c r="AC33" i="82" s="1"/>
  <c r="AD33" i="82" s="1"/>
  <c r="AE33" i="82" s="1"/>
  <c r="AG33" i="82" s="1"/>
  <c r="AH33" i="82" s="1"/>
  <c r="AI33" i="82" s="1"/>
  <c r="AJ33" i="82" s="1"/>
  <c r="AC34" i="82" s="1"/>
  <c r="AD34" i="82" s="1"/>
  <c r="AE34" i="82" s="1"/>
  <c r="AG34" i="82" s="1"/>
  <c r="AH34" i="82" s="1"/>
  <c r="AI34" i="82" s="1"/>
  <c r="AJ34" i="82" s="1"/>
  <c r="AC35" i="82" s="1"/>
  <c r="AD35" i="82" s="1"/>
  <c r="AE35" i="82" s="1"/>
  <c r="AG35" i="82" s="1"/>
  <c r="AH35" i="82" s="1"/>
  <c r="AI35" i="82" s="1"/>
  <c r="AJ35" i="82" s="1"/>
  <c r="G52" i="85"/>
  <c r="AC30" i="35"/>
  <c r="AD30" i="35" s="1"/>
  <c r="AE30" i="35" s="1"/>
  <c r="AG30" i="35" s="1"/>
  <c r="AH30" i="35" s="1"/>
  <c r="AI30" i="35" s="1"/>
  <c r="AJ30" i="35" s="1"/>
  <c r="AC31" i="35" s="1"/>
  <c r="AD31" i="35" s="1"/>
  <c r="AE31" i="35" s="1"/>
  <c r="AG31" i="35" s="1"/>
  <c r="AH31" i="35" s="1"/>
  <c r="AI31" i="35" s="1"/>
  <c r="AJ31" i="35" s="1"/>
  <c r="AC32" i="35" s="1"/>
  <c r="AD32" i="35" s="1"/>
  <c r="AE32" i="35" s="1"/>
  <c r="AG32" i="35" s="1"/>
  <c r="AH32" i="35" s="1"/>
  <c r="AI32" i="35" s="1"/>
  <c r="AJ32" i="35" s="1"/>
  <c r="AC33" i="35" s="1"/>
  <c r="AD33" i="35" s="1"/>
  <c r="AE33" i="35" s="1"/>
  <c r="AG33" i="35" s="1"/>
  <c r="AH33" i="35" s="1"/>
  <c r="AI33" i="35" s="1"/>
  <c r="AJ33" i="35" s="1"/>
  <c r="D322" i="1"/>
  <c r="D318" i="1"/>
  <c r="D316" i="1"/>
  <c r="D330" i="1"/>
  <c r="D332" i="1"/>
  <c r="J4" i="91"/>
  <c r="U52" i="35"/>
  <c r="P52" i="91"/>
  <c r="C34" i="91" s="1"/>
  <c r="D34" i="91" s="1"/>
  <c r="E34" i="91" s="1"/>
  <c r="F34" i="91" s="1"/>
  <c r="G34" i="91" s="1"/>
  <c r="I34" i="91" s="1"/>
  <c r="J34" i="91" s="1"/>
  <c r="C35" i="91" s="1"/>
  <c r="D35" i="91" s="1"/>
  <c r="E35" i="91" s="1"/>
  <c r="F35" i="91" s="1"/>
  <c r="G35" i="91" s="1"/>
  <c r="I35" i="91" s="1"/>
  <c r="J35" i="91" s="1"/>
  <c r="K52" i="78"/>
  <c r="D324" i="1"/>
  <c r="D308" i="1"/>
  <c r="D327" i="1"/>
  <c r="D321" i="1"/>
  <c r="D320" i="1"/>
  <c r="D335" i="1"/>
  <c r="D309" i="1"/>
  <c r="D323" i="1"/>
  <c r="D311" i="1"/>
  <c r="O318" i="1"/>
  <c r="D325" i="1"/>
  <c r="J4" i="83"/>
  <c r="D315" i="1"/>
  <c r="D310" i="1"/>
  <c r="C30" i="85"/>
  <c r="D30" i="85" s="1"/>
  <c r="E30" i="85" s="1"/>
  <c r="F30" i="85" s="1"/>
  <c r="G30" i="85" s="1"/>
  <c r="I30" i="85" s="1"/>
  <c r="J30" i="85" s="1"/>
  <c r="C31" i="85" s="1"/>
  <c r="D31" i="85" s="1"/>
  <c r="E31" i="85" s="1"/>
  <c r="F31" i="85" s="1"/>
  <c r="G31" i="85" s="1"/>
  <c r="I31" i="85" s="1"/>
  <c r="J31" i="85" s="1"/>
  <c r="C32" i="85" s="1"/>
  <c r="D32" i="85" s="1"/>
  <c r="E32" i="85" s="1"/>
  <c r="F32" i="85" s="1"/>
  <c r="G32" i="85" s="1"/>
  <c r="I32" i="85" s="1"/>
  <c r="J32" i="85" s="1"/>
  <c r="C33" i="85" s="1"/>
  <c r="D33" i="85" s="1"/>
  <c r="E33" i="85" s="1"/>
  <c r="F33" i="85" s="1"/>
  <c r="G33" i="85" s="1"/>
  <c r="I33" i="85" s="1"/>
  <c r="J33" i="85" s="1"/>
  <c r="C34" i="85" s="1"/>
  <c r="D34" i="85" s="1"/>
  <c r="E34" i="85" s="1"/>
  <c r="F34" i="85" s="1"/>
  <c r="G34" i="85" s="1"/>
  <c r="I34" i="85" s="1"/>
  <c r="J34" i="85" s="1"/>
  <c r="C35" i="85" s="1"/>
  <c r="D35" i="85" s="1"/>
  <c r="E35" i="85" s="1"/>
  <c r="F35" i="85" s="1"/>
  <c r="G35" i="85" s="1"/>
  <c r="I35" i="85" s="1"/>
  <c r="J35" i="85" s="1"/>
  <c r="J4" i="89"/>
  <c r="P6" i="78"/>
  <c r="M5" i="78"/>
  <c r="M4" i="78"/>
  <c r="M6" i="78"/>
  <c r="C30" i="35"/>
  <c r="D30" i="35" s="1"/>
  <c r="E30" i="35" s="1"/>
  <c r="F30" i="35" s="1"/>
  <c r="G30" i="35" s="1"/>
  <c r="I30" i="35" s="1"/>
  <c r="J30" i="35" s="1"/>
  <c r="C31" i="35" s="1"/>
  <c r="D31" i="35" s="1"/>
  <c r="E31" i="35" s="1"/>
  <c r="F31" i="35" s="1"/>
  <c r="G31" i="35" s="1"/>
  <c r="I31" i="35" s="1"/>
  <c r="J31" i="35" s="1"/>
  <c r="C32" i="35" s="1"/>
  <c r="D32" i="35" s="1"/>
  <c r="E32" i="35" s="1"/>
  <c r="F32" i="35" s="1"/>
  <c r="G32" i="35" s="1"/>
  <c r="I32" i="35" s="1"/>
  <c r="J32" i="35" s="1"/>
  <c r="C33" i="35" s="1"/>
  <c r="D33" i="35" s="1"/>
  <c r="E33" i="35" s="1"/>
  <c r="F33" i="35" s="1"/>
  <c r="G33" i="35" s="1"/>
  <c r="I33" i="35" s="1"/>
  <c r="J33" i="35" s="1"/>
  <c r="C34" i="35" s="1"/>
  <c r="D34" i="35" s="1"/>
  <c r="E34" i="35" s="1"/>
  <c r="F34" i="35" s="1"/>
  <c r="G34" i="35" s="1"/>
  <c r="I34" i="35" s="1"/>
  <c r="J34" i="35" s="1"/>
  <c r="C35" i="35" s="1"/>
  <c r="D35" i="35" s="1"/>
  <c r="E35" i="35" s="1"/>
  <c r="F35" i="35" s="1"/>
  <c r="G35" i="35" s="1"/>
  <c r="I35" i="35" s="1"/>
  <c r="J35" i="35" s="1"/>
  <c r="F6" i="89"/>
  <c r="C4" i="89"/>
  <c r="C5" i="89"/>
  <c r="C6" i="89"/>
  <c r="Y4" i="78"/>
  <c r="AD4" i="78" s="1"/>
  <c r="U5" i="78"/>
  <c r="P7" i="92"/>
  <c r="L7" i="94"/>
  <c r="M7" i="94" s="1"/>
  <c r="R5" i="92"/>
  <c r="BI208" i="1"/>
  <c r="BQ208" i="1" s="1"/>
  <c r="AA341" i="1"/>
  <c r="AG341" i="1" s="1"/>
  <c r="L10" i="94"/>
  <c r="M10" i="94" s="1"/>
  <c r="R7" i="92"/>
  <c r="V4" i="92"/>
  <c r="L4" i="94"/>
  <c r="M4" i="94" s="1"/>
  <c r="N7" i="92"/>
  <c r="V10" i="92"/>
  <c r="V3" i="92"/>
  <c r="T7" i="92"/>
  <c r="T5" i="92"/>
  <c r="BI331" i="1"/>
  <c r="BQ331" i="1" s="1"/>
  <c r="N5" i="92"/>
  <c r="BI26" i="1"/>
  <c r="BQ26" i="1" s="1"/>
  <c r="C6" i="94" l="1"/>
  <c r="D6" i="94" s="1"/>
  <c r="N20" i="92"/>
  <c r="AG17" i="1"/>
  <c r="BI67" i="1" s="1"/>
  <c r="AG77" i="1"/>
  <c r="AO77" i="1" s="1"/>
  <c r="C4" i="94"/>
  <c r="D4" i="94" s="1"/>
  <c r="V9" i="92"/>
  <c r="BA17" i="63"/>
  <c r="BH17" i="63"/>
  <c r="BH12" i="63"/>
  <c r="BA12" i="63"/>
  <c r="BA10" i="63"/>
  <c r="BH10" i="63"/>
  <c r="BH21" i="63"/>
  <c r="BA21" i="63"/>
  <c r="C11" i="6"/>
  <c r="C10" i="6"/>
  <c r="C9" i="6"/>
  <c r="BH14" i="63"/>
  <c r="BA14" i="63"/>
  <c r="BA11" i="63"/>
  <c r="BH11" i="63"/>
  <c r="BA8" i="63"/>
  <c r="BH8" i="63"/>
  <c r="BA15" i="63"/>
  <c r="BH15" i="63"/>
  <c r="BA5" i="63"/>
  <c r="BH5" i="63"/>
  <c r="BA16" i="63"/>
  <c r="BH16" i="63"/>
  <c r="BA19" i="63"/>
  <c r="BH19" i="63"/>
  <c r="BH6" i="63"/>
  <c r="BA6" i="63"/>
  <c r="BA20" i="63"/>
  <c r="BH20" i="63"/>
  <c r="B9" i="6"/>
  <c r="B11" i="6"/>
  <c r="B10" i="6"/>
  <c r="BH9" i="63"/>
  <c r="BA9" i="63"/>
  <c r="BA7" i="63"/>
  <c r="BH7" i="63"/>
  <c r="BH13" i="63"/>
  <c r="BA13" i="63"/>
  <c r="D13" i="6"/>
  <c r="E8" i="6"/>
  <c r="AA160" i="1"/>
  <c r="AG160" i="1" s="1"/>
  <c r="AG230" i="1"/>
  <c r="AO230" i="1" s="1"/>
  <c r="N12" i="92"/>
  <c r="R19" i="92"/>
  <c r="AC34" i="35"/>
  <c r="AD34" i="35" s="1"/>
  <c r="AE34" i="35" s="1"/>
  <c r="AG34" i="35" s="1"/>
  <c r="AH34" i="35" s="1"/>
  <c r="AI34" i="35" s="1"/>
  <c r="AJ34" i="35" s="1"/>
  <c r="AC35" i="35" s="1"/>
  <c r="AD35" i="35" s="1"/>
  <c r="AE35" i="35" s="1"/>
  <c r="AG35" i="35" s="1"/>
  <c r="AH35" i="35" s="1"/>
  <c r="AI35" i="35" s="1"/>
  <c r="AJ35" i="35" s="1"/>
  <c r="AG199" i="1"/>
  <c r="AO199" i="1" s="1"/>
  <c r="N331" i="1"/>
  <c r="P21" i="92"/>
  <c r="AH19" i="92"/>
  <c r="N208" i="1"/>
  <c r="N300" i="1"/>
  <c r="T20" i="92"/>
  <c r="AA280" i="1"/>
  <c r="AG280" i="1" s="1"/>
  <c r="AG291" i="1" s="1"/>
  <c r="AO291" i="1" s="1"/>
  <c r="C8" i="94"/>
  <c r="D8" i="94" s="1"/>
  <c r="N270" i="1"/>
  <c r="AA37" i="1"/>
  <c r="AG37" i="1" s="1"/>
  <c r="AG48" i="1" s="1"/>
  <c r="AO48" i="1" s="1"/>
  <c r="P19" i="92"/>
  <c r="N178" i="1"/>
  <c r="V11" i="92"/>
  <c r="AG19" i="92" s="1"/>
  <c r="AG20" i="92" s="1"/>
  <c r="AA158" i="1"/>
  <c r="AG158" i="1" s="1"/>
  <c r="R20" i="92"/>
  <c r="AG352" i="1"/>
  <c r="AO352" i="1" s="1"/>
  <c r="R12" i="92"/>
  <c r="C10" i="94"/>
  <c r="D10" i="94" s="1"/>
  <c r="N117" i="1"/>
  <c r="T12" i="92"/>
  <c r="N361" i="1"/>
  <c r="N147" i="1"/>
  <c r="R21" i="92"/>
  <c r="AA311" i="1"/>
  <c r="AG311" i="1" s="1"/>
  <c r="N57" i="1"/>
  <c r="T19" i="92"/>
  <c r="K5" i="86"/>
  <c r="O4" i="86"/>
  <c r="N21" i="92"/>
  <c r="N86" i="1"/>
  <c r="O134" i="1"/>
  <c r="AA129" i="1" s="1"/>
  <c r="AG129" i="1" s="1"/>
  <c r="AG138" i="1" s="1"/>
  <c r="AO138" i="1" s="1"/>
  <c r="J24" i="84"/>
  <c r="AI4" i="78"/>
  <c r="E8" i="78" s="1"/>
  <c r="J8" i="78" s="1"/>
  <c r="O8" i="78" s="1"/>
  <c r="T8" i="78" s="1"/>
  <c r="Y8" i="78" s="1"/>
  <c r="AD8" i="78" s="1"/>
  <c r="AI8" i="78" s="1"/>
  <c r="E12" i="78" s="1"/>
  <c r="J12" i="78" s="1"/>
  <c r="O12" i="78" s="1"/>
  <c r="T12" i="78" s="1"/>
  <c r="Y12" i="78" s="1"/>
  <c r="AD12" i="78" s="1"/>
  <c r="AI12" i="78" s="1"/>
  <c r="E16" i="78" s="1"/>
  <c r="J16" i="78" s="1"/>
  <c r="O16" i="78" s="1"/>
  <c r="T16" i="78" s="1"/>
  <c r="Y16" i="78" s="1"/>
  <c r="AD16" i="78" s="1"/>
  <c r="AI16" i="78" s="1"/>
  <c r="E20" i="78" s="1"/>
  <c r="J20" i="78" s="1"/>
  <c r="P20" i="92"/>
  <c r="V6" i="92"/>
  <c r="T21" i="92"/>
  <c r="F5" i="35"/>
  <c r="J4" i="35"/>
  <c r="J24" i="82"/>
  <c r="K25" i="82" s="1"/>
  <c r="F25" i="82"/>
  <c r="C7" i="94"/>
  <c r="D7" i="94" s="1"/>
  <c r="P12" i="92"/>
  <c r="AA97" i="1"/>
  <c r="AG97" i="1" s="1"/>
  <c r="AG108" i="1" s="1"/>
  <c r="AO108" i="1" s="1"/>
  <c r="N26" i="1"/>
  <c r="N19" i="92"/>
  <c r="AD20" i="85"/>
  <c r="AD20" i="87"/>
  <c r="AD20" i="90"/>
  <c r="Z5" i="78"/>
  <c r="AE5" i="78"/>
  <c r="K5" i="89"/>
  <c r="O4" i="89"/>
  <c r="T13" i="92"/>
  <c r="AA313" i="1"/>
  <c r="AG313" i="1" s="1"/>
  <c r="I14" i="94"/>
  <c r="J14" i="94" s="1"/>
  <c r="C61" i="1"/>
  <c r="C73" i="1"/>
  <c r="D5" i="2"/>
  <c r="F5" i="90" s="1"/>
  <c r="C65" i="1"/>
  <c r="E8" i="7"/>
  <c r="C86" i="1"/>
  <c r="C82" i="1"/>
  <c r="C71" i="1"/>
  <c r="C78" i="1"/>
  <c r="C68" i="1"/>
  <c r="C90" i="1"/>
  <c r="C83" i="1"/>
  <c r="C70" i="1"/>
  <c r="C74" i="1"/>
  <c r="C62" i="1"/>
  <c r="C76" i="1"/>
  <c r="C89" i="1"/>
  <c r="C75" i="1"/>
  <c r="C63" i="1"/>
  <c r="C67" i="1"/>
  <c r="C84" i="1"/>
  <c r="C85" i="1"/>
  <c r="H13" i="6"/>
  <c r="C79" i="1"/>
  <c r="C72" i="1"/>
  <c r="C69" i="1"/>
  <c r="C80" i="1"/>
  <c r="C81" i="1"/>
  <c r="C88" i="1"/>
  <c r="C77" i="1"/>
  <c r="C66" i="1"/>
  <c r="C64" i="1"/>
  <c r="C91" i="1"/>
  <c r="C87" i="1"/>
  <c r="K5" i="91"/>
  <c r="O4" i="91"/>
  <c r="U6" i="78"/>
  <c r="R6" i="78"/>
  <c r="R5" i="78"/>
  <c r="R4" i="78"/>
  <c r="O4" i="83"/>
  <c r="BI219" i="1"/>
  <c r="BI133" i="1"/>
  <c r="BI75" i="1"/>
  <c r="BI279" i="1"/>
  <c r="BI353" i="1"/>
  <c r="BI349" i="1"/>
  <c r="BI313" i="1"/>
  <c r="BI9" i="1"/>
  <c r="BI318" i="1"/>
  <c r="BI254" i="1"/>
  <c r="BI69" i="1"/>
  <c r="BI355" i="1"/>
  <c r="BI170" i="1"/>
  <c r="BI344" i="1"/>
  <c r="BI45" i="1"/>
  <c r="BI39" i="1"/>
  <c r="BI128" i="1"/>
  <c r="BI257" i="1"/>
  <c r="BI130" i="1"/>
  <c r="BI64" i="1"/>
  <c r="BI259" i="1"/>
  <c r="BI50" i="1"/>
  <c r="BI190" i="1"/>
  <c r="BI315" i="1"/>
  <c r="V7" i="92"/>
  <c r="V5" i="92"/>
  <c r="BI260" i="1" l="1"/>
  <c r="BI194" i="1"/>
  <c r="BI258" i="1"/>
  <c r="BX258" i="1" s="1"/>
  <c r="BI290" i="1"/>
  <c r="BQ290" i="1" s="1"/>
  <c r="BI125" i="1"/>
  <c r="BI36" i="1"/>
  <c r="BI248" i="1"/>
  <c r="BQ248" i="1" s="1"/>
  <c r="BI101" i="1"/>
  <c r="BX101" i="1" s="1"/>
  <c r="BI233" i="1"/>
  <c r="BI5" i="1"/>
  <c r="BI11" i="1"/>
  <c r="BQ11" i="1" s="1"/>
  <c r="BI287" i="1"/>
  <c r="BQ287" i="1" s="1"/>
  <c r="BI168" i="1"/>
  <c r="BI156" i="1"/>
  <c r="BI201" i="1"/>
  <c r="BI323" i="1"/>
  <c r="BQ323" i="1" s="1"/>
  <c r="BI316" i="1"/>
  <c r="BI162" i="1"/>
  <c r="BI131" i="1"/>
  <c r="BI341" i="1"/>
  <c r="BQ341" i="1" s="1"/>
  <c r="BI286" i="1"/>
  <c r="BI196" i="1"/>
  <c r="BI289" i="1"/>
  <c r="BI109" i="1"/>
  <c r="BQ109" i="1" s="1"/>
  <c r="BI51" i="1"/>
  <c r="BI172" i="1"/>
  <c r="BI227" i="1"/>
  <c r="BX227" i="1" s="1"/>
  <c r="BI218" i="1"/>
  <c r="BX218" i="1" s="1"/>
  <c r="BI187" i="1"/>
  <c r="BI280" i="1"/>
  <c r="BI141" i="1"/>
  <c r="BX141" i="1" s="1"/>
  <c r="BI110" i="1"/>
  <c r="BX110" i="1" s="1"/>
  <c r="BI160" i="1"/>
  <c r="BI129" i="1"/>
  <c r="BI71" i="1"/>
  <c r="BX71" i="1" s="1"/>
  <c r="BI15" i="1"/>
  <c r="BQ15" i="1" s="1"/>
  <c r="BI339" i="1"/>
  <c r="BI232" i="1"/>
  <c r="BI171" i="1"/>
  <c r="BQ171" i="1" s="1"/>
  <c r="AO17" i="1"/>
  <c r="BI264" i="1"/>
  <c r="BI283" i="1"/>
  <c r="BI347" i="1"/>
  <c r="BX347" i="1" s="1"/>
  <c r="BI13" i="1"/>
  <c r="BX13" i="1" s="1"/>
  <c r="BI14" i="1"/>
  <c r="BI285" i="1"/>
  <c r="BI164" i="1"/>
  <c r="BX164" i="1" s="1"/>
  <c r="BI310" i="1"/>
  <c r="BX310" i="1" s="1"/>
  <c r="BI321" i="1"/>
  <c r="BI49" i="1"/>
  <c r="BI16" i="1"/>
  <c r="BX16" i="1" s="1"/>
  <c r="BI44" i="1"/>
  <c r="BQ44" i="1" s="1"/>
  <c r="BI350" i="1"/>
  <c r="BI4" i="1"/>
  <c r="BI189" i="1"/>
  <c r="BX189" i="1" s="1"/>
  <c r="BI249" i="1"/>
  <c r="BQ249" i="1" s="1"/>
  <c r="BI222" i="1"/>
  <c r="BI319" i="1"/>
  <c r="BI191" i="1"/>
  <c r="BX191" i="1" s="1"/>
  <c r="BI159" i="1"/>
  <c r="BX159" i="1" s="1"/>
  <c r="BI99" i="1"/>
  <c r="BI134" i="1"/>
  <c r="BI311" i="1"/>
  <c r="BQ311" i="1" s="1"/>
  <c r="BI68" i="1"/>
  <c r="BQ68" i="1" s="1"/>
  <c r="BI193" i="1"/>
  <c r="BI342" i="1"/>
  <c r="BI284" i="1"/>
  <c r="BQ284" i="1" s="1"/>
  <c r="BI225" i="1"/>
  <c r="BX225" i="1" s="1"/>
  <c r="BI317" i="1"/>
  <c r="BI76" i="1"/>
  <c r="BI95" i="1"/>
  <c r="BX95" i="1" s="1"/>
  <c r="BI314" i="1"/>
  <c r="BX314" i="1" s="1"/>
  <c r="BI139" i="1"/>
  <c r="BI354" i="1"/>
  <c r="BI103" i="1"/>
  <c r="BX103" i="1" s="1"/>
  <c r="BI102" i="1"/>
  <c r="BX102" i="1" s="1"/>
  <c r="BI351" i="1"/>
  <c r="BI106" i="1"/>
  <c r="BI136" i="1"/>
  <c r="BQ136" i="1" s="1"/>
  <c r="BI202" i="1"/>
  <c r="BQ202" i="1" s="1"/>
  <c r="BI217" i="1"/>
  <c r="BI228" i="1"/>
  <c r="BI158" i="1"/>
  <c r="BQ158" i="1" s="1"/>
  <c r="BI66" i="1"/>
  <c r="BX66" i="1" s="1"/>
  <c r="BI282" i="1"/>
  <c r="BI35" i="1"/>
  <c r="BI98" i="1"/>
  <c r="BX98" i="1" s="1"/>
  <c r="BI255" i="1"/>
  <c r="BQ255" i="1" s="1"/>
  <c r="BI163" i="1"/>
  <c r="BI229" i="1"/>
  <c r="BI325" i="1"/>
  <c r="BQ325" i="1" s="1"/>
  <c r="BI42" i="1"/>
  <c r="BX42" i="1" s="1"/>
  <c r="BI250" i="1"/>
  <c r="BI231" i="1"/>
  <c r="BI7" i="1"/>
  <c r="BX7" i="1" s="1"/>
  <c r="BI294" i="1"/>
  <c r="BQ294" i="1" s="1"/>
  <c r="BI80" i="1"/>
  <c r="BI78" i="1"/>
  <c r="BI70" i="1"/>
  <c r="BQ70" i="1" s="1"/>
  <c r="BI100" i="1"/>
  <c r="BQ100" i="1" s="1"/>
  <c r="BI256" i="1"/>
  <c r="BI292" i="1"/>
  <c r="BI198" i="1"/>
  <c r="BQ198" i="1" s="1"/>
  <c r="BI220" i="1"/>
  <c r="BX220" i="1" s="1"/>
  <c r="BI111" i="1"/>
  <c r="BI312" i="1"/>
  <c r="BI345" i="1"/>
  <c r="BQ345" i="1" s="1"/>
  <c r="BI340" i="1"/>
  <c r="BX340" i="1" s="1"/>
  <c r="BI293" i="1"/>
  <c r="BI18" i="1"/>
  <c r="BI167" i="1"/>
  <c r="BX167" i="1" s="1"/>
  <c r="BI320" i="1"/>
  <c r="BX320" i="1" s="1"/>
  <c r="BI105" i="1"/>
  <c r="BI132" i="1"/>
  <c r="BI47" i="1"/>
  <c r="BQ47" i="1" s="1"/>
  <c r="BI38" i="1"/>
  <c r="BQ38" i="1" s="1"/>
  <c r="BI140" i="1"/>
  <c r="BI224" i="1"/>
  <c r="BI188" i="1"/>
  <c r="BX188" i="1" s="1"/>
  <c r="BI104" i="1"/>
  <c r="BQ104" i="1" s="1"/>
  <c r="BI73" i="1"/>
  <c r="BI200" i="1"/>
  <c r="BI79" i="1"/>
  <c r="BQ79" i="1" s="1"/>
  <c r="BI72" i="1"/>
  <c r="BX72" i="1" s="1"/>
  <c r="BI20" i="1"/>
  <c r="BI288" i="1"/>
  <c r="BI46" i="1"/>
  <c r="BQ46" i="1" s="1"/>
  <c r="BI166" i="1"/>
  <c r="BQ166" i="1" s="1"/>
  <c r="BI65" i="1"/>
  <c r="BI195" i="1"/>
  <c r="BI10" i="1"/>
  <c r="BX10" i="1" s="1"/>
  <c r="BI127" i="1"/>
  <c r="BX127" i="1" s="1"/>
  <c r="BI263" i="1"/>
  <c r="BI96" i="1"/>
  <c r="BI278" i="1"/>
  <c r="BX278" i="1" s="1"/>
  <c r="BI19" i="1"/>
  <c r="BX19" i="1" s="1"/>
  <c r="BI223" i="1"/>
  <c r="BI74" i="1"/>
  <c r="BI252" i="1"/>
  <c r="BQ252" i="1" s="1"/>
  <c r="BI12" i="1"/>
  <c r="BQ12" i="1" s="1"/>
  <c r="BI192" i="1"/>
  <c r="BI97" i="1"/>
  <c r="BI186" i="1"/>
  <c r="BX186" i="1" s="1"/>
  <c r="BI157" i="1"/>
  <c r="BX157" i="1" s="1"/>
  <c r="BI107" i="1"/>
  <c r="BI8" i="1"/>
  <c r="BI343" i="1"/>
  <c r="BX343" i="1" s="1"/>
  <c r="BI197" i="1"/>
  <c r="BQ197" i="1" s="1"/>
  <c r="BI43" i="1"/>
  <c r="BI135" i="1"/>
  <c r="BI281" i="1"/>
  <c r="BQ281" i="1" s="1"/>
  <c r="BI346" i="1"/>
  <c r="BQ346" i="1" s="1"/>
  <c r="BI6" i="1"/>
  <c r="BI41" i="1"/>
  <c r="BI126" i="1"/>
  <c r="BQ126" i="1" s="1"/>
  <c r="BI309" i="1"/>
  <c r="BX309" i="1" s="1"/>
  <c r="BI161" i="1"/>
  <c r="BI348" i="1"/>
  <c r="BI137" i="1"/>
  <c r="BX137" i="1" s="1"/>
  <c r="BI40" i="1"/>
  <c r="BX40" i="1" s="1"/>
  <c r="BI226" i="1"/>
  <c r="BI324" i="1"/>
  <c r="BI262" i="1"/>
  <c r="BQ262" i="1" s="1"/>
  <c r="BI165" i="1"/>
  <c r="BX165" i="1" s="1"/>
  <c r="BI253" i="1"/>
  <c r="BI251" i="1"/>
  <c r="BI37" i="1"/>
  <c r="BQ37" i="1" s="1"/>
  <c r="BI221" i="1"/>
  <c r="BQ221" i="1" s="1"/>
  <c r="AG169" i="1"/>
  <c r="AO169" i="1" s="1"/>
  <c r="E13" i="6"/>
  <c r="F8" i="6"/>
  <c r="BA26" i="63"/>
  <c r="BF29" i="63" s="1"/>
  <c r="BE30" i="63" s="1"/>
  <c r="D10" i="6"/>
  <c r="D9" i="6"/>
  <c r="D11" i="6"/>
  <c r="BH26" i="63"/>
  <c r="R22" i="92"/>
  <c r="AG322" i="1"/>
  <c r="AO322" i="1" s="1"/>
  <c r="P22" i="92"/>
  <c r="T22" i="92"/>
  <c r="N22" i="92"/>
  <c r="V12" i="92"/>
  <c r="P5" i="86"/>
  <c r="T4" i="86"/>
  <c r="Y4" i="86" s="1"/>
  <c r="AD4" i="86" s="1"/>
  <c r="AI4" i="86" s="1"/>
  <c r="E8" i="86" s="1"/>
  <c r="J8" i="86" s="1"/>
  <c r="O8" i="86" s="1"/>
  <c r="T8" i="86" s="1"/>
  <c r="Y8" i="86" s="1"/>
  <c r="AD8" i="86" s="1"/>
  <c r="AI8" i="86" s="1"/>
  <c r="E12" i="86" s="1"/>
  <c r="J12" i="86" s="1"/>
  <c r="O12" i="86" s="1"/>
  <c r="T12" i="86" s="1"/>
  <c r="Y12" i="86" s="1"/>
  <c r="AD12" i="86" s="1"/>
  <c r="AI12" i="86" s="1"/>
  <c r="E16" i="86" s="1"/>
  <c r="J16" i="86" s="1"/>
  <c r="O16" i="86" s="1"/>
  <c r="T16" i="86" s="1"/>
  <c r="Y16" i="86" s="1"/>
  <c r="AD16" i="86" s="1"/>
  <c r="AI16" i="86" s="1"/>
  <c r="E20" i="86" s="1"/>
  <c r="J20" i="86" s="1"/>
  <c r="O20" i="86" s="1"/>
  <c r="K5" i="35"/>
  <c r="O4" i="35"/>
  <c r="P13" i="92"/>
  <c r="V13" i="92" s="1"/>
  <c r="I8" i="94"/>
  <c r="J8" i="94" s="1"/>
  <c r="K6" i="86"/>
  <c r="H5" i="86"/>
  <c r="H6" i="86"/>
  <c r="H4" i="86"/>
  <c r="C6" i="35"/>
  <c r="C5" i="35"/>
  <c r="F6" i="35"/>
  <c r="C4" i="35"/>
  <c r="AJ5" i="78"/>
  <c r="F9" i="78" s="1"/>
  <c r="K9" i="78" s="1"/>
  <c r="P9" i="78" s="1"/>
  <c r="U9" i="78" s="1"/>
  <c r="Z9" i="78" s="1"/>
  <c r="AE9" i="78" s="1"/>
  <c r="C25" i="82"/>
  <c r="C26" i="82"/>
  <c r="F26" i="82"/>
  <c r="C24" i="82"/>
  <c r="AI20" i="87"/>
  <c r="AI20" i="85"/>
  <c r="H26" i="82"/>
  <c r="K26" i="82"/>
  <c r="H25" i="82"/>
  <c r="H24" i="82"/>
  <c r="T4" i="89"/>
  <c r="Y4" i="89" s="1"/>
  <c r="AD4" i="89" s="1"/>
  <c r="AI4" i="89" s="1"/>
  <c r="AE21" i="90"/>
  <c r="AI20" i="90"/>
  <c r="P5" i="91"/>
  <c r="T4" i="91"/>
  <c r="B19" i="6"/>
  <c r="E9" i="7"/>
  <c r="O20" i="78"/>
  <c r="H5" i="89"/>
  <c r="K6" i="89"/>
  <c r="H4" i="89"/>
  <c r="H6" i="89"/>
  <c r="T4" i="83"/>
  <c r="AE5" i="90"/>
  <c r="C119" i="1"/>
  <c r="C120" i="1"/>
  <c r="C105" i="1"/>
  <c r="C100" i="1"/>
  <c r="C102" i="1"/>
  <c r="D6" i="2"/>
  <c r="P5" i="89" s="1"/>
  <c r="C113" i="1"/>
  <c r="C114" i="1"/>
  <c r="P5" i="90"/>
  <c r="C115" i="1"/>
  <c r="C106" i="1"/>
  <c r="C93" i="1"/>
  <c r="C118" i="1"/>
  <c r="C110" i="1"/>
  <c r="C96" i="1"/>
  <c r="C101" i="1"/>
  <c r="Z5" i="90"/>
  <c r="C116" i="1"/>
  <c r="C92" i="1"/>
  <c r="C111" i="1"/>
  <c r="C109" i="1"/>
  <c r="U5" i="90"/>
  <c r="C107" i="1"/>
  <c r="C117" i="1"/>
  <c r="K5" i="90"/>
  <c r="C98" i="1"/>
  <c r="C104" i="1"/>
  <c r="C99" i="1"/>
  <c r="C112" i="1"/>
  <c r="C97" i="1"/>
  <c r="C108" i="1"/>
  <c r="C103" i="1"/>
  <c r="C121" i="1"/>
  <c r="C95" i="1"/>
  <c r="C94" i="1"/>
  <c r="AJ5" i="90"/>
  <c r="BQ232" i="1"/>
  <c r="BX232" i="1"/>
  <c r="BX50" i="1"/>
  <c r="BQ50" i="1"/>
  <c r="BQ64" i="1"/>
  <c r="BX64" i="1"/>
  <c r="BQ258" i="1"/>
  <c r="BQ257" i="1"/>
  <c r="BX257" i="1"/>
  <c r="BX39" i="1"/>
  <c r="BQ39" i="1"/>
  <c r="BQ125" i="1"/>
  <c r="BX125" i="1"/>
  <c r="BQ344" i="1"/>
  <c r="BX344" i="1"/>
  <c r="BQ285" i="1"/>
  <c r="BX285" i="1"/>
  <c r="BX248" i="1"/>
  <c r="BX254" i="1"/>
  <c r="BQ254" i="1"/>
  <c r="BQ187" i="1"/>
  <c r="BX187" i="1"/>
  <c r="BX9" i="1"/>
  <c r="BQ9" i="1"/>
  <c r="BX233" i="1"/>
  <c r="BQ233" i="1"/>
  <c r="BQ141" i="1"/>
  <c r="BX349" i="1"/>
  <c r="BQ349" i="1"/>
  <c r="BQ5" i="1"/>
  <c r="BX5" i="1"/>
  <c r="BQ160" i="1"/>
  <c r="BX160" i="1"/>
  <c r="BX279" i="1"/>
  <c r="BQ279" i="1"/>
  <c r="BQ71" i="1"/>
  <c r="BX133" i="1"/>
  <c r="BQ133" i="1"/>
  <c r="BQ339" i="1"/>
  <c r="BX339" i="1"/>
  <c r="BQ139" i="1"/>
  <c r="BX139" i="1"/>
  <c r="BX321" i="1"/>
  <c r="BQ321" i="1"/>
  <c r="BX168" i="1"/>
  <c r="BQ168" i="1"/>
  <c r="BX49" i="1"/>
  <c r="BQ49" i="1"/>
  <c r="BQ259" i="1"/>
  <c r="BX259" i="1"/>
  <c r="BQ16" i="1"/>
  <c r="BX156" i="1"/>
  <c r="BQ156" i="1"/>
  <c r="BX130" i="1"/>
  <c r="BQ130" i="1"/>
  <c r="BX350" i="1"/>
  <c r="BQ350" i="1"/>
  <c r="BQ4" i="1"/>
  <c r="BX4" i="1"/>
  <c r="BX128" i="1"/>
  <c r="BQ128" i="1"/>
  <c r="BQ189" i="1"/>
  <c r="BX45" i="1"/>
  <c r="BQ45" i="1"/>
  <c r="BX222" i="1"/>
  <c r="BQ222" i="1"/>
  <c r="BX319" i="1"/>
  <c r="BQ319" i="1"/>
  <c r="BQ170" i="1"/>
  <c r="BX170" i="1"/>
  <c r="BX69" i="1"/>
  <c r="BQ69" i="1"/>
  <c r="BX131" i="1"/>
  <c r="BQ131" i="1"/>
  <c r="BQ73" i="1"/>
  <c r="BX73" i="1"/>
  <c r="BX200" i="1"/>
  <c r="BQ200" i="1"/>
  <c r="BQ354" i="1"/>
  <c r="BX354" i="1"/>
  <c r="BQ103" i="1"/>
  <c r="BQ351" i="1"/>
  <c r="BX351" i="1"/>
  <c r="BX106" i="1"/>
  <c r="BQ106" i="1"/>
  <c r="BX217" i="1"/>
  <c r="BQ217" i="1"/>
  <c r="BX228" i="1"/>
  <c r="BQ228" i="1"/>
  <c r="BX282" i="1"/>
  <c r="BQ282" i="1"/>
  <c r="BQ35" i="1"/>
  <c r="BX35" i="1"/>
  <c r="BQ98" i="1"/>
  <c r="BX163" i="1"/>
  <c r="BQ163" i="1"/>
  <c r="BX229" i="1"/>
  <c r="BQ229" i="1"/>
  <c r="BQ250" i="1"/>
  <c r="BX250" i="1"/>
  <c r="BQ231" i="1"/>
  <c r="BX231" i="1"/>
  <c r="BX80" i="1"/>
  <c r="BQ80" i="1"/>
  <c r="BX78" i="1"/>
  <c r="BQ78" i="1"/>
  <c r="BQ256" i="1"/>
  <c r="BX256" i="1"/>
  <c r="BQ292" i="1"/>
  <c r="BX292" i="1"/>
  <c r="BQ111" i="1"/>
  <c r="BX111" i="1"/>
  <c r="BX312" i="1"/>
  <c r="BQ312" i="1"/>
  <c r="BX345" i="1"/>
  <c r="BX293" i="1"/>
  <c r="BQ293" i="1"/>
  <c r="BQ18" i="1"/>
  <c r="BX18" i="1"/>
  <c r="BQ105" i="1"/>
  <c r="BX105" i="1"/>
  <c r="BX132" i="1"/>
  <c r="BQ132" i="1"/>
  <c r="BX140" i="1"/>
  <c r="BQ140" i="1"/>
  <c r="BX224" i="1"/>
  <c r="BQ224" i="1"/>
  <c r="BQ188" i="1"/>
  <c r="BQ315" i="1"/>
  <c r="BX315" i="1"/>
  <c r="BQ20" i="1"/>
  <c r="BX20" i="1"/>
  <c r="BQ288" i="1"/>
  <c r="BX288" i="1"/>
  <c r="BX46" i="1"/>
  <c r="BX65" i="1"/>
  <c r="BQ65" i="1"/>
  <c r="BQ195" i="1"/>
  <c r="BX195" i="1"/>
  <c r="BQ10" i="1"/>
  <c r="BQ263" i="1"/>
  <c r="BX263" i="1"/>
  <c r="BQ96" i="1"/>
  <c r="BX96" i="1"/>
  <c r="BQ223" i="1"/>
  <c r="BX223" i="1"/>
  <c r="BX74" i="1"/>
  <c r="BQ74" i="1"/>
  <c r="BQ192" i="1"/>
  <c r="BX192" i="1"/>
  <c r="BQ97" i="1"/>
  <c r="BX97" i="1"/>
  <c r="BQ107" i="1"/>
  <c r="BX107" i="1"/>
  <c r="BQ8" i="1"/>
  <c r="BX8" i="1"/>
  <c r="BX43" i="1"/>
  <c r="BQ43" i="1"/>
  <c r="BX135" i="1"/>
  <c r="BQ135" i="1"/>
  <c r="BX6" i="1"/>
  <c r="BQ6" i="1"/>
  <c r="BX41" i="1"/>
  <c r="BQ41" i="1"/>
  <c r="BX161" i="1"/>
  <c r="BQ161" i="1"/>
  <c r="BX348" i="1"/>
  <c r="BQ348" i="1"/>
  <c r="BQ137" i="1"/>
  <c r="BQ226" i="1"/>
  <c r="BX226" i="1"/>
  <c r="BX324" i="1"/>
  <c r="BQ324" i="1"/>
  <c r="BX262" i="1"/>
  <c r="BX253" i="1"/>
  <c r="BQ253" i="1"/>
  <c r="BQ251" i="1"/>
  <c r="BX251" i="1"/>
  <c r="BX67" i="1"/>
  <c r="BQ67" i="1"/>
  <c r="BX36" i="1"/>
  <c r="BQ36" i="1"/>
  <c r="BQ190" i="1"/>
  <c r="BX190" i="1"/>
  <c r="BQ260" i="1"/>
  <c r="BX260" i="1"/>
  <c r="BX51" i="1"/>
  <c r="BQ51" i="1"/>
  <c r="BX171" i="1"/>
  <c r="BQ194" i="1"/>
  <c r="BX194" i="1"/>
  <c r="BX264" i="1"/>
  <c r="BQ264" i="1"/>
  <c r="BX172" i="1"/>
  <c r="BQ172" i="1"/>
  <c r="BX283" i="1"/>
  <c r="BQ283" i="1"/>
  <c r="BQ347" i="1"/>
  <c r="BQ227" i="1"/>
  <c r="BX14" i="1"/>
  <c r="BQ14" i="1"/>
  <c r="BQ355" i="1"/>
  <c r="BX355" i="1"/>
  <c r="BQ164" i="1"/>
  <c r="BQ280" i="1"/>
  <c r="BX280" i="1"/>
  <c r="BQ129" i="1"/>
  <c r="BX129" i="1"/>
  <c r="BX201" i="1"/>
  <c r="BQ201" i="1"/>
  <c r="BX316" i="1"/>
  <c r="BQ316" i="1"/>
  <c r="BX162" i="1"/>
  <c r="BQ162" i="1"/>
  <c r="BX99" i="1"/>
  <c r="BQ99" i="1"/>
  <c r="BX134" i="1"/>
  <c r="BQ134" i="1"/>
  <c r="BX318" i="1"/>
  <c r="BQ318" i="1"/>
  <c r="BX311" i="1"/>
  <c r="BQ313" i="1"/>
  <c r="BX313" i="1"/>
  <c r="BX193" i="1"/>
  <c r="BQ193" i="1"/>
  <c r="BX286" i="1"/>
  <c r="BQ286" i="1"/>
  <c r="BX342" i="1"/>
  <c r="BQ342" i="1"/>
  <c r="BX353" i="1"/>
  <c r="BQ353" i="1"/>
  <c r="BX284" i="1"/>
  <c r="BX196" i="1"/>
  <c r="BQ196" i="1"/>
  <c r="BX75" i="1"/>
  <c r="BQ75" i="1"/>
  <c r="BX317" i="1"/>
  <c r="BQ317" i="1"/>
  <c r="BX289" i="1"/>
  <c r="BQ289" i="1"/>
  <c r="BX76" i="1"/>
  <c r="BQ76" i="1"/>
  <c r="BX219" i="1"/>
  <c r="BQ219" i="1"/>
  <c r="BQ95" i="1"/>
  <c r="BX290" i="1" l="1"/>
  <c r="BX341" i="1"/>
  <c r="BQ101" i="1"/>
  <c r="BX323" i="1"/>
  <c r="BX109" i="1"/>
  <c r="BX287" i="1"/>
  <c r="BQ343" i="1"/>
  <c r="BX198" i="1"/>
  <c r="BQ191" i="1"/>
  <c r="BX11" i="1"/>
  <c r="BQ186" i="1"/>
  <c r="BX325" i="1"/>
  <c r="BX330" i="1" s="1"/>
  <c r="BQ314" i="1"/>
  <c r="BQ110" i="1"/>
  <c r="BX249" i="1"/>
  <c r="BQ13" i="1"/>
  <c r="BQ25" i="1" s="1"/>
  <c r="BV28" i="1" s="1"/>
  <c r="BQ159" i="1"/>
  <c r="BQ310" i="1"/>
  <c r="BQ218" i="1"/>
  <c r="BX126" i="1"/>
  <c r="BX146" i="1" s="1"/>
  <c r="BX252" i="1"/>
  <c r="BX79" i="1"/>
  <c r="BX47" i="1"/>
  <c r="BX70" i="1"/>
  <c r="BX158" i="1"/>
  <c r="BX44" i="1"/>
  <c r="BX15" i="1"/>
  <c r="BQ225" i="1"/>
  <c r="BQ238" i="1" s="1"/>
  <c r="BV241" i="1" s="1"/>
  <c r="BX68" i="1"/>
  <c r="BX37" i="1"/>
  <c r="BX281" i="1"/>
  <c r="BQ278" i="1"/>
  <c r="BQ299" i="1" s="1"/>
  <c r="BV302" i="1" s="1"/>
  <c r="BQ167" i="1"/>
  <c r="BQ7" i="1"/>
  <c r="BX136" i="1"/>
  <c r="BQ165" i="1"/>
  <c r="BQ309" i="1"/>
  <c r="BX197" i="1"/>
  <c r="BX12" i="1"/>
  <c r="BQ127" i="1"/>
  <c r="BQ146" i="1" s="1"/>
  <c r="BV149" i="1" s="1"/>
  <c r="BQ72" i="1"/>
  <c r="BX221" i="1"/>
  <c r="BQ40" i="1"/>
  <c r="BX346" i="1"/>
  <c r="BX360" i="1" s="1"/>
  <c r="BQ157" i="1"/>
  <c r="BQ19" i="1"/>
  <c r="BX166" i="1"/>
  <c r="BX38" i="1"/>
  <c r="BX56" i="1" s="1"/>
  <c r="BQ340" i="1"/>
  <c r="BQ360" i="1" s="1"/>
  <c r="BV363" i="1" s="1"/>
  <c r="BX294" i="1"/>
  <c r="BQ102" i="1"/>
  <c r="BX104" i="1"/>
  <c r="BQ320" i="1"/>
  <c r="BQ220" i="1"/>
  <c r="BX100" i="1"/>
  <c r="BQ42" i="1"/>
  <c r="BX255" i="1"/>
  <c r="BQ66" i="1"/>
  <c r="BX202" i="1"/>
  <c r="F13" i="6"/>
  <c r="G13" i="6"/>
  <c r="E9" i="6"/>
  <c r="E11" i="6"/>
  <c r="E10" i="6"/>
  <c r="M6" i="86"/>
  <c r="P6" i="86"/>
  <c r="M4" i="86"/>
  <c r="M5" i="86"/>
  <c r="T4" i="35"/>
  <c r="P5" i="35"/>
  <c r="E24" i="90"/>
  <c r="AJ21" i="90"/>
  <c r="AB22" i="90"/>
  <c r="AE22" i="90"/>
  <c r="AB20" i="90"/>
  <c r="AB21" i="90"/>
  <c r="E24" i="85"/>
  <c r="E24" i="87"/>
  <c r="AJ21" i="87"/>
  <c r="C127" i="1"/>
  <c r="C124" i="1"/>
  <c r="C136" i="1"/>
  <c r="C142" i="1"/>
  <c r="C123" i="1"/>
  <c r="C122" i="1"/>
  <c r="C144" i="1"/>
  <c r="C139" i="1"/>
  <c r="C130" i="1"/>
  <c r="C132" i="1"/>
  <c r="C128" i="1"/>
  <c r="C125" i="1"/>
  <c r="C152" i="1"/>
  <c r="D7" i="2"/>
  <c r="C140" i="1"/>
  <c r="C131" i="1"/>
  <c r="C148" i="1"/>
  <c r="C141" i="1"/>
  <c r="C146" i="1"/>
  <c r="C147" i="1"/>
  <c r="C129" i="1"/>
  <c r="C135" i="1"/>
  <c r="C134" i="1"/>
  <c r="C133" i="1"/>
  <c r="C151" i="1"/>
  <c r="C143" i="1"/>
  <c r="C149" i="1"/>
  <c r="C126" i="1"/>
  <c r="C145" i="1"/>
  <c r="C138" i="1"/>
  <c r="C137" i="1"/>
  <c r="C150" i="1"/>
  <c r="U5" i="89"/>
  <c r="Z5" i="89"/>
  <c r="Y4" i="83"/>
  <c r="AJ9" i="78"/>
  <c r="AE5" i="89"/>
  <c r="E8" i="89"/>
  <c r="J8" i="89" s="1"/>
  <c r="O8" i="89" s="1"/>
  <c r="T8" i="89" s="1"/>
  <c r="Y8" i="89" s="1"/>
  <c r="AD8" i="89" s="1"/>
  <c r="AI8" i="89" s="1"/>
  <c r="E12" i="89" s="1"/>
  <c r="J12" i="89" s="1"/>
  <c r="O12" i="89" s="1"/>
  <c r="T12" i="89" s="1"/>
  <c r="Y12" i="89" s="1"/>
  <c r="AD12" i="89" s="1"/>
  <c r="AI12" i="89" s="1"/>
  <c r="E16" i="89" s="1"/>
  <c r="J16" i="89" s="1"/>
  <c r="O16" i="89" s="1"/>
  <c r="T16" i="89" s="1"/>
  <c r="Y16" i="89" s="1"/>
  <c r="AD16" i="89" s="1"/>
  <c r="AI16" i="89" s="1"/>
  <c r="E20" i="89" s="1"/>
  <c r="AJ5" i="89"/>
  <c r="F9" i="90"/>
  <c r="T20" i="78"/>
  <c r="C19" i="6"/>
  <c r="Y4" i="91"/>
  <c r="AD4" i="91" s="1"/>
  <c r="AI4" i="91" s="1"/>
  <c r="U5" i="91"/>
  <c r="E10" i="7"/>
  <c r="T20" i="86"/>
  <c r="BQ116" i="1"/>
  <c r="BV119" i="1" s="1"/>
  <c r="BX25" i="1"/>
  <c r="BX238" i="1"/>
  <c r="BQ269" i="1"/>
  <c r="BV272" i="1" s="1"/>
  <c r="BQ207" i="1"/>
  <c r="BV210" i="1" s="1"/>
  <c r="BX299" i="1"/>
  <c r="BQ177" i="1" l="1"/>
  <c r="BV180" i="1" s="1"/>
  <c r="BX85" i="1"/>
  <c r="BX269" i="1"/>
  <c r="BQ330" i="1"/>
  <c r="BV333" i="1" s="1"/>
  <c r="BU334" i="1" s="1"/>
  <c r="BX177" i="1"/>
  <c r="BQ85" i="1"/>
  <c r="BV88" i="1" s="1"/>
  <c r="BX207" i="1"/>
  <c r="BX116" i="1"/>
  <c r="BQ56" i="1"/>
  <c r="BV59" i="1" s="1"/>
  <c r="F11" i="6"/>
  <c r="F10" i="6"/>
  <c r="F9" i="6"/>
  <c r="U5" i="35"/>
  <c r="Y4" i="35"/>
  <c r="J24" i="85"/>
  <c r="K25" i="85" s="1"/>
  <c r="AD4" i="83"/>
  <c r="AI4" i="83" s="1"/>
  <c r="E8" i="83" s="1"/>
  <c r="J8" i="83" s="1"/>
  <c r="O8" i="83" s="1"/>
  <c r="T8" i="83" s="1"/>
  <c r="Y8" i="83" s="1"/>
  <c r="AD8" i="83" s="1"/>
  <c r="AI8" i="83" s="1"/>
  <c r="E12" i="83" s="1"/>
  <c r="J12" i="83" s="1"/>
  <c r="O12" i="83" s="1"/>
  <c r="T12" i="83" s="1"/>
  <c r="Y12" i="83" s="1"/>
  <c r="AD12" i="83" s="1"/>
  <c r="AI12" i="83" s="1"/>
  <c r="E16" i="83" s="1"/>
  <c r="J16" i="83" s="1"/>
  <c r="O16" i="83" s="1"/>
  <c r="T16" i="83" s="1"/>
  <c r="Y16" i="83" s="1"/>
  <c r="AD16" i="83" s="1"/>
  <c r="AI16" i="83" s="1"/>
  <c r="E20" i="83" s="1"/>
  <c r="J20" i="83" s="1"/>
  <c r="O20" i="83" s="1"/>
  <c r="T20" i="83" s="1"/>
  <c r="Y20" i="83" s="1"/>
  <c r="AD20" i="83" s="1"/>
  <c r="AI20" i="83" s="1"/>
  <c r="E24" i="83" s="1"/>
  <c r="Z5" i="88"/>
  <c r="AE5" i="88"/>
  <c r="K5" i="88"/>
  <c r="P5" i="88"/>
  <c r="U5" i="88"/>
  <c r="AG22" i="87"/>
  <c r="AG21" i="87"/>
  <c r="AG20" i="87"/>
  <c r="AJ22" i="87"/>
  <c r="AG20" i="90"/>
  <c r="AG21" i="90"/>
  <c r="AJ22" i="90"/>
  <c r="AG22" i="90"/>
  <c r="F25" i="87"/>
  <c r="J24" i="87"/>
  <c r="K25" i="87" s="1"/>
  <c r="J24" i="90"/>
  <c r="K25" i="90" s="1"/>
  <c r="F25" i="90"/>
  <c r="E8" i="91"/>
  <c r="J8" i="91" s="1"/>
  <c r="O8" i="91" s="1"/>
  <c r="T8" i="91" s="1"/>
  <c r="Y8" i="91" s="1"/>
  <c r="AD8" i="91" s="1"/>
  <c r="AI8" i="91" s="1"/>
  <c r="E12" i="91" s="1"/>
  <c r="J12" i="91" s="1"/>
  <c r="O12" i="91" s="1"/>
  <c r="T12" i="91" s="1"/>
  <c r="Y12" i="91" s="1"/>
  <c r="AD12" i="91" s="1"/>
  <c r="AI12" i="91" s="1"/>
  <c r="E16" i="91" s="1"/>
  <c r="J16" i="91" s="1"/>
  <c r="O16" i="91" s="1"/>
  <c r="T16" i="91" s="1"/>
  <c r="Y16" i="91" s="1"/>
  <c r="AD16" i="91" s="1"/>
  <c r="AI16" i="91" s="1"/>
  <c r="E20" i="91" s="1"/>
  <c r="J20" i="91" s="1"/>
  <c r="O20" i="91" s="1"/>
  <c r="T20" i="91" s="1"/>
  <c r="Y20" i="91" s="1"/>
  <c r="AD20" i="91" s="1"/>
  <c r="AI20" i="91" s="1"/>
  <c r="E24" i="91" s="1"/>
  <c r="J24" i="91" s="1"/>
  <c r="K25" i="91" s="1"/>
  <c r="AJ5" i="91"/>
  <c r="F9" i="91" s="1"/>
  <c r="K9" i="91" s="1"/>
  <c r="E11" i="7"/>
  <c r="Y20" i="78"/>
  <c r="Y20" i="86"/>
  <c r="Z5" i="91"/>
  <c r="AE5" i="91"/>
  <c r="D19" i="6"/>
  <c r="F9" i="89"/>
  <c r="P9" i="91"/>
  <c r="J20" i="89"/>
  <c r="F13" i="78"/>
  <c r="K9" i="90"/>
  <c r="C154" i="1"/>
  <c r="C175" i="1"/>
  <c r="C153" i="1"/>
  <c r="C167" i="1"/>
  <c r="C165" i="1"/>
  <c r="C157" i="1"/>
  <c r="C156" i="1"/>
  <c r="C159" i="1"/>
  <c r="C172" i="1"/>
  <c r="C169" i="1"/>
  <c r="C155" i="1"/>
  <c r="C171" i="1"/>
  <c r="C182" i="1"/>
  <c r="C162" i="1"/>
  <c r="C163" i="1"/>
  <c r="C168" i="1"/>
  <c r="C166" i="1"/>
  <c r="C164" i="1"/>
  <c r="C174" i="1"/>
  <c r="C158" i="1"/>
  <c r="D8" i="2"/>
  <c r="F5" i="87" s="1"/>
  <c r="C173" i="1"/>
  <c r="AJ5" i="88"/>
  <c r="C181" i="1"/>
  <c r="C179" i="1"/>
  <c r="C161" i="1"/>
  <c r="C160" i="1"/>
  <c r="C176" i="1"/>
  <c r="C178" i="1"/>
  <c r="C177" i="1"/>
  <c r="C170" i="1"/>
  <c r="C180" i="1"/>
  <c r="BU364" i="1"/>
  <c r="AC357" i="1"/>
  <c r="R15" i="94"/>
  <c r="S15" i="94" s="1"/>
  <c r="R8" i="94"/>
  <c r="S8" i="94" s="1"/>
  <c r="BU150" i="1"/>
  <c r="AC143" i="1"/>
  <c r="R13" i="94"/>
  <c r="S13" i="94" s="1"/>
  <c r="BU303" i="1"/>
  <c r="AC296" i="1"/>
  <c r="AC53" i="1"/>
  <c r="R5" i="94"/>
  <c r="S5" i="94" s="1"/>
  <c r="BU60" i="1"/>
  <c r="R10" i="94"/>
  <c r="S10" i="94" s="1"/>
  <c r="BU211" i="1"/>
  <c r="AC204" i="1"/>
  <c r="R12" i="94"/>
  <c r="S12" i="94" s="1"/>
  <c r="BU273" i="1"/>
  <c r="AC266" i="1"/>
  <c r="BU242" i="1"/>
  <c r="AC235" i="1"/>
  <c r="R11" i="94"/>
  <c r="S11" i="94" s="1"/>
  <c r="R7" i="94"/>
  <c r="S7" i="94" s="1"/>
  <c r="AC113" i="1"/>
  <c r="BU120" i="1"/>
  <c r="AC82" i="1"/>
  <c r="BU89" i="1"/>
  <c r="R6" i="94"/>
  <c r="S6" i="94" s="1"/>
  <c r="R4" i="94"/>
  <c r="S4" i="94" s="1"/>
  <c r="AC22" i="1"/>
  <c r="BU29" i="1"/>
  <c r="R9" i="94"/>
  <c r="S9" i="94" s="1"/>
  <c r="BU181" i="1"/>
  <c r="AC174" i="1"/>
  <c r="R14" i="94" l="1"/>
  <c r="S14" i="94" s="1"/>
  <c r="V25" i="92"/>
  <c r="V27" i="92" s="1"/>
  <c r="AC327" i="1"/>
  <c r="AD4" i="35"/>
  <c r="Z5" i="35"/>
  <c r="H25" i="90"/>
  <c r="K26" i="90"/>
  <c r="H24" i="90"/>
  <c r="H26" i="90"/>
  <c r="M4" i="88"/>
  <c r="F25" i="83"/>
  <c r="J24" i="83"/>
  <c r="K25" i="83" s="1"/>
  <c r="R4" i="88"/>
  <c r="H26" i="87"/>
  <c r="H25" i="87"/>
  <c r="H24" i="87"/>
  <c r="K26" i="87"/>
  <c r="H4" i="88"/>
  <c r="H25" i="91"/>
  <c r="H26" i="91"/>
  <c r="K26" i="91"/>
  <c r="H24" i="91"/>
  <c r="C24" i="87"/>
  <c r="C25" i="87"/>
  <c r="F26" i="87"/>
  <c r="C26" i="87"/>
  <c r="F26" i="90"/>
  <c r="C25" i="90"/>
  <c r="C24" i="90"/>
  <c r="C26" i="90"/>
  <c r="W5" i="88"/>
  <c r="H24" i="85"/>
  <c r="H25" i="85"/>
  <c r="H26" i="85"/>
  <c r="K26" i="85"/>
  <c r="U9" i="91"/>
  <c r="O20" i="89"/>
  <c r="AD20" i="78"/>
  <c r="AJ5" i="87"/>
  <c r="P5" i="87"/>
  <c r="C187" i="1"/>
  <c r="C194" i="1"/>
  <c r="C199" i="1"/>
  <c r="C185" i="1"/>
  <c r="C202" i="1"/>
  <c r="AE5" i="87"/>
  <c r="C189" i="1"/>
  <c r="C186" i="1"/>
  <c r="D9" i="2"/>
  <c r="U5" i="86" s="1"/>
  <c r="C198" i="1"/>
  <c r="C190" i="1"/>
  <c r="C192" i="1"/>
  <c r="C211" i="1"/>
  <c r="C205" i="1"/>
  <c r="C183" i="1"/>
  <c r="H11" i="7" s="1"/>
  <c r="C188" i="1"/>
  <c r="C209" i="1"/>
  <c r="Z5" i="87"/>
  <c r="C196" i="1"/>
  <c r="C210" i="1"/>
  <c r="C197" i="1"/>
  <c r="U5" i="87"/>
  <c r="C201" i="1"/>
  <c r="C195" i="1"/>
  <c r="C204" i="1"/>
  <c r="C208" i="1"/>
  <c r="K5" i="87"/>
  <c r="C184" i="1"/>
  <c r="C191" i="1"/>
  <c r="C200" i="1"/>
  <c r="C212" i="1"/>
  <c r="C206" i="1"/>
  <c r="C207" i="1"/>
  <c r="C193" i="1"/>
  <c r="C203" i="1"/>
  <c r="C213" i="1"/>
  <c r="F9" i="88"/>
  <c r="P9" i="90"/>
  <c r="H8" i="90"/>
  <c r="K13" i="78"/>
  <c r="K9" i="89"/>
  <c r="E19" i="6"/>
  <c r="AD20" i="86"/>
  <c r="E12" i="7"/>
  <c r="C6" i="87" l="1"/>
  <c r="AB6" i="88"/>
  <c r="F6" i="87"/>
  <c r="W6" i="91"/>
  <c r="P6" i="88"/>
  <c r="C5" i="90"/>
  <c r="W4" i="78"/>
  <c r="W5" i="78"/>
  <c r="F6" i="90"/>
  <c r="H5" i="35"/>
  <c r="Z6" i="78"/>
  <c r="C6" i="90"/>
  <c r="W6" i="78"/>
  <c r="C4" i="90"/>
  <c r="K6" i="35"/>
  <c r="P6" i="89"/>
  <c r="H4" i="35"/>
  <c r="M6" i="89"/>
  <c r="M5" i="89"/>
  <c r="M4" i="89"/>
  <c r="H6" i="35"/>
  <c r="C4" i="87"/>
  <c r="C9" i="89"/>
  <c r="D16" i="6"/>
  <c r="AI4" i="35"/>
  <c r="AE5" i="35"/>
  <c r="AB5" i="35" s="1"/>
  <c r="C5" i="87"/>
  <c r="W4" i="88"/>
  <c r="F14" i="78"/>
  <c r="W5" i="91"/>
  <c r="W6" i="88"/>
  <c r="AE6" i="88"/>
  <c r="H5" i="88"/>
  <c r="R6" i="88"/>
  <c r="M5" i="88"/>
  <c r="K26" i="83"/>
  <c r="H25" i="83"/>
  <c r="H24" i="83"/>
  <c r="H26" i="83"/>
  <c r="W4" i="91"/>
  <c r="D15" i="6"/>
  <c r="F10" i="89"/>
  <c r="C13" i="78"/>
  <c r="AG6" i="88"/>
  <c r="Z6" i="91"/>
  <c r="Z6" i="88"/>
  <c r="AB4" i="88"/>
  <c r="H6" i="88"/>
  <c r="U6" i="88"/>
  <c r="C4" i="91"/>
  <c r="F6" i="91"/>
  <c r="C6" i="91"/>
  <c r="C5" i="91"/>
  <c r="H6" i="91"/>
  <c r="K6" i="91"/>
  <c r="H4" i="91"/>
  <c r="H5" i="91"/>
  <c r="M5" i="91"/>
  <c r="M6" i="91"/>
  <c r="P6" i="91"/>
  <c r="M4" i="91"/>
  <c r="R5" i="91"/>
  <c r="U6" i="91"/>
  <c r="R6" i="91"/>
  <c r="R4" i="91"/>
  <c r="AB5" i="88"/>
  <c r="K6" i="88"/>
  <c r="R5" i="88"/>
  <c r="C24" i="83"/>
  <c r="C26" i="83"/>
  <c r="C25" i="83"/>
  <c r="F26" i="83"/>
  <c r="M6" i="88"/>
  <c r="E13" i="7"/>
  <c r="H12" i="7"/>
  <c r="T20" i="89"/>
  <c r="D17" i="6"/>
  <c r="C8" i="89"/>
  <c r="C12" i="78"/>
  <c r="H10" i="90"/>
  <c r="K10" i="90"/>
  <c r="AJ6" i="88"/>
  <c r="AB4" i="91"/>
  <c r="P10" i="91"/>
  <c r="M8" i="91"/>
  <c r="F10" i="88"/>
  <c r="C10" i="88"/>
  <c r="C8" i="88"/>
  <c r="C9" i="88"/>
  <c r="K9" i="88"/>
  <c r="H14" i="78"/>
  <c r="K14" i="78"/>
  <c r="H12" i="78"/>
  <c r="H13" i="78"/>
  <c r="P13" i="78"/>
  <c r="U9" i="90"/>
  <c r="P10" i="90"/>
  <c r="M9" i="90"/>
  <c r="M10" i="90"/>
  <c r="M8" i="90"/>
  <c r="AI20" i="86"/>
  <c r="F19" i="6"/>
  <c r="E16" i="6"/>
  <c r="E15" i="6"/>
  <c r="E17" i="6"/>
  <c r="C10" i="89"/>
  <c r="C14" i="78"/>
  <c r="H9" i="90"/>
  <c r="AG4" i="88"/>
  <c r="AG5" i="88"/>
  <c r="Z5" i="86"/>
  <c r="C228" i="1"/>
  <c r="C219" i="1"/>
  <c r="C217" i="1"/>
  <c r="C231" i="1"/>
  <c r="C227" i="1"/>
  <c r="C230" i="1"/>
  <c r="C229" i="1"/>
  <c r="C222" i="1"/>
  <c r="C218" i="1"/>
  <c r="C244" i="1"/>
  <c r="C223" i="1"/>
  <c r="C241" i="1"/>
  <c r="C216" i="1"/>
  <c r="C221" i="1"/>
  <c r="C239" i="1"/>
  <c r="C242" i="1"/>
  <c r="C243" i="1"/>
  <c r="C235" i="1"/>
  <c r="D10" i="2"/>
  <c r="C232" i="1"/>
  <c r="C237" i="1"/>
  <c r="C226" i="1"/>
  <c r="C215" i="1"/>
  <c r="C240" i="1"/>
  <c r="C224" i="1"/>
  <c r="C233" i="1"/>
  <c r="C225" i="1"/>
  <c r="C234" i="1"/>
  <c r="C238" i="1"/>
  <c r="C236" i="1"/>
  <c r="C214" i="1"/>
  <c r="C220" i="1"/>
  <c r="AE5" i="86"/>
  <c r="AJ5" i="86"/>
  <c r="AI20" i="78"/>
  <c r="AB5" i="91"/>
  <c r="M10" i="91"/>
  <c r="H9" i="89"/>
  <c r="P9" i="89"/>
  <c r="H10" i="89"/>
  <c r="H8" i="89"/>
  <c r="K10" i="89"/>
  <c r="AE6" i="91"/>
  <c r="R9" i="91"/>
  <c r="U10" i="91"/>
  <c r="Z9" i="91"/>
  <c r="R10" i="91"/>
  <c r="R8" i="91"/>
  <c r="M5" i="35"/>
  <c r="AG5" i="78"/>
  <c r="W6" i="35"/>
  <c r="C8" i="78"/>
  <c r="Z6" i="35"/>
  <c r="R5" i="35"/>
  <c r="AE6" i="35"/>
  <c r="M4" i="35"/>
  <c r="AB4" i="35"/>
  <c r="P6" i="35"/>
  <c r="F10" i="78"/>
  <c r="C10" i="78"/>
  <c r="W4" i="35"/>
  <c r="W5" i="35"/>
  <c r="AJ6" i="78"/>
  <c r="C9" i="78"/>
  <c r="AG6" i="78"/>
  <c r="M6" i="35"/>
  <c r="U6" i="35"/>
  <c r="R6" i="35"/>
  <c r="AG4" i="78"/>
  <c r="H8" i="78"/>
  <c r="H9" i="78"/>
  <c r="K10" i="78"/>
  <c r="H10" i="78"/>
  <c r="M10" i="78"/>
  <c r="M9" i="78"/>
  <c r="M8" i="78"/>
  <c r="P10" i="78"/>
  <c r="R8" i="78"/>
  <c r="U10" i="78"/>
  <c r="R10" i="78"/>
  <c r="R9" i="78"/>
  <c r="W8" i="78"/>
  <c r="H10" i="6"/>
  <c r="AG5" i="91"/>
  <c r="G9" i="6"/>
  <c r="AB4" i="78"/>
  <c r="W9" i="78"/>
  <c r="AJ6" i="91"/>
  <c r="H8" i="7"/>
  <c r="AB5" i="78"/>
  <c r="W10" i="78"/>
  <c r="Z10" i="78"/>
  <c r="H11" i="6"/>
  <c r="AG6" i="91"/>
  <c r="G10" i="6"/>
  <c r="AE6" i="78"/>
  <c r="H9" i="6"/>
  <c r="AG4" i="91"/>
  <c r="G11" i="6"/>
  <c r="AB6" i="78"/>
  <c r="R4" i="90"/>
  <c r="AB10" i="78"/>
  <c r="W4" i="90"/>
  <c r="AB5" i="90"/>
  <c r="R6" i="90"/>
  <c r="F10" i="91"/>
  <c r="H5" i="90"/>
  <c r="Z6" i="90"/>
  <c r="M5" i="90"/>
  <c r="AJ6" i="90"/>
  <c r="AB4" i="90"/>
  <c r="B16" i="6"/>
  <c r="U6" i="90"/>
  <c r="C10" i="91"/>
  <c r="AB9" i="78"/>
  <c r="H4" i="90"/>
  <c r="W6" i="90"/>
  <c r="P6" i="90"/>
  <c r="AG5" i="90"/>
  <c r="B17" i="6"/>
  <c r="R5" i="90"/>
  <c r="C9" i="91"/>
  <c r="AE10" i="78"/>
  <c r="K6" i="90"/>
  <c r="W5" i="90"/>
  <c r="M6" i="90"/>
  <c r="AG6" i="90"/>
  <c r="AB6" i="90"/>
  <c r="C8" i="91"/>
  <c r="AB8" i="78"/>
  <c r="H6" i="90"/>
  <c r="M4" i="90"/>
  <c r="AG4" i="90"/>
  <c r="B15" i="6"/>
  <c r="AE6" i="90"/>
  <c r="H9" i="7"/>
  <c r="W6" i="89"/>
  <c r="AG5" i="89"/>
  <c r="K10" i="91"/>
  <c r="R6" i="89"/>
  <c r="AE6" i="89"/>
  <c r="C8" i="90"/>
  <c r="H10" i="7"/>
  <c r="W4" i="89"/>
  <c r="C17" i="6"/>
  <c r="AG6" i="89"/>
  <c r="H10" i="91"/>
  <c r="H9" i="91"/>
  <c r="R5" i="89"/>
  <c r="AG9" i="78"/>
  <c r="W5" i="89"/>
  <c r="C15" i="6"/>
  <c r="AJ6" i="89"/>
  <c r="H8" i="91"/>
  <c r="R4" i="89"/>
  <c r="AB4" i="89"/>
  <c r="AG8" i="78"/>
  <c r="C9" i="90"/>
  <c r="Z6" i="89"/>
  <c r="C16" i="6"/>
  <c r="AG4" i="89"/>
  <c r="U6" i="89"/>
  <c r="AB6" i="89"/>
  <c r="AJ10" i="78"/>
  <c r="C10" i="90"/>
  <c r="AB5" i="89"/>
  <c r="AG10" i="78"/>
  <c r="F10" i="90"/>
  <c r="F9" i="87"/>
  <c r="AB6" i="91"/>
  <c r="M9" i="91"/>
  <c r="AB6" i="35" l="1"/>
  <c r="E8" i="35"/>
  <c r="J8" i="35" s="1"/>
  <c r="O8" i="35" s="1"/>
  <c r="T8" i="35" s="1"/>
  <c r="Y8" i="35" s="1"/>
  <c r="AD8" i="35" s="1"/>
  <c r="AI8" i="35" s="1"/>
  <c r="E12" i="35" s="1"/>
  <c r="J12" i="35" s="1"/>
  <c r="O12" i="35" s="1"/>
  <c r="T12" i="35" s="1"/>
  <c r="Y12" i="35" s="1"/>
  <c r="AD12" i="35" s="1"/>
  <c r="AI12" i="35" s="1"/>
  <c r="E16" i="35" s="1"/>
  <c r="J16" i="35" s="1"/>
  <c r="O16" i="35" s="1"/>
  <c r="T16" i="35" s="1"/>
  <c r="Y16" i="35" s="1"/>
  <c r="AD16" i="35" s="1"/>
  <c r="AI16" i="35" s="1"/>
  <c r="E20" i="35" s="1"/>
  <c r="J20" i="35" s="1"/>
  <c r="O20" i="35" s="1"/>
  <c r="T20" i="35" s="1"/>
  <c r="Y20" i="35" s="1"/>
  <c r="AD20" i="35" s="1"/>
  <c r="AI20" i="35" s="1"/>
  <c r="AJ5" i="35"/>
  <c r="E24" i="78"/>
  <c r="C274" i="1"/>
  <c r="C261" i="1"/>
  <c r="Z5" i="85"/>
  <c r="C252" i="1"/>
  <c r="C251" i="1"/>
  <c r="C256" i="1"/>
  <c r="C260" i="1"/>
  <c r="D11" i="2"/>
  <c r="K5" i="82" s="1"/>
  <c r="C262" i="1"/>
  <c r="C263" i="1"/>
  <c r="F5" i="85"/>
  <c r="C273" i="1"/>
  <c r="C272" i="1"/>
  <c r="C258" i="1"/>
  <c r="AE5" i="85"/>
  <c r="P5" i="85"/>
  <c r="C266" i="1"/>
  <c r="C248" i="1"/>
  <c r="C255" i="1"/>
  <c r="C269" i="1"/>
  <c r="C253" i="1"/>
  <c r="C254" i="1"/>
  <c r="U5" i="85"/>
  <c r="C270" i="1"/>
  <c r="C245" i="1"/>
  <c r="C257" i="1"/>
  <c r="C250" i="1"/>
  <c r="K5" i="85"/>
  <c r="C264" i="1"/>
  <c r="C259" i="1"/>
  <c r="AJ5" i="85"/>
  <c r="C271" i="1"/>
  <c r="C246" i="1"/>
  <c r="C249" i="1"/>
  <c r="C265" i="1"/>
  <c r="C247" i="1"/>
  <c r="C267" i="1"/>
  <c r="C268" i="1"/>
  <c r="G19" i="6"/>
  <c r="F15" i="6"/>
  <c r="F16" i="6"/>
  <c r="F17" i="6"/>
  <c r="P14" i="78"/>
  <c r="U13" i="78"/>
  <c r="M13" i="78"/>
  <c r="M12" i="78"/>
  <c r="M14" i="78"/>
  <c r="K9" i="87"/>
  <c r="P10" i="89"/>
  <c r="M10" i="89"/>
  <c r="M8" i="89"/>
  <c r="U9" i="89"/>
  <c r="M9" i="89"/>
  <c r="F9" i="86"/>
  <c r="P9" i="88"/>
  <c r="K10" i="88"/>
  <c r="H10" i="88"/>
  <c r="H9" i="88"/>
  <c r="H8" i="88"/>
  <c r="Y20" i="89"/>
  <c r="AE9" i="91"/>
  <c r="W10" i="91"/>
  <c r="Z10" i="91"/>
  <c r="W9" i="91"/>
  <c r="W8" i="91"/>
  <c r="E24" i="86"/>
  <c r="U10" i="90"/>
  <c r="Z9" i="90"/>
  <c r="R8" i="90"/>
  <c r="R10" i="90"/>
  <c r="R9" i="90"/>
  <c r="E14" i="7"/>
  <c r="H13" i="7"/>
  <c r="F9" i="35" l="1"/>
  <c r="AG6" i="35"/>
  <c r="AG5" i="35"/>
  <c r="AG4" i="35"/>
  <c r="AJ6" i="35"/>
  <c r="E24" i="35"/>
  <c r="AJ21" i="35"/>
  <c r="AD20" i="89"/>
  <c r="R8" i="89"/>
  <c r="U10" i="89"/>
  <c r="Z9" i="89"/>
  <c r="R10" i="89"/>
  <c r="R9" i="89"/>
  <c r="P9" i="87"/>
  <c r="E15" i="7"/>
  <c r="H14" i="7"/>
  <c r="J24" i="86"/>
  <c r="M10" i="88"/>
  <c r="M9" i="88"/>
  <c r="M8" i="88"/>
  <c r="P10" i="88"/>
  <c r="U9" i="88"/>
  <c r="AE9" i="90"/>
  <c r="W9" i="90"/>
  <c r="Z10" i="90"/>
  <c r="W10" i="90"/>
  <c r="W8" i="90"/>
  <c r="AJ9" i="91"/>
  <c r="AB10" i="91"/>
  <c r="AE10" i="91"/>
  <c r="AB8" i="91"/>
  <c r="AB9" i="91"/>
  <c r="K9" i="86"/>
  <c r="Z13" i="78"/>
  <c r="U14" i="78"/>
  <c r="R14" i="78"/>
  <c r="R13" i="78"/>
  <c r="R12" i="78"/>
  <c r="C300" i="1"/>
  <c r="C291" i="1"/>
  <c r="C293" i="1"/>
  <c r="C277" i="1"/>
  <c r="D12" i="2"/>
  <c r="C303" i="1"/>
  <c r="C296" i="1"/>
  <c r="C299" i="1"/>
  <c r="AE5" i="82"/>
  <c r="C295" i="1"/>
  <c r="C286" i="1"/>
  <c r="C288" i="1"/>
  <c r="C304" i="1"/>
  <c r="C287" i="1"/>
  <c r="C279" i="1"/>
  <c r="C292" i="1"/>
  <c r="P5" i="82"/>
  <c r="C276" i="1"/>
  <c r="C278" i="1"/>
  <c r="C297" i="1"/>
  <c r="C294" i="1"/>
  <c r="C289" i="1"/>
  <c r="AJ5" i="82"/>
  <c r="C301" i="1"/>
  <c r="U5" i="82"/>
  <c r="C280" i="1"/>
  <c r="C298" i="1"/>
  <c r="Z5" i="82"/>
  <c r="C283" i="1"/>
  <c r="C282" i="1"/>
  <c r="C290" i="1"/>
  <c r="C302" i="1"/>
  <c r="C305" i="1"/>
  <c r="C275" i="1"/>
  <c r="AE6" i="85" s="1"/>
  <c r="C285" i="1"/>
  <c r="C281" i="1"/>
  <c r="C284" i="1"/>
  <c r="G16" i="6"/>
  <c r="G17" i="6"/>
  <c r="H19" i="6"/>
  <c r="G15" i="6"/>
  <c r="AG5" i="85"/>
  <c r="F9" i="85"/>
  <c r="AB5" i="85"/>
  <c r="F25" i="78"/>
  <c r="J24" i="78"/>
  <c r="K25" i="78" s="1"/>
  <c r="Z6" i="85" l="1"/>
  <c r="R4" i="85"/>
  <c r="C4" i="85"/>
  <c r="C5" i="85"/>
  <c r="U6" i="85"/>
  <c r="W4" i="85"/>
  <c r="AJ6" i="85"/>
  <c r="U6" i="86"/>
  <c r="K6" i="87"/>
  <c r="R4" i="86"/>
  <c r="H6" i="87"/>
  <c r="R6" i="86"/>
  <c r="H4" i="87"/>
  <c r="R5" i="86"/>
  <c r="H5" i="87"/>
  <c r="AG4" i="85"/>
  <c r="K6" i="82"/>
  <c r="AG6" i="85"/>
  <c r="AG22" i="35"/>
  <c r="AG20" i="35"/>
  <c r="AG21" i="35"/>
  <c r="AJ22" i="35"/>
  <c r="H6" i="82"/>
  <c r="J24" i="35"/>
  <c r="K25" i="35" s="1"/>
  <c r="F25" i="35"/>
  <c r="H4" i="82"/>
  <c r="K9" i="35"/>
  <c r="C9" i="35"/>
  <c r="F10" i="35"/>
  <c r="C8" i="35"/>
  <c r="C10" i="35"/>
  <c r="H5" i="82"/>
  <c r="W5" i="85"/>
  <c r="F6" i="85"/>
  <c r="AB4" i="85"/>
  <c r="R5" i="85"/>
  <c r="W6" i="85"/>
  <c r="C6" i="85"/>
  <c r="AB6" i="85"/>
  <c r="R6" i="85"/>
  <c r="F5" i="83"/>
  <c r="K5" i="83"/>
  <c r="P5" i="83"/>
  <c r="U5" i="83"/>
  <c r="Z5" i="83"/>
  <c r="C24" i="78"/>
  <c r="C26" i="78"/>
  <c r="C25" i="78"/>
  <c r="F26" i="78"/>
  <c r="R4" i="87"/>
  <c r="W4" i="87"/>
  <c r="AE6" i="87"/>
  <c r="M4" i="87"/>
  <c r="AJ6" i="87"/>
  <c r="R6" i="87"/>
  <c r="W6" i="87"/>
  <c r="AB4" i="87"/>
  <c r="P6" i="87"/>
  <c r="U6" i="87"/>
  <c r="W5" i="87"/>
  <c r="AB6" i="87"/>
  <c r="M6" i="87"/>
  <c r="AG5" i="87"/>
  <c r="AG6" i="87"/>
  <c r="R5" i="87"/>
  <c r="Z6" i="87"/>
  <c r="AB5" i="87"/>
  <c r="M5" i="87"/>
  <c r="AG4" i="87"/>
  <c r="C10" i="87"/>
  <c r="AG4" i="86"/>
  <c r="AB5" i="86"/>
  <c r="F10" i="87"/>
  <c r="AG6" i="86"/>
  <c r="AB4" i="86"/>
  <c r="Z6" i="86"/>
  <c r="W4" i="86"/>
  <c r="C9" i="87"/>
  <c r="AJ6" i="86"/>
  <c r="AB6" i="86"/>
  <c r="W6" i="86"/>
  <c r="C8" i="87"/>
  <c r="AG5" i="86"/>
  <c r="AE6" i="86"/>
  <c r="W5" i="86"/>
  <c r="P6" i="85"/>
  <c r="K6" i="85"/>
  <c r="C10" i="86"/>
  <c r="F13" i="91"/>
  <c r="AG8" i="91"/>
  <c r="AG9" i="91"/>
  <c r="AG10" i="91"/>
  <c r="AJ10" i="91"/>
  <c r="H8" i="87"/>
  <c r="U9" i="87"/>
  <c r="M8" i="87"/>
  <c r="M10" i="87"/>
  <c r="P10" i="87"/>
  <c r="M9" i="87"/>
  <c r="C329" i="1"/>
  <c r="C318" i="1"/>
  <c r="C332" i="1"/>
  <c r="C313" i="1"/>
  <c r="C328" i="1"/>
  <c r="C327" i="1"/>
  <c r="C321" i="1"/>
  <c r="U6" i="82" s="1"/>
  <c r="C307" i="1"/>
  <c r="C320" i="1"/>
  <c r="AJ5" i="83"/>
  <c r="C326" i="1"/>
  <c r="C309" i="1"/>
  <c r="C319" i="1"/>
  <c r="AE5" i="83"/>
  <c r="C314" i="1"/>
  <c r="D13" i="2"/>
  <c r="C308" i="1"/>
  <c r="C324" i="1"/>
  <c r="C316" i="1"/>
  <c r="C317" i="1"/>
  <c r="C322" i="1"/>
  <c r="C334" i="1"/>
  <c r="C315" i="1"/>
  <c r="C325" i="1"/>
  <c r="C331" i="1"/>
  <c r="C333" i="1"/>
  <c r="C312" i="1"/>
  <c r="C330" i="1"/>
  <c r="C335" i="1"/>
  <c r="C323" i="1"/>
  <c r="C310" i="1"/>
  <c r="C306" i="1"/>
  <c r="C311" i="1"/>
  <c r="M6" i="85"/>
  <c r="H6" i="85"/>
  <c r="C9" i="86"/>
  <c r="K10" i="87"/>
  <c r="H25" i="78"/>
  <c r="H26" i="78"/>
  <c r="K26" i="78"/>
  <c r="H24" i="78"/>
  <c r="H17" i="6"/>
  <c r="H15" i="6"/>
  <c r="B25" i="6"/>
  <c r="H16" i="6"/>
  <c r="M4" i="85"/>
  <c r="H4" i="85"/>
  <c r="W13" i="78"/>
  <c r="W14" i="78"/>
  <c r="Z14" i="78"/>
  <c r="AE13" i="78"/>
  <c r="W12" i="78"/>
  <c r="C8" i="86"/>
  <c r="AB10" i="90"/>
  <c r="AB8" i="90"/>
  <c r="AB9" i="90"/>
  <c r="AE10" i="90"/>
  <c r="AJ9" i="90"/>
  <c r="H9" i="87"/>
  <c r="K9" i="85"/>
  <c r="C10" i="85"/>
  <c r="C9" i="85"/>
  <c r="C8" i="85"/>
  <c r="F10" i="85"/>
  <c r="F9" i="82"/>
  <c r="M5" i="85"/>
  <c r="H5" i="85"/>
  <c r="F10" i="86"/>
  <c r="P9" i="86"/>
  <c r="H9" i="86"/>
  <c r="H10" i="86"/>
  <c r="K10" i="86"/>
  <c r="H8" i="86"/>
  <c r="R10" i="88"/>
  <c r="R9" i="88"/>
  <c r="Z9" i="88"/>
  <c r="U10" i="88"/>
  <c r="R8" i="88"/>
  <c r="E16" i="7"/>
  <c r="H15" i="7"/>
  <c r="H10" i="87"/>
  <c r="Z10" i="89"/>
  <c r="AE9" i="89"/>
  <c r="W10" i="89"/>
  <c r="W9" i="89"/>
  <c r="W8" i="89"/>
  <c r="AI20" i="89"/>
  <c r="AG6" i="82" l="1"/>
  <c r="P6" i="82"/>
  <c r="AG5" i="82"/>
  <c r="W5" i="82"/>
  <c r="M4" i="82"/>
  <c r="F26" i="35"/>
  <c r="C25" i="35"/>
  <c r="C26" i="35"/>
  <c r="C24" i="35"/>
  <c r="AJ6" i="82"/>
  <c r="M6" i="82"/>
  <c r="H25" i="35"/>
  <c r="H26" i="35"/>
  <c r="H24" i="35"/>
  <c r="K26" i="35"/>
  <c r="M5" i="82"/>
  <c r="P9" i="35"/>
  <c r="H10" i="35"/>
  <c r="H8" i="35"/>
  <c r="K10" i="35"/>
  <c r="H9" i="35"/>
  <c r="AG4" i="82"/>
  <c r="R6" i="83"/>
  <c r="R4" i="83"/>
  <c r="R5" i="83"/>
  <c r="U6" i="83"/>
  <c r="P6" i="83"/>
  <c r="M4" i="83"/>
  <c r="M6" i="83"/>
  <c r="M5" i="83"/>
  <c r="H5" i="83"/>
  <c r="K6" i="83"/>
  <c r="H6" i="83"/>
  <c r="H4" i="83"/>
  <c r="W4" i="83"/>
  <c r="Z6" i="83"/>
  <c r="W5" i="83"/>
  <c r="W6" i="83"/>
  <c r="C4" i="83"/>
  <c r="C5" i="83"/>
  <c r="C6" i="83"/>
  <c r="F6" i="83"/>
  <c r="AB14" i="78"/>
  <c r="AB13" i="78"/>
  <c r="AB12" i="78"/>
  <c r="AE14" i="78"/>
  <c r="AJ13" i="78"/>
  <c r="M8" i="86"/>
  <c r="U9" i="86"/>
  <c r="M9" i="86"/>
  <c r="M10" i="86"/>
  <c r="P10" i="86"/>
  <c r="W6" i="82"/>
  <c r="AB5" i="83"/>
  <c r="AB6" i="83"/>
  <c r="AE6" i="83"/>
  <c r="AB4" i="83"/>
  <c r="AG5" i="83"/>
  <c r="AJ6" i="83"/>
  <c r="AG4" i="83"/>
  <c r="AG6" i="83"/>
  <c r="F9" i="83"/>
  <c r="AB4" i="82"/>
  <c r="R5" i="82"/>
  <c r="K13" i="91"/>
  <c r="C12" i="91"/>
  <c r="C14" i="91"/>
  <c r="C13" i="91"/>
  <c r="F14" i="91"/>
  <c r="W9" i="88"/>
  <c r="W10" i="88"/>
  <c r="Z10" i="88"/>
  <c r="W8" i="88"/>
  <c r="AE9" i="88"/>
  <c r="W4" i="82"/>
  <c r="AB6" i="82"/>
  <c r="R6" i="82"/>
  <c r="F13" i="90"/>
  <c r="AG9" i="90"/>
  <c r="AG8" i="90"/>
  <c r="AJ10" i="90"/>
  <c r="AG10" i="90"/>
  <c r="H9" i="85"/>
  <c r="P9" i="85"/>
  <c r="H10" i="85"/>
  <c r="H8" i="85"/>
  <c r="K10" i="85"/>
  <c r="E24" i="89"/>
  <c r="AB10" i="89"/>
  <c r="AJ9" i="89"/>
  <c r="AB9" i="89"/>
  <c r="AE10" i="89"/>
  <c r="AB8" i="89"/>
  <c r="E17" i="7"/>
  <c r="H16" i="7"/>
  <c r="C10" i="82"/>
  <c r="F10" i="82"/>
  <c r="K9" i="82"/>
  <c r="C8" i="82"/>
  <c r="C9" i="82"/>
  <c r="Z6" i="82"/>
  <c r="B22" i="6"/>
  <c r="B21" i="6"/>
  <c r="C25" i="6"/>
  <c r="B23" i="6"/>
  <c r="C364" i="1"/>
  <c r="C354" i="1"/>
  <c r="AE5" i="84"/>
  <c r="C362" i="1"/>
  <c r="C338" i="1"/>
  <c r="Z5" i="84"/>
  <c r="C366" i="1"/>
  <c r="C359" i="1"/>
  <c r="C352" i="1"/>
  <c r="C347" i="1"/>
  <c r="C361" i="1"/>
  <c r="C363" i="1"/>
  <c r="C365" i="1"/>
  <c r="C336" i="1"/>
  <c r="C341" i="1"/>
  <c r="C343" i="1"/>
  <c r="C358" i="1"/>
  <c r="C350" i="1"/>
  <c r="F5" i="84"/>
  <c r="C349" i="1"/>
  <c r="C353" i="1"/>
  <c r="C340" i="1"/>
  <c r="C357" i="1"/>
  <c r="C348" i="1"/>
  <c r="C346" i="1"/>
  <c r="C339" i="1"/>
  <c r="C360" i="1"/>
  <c r="C351" i="1"/>
  <c r="K5" i="84"/>
  <c r="C342" i="1"/>
  <c r="C344" i="1"/>
  <c r="C345" i="1"/>
  <c r="C337" i="1"/>
  <c r="C356" i="1"/>
  <c r="C355" i="1"/>
  <c r="P5" i="84"/>
  <c r="U5" i="84"/>
  <c r="AJ5" i="84"/>
  <c r="AB5" i="82"/>
  <c r="R4" i="82"/>
  <c r="U10" i="87"/>
  <c r="R8" i="87"/>
  <c r="R9" i="87"/>
  <c r="R10" i="87"/>
  <c r="Z9" i="87"/>
  <c r="AE6" i="82"/>
  <c r="U9" i="35" l="1"/>
  <c r="M9" i="35"/>
  <c r="M10" i="35"/>
  <c r="M8" i="35"/>
  <c r="P10" i="35"/>
  <c r="C4" i="84"/>
  <c r="C6" i="84"/>
  <c r="C5" i="84"/>
  <c r="F6" i="84"/>
  <c r="AB5" i="84"/>
  <c r="AB4" i="84"/>
  <c r="AB6" i="84"/>
  <c r="AE6" i="84"/>
  <c r="C21" i="6"/>
  <c r="C23" i="6"/>
  <c r="D25" i="6"/>
  <c r="C22" i="6"/>
  <c r="H13" i="91"/>
  <c r="H12" i="91"/>
  <c r="K14" i="91"/>
  <c r="H14" i="91"/>
  <c r="P13" i="91"/>
  <c r="W5" i="84"/>
  <c r="W4" i="84"/>
  <c r="Z6" i="84"/>
  <c r="W6" i="84"/>
  <c r="J24" i="89"/>
  <c r="K25" i="89" s="1"/>
  <c r="M10" i="85"/>
  <c r="U9" i="85"/>
  <c r="M8" i="85"/>
  <c r="P10" i="85"/>
  <c r="M9" i="85"/>
  <c r="R8" i="86"/>
  <c r="R9" i="86"/>
  <c r="R10" i="86"/>
  <c r="Z9" i="86"/>
  <c r="U10" i="86"/>
  <c r="AE9" i="87"/>
  <c r="W10" i="87"/>
  <c r="W9" i="87"/>
  <c r="Z10" i="87"/>
  <c r="W8" i="87"/>
  <c r="R6" i="84"/>
  <c r="R5" i="84"/>
  <c r="U6" i="84"/>
  <c r="R4" i="84"/>
  <c r="H5" i="84"/>
  <c r="H6" i="84"/>
  <c r="K6" i="84"/>
  <c r="H4" i="84"/>
  <c r="H10" i="82"/>
  <c r="P9" i="82"/>
  <c r="H9" i="82"/>
  <c r="K10" i="82"/>
  <c r="H8" i="82"/>
  <c r="E18" i="7"/>
  <c r="H17" i="7"/>
  <c r="AG10" i="89"/>
  <c r="F13" i="89"/>
  <c r="AG8" i="89"/>
  <c r="AG9" i="89"/>
  <c r="AJ10" i="89"/>
  <c r="AJ6" i="84"/>
  <c r="AG4" i="84"/>
  <c r="F9" i="84"/>
  <c r="AG5" i="84"/>
  <c r="AG6" i="84"/>
  <c r="M5" i="84"/>
  <c r="M6" i="84"/>
  <c r="M4" i="84"/>
  <c r="P6" i="84"/>
  <c r="C13" i="90"/>
  <c r="C14" i="90"/>
  <c r="K13" i="90"/>
  <c r="F14" i="90"/>
  <c r="C12" i="90"/>
  <c r="AB10" i="88"/>
  <c r="AE10" i="88"/>
  <c r="AB9" i="88"/>
  <c r="AB8" i="88"/>
  <c r="AJ9" i="88"/>
  <c r="K9" i="83"/>
  <c r="C10" i="83"/>
  <c r="F10" i="83"/>
  <c r="C9" i="83"/>
  <c r="C8" i="83"/>
  <c r="AG12" i="78"/>
  <c r="AJ14" i="78"/>
  <c r="F17" i="78"/>
  <c r="AG13" i="78"/>
  <c r="AG14" i="78"/>
  <c r="Z9" i="35" l="1"/>
  <c r="R10" i="35"/>
  <c r="R9" i="35"/>
  <c r="R8" i="35"/>
  <c r="U10" i="35"/>
  <c r="C17" i="78"/>
  <c r="C18" i="78"/>
  <c r="K17" i="78"/>
  <c r="F18" i="78"/>
  <c r="C16" i="78"/>
  <c r="H18" i="7"/>
  <c r="E19" i="7"/>
  <c r="U9" i="82"/>
  <c r="M8" i="82"/>
  <c r="M9" i="82"/>
  <c r="P10" i="82"/>
  <c r="M10" i="82"/>
  <c r="W8" i="86"/>
  <c r="AE9" i="86"/>
  <c r="Z10" i="86"/>
  <c r="W10" i="86"/>
  <c r="W9" i="86"/>
  <c r="H8" i="83"/>
  <c r="K10" i="83"/>
  <c r="H9" i="83"/>
  <c r="P9" i="83"/>
  <c r="H10" i="83"/>
  <c r="K14" i="90"/>
  <c r="H12" i="90"/>
  <c r="H14" i="90"/>
  <c r="H13" i="90"/>
  <c r="P13" i="90"/>
  <c r="C13" i="89"/>
  <c r="C14" i="89"/>
  <c r="C12" i="89"/>
  <c r="K13" i="89"/>
  <c r="F14" i="89"/>
  <c r="D22" i="6"/>
  <c r="D21" i="6"/>
  <c r="E25" i="6"/>
  <c r="D23" i="6"/>
  <c r="AG10" i="88"/>
  <c r="AG9" i="88"/>
  <c r="AG8" i="88"/>
  <c r="F13" i="88"/>
  <c r="AJ10" i="88"/>
  <c r="K9" i="84"/>
  <c r="C8" i="84"/>
  <c r="C9" i="84"/>
  <c r="F10" i="84"/>
  <c r="C10" i="84"/>
  <c r="AB10" i="87"/>
  <c r="AB8" i="87"/>
  <c r="AJ9" i="87"/>
  <c r="AE10" i="87"/>
  <c r="AB9" i="87"/>
  <c r="K26" i="89"/>
  <c r="H26" i="89"/>
  <c r="H24" i="89"/>
  <c r="H25" i="89"/>
  <c r="R10" i="85"/>
  <c r="R9" i="85"/>
  <c r="R8" i="85"/>
  <c r="U10" i="85"/>
  <c r="Z9" i="85"/>
  <c r="U13" i="91"/>
  <c r="P14" i="91"/>
  <c r="M12" i="91"/>
  <c r="M13" i="91"/>
  <c r="M14" i="91"/>
  <c r="AE9" i="35" l="1"/>
  <c r="W8" i="35"/>
  <c r="W10" i="35"/>
  <c r="W9" i="35"/>
  <c r="Z10" i="35"/>
  <c r="E21" i="6"/>
  <c r="F25" i="6"/>
  <c r="E23" i="6"/>
  <c r="E22" i="6"/>
  <c r="H13" i="89"/>
  <c r="P13" i="89"/>
  <c r="K14" i="89"/>
  <c r="H14" i="89"/>
  <c r="H12" i="89"/>
  <c r="R10" i="82"/>
  <c r="U10" i="82"/>
  <c r="Z9" i="82"/>
  <c r="R8" i="82"/>
  <c r="R9" i="82"/>
  <c r="P9" i="84"/>
  <c r="K10" i="84"/>
  <c r="H9" i="84"/>
  <c r="H8" i="84"/>
  <c r="H10" i="84"/>
  <c r="P14" i="90"/>
  <c r="M12" i="90"/>
  <c r="M14" i="90"/>
  <c r="M13" i="90"/>
  <c r="U13" i="90"/>
  <c r="H19" i="7"/>
  <c r="E20" i="7"/>
  <c r="K18" i="78"/>
  <c r="P17" i="78"/>
  <c r="H16" i="78"/>
  <c r="H18" i="78"/>
  <c r="H17" i="78"/>
  <c r="U14" i="91"/>
  <c r="R13" i="91"/>
  <c r="R14" i="91"/>
  <c r="R12" i="91"/>
  <c r="Z13" i="91"/>
  <c r="AG8" i="87"/>
  <c r="AG10" i="87"/>
  <c r="AG9" i="87"/>
  <c r="F13" i="87"/>
  <c r="AJ10" i="87"/>
  <c r="AB10" i="86"/>
  <c r="AB8" i="86"/>
  <c r="AJ9" i="86"/>
  <c r="AE10" i="86"/>
  <c r="AB9" i="86"/>
  <c r="W8" i="85"/>
  <c r="AE9" i="85"/>
  <c r="W9" i="85"/>
  <c r="Z10" i="85"/>
  <c r="W10" i="85"/>
  <c r="C12" i="88"/>
  <c r="C13" i="88"/>
  <c r="K13" i="88"/>
  <c r="C14" i="88"/>
  <c r="F14" i="88"/>
  <c r="M8" i="83"/>
  <c r="M10" i="83"/>
  <c r="U9" i="83"/>
  <c r="P10" i="83"/>
  <c r="M9" i="83"/>
  <c r="AB10" i="35" l="1"/>
  <c r="AB9" i="35"/>
  <c r="AB8" i="35"/>
  <c r="AE10" i="35"/>
  <c r="AJ9" i="35"/>
  <c r="U10" i="83"/>
  <c r="R10" i="83"/>
  <c r="R9" i="83"/>
  <c r="R8" i="83"/>
  <c r="Z9" i="83"/>
  <c r="AB10" i="85"/>
  <c r="AJ9" i="85"/>
  <c r="AE10" i="85"/>
  <c r="AB8" i="85"/>
  <c r="AB9" i="85"/>
  <c r="AG9" i="86"/>
  <c r="AG10" i="86"/>
  <c r="AG8" i="86"/>
  <c r="AJ10" i="86"/>
  <c r="F13" i="86"/>
  <c r="C13" i="87"/>
  <c r="C14" i="87"/>
  <c r="K13" i="87"/>
  <c r="C12" i="87"/>
  <c r="F14" i="87"/>
  <c r="Z14" i="91"/>
  <c r="W13" i="91"/>
  <c r="W14" i="91"/>
  <c r="W12" i="91"/>
  <c r="AE13" i="91"/>
  <c r="P18" i="78"/>
  <c r="U17" i="78"/>
  <c r="M18" i="78"/>
  <c r="M16" i="78"/>
  <c r="M17" i="78"/>
  <c r="R13" i="90"/>
  <c r="U14" i="90"/>
  <c r="Z13" i="90"/>
  <c r="R12" i="90"/>
  <c r="R14" i="90"/>
  <c r="W9" i="82"/>
  <c r="AE9" i="82"/>
  <c r="Z10" i="82"/>
  <c r="W10" i="82"/>
  <c r="W8" i="82"/>
  <c r="M8" i="84"/>
  <c r="U9" i="84"/>
  <c r="M10" i="84"/>
  <c r="P10" i="84"/>
  <c r="M9" i="84"/>
  <c r="H13" i="88"/>
  <c r="H12" i="88"/>
  <c r="K14" i="88"/>
  <c r="P13" i="88"/>
  <c r="H14" i="88"/>
  <c r="E21" i="7"/>
  <c r="H20" i="7"/>
  <c r="M14" i="89"/>
  <c r="P14" i="89"/>
  <c r="M12" i="89"/>
  <c r="U13" i="89"/>
  <c r="M13" i="89"/>
  <c r="F22" i="6"/>
  <c r="G25" i="6"/>
  <c r="F23" i="6"/>
  <c r="F21" i="6"/>
  <c r="AG10" i="35" l="1"/>
  <c r="AJ10" i="35"/>
  <c r="AG9" i="35"/>
  <c r="AG8" i="35"/>
  <c r="F13" i="35"/>
  <c r="E22" i="7"/>
  <c r="H21" i="7"/>
  <c r="R16" i="78"/>
  <c r="R18" i="78"/>
  <c r="Z17" i="78"/>
  <c r="U18" i="78"/>
  <c r="R17" i="78"/>
  <c r="K13" i="86"/>
  <c r="F14" i="86"/>
  <c r="C13" i="86"/>
  <c r="C14" i="86"/>
  <c r="C12" i="86"/>
  <c r="AG8" i="85"/>
  <c r="AG10" i="85"/>
  <c r="AG9" i="85"/>
  <c r="AJ10" i="85"/>
  <c r="F13" i="85"/>
  <c r="M12" i="88"/>
  <c r="U13" i="88"/>
  <c r="M13" i="88"/>
  <c r="P14" i="88"/>
  <c r="M14" i="88"/>
  <c r="R9" i="84"/>
  <c r="Z9" i="84"/>
  <c r="U10" i="84"/>
  <c r="R8" i="84"/>
  <c r="R10" i="84"/>
  <c r="K14" i="87"/>
  <c r="H13" i="87"/>
  <c r="H12" i="87"/>
  <c r="P13" i="87"/>
  <c r="H14" i="87"/>
  <c r="G23" i="6"/>
  <c r="H25" i="6"/>
  <c r="G21" i="6"/>
  <c r="G22" i="6"/>
  <c r="R14" i="89"/>
  <c r="R13" i="89"/>
  <c r="U14" i="89"/>
  <c r="R12" i="89"/>
  <c r="Z13" i="89"/>
  <c r="AJ9" i="82"/>
  <c r="AE10" i="82"/>
  <c r="AB8" i="82"/>
  <c r="AB10" i="82"/>
  <c r="AB9" i="82"/>
  <c r="W13" i="90"/>
  <c r="AE13" i="90"/>
  <c r="Z14" i="90"/>
  <c r="W12" i="90"/>
  <c r="W14" i="90"/>
  <c r="AE14" i="91"/>
  <c r="AB13" i="91"/>
  <c r="AB14" i="91"/>
  <c r="AJ13" i="91"/>
  <c r="AB12" i="91"/>
  <c r="W8" i="83"/>
  <c r="W9" i="83"/>
  <c r="Z10" i="83"/>
  <c r="W10" i="83"/>
  <c r="AE9" i="83"/>
  <c r="C13" i="35" l="1"/>
  <c r="F14" i="35"/>
  <c r="K13" i="35"/>
  <c r="C14" i="35"/>
  <c r="C12" i="35"/>
  <c r="F14" i="85"/>
  <c r="C14" i="85"/>
  <c r="K13" i="85"/>
  <c r="C13" i="85"/>
  <c r="C12" i="85"/>
  <c r="H22" i="7"/>
  <c r="E23" i="7"/>
  <c r="AG13" i="91"/>
  <c r="AJ14" i="91"/>
  <c r="AG14" i="91"/>
  <c r="AG12" i="91"/>
  <c r="F17" i="91"/>
  <c r="W8" i="84"/>
  <c r="AE9" i="84"/>
  <c r="Z10" i="84"/>
  <c r="W9" i="84"/>
  <c r="W10" i="84"/>
  <c r="H12" i="86"/>
  <c r="K14" i="86"/>
  <c r="H14" i="86"/>
  <c r="P13" i="86"/>
  <c r="H13" i="86"/>
  <c r="AE13" i="89"/>
  <c r="W12" i="89"/>
  <c r="W14" i="89"/>
  <c r="Z14" i="89"/>
  <c r="W13" i="89"/>
  <c r="W18" i="78"/>
  <c r="W17" i="78"/>
  <c r="W16" i="78"/>
  <c r="Z18" i="78"/>
  <c r="AE17" i="78"/>
  <c r="AG10" i="82"/>
  <c r="AG9" i="82"/>
  <c r="AG8" i="82"/>
  <c r="AJ10" i="82"/>
  <c r="F13" i="82"/>
  <c r="U13" i="87"/>
  <c r="M12" i="87"/>
  <c r="P14" i="87"/>
  <c r="M13" i="87"/>
  <c r="M14" i="87"/>
  <c r="Z13" i="88"/>
  <c r="U14" i="88"/>
  <c r="R13" i="88"/>
  <c r="R12" i="88"/>
  <c r="R14" i="88"/>
  <c r="AJ13" i="90"/>
  <c r="AB13" i="90"/>
  <c r="AE14" i="90"/>
  <c r="AB12" i="90"/>
  <c r="AB14" i="90"/>
  <c r="AB9" i="83"/>
  <c r="AB10" i="83"/>
  <c r="AE10" i="83"/>
  <c r="AJ9" i="83"/>
  <c r="AB8" i="83"/>
  <c r="H23" i="6"/>
  <c r="H21" i="6"/>
  <c r="B31" i="6"/>
  <c r="H22" i="6"/>
  <c r="H13" i="35" l="1"/>
  <c r="H14" i="35"/>
  <c r="P13" i="35"/>
  <c r="H12" i="35"/>
  <c r="K14" i="35"/>
  <c r="B27" i="6"/>
  <c r="C31" i="6"/>
  <c r="B29" i="6"/>
  <c r="B28" i="6"/>
  <c r="AG8" i="83"/>
  <c r="AJ10" i="83"/>
  <c r="F13" i="83"/>
  <c r="AG10" i="83"/>
  <c r="AG9" i="83"/>
  <c r="AG12" i="90"/>
  <c r="AG13" i="90"/>
  <c r="F17" i="90"/>
  <c r="AJ14" i="90"/>
  <c r="AG14" i="90"/>
  <c r="U13" i="86"/>
  <c r="M12" i="86"/>
  <c r="M14" i="86"/>
  <c r="P14" i="86"/>
  <c r="M13" i="86"/>
  <c r="W12" i="88"/>
  <c r="AE13" i="88"/>
  <c r="Z14" i="88"/>
  <c r="W13" i="88"/>
  <c r="W14" i="88"/>
  <c r="AB17" i="78"/>
  <c r="AE18" i="78"/>
  <c r="AB16" i="78"/>
  <c r="AB18" i="78"/>
  <c r="AJ17" i="78"/>
  <c r="K17" i="91"/>
  <c r="C18" i="91"/>
  <c r="C16" i="91"/>
  <c r="C17" i="91"/>
  <c r="F18" i="91"/>
  <c r="K13" i="82"/>
  <c r="F14" i="82"/>
  <c r="C14" i="82"/>
  <c r="C13" i="82"/>
  <c r="C12" i="82"/>
  <c r="R13" i="87"/>
  <c r="U14" i="87"/>
  <c r="Z13" i="87"/>
  <c r="R12" i="87"/>
  <c r="R14" i="87"/>
  <c r="AB14" i="89"/>
  <c r="AB13" i="89"/>
  <c r="AE14" i="89"/>
  <c r="AJ13" i="89"/>
  <c r="AB12" i="89"/>
  <c r="H23" i="7"/>
  <c r="E24" i="7"/>
  <c r="K14" i="85"/>
  <c r="P13" i="85"/>
  <c r="H13" i="85"/>
  <c r="H14" i="85"/>
  <c r="H12" i="85"/>
  <c r="AB9" i="84"/>
  <c r="AB8" i="84"/>
  <c r="AJ9" i="84"/>
  <c r="AB10" i="84"/>
  <c r="AE10" i="84"/>
  <c r="P14" i="35" l="1"/>
  <c r="M14" i="35"/>
  <c r="U13" i="35"/>
  <c r="M12" i="35"/>
  <c r="M13" i="35"/>
  <c r="AE14" i="88"/>
  <c r="AB12" i="88"/>
  <c r="AB13" i="88"/>
  <c r="AJ13" i="88"/>
  <c r="AB14" i="88"/>
  <c r="AG8" i="84"/>
  <c r="AJ10" i="84"/>
  <c r="AG9" i="84"/>
  <c r="AG10" i="84"/>
  <c r="F13" i="84"/>
  <c r="H24" i="7"/>
  <c r="E25" i="7"/>
  <c r="K17" i="90"/>
  <c r="F18" i="90"/>
  <c r="C18" i="90"/>
  <c r="C16" i="90"/>
  <c r="C17" i="90"/>
  <c r="AG12" i="89"/>
  <c r="AG14" i="89"/>
  <c r="AG13" i="89"/>
  <c r="F17" i="89"/>
  <c r="AJ14" i="89"/>
  <c r="AJ18" i="78"/>
  <c r="AG16" i="78"/>
  <c r="AG17" i="78"/>
  <c r="AG18" i="78"/>
  <c r="F21" i="78"/>
  <c r="H14" i="82"/>
  <c r="K14" i="82"/>
  <c r="P13" i="82"/>
  <c r="H13" i="82"/>
  <c r="H12" i="82"/>
  <c r="R13" i="86"/>
  <c r="R14" i="86"/>
  <c r="U14" i="86"/>
  <c r="Z13" i="86"/>
  <c r="R12" i="86"/>
  <c r="C12" i="83"/>
  <c r="C13" i="83"/>
  <c r="K13" i="83"/>
  <c r="C14" i="83"/>
  <c r="F14" i="83"/>
  <c r="P14" i="85"/>
  <c r="M12" i="85"/>
  <c r="M14" i="85"/>
  <c r="M13" i="85"/>
  <c r="U13" i="85"/>
  <c r="W12" i="87"/>
  <c r="W13" i="87"/>
  <c r="Z14" i="87"/>
  <c r="W14" i="87"/>
  <c r="AE13" i="87"/>
  <c r="H18" i="91"/>
  <c r="H17" i="91"/>
  <c r="K18" i="91"/>
  <c r="H16" i="91"/>
  <c r="P17" i="91"/>
  <c r="D31" i="6"/>
  <c r="C29" i="6"/>
  <c r="C27" i="6"/>
  <c r="C28" i="6"/>
  <c r="R12" i="35" l="1"/>
  <c r="U14" i="35"/>
  <c r="Z13" i="35"/>
  <c r="R13" i="35"/>
  <c r="R14" i="35"/>
  <c r="R12" i="85"/>
  <c r="R13" i="85"/>
  <c r="Z13" i="85"/>
  <c r="U14" i="85"/>
  <c r="R14" i="85"/>
  <c r="C21" i="78"/>
  <c r="F22" i="78"/>
  <c r="C22" i="78"/>
  <c r="C20" i="78"/>
  <c r="K21" i="78"/>
  <c r="H25" i="7"/>
  <c r="E26" i="7"/>
  <c r="F17" i="88"/>
  <c r="AG13" i="88"/>
  <c r="AG14" i="88"/>
  <c r="AJ14" i="88"/>
  <c r="AG12" i="88"/>
  <c r="D28" i="6"/>
  <c r="D27" i="6"/>
  <c r="D29" i="6"/>
  <c r="E31" i="6"/>
  <c r="P14" i="82"/>
  <c r="M13" i="82"/>
  <c r="U13" i="82"/>
  <c r="M12" i="82"/>
  <c r="M14" i="82"/>
  <c r="M18" i="91"/>
  <c r="M17" i="91"/>
  <c r="M16" i="91"/>
  <c r="P18" i="91"/>
  <c r="U17" i="91"/>
  <c r="C16" i="89"/>
  <c r="K17" i="89"/>
  <c r="C18" i="89"/>
  <c r="C17" i="89"/>
  <c r="F18" i="89"/>
  <c r="H17" i="90"/>
  <c r="H18" i="90"/>
  <c r="H16" i="90"/>
  <c r="K18" i="90"/>
  <c r="P17" i="90"/>
  <c r="C13" i="84"/>
  <c r="F14" i="84"/>
  <c r="K13" i="84"/>
  <c r="C14" i="84"/>
  <c r="C12" i="84"/>
  <c r="AB12" i="87"/>
  <c r="AJ13" i="87"/>
  <c r="AB14" i="87"/>
  <c r="AE14" i="87"/>
  <c r="AB13" i="87"/>
  <c r="H14" i="83"/>
  <c r="K14" i="83"/>
  <c r="H12" i="83"/>
  <c r="H13" i="83"/>
  <c r="P13" i="83"/>
  <c r="AE13" i="86"/>
  <c r="Z14" i="86"/>
  <c r="W13" i="86"/>
  <c r="W12" i="86"/>
  <c r="W14" i="86"/>
  <c r="W12" i="35" l="1"/>
  <c r="AE13" i="35"/>
  <c r="Z14" i="35"/>
  <c r="W13" i="35"/>
  <c r="W14" i="35"/>
  <c r="P14" i="83"/>
  <c r="M12" i="83"/>
  <c r="M14" i="83"/>
  <c r="M13" i="83"/>
  <c r="U13" i="83"/>
  <c r="F17" i="87"/>
  <c r="AG14" i="87"/>
  <c r="AG12" i="87"/>
  <c r="AG13" i="87"/>
  <c r="AJ14" i="87"/>
  <c r="K14" i="84"/>
  <c r="P13" i="84"/>
  <c r="H14" i="84"/>
  <c r="H12" i="84"/>
  <c r="H13" i="84"/>
  <c r="Z13" i="82"/>
  <c r="R12" i="82"/>
  <c r="R13" i="82"/>
  <c r="U14" i="82"/>
  <c r="R14" i="82"/>
  <c r="E27" i="7"/>
  <c r="H26" i="7"/>
  <c r="U18" i="91"/>
  <c r="R17" i="91"/>
  <c r="Z17" i="91"/>
  <c r="R18" i="91"/>
  <c r="R16" i="91"/>
  <c r="W14" i="85"/>
  <c r="Z14" i="85"/>
  <c r="AE13" i="85"/>
  <c r="W12" i="85"/>
  <c r="W13" i="85"/>
  <c r="H22" i="78"/>
  <c r="H20" i="78"/>
  <c r="K22" i="78"/>
  <c r="H21" i="78"/>
  <c r="P21" i="78"/>
  <c r="AB12" i="86"/>
  <c r="AJ13" i="86"/>
  <c r="AB13" i="86"/>
  <c r="AE14" i="86"/>
  <c r="AB14" i="86"/>
  <c r="M18" i="90"/>
  <c r="M16" i="90"/>
  <c r="P18" i="90"/>
  <c r="U17" i="90"/>
  <c r="M17" i="90"/>
  <c r="H18" i="89"/>
  <c r="K18" i="89"/>
  <c r="H17" i="89"/>
  <c r="P17" i="89"/>
  <c r="H16" i="89"/>
  <c r="E29" i="6"/>
  <c r="E27" i="6"/>
  <c r="F31" i="6"/>
  <c r="E28" i="6"/>
  <c r="C18" i="88"/>
  <c r="C17" i="88"/>
  <c r="C16" i="88"/>
  <c r="K17" i="88"/>
  <c r="F18" i="88"/>
  <c r="AB12" i="35" l="1"/>
  <c r="AB13" i="35"/>
  <c r="AE14" i="35"/>
  <c r="AB14" i="35"/>
  <c r="AJ13" i="35"/>
  <c r="F27" i="6"/>
  <c r="F29" i="6"/>
  <c r="F28" i="6"/>
  <c r="G31" i="6"/>
  <c r="M18" i="89"/>
  <c r="U17" i="89"/>
  <c r="P18" i="89"/>
  <c r="M16" i="89"/>
  <c r="M17" i="89"/>
  <c r="F17" i="86"/>
  <c r="AJ14" i="86"/>
  <c r="AG13" i="86"/>
  <c r="AG14" i="86"/>
  <c r="AG12" i="86"/>
  <c r="U18" i="90"/>
  <c r="R16" i="90"/>
  <c r="R17" i="90"/>
  <c r="R18" i="90"/>
  <c r="Z17" i="90"/>
  <c r="AB14" i="85"/>
  <c r="AB13" i="85"/>
  <c r="AB12" i="85"/>
  <c r="AJ13" i="85"/>
  <c r="AE14" i="85"/>
  <c r="K17" i="87"/>
  <c r="F18" i="87"/>
  <c r="C16" i="87"/>
  <c r="C18" i="87"/>
  <c r="C17" i="87"/>
  <c r="M22" i="78"/>
  <c r="M21" i="78"/>
  <c r="P22" i="78"/>
  <c r="M20" i="78"/>
  <c r="U21" i="78"/>
  <c r="W18" i="91"/>
  <c r="Z18" i="91"/>
  <c r="W17" i="91"/>
  <c r="W16" i="91"/>
  <c r="AE17" i="91"/>
  <c r="H27" i="7"/>
  <c r="E28" i="7"/>
  <c r="Z13" i="83"/>
  <c r="R13" i="83"/>
  <c r="U14" i="83"/>
  <c r="R14" i="83"/>
  <c r="R12" i="83"/>
  <c r="H16" i="88"/>
  <c r="H18" i="88"/>
  <c r="H17" i="88"/>
  <c r="K18" i="88"/>
  <c r="P17" i="88"/>
  <c r="W12" i="82"/>
  <c r="W13" i="82"/>
  <c r="AE13" i="82"/>
  <c r="Z14" i="82"/>
  <c r="W14" i="82"/>
  <c r="U13" i="84"/>
  <c r="M13" i="84"/>
  <c r="P14" i="84"/>
  <c r="M12" i="84"/>
  <c r="M14" i="84"/>
  <c r="F17" i="35" l="1"/>
  <c r="AG13" i="35"/>
  <c r="AJ14" i="35"/>
  <c r="AG12" i="35"/>
  <c r="AG14" i="35"/>
  <c r="G29" i="6"/>
  <c r="H31" i="6"/>
  <c r="G27" i="6"/>
  <c r="G28" i="6"/>
  <c r="M17" i="88"/>
  <c r="U17" i="88"/>
  <c r="M16" i="88"/>
  <c r="M18" i="88"/>
  <c r="P18" i="88"/>
  <c r="AB17" i="91"/>
  <c r="AB18" i="91"/>
  <c r="AB16" i="91"/>
  <c r="AJ17" i="91"/>
  <c r="AE18" i="91"/>
  <c r="AG12" i="85"/>
  <c r="AJ14" i="85"/>
  <c r="F17" i="85"/>
  <c r="AG13" i="85"/>
  <c r="AG14" i="85"/>
  <c r="W16" i="90"/>
  <c r="Z18" i="90"/>
  <c r="AE17" i="90"/>
  <c r="W18" i="90"/>
  <c r="W17" i="90"/>
  <c r="AB12" i="82"/>
  <c r="AB13" i="82"/>
  <c r="AJ13" i="82"/>
  <c r="AE14" i="82"/>
  <c r="AB14" i="82"/>
  <c r="W13" i="83"/>
  <c r="W14" i="83"/>
  <c r="Z14" i="83"/>
  <c r="W12" i="83"/>
  <c r="AE13" i="83"/>
  <c r="U22" i="78"/>
  <c r="R20" i="78"/>
  <c r="R21" i="78"/>
  <c r="R22" i="78"/>
  <c r="Z21" i="78"/>
  <c r="AE21" i="78" s="1"/>
  <c r="C17" i="86"/>
  <c r="K17" i="86"/>
  <c r="C16" i="86"/>
  <c r="C18" i="86"/>
  <c r="F18" i="86"/>
  <c r="R16" i="89"/>
  <c r="U18" i="89"/>
  <c r="Z17" i="89"/>
  <c r="R17" i="89"/>
  <c r="R18" i="89"/>
  <c r="U14" i="84"/>
  <c r="R13" i="84"/>
  <c r="Z13" i="84"/>
  <c r="R12" i="84"/>
  <c r="R14" i="84"/>
  <c r="E29" i="7"/>
  <c r="H28" i="7"/>
  <c r="P17" i="87"/>
  <c r="H18" i="87"/>
  <c r="H16" i="87"/>
  <c r="K18" i="87"/>
  <c r="H17" i="87"/>
  <c r="C17" i="35" l="1"/>
  <c r="C18" i="35"/>
  <c r="C16" i="35"/>
  <c r="K17" i="35"/>
  <c r="F18" i="35"/>
  <c r="AJ21" i="78"/>
  <c r="AE22" i="78"/>
  <c r="AB21" i="78"/>
  <c r="AB22" i="78"/>
  <c r="AB20" i="78"/>
  <c r="AG17" i="91"/>
  <c r="AJ18" i="91"/>
  <c r="AG16" i="91"/>
  <c r="AG18" i="91"/>
  <c r="F21" i="91"/>
  <c r="E30" i="7"/>
  <c r="H29" i="7"/>
  <c r="AE17" i="89"/>
  <c r="W17" i="89"/>
  <c r="W16" i="89"/>
  <c r="W18" i="89"/>
  <c r="Z18" i="89"/>
  <c r="W22" i="78"/>
  <c r="W21" i="78"/>
  <c r="Z22" i="78"/>
  <c r="W20" i="78"/>
  <c r="AG14" i="82"/>
  <c r="AG12" i="82"/>
  <c r="AG13" i="82"/>
  <c r="AJ14" i="82"/>
  <c r="F17" i="82"/>
  <c r="C16" i="85"/>
  <c r="F18" i="85"/>
  <c r="K17" i="85"/>
  <c r="C18" i="85"/>
  <c r="C17" i="85"/>
  <c r="AB12" i="83"/>
  <c r="AB14" i="83"/>
  <c r="AE14" i="83"/>
  <c r="AB13" i="83"/>
  <c r="AJ13" i="83"/>
  <c r="W13" i="84"/>
  <c r="Z14" i="84"/>
  <c r="AE13" i="84"/>
  <c r="W12" i="84"/>
  <c r="W14" i="84"/>
  <c r="M16" i="87"/>
  <c r="M17" i="87"/>
  <c r="P18" i="87"/>
  <c r="M18" i="87"/>
  <c r="U17" i="87"/>
  <c r="P17" i="86"/>
  <c r="K18" i="86"/>
  <c r="H16" i="86"/>
  <c r="H17" i="86"/>
  <c r="H18" i="86"/>
  <c r="AB18" i="90"/>
  <c r="AB16" i="90"/>
  <c r="AB17" i="90"/>
  <c r="AJ17" i="90"/>
  <c r="AE18" i="90"/>
  <c r="R17" i="88"/>
  <c r="Z17" i="88"/>
  <c r="R18" i="88"/>
  <c r="R16" i="88"/>
  <c r="U18" i="88"/>
  <c r="H28" i="6"/>
  <c r="H27" i="6"/>
  <c r="H29" i="6"/>
  <c r="B37" i="6"/>
  <c r="K18" i="35" l="1"/>
  <c r="H17" i="35"/>
  <c r="H16" i="35"/>
  <c r="H18" i="35"/>
  <c r="P17" i="35"/>
  <c r="AG20" i="78"/>
  <c r="AJ22" i="78"/>
  <c r="AG22" i="78"/>
  <c r="AG21" i="78"/>
  <c r="AG12" i="83"/>
  <c r="F17" i="83"/>
  <c r="AG13" i="83"/>
  <c r="AG14" i="83"/>
  <c r="AJ14" i="83"/>
  <c r="H17" i="85"/>
  <c r="H18" i="85"/>
  <c r="P17" i="85"/>
  <c r="K18" i="85"/>
  <c r="H16" i="85"/>
  <c r="AB18" i="89"/>
  <c r="AB16" i="89"/>
  <c r="AB17" i="89"/>
  <c r="AJ17" i="89"/>
  <c r="AE18" i="89"/>
  <c r="AG16" i="90"/>
  <c r="F21" i="90"/>
  <c r="AG17" i="90"/>
  <c r="AG18" i="90"/>
  <c r="AJ18" i="90"/>
  <c r="U17" i="86"/>
  <c r="M17" i="86"/>
  <c r="M16" i="86"/>
  <c r="P18" i="86"/>
  <c r="M18" i="86"/>
  <c r="AB12" i="84"/>
  <c r="AB13" i="84"/>
  <c r="AB14" i="84"/>
  <c r="AJ13" i="84"/>
  <c r="AE14" i="84"/>
  <c r="E31" i="7"/>
  <c r="H30" i="7"/>
  <c r="B35" i="6"/>
  <c r="C37" i="6"/>
  <c r="B34" i="6"/>
  <c r="B33" i="6"/>
  <c r="W16" i="88"/>
  <c r="W18" i="88"/>
  <c r="Z18" i="88"/>
  <c r="W17" i="88"/>
  <c r="AE17" i="88"/>
  <c r="Z17" i="87"/>
  <c r="R18" i="87"/>
  <c r="R16" i="87"/>
  <c r="U18" i="87"/>
  <c r="R17" i="87"/>
  <c r="C16" i="82"/>
  <c r="C17" i="82"/>
  <c r="C18" i="82"/>
  <c r="K17" i="82"/>
  <c r="F18" i="82"/>
  <c r="C22" i="91"/>
  <c r="F22" i="91"/>
  <c r="K21" i="91"/>
  <c r="C20" i="91"/>
  <c r="C21" i="91"/>
  <c r="U17" i="35" l="1"/>
  <c r="M16" i="35"/>
  <c r="M18" i="35"/>
  <c r="P18" i="35"/>
  <c r="M17" i="35"/>
  <c r="E32" i="7"/>
  <c r="H31" i="7"/>
  <c r="U17" i="85"/>
  <c r="M16" i="85"/>
  <c r="M17" i="85"/>
  <c r="M18" i="85"/>
  <c r="P18" i="85"/>
  <c r="W18" i="87"/>
  <c r="AE17" i="87"/>
  <c r="Z18" i="87"/>
  <c r="W16" i="87"/>
  <c r="W17" i="87"/>
  <c r="C33" i="6"/>
  <c r="D37" i="6"/>
  <c r="C35" i="6"/>
  <c r="C34" i="6"/>
  <c r="H20" i="91"/>
  <c r="H21" i="91"/>
  <c r="K22" i="91"/>
  <c r="P21" i="91"/>
  <c r="H22" i="91"/>
  <c r="P17" i="82"/>
  <c r="H18" i="82"/>
  <c r="K18" i="82"/>
  <c r="H16" i="82"/>
  <c r="H17" i="82"/>
  <c r="AE18" i="88"/>
  <c r="AB16" i="88"/>
  <c r="AB17" i="88"/>
  <c r="AB18" i="88"/>
  <c r="AJ17" i="88"/>
  <c r="AJ14" i="84"/>
  <c r="F17" i="84"/>
  <c r="AG12" i="84"/>
  <c r="AG13" i="84"/>
  <c r="AG14" i="84"/>
  <c r="R17" i="86"/>
  <c r="Z17" i="86"/>
  <c r="U18" i="86"/>
  <c r="R18" i="86"/>
  <c r="R16" i="86"/>
  <c r="C20" i="90"/>
  <c r="C22" i="90"/>
  <c r="C21" i="90"/>
  <c r="F22" i="90"/>
  <c r="K21" i="90"/>
  <c r="AG18" i="89"/>
  <c r="AJ18" i="89"/>
  <c r="AG17" i="89"/>
  <c r="AG16" i="89"/>
  <c r="F21" i="89"/>
  <c r="C18" i="83"/>
  <c r="C17" i="83"/>
  <c r="F18" i="83"/>
  <c r="C16" i="83"/>
  <c r="K17" i="83"/>
  <c r="R16" i="35" l="1"/>
  <c r="R17" i="35"/>
  <c r="Z17" i="35"/>
  <c r="R18" i="35"/>
  <c r="U18" i="35"/>
  <c r="C22" i="89"/>
  <c r="C20" i="89"/>
  <c r="C21" i="89"/>
  <c r="F22" i="89"/>
  <c r="K21" i="89"/>
  <c r="F21" i="88"/>
  <c r="AJ18" i="88"/>
  <c r="AG16" i="88"/>
  <c r="AG18" i="88"/>
  <c r="AG17" i="88"/>
  <c r="U18" i="85"/>
  <c r="R16" i="85"/>
  <c r="R17" i="85"/>
  <c r="R18" i="85"/>
  <c r="Z17" i="85"/>
  <c r="H22" i="90"/>
  <c r="P21" i="90"/>
  <c r="U21" i="90" s="1"/>
  <c r="H21" i="90"/>
  <c r="H20" i="90"/>
  <c r="K22" i="90"/>
  <c r="W16" i="86"/>
  <c r="W17" i="86"/>
  <c r="AE17" i="86"/>
  <c r="W18" i="86"/>
  <c r="Z18" i="86"/>
  <c r="M17" i="82"/>
  <c r="M18" i="82"/>
  <c r="P18" i="82"/>
  <c r="U17" i="82"/>
  <c r="M16" i="82"/>
  <c r="D34" i="6"/>
  <c r="E37" i="6"/>
  <c r="D35" i="6"/>
  <c r="D33" i="6"/>
  <c r="C16" i="84"/>
  <c r="F18" i="84"/>
  <c r="K17" i="84"/>
  <c r="C17" i="84"/>
  <c r="C18" i="84"/>
  <c r="AB18" i="87"/>
  <c r="AB16" i="87"/>
  <c r="AB17" i="87"/>
  <c r="AE18" i="87"/>
  <c r="AJ17" i="87"/>
  <c r="P17" i="83"/>
  <c r="K18" i="83"/>
  <c r="H17" i="83"/>
  <c r="H16" i="83"/>
  <c r="H18" i="83"/>
  <c r="P22" i="91"/>
  <c r="M22" i="91"/>
  <c r="M20" i="91"/>
  <c r="U21" i="91"/>
  <c r="M21" i="91"/>
  <c r="E33" i="7"/>
  <c r="H32" i="7"/>
  <c r="Z18" i="35" l="1"/>
  <c r="W16" i="35"/>
  <c r="AE17" i="35"/>
  <c r="W17" i="35"/>
  <c r="W18" i="35"/>
  <c r="R20" i="90"/>
  <c r="R22" i="90"/>
  <c r="R21" i="90"/>
  <c r="U22" i="90"/>
  <c r="Z21" i="90"/>
  <c r="AG18" i="87"/>
  <c r="AG17" i="87"/>
  <c r="AJ18" i="87"/>
  <c r="F21" i="87"/>
  <c r="AG16" i="87"/>
  <c r="F37" i="6"/>
  <c r="E33" i="6"/>
  <c r="E35" i="6"/>
  <c r="E34" i="6"/>
  <c r="AB17" i="86"/>
  <c r="AB16" i="86"/>
  <c r="AE18" i="86"/>
  <c r="AB18" i="86"/>
  <c r="AJ17" i="86"/>
  <c r="Z18" i="85"/>
  <c r="W17" i="85"/>
  <c r="AE17" i="85"/>
  <c r="W18" i="85"/>
  <c r="W16" i="85"/>
  <c r="C20" i="88"/>
  <c r="F22" i="88"/>
  <c r="K21" i="88"/>
  <c r="C21" i="88"/>
  <c r="C22" i="88"/>
  <c r="H33" i="7"/>
  <c r="E34" i="7"/>
  <c r="R20" i="91"/>
  <c r="Z21" i="91"/>
  <c r="R22" i="91"/>
  <c r="R21" i="91"/>
  <c r="U22" i="91"/>
  <c r="M17" i="83"/>
  <c r="U17" i="83"/>
  <c r="M18" i="83"/>
  <c r="M16" i="83"/>
  <c r="P18" i="83"/>
  <c r="H17" i="84"/>
  <c r="P17" i="84"/>
  <c r="H18" i="84"/>
  <c r="K18" i="84"/>
  <c r="H16" i="84"/>
  <c r="R18" i="82"/>
  <c r="R16" i="82"/>
  <c r="U18" i="82"/>
  <c r="Z17" i="82"/>
  <c r="R17" i="82"/>
  <c r="M20" i="90"/>
  <c r="M21" i="90"/>
  <c r="P22" i="90"/>
  <c r="M22" i="90"/>
  <c r="K22" i="89"/>
  <c r="H22" i="89"/>
  <c r="H20" i="89"/>
  <c r="H21" i="89"/>
  <c r="P21" i="89"/>
  <c r="AE18" i="35" l="1"/>
  <c r="AB16" i="35"/>
  <c r="AJ17" i="35"/>
  <c r="AB17" i="35"/>
  <c r="AB18" i="35"/>
  <c r="Z22" i="90"/>
  <c r="W21" i="90"/>
  <c r="W20" i="90"/>
  <c r="W22" i="90"/>
  <c r="M22" i="89"/>
  <c r="P22" i="89"/>
  <c r="M20" i="89"/>
  <c r="M21" i="89"/>
  <c r="U21" i="89"/>
  <c r="W22" i="91"/>
  <c r="W21" i="91"/>
  <c r="AE21" i="91"/>
  <c r="W20" i="91"/>
  <c r="Z22" i="91"/>
  <c r="C20" i="87"/>
  <c r="C22" i="87"/>
  <c r="F22" i="87"/>
  <c r="C21" i="87"/>
  <c r="K21" i="87"/>
  <c r="P18" i="84"/>
  <c r="M16" i="84"/>
  <c r="M18" i="84"/>
  <c r="U17" i="84"/>
  <c r="M17" i="84"/>
  <c r="E35" i="7"/>
  <c r="H34" i="7"/>
  <c r="H20" i="88"/>
  <c r="H21" i="88"/>
  <c r="P21" i="88"/>
  <c r="H22" i="88"/>
  <c r="K22" i="88"/>
  <c r="AG17" i="86"/>
  <c r="AJ18" i="86"/>
  <c r="AG18" i="86"/>
  <c r="AG16" i="86"/>
  <c r="F21" i="86"/>
  <c r="F33" i="6"/>
  <c r="F34" i="6"/>
  <c r="G37" i="6"/>
  <c r="F35" i="6"/>
  <c r="AE17" i="82"/>
  <c r="W16" i="82"/>
  <c r="W18" i="82"/>
  <c r="Z18" i="82"/>
  <c r="W17" i="82"/>
  <c r="R18" i="83"/>
  <c r="R16" i="83"/>
  <c r="Z17" i="83"/>
  <c r="R17" i="83"/>
  <c r="U18" i="83"/>
  <c r="AB18" i="85"/>
  <c r="AB17" i="85"/>
  <c r="AJ17" i="85"/>
  <c r="AB16" i="85"/>
  <c r="AE18" i="85"/>
  <c r="AG18" i="35" l="1"/>
  <c r="AG17" i="35"/>
  <c r="AJ18" i="35"/>
  <c r="AG16" i="35"/>
  <c r="F21" i="35"/>
  <c r="W16" i="83"/>
  <c r="W18" i="83"/>
  <c r="W17" i="83"/>
  <c r="Z18" i="83"/>
  <c r="AE17" i="83"/>
  <c r="F22" i="86"/>
  <c r="C22" i="86"/>
  <c r="C20" i="86"/>
  <c r="C21" i="86"/>
  <c r="K21" i="86"/>
  <c r="AB22" i="91"/>
  <c r="AJ21" i="91"/>
  <c r="AB21" i="91"/>
  <c r="AE22" i="91"/>
  <c r="AB20" i="91"/>
  <c r="G33" i="6"/>
  <c r="H37" i="6"/>
  <c r="G35" i="6"/>
  <c r="G34" i="6"/>
  <c r="R16" i="84"/>
  <c r="R18" i="84"/>
  <c r="R17" i="84"/>
  <c r="U18" i="84"/>
  <c r="Z17" i="84"/>
  <c r="H22" i="87"/>
  <c r="H21" i="87"/>
  <c r="H20" i="87"/>
  <c r="K22" i="87"/>
  <c r="P21" i="87"/>
  <c r="AG16" i="85"/>
  <c r="AG17" i="85"/>
  <c r="AJ18" i="85"/>
  <c r="AG18" i="85"/>
  <c r="F21" i="85"/>
  <c r="AB17" i="82"/>
  <c r="AE18" i="82"/>
  <c r="AJ17" i="82"/>
  <c r="AB16" i="82"/>
  <c r="AB18" i="82"/>
  <c r="U21" i="88"/>
  <c r="M21" i="88"/>
  <c r="M22" i="88"/>
  <c r="M20" i="88"/>
  <c r="P22" i="88"/>
  <c r="E36" i="7"/>
  <c r="H35" i="7"/>
  <c r="U22" i="89"/>
  <c r="R20" i="89"/>
  <c r="R21" i="89"/>
  <c r="R22" i="89"/>
  <c r="Z21" i="89"/>
  <c r="F22" i="35" l="1"/>
  <c r="C22" i="35"/>
  <c r="C20" i="35"/>
  <c r="K21" i="35"/>
  <c r="C21" i="35"/>
  <c r="U22" i="88"/>
  <c r="R22" i="88"/>
  <c r="Z21" i="88"/>
  <c r="R20" i="88"/>
  <c r="R21" i="88"/>
  <c r="Z18" i="84"/>
  <c r="W18" i="84"/>
  <c r="W17" i="84"/>
  <c r="AE17" i="84"/>
  <c r="W16" i="84"/>
  <c r="AG20" i="91"/>
  <c r="AG21" i="91"/>
  <c r="F25" i="91"/>
  <c r="AJ22" i="91"/>
  <c r="AG22" i="91"/>
  <c r="W21" i="89"/>
  <c r="W22" i="89"/>
  <c r="W20" i="89"/>
  <c r="Z22" i="89"/>
  <c r="AE21" i="89"/>
  <c r="AJ21" i="89" s="1"/>
  <c r="K21" i="85"/>
  <c r="P21" i="85" s="1"/>
  <c r="F22" i="85"/>
  <c r="C20" i="85"/>
  <c r="C21" i="85"/>
  <c r="C22" i="85"/>
  <c r="H21" i="86"/>
  <c r="H20" i="86"/>
  <c r="H22" i="86"/>
  <c r="K22" i="86"/>
  <c r="P21" i="86"/>
  <c r="H36" i="7"/>
  <c r="E37" i="7"/>
  <c r="AJ18" i="82"/>
  <c r="AG16" i="82"/>
  <c r="AG17" i="82"/>
  <c r="AG18" i="82"/>
  <c r="F21" i="82"/>
  <c r="M21" i="87"/>
  <c r="M22" i="87"/>
  <c r="U21" i="87"/>
  <c r="Z21" i="87" s="1"/>
  <c r="M20" i="87"/>
  <c r="P22" i="87"/>
  <c r="B43" i="6"/>
  <c r="H33" i="6"/>
  <c r="H35" i="6"/>
  <c r="H34" i="6"/>
  <c r="AB18" i="83"/>
  <c r="AB17" i="83"/>
  <c r="AE18" i="83"/>
  <c r="AJ17" i="83"/>
  <c r="AB16" i="83"/>
  <c r="H21" i="35" l="1"/>
  <c r="K22" i="35"/>
  <c r="H20" i="35"/>
  <c r="H22" i="35"/>
  <c r="P21" i="35"/>
  <c r="Z22" i="87"/>
  <c r="W20" i="87"/>
  <c r="W22" i="87"/>
  <c r="W21" i="87"/>
  <c r="AE21" i="87"/>
  <c r="AJ22" i="89"/>
  <c r="AG22" i="89"/>
  <c r="AG20" i="89"/>
  <c r="F25" i="89"/>
  <c r="AG21" i="89"/>
  <c r="M21" i="85"/>
  <c r="M22" i="85"/>
  <c r="P22" i="85"/>
  <c r="M20" i="85"/>
  <c r="U21" i="85"/>
  <c r="Z21" i="85" s="1"/>
  <c r="K21" i="82"/>
  <c r="C22" i="82"/>
  <c r="C21" i="82"/>
  <c r="C20" i="82"/>
  <c r="F22" i="82"/>
  <c r="R21" i="87"/>
  <c r="U22" i="87"/>
  <c r="R20" i="87"/>
  <c r="R22" i="87"/>
  <c r="H37" i="7"/>
  <c r="E38" i="7"/>
  <c r="H38" i="7" s="1"/>
  <c r="AB21" i="89"/>
  <c r="AB20" i="89"/>
  <c r="AE22" i="89"/>
  <c r="AB22" i="89"/>
  <c r="B40" i="6"/>
  <c r="B41" i="6"/>
  <c r="B39" i="6"/>
  <c r="W20" i="88"/>
  <c r="AE21" i="88"/>
  <c r="W21" i="88"/>
  <c r="Z22" i="88"/>
  <c r="W22" i="88"/>
  <c r="AG17" i="83"/>
  <c r="F21" i="83"/>
  <c r="AG16" i="83"/>
  <c r="AJ18" i="83"/>
  <c r="AG18" i="83"/>
  <c r="M20" i="86"/>
  <c r="M22" i="86"/>
  <c r="M21" i="86"/>
  <c r="P22" i="86"/>
  <c r="U21" i="86"/>
  <c r="K22" i="85"/>
  <c r="H20" i="85"/>
  <c r="H22" i="85"/>
  <c r="H21" i="85"/>
  <c r="C24" i="91"/>
  <c r="C25" i="91"/>
  <c r="C26" i="91"/>
  <c r="F26" i="91"/>
  <c r="AB17" i="84"/>
  <c r="AB16" i="84"/>
  <c r="AE18" i="84"/>
  <c r="AJ17" i="84"/>
  <c r="AB18" i="84"/>
  <c r="W20" i="85" l="1"/>
  <c r="W22" i="85"/>
  <c r="Z22" i="85"/>
  <c r="W21" i="85"/>
  <c r="AE21" i="85"/>
  <c r="M21" i="35"/>
  <c r="U21" i="35"/>
  <c r="Z21" i="35" s="1"/>
  <c r="P22" i="35"/>
  <c r="M20" i="35"/>
  <c r="M22" i="35"/>
  <c r="R22" i="85"/>
  <c r="R21" i="85"/>
  <c r="R20" i="85"/>
  <c r="U22" i="85"/>
  <c r="F26" i="89"/>
  <c r="C26" i="89"/>
  <c r="C25" i="89"/>
  <c r="C24" i="89"/>
  <c r="AB21" i="87"/>
  <c r="AB20" i="87"/>
  <c r="AB22" i="87"/>
  <c r="AE22" i="87"/>
  <c r="AB21" i="88"/>
  <c r="AB22" i="88"/>
  <c r="AJ21" i="88"/>
  <c r="AB20" i="88"/>
  <c r="AE22" i="88"/>
  <c r="AJ18" i="84"/>
  <c r="F21" i="84"/>
  <c r="AG18" i="84"/>
  <c r="AG17" i="84"/>
  <c r="AG16" i="84"/>
  <c r="R21" i="86"/>
  <c r="U22" i="86"/>
  <c r="R20" i="86"/>
  <c r="R22" i="86"/>
  <c r="Z21" i="86"/>
  <c r="C20" i="83"/>
  <c r="C21" i="83"/>
  <c r="C22" i="83"/>
  <c r="F22" i="83"/>
  <c r="K21" i="83"/>
  <c r="H20" i="82"/>
  <c r="P21" i="82"/>
  <c r="H22" i="82"/>
  <c r="H21" i="82"/>
  <c r="K22" i="82"/>
  <c r="AE21" i="35" l="1"/>
  <c r="W21" i="35"/>
  <c r="W22" i="35"/>
  <c r="W20" i="35"/>
  <c r="Z22" i="35"/>
  <c r="R21" i="35"/>
  <c r="R22" i="35"/>
  <c r="U22" i="35"/>
  <c r="R20" i="35"/>
  <c r="AB21" i="85"/>
  <c r="AB22" i="85"/>
  <c r="AJ21" i="85"/>
  <c r="AB20" i="85"/>
  <c r="AE22" i="85"/>
  <c r="H20" i="83"/>
  <c r="P21" i="83"/>
  <c r="K22" i="83"/>
  <c r="H22" i="83"/>
  <c r="H21" i="83"/>
  <c r="W21" i="86"/>
  <c r="W22" i="86"/>
  <c r="W20" i="86"/>
  <c r="Z22" i="86"/>
  <c r="AE21" i="86"/>
  <c r="F22" i="84"/>
  <c r="C21" i="84"/>
  <c r="C20" i="84"/>
  <c r="C22" i="84"/>
  <c r="K21" i="84"/>
  <c r="AJ22" i="88"/>
  <c r="AG20" i="88"/>
  <c r="AG21" i="88"/>
  <c r="F25" i="88"/>
  <c r="AG22" i="88"/>
  <c r="P22" i="82"/>
  <c r="M21" i="82"/>
  <c r="M22" i="82"/>
  <c r="M20" i="82"/>
  <c r="U21" i="82"/>
  <c r="AB22" i="35" l="1"/>
  <c r="AB20" i="35"/>
  <c r="AB21" i="35"/>
  <c r="AE22" i="35"/>
  <c r="F25" i="85"/>
  <c r="AG20" i="85"/>
  <c r="AG21" i="85"/>
  <c r="AJ22" i="85"/>
  <c r="AG22" i="85"/>
  <c r="C24" i="88"/>
  <c r="F26" i="88"/>
  <c r="C25" i="88"/>
  <c r="C26" i="88"/>
  <c r="K22" i="84"/>
  <c r="H22" i="84"/>
  <c r="P21" i="84"/>
  <c r="U21" i="84" s="1"/>
  <c r="H21" i="84"/>
  <c r="H20" i="84"/>
  <c r="AE22" i="86"/>
  <c r="AB21" i="86"/>
  <c r="AB20" i="86"/>
  <c r="AB22" i="86"/>
  <c r="AJ21" i="86"/>
  <c r="F25" i="86" s="1"/>
  <c r="M22" i="83"/>
  <c r="P22" i="83"/>
  <c r="M21" i="83"/>
  <c r="U21" i="83"/>
  <c r="M20" i="83"/>
  <c r="R21" i="82"/>
  <c r="R20" i="82"/>
  <c r="U22" i="82"/>
  <c r="Z21" i="82"/>
  <c r="AE21" i="82" s="1"/>
  <c r="R22" i="82"/>
  <c r="C26" i="85" l="1"/>
  <c r="F26" i="85"/>
  <c r="C25" i="85"/>
  <c r="C24" i="85"/>
  <c r="AB21" i="82"/>
  <c r="AB22" i="82"/>
  <c r="AB20" i="82"/>
  <c r="AE22" i="82"/>
  <c r="AJ21" i="82"/>
  <c r="U22" i="84"/>
  <c r="R20" i="84"/>
  <c r="R22" i="84"/>
  <c r="R21" i="84"/>
  <c r="Z21" i="84"/>
  <c r="AE21" i="84" s="1"/>
  <c r="C26" i="86"/>
  <c r="K25" i="86"/>
  <c r="F26" i="86"/>
  <c r="C24" i="86"/>
  <c r="C25" i="86"/>
  <c r="W20" i="82"/>
  <c r="W21" i="82"/>
  <c r="W22" i="82"/>
  <c r="Z22" i="82"/>
  <c r="M22" i="84"/>
  <c r="M20" i="84"/>
  <c r="P22" i="84"/>
  <c r="M21" i="84"/>
  <c r="R20" i="83"/>
  <c r="U22" i="83"/>
  <c r="R21" i="83"/>
  <c r="Z21" i="83"/>
  <c r="R22" i="83"/>
  <c r="AG22" i="86"/>
  <c r="AG20" i="86"/>
  <c r="AG21" i="86"/>
  <c r="AJ22" i="86"/>
  <c r="AE22" i="84" l="1"/>
  <c r="AB22" i="84"/>
  <c r="AB20" i="84"/>
  <c r="AB21" i="84"/>
  <c r="AJ21" i="84"/>
  <c r="W21" i="84"/>
  <c r="Z22" i="84"/>
  <c r="W22" i="84"/>
  <c r="W20" i="84"/>
  <c r="H25" i="86"/>
  <c r="H24" i="86"/>
  <c r="K26" i="86"/>
  <c r="H26" i="86"/>
  <c r="AJ22" i="82"/>
  <c r="AG20" i="82"/>
  <c r="AG22" i="82"/>
  <c r="AG21" i="82"/>
  <c r="W22" i="83"/>
  <c r="AE21" i="83"/>
  <c r="W21" i="83"/>
  <c r="W20" i="83"/>
  <c r="Z22" i="83"/>
  <c r="AG22" i="84" l="1"/>
  <c r="AG20" i="84"/>
  <c r="F25" i="84"/>
  <c r="AG21" i="84"/>
  <c r="AJ22" i="84"/>
  <c r="AB22" i="83"/>
  <c r="AB20" i="83"/>
  <c r="AJ21" i="83"/>
  <c r="AE22" i="83"/>
  <c r="AB21" i="83"/>
  <c r="C25" i="84" l="1"/>
  <c r="K25" i="84"/>
  <c r="C26" i="84"/>
  <c r="C24" i="84"/>
  <c r="F26" i="84"/>
  <c r="AG22" i="83"/>
  <c r="AG20" i="83"/>
  <c r="AG21" i="83"/>
  <c r="AJ22" i="83"/>
  <c r="H24" i="84" l="1"/>
  <c r="K26" i="84"/>
  <c r="H25" i="84"/>
  <c r="H26" i="84"/>
</calcChain>
</file>

<file path=xl/comments1.xml><?xml version="1.0" encoding="utf-8"?>
<comments xmlns="http://schemas.openxmlformats.org/spreadsheetml/2006/main">
  <authors>
    <author>yannick pay</author>
  </authors>
  <commentList>
    <comment ref="E6" authorId="0" shapeId="0">
      <text>
        <r>
          <rPr>
            <sz val="12"/>
            <color indexed="81"/>
            <rFont val="Tahoma"/>
            <family val="2"/>
          </rPr>
          <t xml:space="preserve">colonne E planning travail
Colonne F planning garde SPV
Colonne G astreinte SPV
lien hypertext sur les cellules janvier, février… pour aller sur l'onglet du mois
il y a un menu dans la barre d'outil rapide ( le petit livre en haut a gauche) avec des bouton de raccourci, bouton impression
et bouton pour changer année avec sauvegarde
</t>
        </r>
      </text>
    </comment>
  </commentList>
</comments>
</file>

<file path=xl/comments2.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 les 12 mois vont se mettre à jour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3.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4.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5.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6.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7.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8.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9.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10.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11.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12.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comments13.xml><?xml version="1.0" encoding="utf-8"?>
<comments xmlns="http://schemas.openxmlformats.org/spreadsheetml/2006/main">
  <authors>
    <author>Services Gouvernementaux, DGSIG</author>
  </authors>
  <commentList>
    <comment ref="C53" authorId="0" shapeId="0">
      <text>
        <r>
          <rPr>
            <sz val="10"/>
            <color indexed="81"/>
            <rFont val="Tahoma"/>
            <family val="2"/>
          </rPr>
          <t xml:space="preserve">
 </t>
        </r>
        <r>
          <rPr>
            <b/>
            <sz val="10"/>
            <color indexed="81"/>
            <rFont val="Tahoma"/>
            <family val="2"/>
          </rPr>
          <t xml:space="preserve">  </t>
        </r>
        <r>
          <rPr>
            <b/>
            <u/>
            <sz val="10"/>
            <color indexed="81"/>
            <rFont val="Tahoma"/>
            <family val="2"/>
          </rPr>
          <t>AGENDA PERPÉTUEL</t>
        </r>
        <r>
          <rPr>
            <sz val="10"/>
            <color indexed="81"/>
            <rFont val="Tahoma"/>
            <family val="2"/>
          </rPr>
          <t xml:space="preserve">
 Allez sur la feuille Jr.
 1 - Dans les cases bleues, écrivez :
      - l'année désirée  -  votre nom  -  votre secteur 
 2 - Dans la feuille Fêtes, écrivez les noms correspondant aux dates désirées.
 3 - Dans la feuille payes, cellule E5, écrivez la date de la première paye de l'année.
 4 - Il ne reste qu'à imprimer les 12 pages.
 N.B. La feuille données sert à l'entête du calendrier et aux commentaires de bas de pages.
        ( pierre de naissance , fleur du mois , et autres )  =&gt; modifiez selon vos désirs </t>
        </r>
      </text>
    </comment>
  </commentList>
</comments>
</file>

<file path=xl/sharedStrings.xml><?xml version="1.0" encoding="utf-8"?>
<sst xmlns="http://schemas.openxmlformats.org/spreadsheetml/2006/main" count="2360" uniqueCount="373">
  <si>
    <t xml:space="preserve"> </t>
  </si>
  <si>
    <t>Marie-Laure</t>
  </si>
  <si>
    <t>Lucien</t>
  </si>
  <si>
    <t>Jean-François</t>
  </si>
  <si>
    <t>Guy</t>
  </si>
  <si>
    <t>Lucie</t>
  </si>
  <si>
    <t>Christian</t>
  </si>
  <si>
    <t>Luc</t>
  </si>
  <si>
    <t>Amélie</t>
  </si>
  <si>
    <t>Yolande</t>
  </si>
  <si>
    <t>Julie</t>
  </si>
  <si>
    <t>Manon</t>
  </si>
  <si>
    <t>Marcelle</t>
  </si>
  <si>
    <t>Hélène</t>
  </si>
  <si>
    <t>Caroline</t>
  </si>
  <si>
    <t>André</t>
  </si>
  <si>
    <t>Marie-Claude</t>
  </si>
  <si>
    <t>Sylvain</t>
  </si>
  <si>
    <t>Anne</t>
  </si>
  <si>
    <t>Simon</t>
  </si>
  <si>
    <t>Martine</t>
  </si>
  <si>
    <t>Gilles</t>
  </si>
  <si>
    <t>Thérèse</t>
  </si>
  <si>
    <t>Chantal</t>
  </si>
  <si>
    <t>Denis</t>
  </si>
  <si>
    <t>France</t>
  </si>
  <si>
    <t>Lise</t>
  </si>
  <si>
    <t>Mois</t>
  </si>
  <si>
    <t>Pierres de naissance</t>
  </si>
  <si>
    <t>Fleurs du mois</t>
  </si>
  <si>
    <t>Notes 1</t>
  </si>
  <si>
    <t>Notes 2</t>
  </si>
  <si>
    <t>Notes 3</t>
  </si>
  <si>
    <t>Notes 4</t>
  </si>
  <si>
    <t>JANVIER</t>
  </si>
  <si>
    <t>grenat</t>
  </si>
  <si>
    <t>oeillet + perce-neige</t>
  </si>
  <si>
    <t>FÉVRIER</t>
  </si>
  <si>
    <t>améthyste</t>
  </si>
  <si>
    <t>violette + primevère</t>
  </si>
  <si>
    <t>MARS</t>
  </si>
  <si>
    <t>jaspe sanguine + algue marine</t>
  </si>
  <si>
    <t>jonquille</t>
  </si>
  <si>
    <t>AVRIL</t>
  </si>
  <si>
    <t>diamant</t>
  </si>
  <si>
    <t>marguerite + pois de senteur</t>
  </si>
  <si>
    <t>MAI</t>
  </si>
  <si>
    <t>émeraude</t>
  </si>
  <si>
    <t>muguet + aubépine</t>
  </si>
  <si>
    <t>JUIN</t>
  </si>
  <si>
    <t>perle + alexandrite</t>
  </si>
  <si>
    <t>rose + chèvrefeuille</t>
  </si>
  <si>
    <t>JUILLET</t>
  </si>
  <si>
    <t>rubis</t>
  </si>
  <si>
    <t>pied-d'alouette + nénuphar</t>
  </si>
  <si>
    <t>péridot + sardoine</t>
  </si>
  <si>
    <t>glaieul + coquelicot</t>
  </si>
  <si>
    <t>SEPTEMBRE</t>
  </si>
  <si>
    <t>saphir</t>
  </si>
  <si>
    <t>aster + belle-de-jour</t>
  </si>
  <si>
    <t>OCTOBRE</t>
  </si>
  <si>
    <t>opale + tourmaline</t>
  </si>
  <si>
    <t>souci + cosmos</t>
  </si>
  <si>
    <t>NOVEMBRE</t>
  </si>
  <si>
    <t>topaze</t>
  </si>
  <si>
    <t>chrysantème</t>
  </si>
  <si>
    <t>DÉCEMBRE</t>
  </si>
  <si>
    <t>turquoize + zircon</t>
  </si>
  <si>
    <t>narcisse + houx</t>
  </si>
  <si>
    <t>J.Frenette</t>
  </si>
  <si>
    <t>P.Lemieux</t>
  </si>
  <si>
    <t>J.Verret</t>
  </si>
  <si>
    <t>D.Bolduc</t>
  </si>
  <si>
    <t>P.Gignac</t>
  </si>
  <si>
    <t>H.Bélanger</t>
  </si>
  <si>
    <t>Jo.Bolduc</t>
  </si>
  <si>
    <t>Lo.Boulay</t>
  </si>
  <si>
    <t>G.Papillon</t>
  </si>
  <si>
    <t>G.Drolet</t>
  </si>
  <si>
    <t>P.Desmarais</t>
  </si>
  <si>
    <t>R.Barrette</t>
  </si>
  <si>
    <t>Sylvia</t>
  </si>
  <si>
    <t>C.Borne</t>
  </si>
  <si>
    <t>G.Lapierre</t>
  </si>
  <si>
    <t>G.Pedneault</t>
  </si>
  <si>
    <t>Di.Robitaille</t>
  </si>
  <si>
    <t>Y.Parent</t>
  </si>
  <si>
    <t>C.Roy</t>
  </si>
  <si>
    <t>D.Dussault</t>
  </si>
  <si>
    <t>J.Richard</t>
  </si>
  <si>
    <t>De.Robitaille</t>
  </si>
  <si>
    <t>G.Blais</t>
  </si>
  <si>
    <t>G.Tétreault</t>
  </si>
  <si>
    <t>C.St-Jacques</t>
  </si>
  <si>
    <t>P.Lafleur</t>
  </si>
  <si>
    <t>G.Lefebvre</t>
  </si>
  <si>
    <t>P.Paquet</t>
  </si>
  <si>
    <t>J.Bélanger</t>
  </si>
  <si>
    <t>P.Gendron</t>
  </si>
  <si>
    <t>G.Dubé</t>
  </si>
  <si>
    <t>S.Lapierre</t>
  </si>
  <si>
    <t>D.Chabot</t>
  </si>
  <si>
    <t>M.Dumont</t>
  </si>
  <si>
    <t>G.Parent</t>
  </si>
  <si>
    <t>B.Rainville</t>
  </si>
  <si>
    <t>F.Couture</t>
  </si>
  <si>
    <t>J.Rodrigue</t>
  </si>
  <si>
    <t>M.Gagné</t>
  </si>
  <si>
    <t>M.Déziel</t>
  </si>
  <si>
    <t>G.Tanguay</t>
  </si>
  <si>
    <t>L.Lévesque</t>
  </si>
  <si>
    <t>C.Breault</t>
  </si>
  <si>
    <t>L.Laberge</t>
  </si>
  <si>
    <t>R.Lévesque</t>
  </si>
  <si>
    <t>J.Clouston</t>
  </si>
  <si>
    <t>M.Ferland</t>
  </si>
  <si>
    <t>J.Corriveau</t>
  </si>
  <si>
    <t>R.Chabot</t>
  </si>
  <si>
    <t>J.Drouin</t>
  </si>
  <si>
    <t>M.Leblanc</t>
  </si>
  <si>
    <t>G.Vallée</t>
  </si>
  <si>
    <t>A.Boivin</t>
  </si>
  <si>
    <t>JM.Tremblay</t>
  </si>
  <si>
    <t>Y.Martel</t>
  </si>
  <si>
    <t>H.Genest</t>
  </si>
  <si>
    <t>C.Pettigrew</t>
  </si>
  <si>
    <t>R.Fortier</t>
  </si>
  <si>
    <t>C.L'Heureux</t>
  </si>
  <si>
    <t>P.Villemure</t>
  </si>
  <si>
    <t>C.Baril</t>
  </si>
  <si>
    <t>M.Martel</t>
  </si>
  <si>
    <t>R.Simard</t>
  </si>
  <si>
    <t>N.Métivier</t>
  </si>
  <si>
    <t>I.Ioan</t>
  </si>
  <si>
    <t>L.Véra</t>
  </si>
  <si>
    <t>JP.Lachapelle</t>
  </si>
  <si>
    <t>R. Turcot</t>
  </si>
  <si>
    <t>P.Doré</t>
  </si>
  <si>
    <t>M.Langlois</t>
  </si>
  <si>
    <t>S.Lachance</t>
  </si>
  <si>
    <t>D.Auclair</t>
  </si>
  <si>
    <t>G.Poulin</t>
  </si>
  <si>
    <t>K.Ouellet</t>
  </si>
  <si>
    <t>R.Lessard</t>
  </si>
  <si>
    <t>D.Dion</t>
  </si>
  <si>
    <t>E.Bouchard</t>
  </si>
  <si>
    <t>B.Faguy</t>
  </si>
  <si>
    <t>J.Caouette</t>
  </si>
  <si>
    <t>N.Marquis</t>
  </si>
  <si>
    <t>B.Garneau</t>
  </si>
  <si>
    <t>M.St-Jacques</t>
  </si>
  <si>
    <t>C.Lehoux</t>
  </si>
  <si>
    <t xml:space="preserve"> mois =</t>
  </si>
  <si>
    <t>année =</t>
  </si>
  <si>
    <t>DIMANCHE</t>
  </si>
  <si>
    <t>LUNDI</t>
  </si>
  <si>
    <t>MARDI</t>
  </si>
  <si>
    <t>MERCREDI</t>
  </si>
  <si>
    <t>JEUDI</t>
  </si>
  <si>
    <t>VENDREDI</t>
  </si>
  <si>
    <t>SAMEDI</t>
  </si>
  <si>
    <t xml:space="preserve">Janvier </t>
  </si>
  <si>
    <t>Février</t>
  </si>
  <si>
    <t>Mars</t>
  </si>
  <si>
    <t>Avril</t>
  </si>
  <si>
    <t>Mai</t>
  </si>
  <si>
    <t>Juin</t>
  </si>
  <si>
    <t>Juillet</t>
  </si>
  <si>
    <t>Août</t>
  </si>
  <si>
    <t>Septembre</t>
  </si>
  <si>
    <t>Octobre</t>
  </si>
  <si>
    <t>Novembre</t>
  </si>
  <si>
    <t>Décembre</t>
  </si>
  <si>
    <t xml:space="preserve">pierre de naissance= </t>
  </si>
  <si>
    <t xml:space="preserve">             fleur du mois  =</t>
  </si>
  <si>
    <t>le   7 ===&gt;</t>
  </si>
  <si>
    <t>le 21 ===&gt;</t>
  </si>
  <si>
    <t>D</t>
  </si>
  <si>
    <t>L</t>
  </si>
  <si>
    <t>M</t>
  </si>
  <si>
    <t>V</t>
  </si>
  <si>
    <t xml:space="preserve">          Fleur du mois =</t>
  </si>
  <si>
    <t>pierre de naissance =</t>
  </si>
  <si>
    <t>S</t>
  </si>
  <si>
    <t>J</t>
  </si>
  <si>
    <t>le  7 =&gt;</t>
  </si>
  <si>
    <t>le 21 =&gt;</t>
  </si>
  <si>
    <t>pierre de naissance =&gt;</t>
  </si>
  <si>
    <t xml:space="preserve">        fleur du mois   =&gt;</t>
  </si>
  <si>
    <t>Documentation</t>
  </si>
  <si>
    <t>AOÛT</t>
  </si>
  <si>
    <t>Changer l'année seulement sur la feuille Jr</t>
  </si>
  <si>
    <t>Nom        =&gt;</t>
  </si>
  <si>
    <t>Benoit Garneau</t>
  </si>
  <si>
    <t>Division =&gt;</t>
  </si>
  <si>
    <t>CSST</t>
  </si>
  <si>
    <t>FEVRIER</t>
  </si>
  <si>
    <t>JULLET</t>
  </si>
  <si>
    <t>AOUT</t>
  </si>
  <si>
    <t>DECEMBRE</t>
  </si>
  <si>
    <t>Janvier</t>
  </si>
  <si>
    <t>Nuit</t>
  </si>
  <si>
    <t>Vacation de nuit</t>
  </si>
  <si>
    <t>Nombre de nuits:</t>
  </si>
  <si>
    <t>Jour</t>
  </si>
  <si>
    <t>Vacation de jour</t>
  </si>
  <si>
    <t>Nombre de jours:</t>
  </si>
  <si>
    <t>Formation</t>
  </si>
  <si>
    <t>Nombre de jours formation</t>
  </si>
  <si>
    <t>jour férié</t>
  </si>
  <si>
    <t>Nombre de vacations totales:</t>
  </si>
  <si>
    <t>Nombre de vacations Dimanche</t>
  </si>
  <si>
    <t>WEEK LOULOU</t>
  </si>
  <si>
    <t>Indemnité panier</t>
  </si>
  <si>
    <t>Nombre d'heures de nuit</t>
  </si>
  <si>
    <t>CP</t>
  </si>
  <si>
    <t>CONGE PAYE</t>
  </si>
  <si>
    <t>Nombre d'heures de jour</t>
  </si>
  <si>
    <t>CE</t>
  </si>
  <si>
    <t>CONGE EXCEPTIONNEL</t>
  </si>
  <si>
    <t>Nombre d'heures de formation</t>
  </si>
  <si>
    <t>AM</t>
  </si>
  <si>
    <t>arret maladie/AT</t>
  </si>
  <si>
    <t>Nombre d'heures totales</t>
  </si>
  <si>
    <t>Nombre d'heures Dimanche</t>
  </si>
  <si>
    <t>Nombre d'heures jours fériés</t>
  </si>
  <si>
    <t>Nombre de jour d'arret maladie/AT</t>
  </si>
  <si>
    <t>Nombre de jour de congé payé</t>
  </si>
  <si>
    <t>Nombre de jour de congé exceptionnel</t>
  </si>
  <si>
    <t>COTISATIONS</t>
  </si>
  <si>
    <t>PART SALARIALE</t>
  </si>
  <si>
    <t>PART PATRONALE</t>
  </si>
  <si>
    <t>Salaire de base</t>
  </si>
  <si>
    <t>Plafond SS :</t>
  </si>
  <si>
    <t>Base</t>
  </si>
  <si>
    <t>Taux</t>
  </si>
  <si>
    <t>Montant</t>
  </si>
  <si>
    <t>HS à 25%</t>
  </si>
  <si>
    <t>S.S MALADIE VIEILLESSE SOLIDARITE</t>
  </si>
  <si>
    <t>HS à 50%</t>
  </si>
  <si>
    <t>S.S VIEILLESSE tranche A</t>
  </si>
  <si>
    <t>MAJORATION DIMANCHE</t>
  </si>
  <si>
    <t>FNAL tranche A (aide au logement)</t>
  </si>
  <si>
    <t>MAJORATION NUIT</t>
  </si>
  <si>
    <t>FNAL tranche A (aide au logement) sup 20 salarié</t>
  </si>
  <si>
    <t>MAJORATION JOUR FERIE</t>
  </si>
  <si>
    <t>TRANSPORT</t>
  </si>
  <si>
    <t xml:space="preserve">PRIME ANCIENNETE </t>
  </si>
  <si>
    <t>ACCIDENT DU TRAVAIL</t>
  </si>
  <si>
    <t>PRIME HABILLAGE</t>
  </si>
  <si>
    <t xml:space="preserve">ALLOCATION FAMILLE </t>
  </si>
  <si>
    <t>PRIME ASTREINTE</t>
  </si>
  <si>
    <t>CFOS</t>
  </si>
  <si>
    <t>AUTRE PRIME</t>
  </si>
  <si>
    <t>ASSEDIC tranche A</t>
  </si>
  <si>
    <t>Absence congé payé</t>
  </si>
  <si>
    <t>AGS tranche A</t>
  </si>
  <si>
    <t>paiement congé payé</t>
  </si>
  <si>
    <t>RETRAITE NON CADRE tranche A</t>
  </si>
  <si>
    <t>Absence maladie</t>
  </si>
  <si>
    <t>AGFF NON CADRE tranche A</t>
  </si>
  <si>
    <t>PREVOYANCE NON CADRE tranche A</t>
  </si>
  <si>
    <t>SALAIRE BRUT</t>
  </si>
  <si>
    <t>FORFAIT SOCIAL 8%</t>
  </si>
  <si>
    <t>CSG DEDUCTIBLE</t>
  </si>
  <si>
    <t>CSG/RDS NON DEDUCTIBLE</t>
  </si>
  <si>
    <t>RDS</t>
  </si>
  <si>
    <t>CSG DEDUCTIBLE/PREVOYANCE</t>
  </si>
  <si>
    <t>CSG/RDS NON DEDUCTIBLE/PREVOYANCE</t>
  </si>
  <si>
    <t>MUT BASE</t>
  </si>
  <si>
    <t>TOTAL des cotisations</t>
  </si>
  <si>
    <t xml:space="preserve">PRIME PANIER </t>
  </si>
  <si>
    <t>Net à payer</t>
  </si>
  <si>
    <t>Salaire net imposable</t>
  </si>
  <si>
    <t>Garde Jour</t>
  </si>
  <si>
    <t>Garde Nuit</t>
  </si>
  <si>
    <t>Garde 24H</t>
  </si>
  <si>
    <t>Formation SP</t>
  </si>
  <si>
    <t>CEPARI</t>
  </si>
  <si>
    <t>Autre</t>
  </si>
  <si>
    <t>A2</t>
  </si>
  <si>
    <t>A1</t>
  </si>
  <si>
    <t>Jour Férié (France)</t>
  </si>
  <si>
    <t>Date</t>
  </si>
  <si>
    <t>Explication</t>
  </si>
  <si>
    <t>Jour de l'an</t>
  </si>
  <si>
    <t>1er janvier</t>
  </si>
  <si>
    <t>Pâques</t>
  </si>
  <si>
    <t>Cf Wikipédia</t>
  </si>
  <si>
    <t>Lundi de Pâques</t>
  </si>
  <si>
    <t>Lendemain de paques</t>
  </si>
  <si>
    <t>Fête du Travail</t>
  </si>
  <si>
    <t>1er mai</t>
  </si>
  <si>
    <t>Armistice 1945</t>
  </si>
  <si>
    <t>le 8 mai</t>
  </si>
  <si>
    <t>Jeudi de l'Ascension</t>
  </si>
  <si>
    <t>39 jours apres Pâques</t>
  </si>
  <si>
    <t>Pentecôte</t>
  </si>
  <si>
    <t>49 jours après Pâques</t>
  </si>
  <si>
    <t>Lundi de Pentecôte</t>
  </si>
  <si>
    <t>50 jours après Pâques</t>
  </si>
  <si>
    <t>Fête Nationale</t>
  </si>
  <si>
    <t>le 14 juillet</t>
  </si>
  <si>
    <t>Assomption</t>
  </si>
  <si>
    <t>le 15 aout</t>
  </si>
  <si>
    <t>La Toussaint</t>
  </si>
  <si>
    <t>le 1er novembre</t>
  </si>
  <si>
    <t>Armistice 1918</t>
  </si>
  <si>
    <t>le 11 novembre</t>
  </si>
  <si>
    <t>Noël</t>
  </si>
  <si>
    <t>le 25 decembre</t>
  </si>
  <si>
    <t>nombre d'heure RC nuit</t>
  </si>
  <si>
    <t>nombre d'heure RC l'année precedente</t>
  </si>
  <si>
    <t>total heure RC</t>
  </si>
  <si>
    <t>total jour RC</t>
  </si>
  <si>
    <t>Nombre de congé payé</t>
  </si>
  <si>
    <t>congé payé restant de l' année precedente</t>
  </si>
  <si>
    <t>congé payé restant</t>
  </si>
  <si>
    <t>Nombre de congé exceptionnel</t>
  </si>
  <si>
    <t>Nombre de jour en arret maladie/accident travail</t>
  </si>
  <si>
    <t>nombre de week end travaillé :Samedi et dimanche</t>
  </si>
  <si>
    <t>nombre de week end travaillé :vendredi nuit et lundi</t>
  </si>
  <si>
    <t>nombre de week end travaillé :dimanche et lundi</t>
  </si>
  <si>
    <t>total week end travaillé</t>
  </si>
  <si>
    <r>
      <t xml:space="preserve">Nombre d'heure a faire avec                     </t>
    </r>
    <r>
      <rPr>
        <b/>
        <sz val="10"/>
        <rFont val="Arial"/>
        <family val="2"/>
      </rPr>
      <t>congé exceptionnel et arret maladie / travail</t>
    </r>
  </si>
  <si>
    <r>
      <t xml:space="preserve">Nombre de jour restant a travailler jusqu’à fin d'année avec                                  </t>
    </r>
    <r>
      <rPr>
        <b/>
        <u/>
        <sz val="10"/>
        <rFont val="Arial"/>
        <family val="2"/>
      </rPr>
      <t>congé exceptionnel et arret maladie / travail</t>
    </r>
  </si>
  <si>
    <t>SALAIRE NET ANNUELLE</t>
  </si>
  <si>
    <t>MOYENNE SALAIRE MENSUEL</t>
  </si>
  <si>
    <t>SI(A1-B1&lt;0;0;A1-B1)</t>
  </si>
  <si>
    <t>SI(IW7&lt;40;0;</t>
  </si>
  <si>
    <t>1er Trimestre</t>
  </si>
  <si>
    <t>2e Trimestre</t>
  </si>
  <si>
    <t>3e Trimestre</t>
  </si>
  <si>
    <t>4e Trimestre</t>
  </si>
  <si>
    <t>TOTAL ANNEE</t>
  </si>
  <si>
    <t>A</t>
  </si>
  <si>
    <t>AT</t>
  </si>
  <si>
    <t>salaire net</t>
  </si>
  <si>
    <t>fiche de paie</t>
  </si>
  <si>
    <t>planning</t>
  </si>
  <si>
    <t>différence</t>
  </si>
  <si>
    <t>heure dimanche</t>
  </si>
  <si>
    <t>heure nuit</t>
  </si>
  <si>
    <t>heure jour férié</t>
  </si>
  <si>
    <t>prime panier</t>
  </si>
  <si>
    <t>heure sup</t>
  </si>
  <si>
    <t>estimation</t>
  </si>
  <si>
    <t>ANNIVERSSAIRE</t>
  </si>
  <si>
    <t>DATE</t>
  </si>
  <si>
    <t>Jérôme</t>
  </si>
  <si>
    <t>Jessica</t>
  </si>
  <si>
    <t>Enzo</t>
  </si>
  <si>
    <t>Mamie Annie</t>
  </si>
  <si>
    <t>Maël</t>
  </si>
  <si>
    <t>Mamie Babeth</t>
  </si>
  <si>
    <t>Yannick</t>
  </si>
  <si>
    <t>Gérald</t>
  </si>
  <si>
    <t>Tonton Yannick</t>
  </si>
  <si>
    <t>Nina</t>
  </si>
  <si>
    <t>Zone A : Besançon, Bordeaux, Clermont-Ferrand, Dijon, Grenoble, Limoges, Lyon, Poitiers</t>
  </si>
  <si>
    <t>Commentaire</t>
  </si>
  <si>
    <t>aucun</t>
  </si>
  <si>
    <t>rentrée</t>
  </si>
  <si>
    <t>vacances de la Toussaint</t>
  </si>
  <si>
    <t>vacances de Noël</t>
  </si>
  <si>
    <t>vacances d'hiver</t>
  </si>
  <si>
    <t>vacances de Pâques</t>
  </si>
  <si>
    <t>grandes vacances</t>
  </si>
  <si>
    <t>Zone A</t>
  </si>
  <si>
    <t>Garde jour</t>
  </si>
  <si>
    <t>nuit</t>
  </si>
  <si>
    <t>jour</t>
  </si>
  <si>
    <r>
      <t xml:space="preserve">Nombre d'heure restant a travailler jusqu’à fin d'année avec </t>
    </r>
    <r>
      <rPr>
        <b/>
        <u/>
        <sz val="10"/>
        <rFont val="Arial"/>
        <family val="2"/>
      </rPr>
      <t>congé exceptionnel et arret maladie / travail</t>
    </r>
  </si>
</sst>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164" formatCode="_(&quot;€&quot;* #,##0.00_);_(&quot;€&quot;* \(#,##0.00\);_(&quot;€&quot;* &quot;-&quot;??_);_(@_)"/>
    <numFmt numFmtId="165" formatCode="_ * #,##0.00_)\ &quot;$&quot;_ ;_ * \(#,##0.00\)\ &quot;$&quot;_ ;_ * &quot;-&quot;??_)\ &quot;$&quot;_ ;_ @_ "/>
    <numFmt numFmtId="166" formatCode="dd\/mm\/yy_)"/>
    <numFmt numFmtId="167" formatCode="00;00;"/>
    <numFmt numFmtId="168" formatCode="00"/>
    <numFmt numFmtId="169" formatCode="[$-F800]dddd\,\ mmmm\ dd\,\ yyyy"/>
    <numFmt numFmtId="170" formatCode="d"/>
    <numFmt numFmtId="171" formatCode="dddd"/>
    <numFmt numFmtId="172" formatCode="#,##0.000\ &quot;€&quot;"/>
    <numFmt numFmtId="173" formatCode="#,##0.00\ &quot;€&quot;"/>
    <numFmt numFmtId="174" formatCode="_-* #,##0.000\ &quot;€&quot;_-;\-* #,##0.000\ &quot;€&quot;_-;_-* &quot;-&quot;??\ &quot;€&quot;_-;_-@_-"/>
    <numFmt numFmtId="175" formatCode="0.000%"/>
    <numFmt numFmtId="176" formatCode="_-* #,##0.000\ &quot;€&quot;_-;\-* #,##0.000\ &quot;€&quot;_-;_-* &quot;-&quot;???\ &quot;€&quot;_-;_-@_-"/>
    <numFmt numFmtId="177" formatCode="_-* #,##0.00\ [$€-40C]_-;\-* #,##0.00\ [$€-40C]_-;_-* &quot;-&quot;??\ [$€-40C]_-;_-@_-"/>
    <numFmt numFmtId="178" formatCode="[$-40C]mmmm\-yyyy;@"/>
    <numFmt numFmtId="179" formatCode="ddd\ d\ mmm\ yy"/>
    <numFmt numFmtId="180" formatCode="dd/mm/yy"/>
  </numFmts>
  <fonts count="95">
    <font>
      <sz val="10"/>
      <name val="Helv"/>
    </font>
    <font>
      <sz val="10"/>
      <name val="Arial"/>
      <family val="2"/>
    </font>
    <font>
      <sz val="10"/>
      <color indexed="12"/>
      <name val="Helv"/>
    </font>
    <font>
      <sz val="10"/>
      <name val="MS Sans Serif"/>
      <family val="2"/>
    </font>
    <font>
      <sz val="8"/>
      <name val="Helv"/>
    </font>
    <font>
      <b/>
      <sz val="10"/>
      <color indexed="39"/>
      <name val="Helv"/>
    </font>
    <font>
      <b/>
      <sz val="10"/>
      <name val="Helv"/>
    </font>
    <font>
      <b/>
      <sz val="10"/>
      <color indexed="10"/>
      <name val="Helv"/>
    </font>
    <font>
      <b/>
      <sz val="14"/>
      <name val="Book Antiqua"/>
      <family val="1"/>
    </font>
    <font>
      <sz val="12"/>
      <name val="Helv"/>
    </font>
    <font>
      <sz val="11"/>
      <name val="Helv"/>
    </font>
    <font>
      <b/>
      <sz val="28"/>
      <name val="Britannic Bold"/>
      <family val="2"/>
    </font>
    <font>
      <sz val="28"/>
      <name val="Britannic Bold"/>
      <family val="2"/>
    </font>
    <font>
      <b/>
      <sz val="14"/>
      <name val="Book Antiqua"/>
      <family val="1"/>
    </font>
    <font>
      <b/>
      <sz val="10"/>
      <name val="Book Antiqua"/>
      <family val="1"/>
    </font>
    <font>
      <sz val="12"/>
      <name val="Britannic Bold"/>
      <family val="2"/>
    </font>
    <font>
      <sz val="10"/>
      <name val="Helv"/>
    </font>
    <font>
      <sz val="10"/>
      <name val="Times New Roman"/>
      <family val="1"/>
    </font>
    <font>
      <b/>
      <sz val="10"/>
      <name val="Times New Roman"/>
      <family val="1"/>
    </font>
    <font>
      <b/>
      <sz val="12"/>
      <name val="Book Antiqua"/>
      <family val="1"/>
    </font>
    <font>
      <b/>
      <sz val="10"/>
      <name val="Tms Rmn"/>
    </font>
    <font>
      <b/>
      <sz val="10"/>
      <name val="Times New Roman"/>
      <family val="1"/>
    </font>
    <font>
      <sz val="22"/>
      <name val="Helv"/>
    </font>
    <font>
      <b/>
      <sz val="22"/>
      <name val="Britannic Bold"/>
      <family val="2"/>
    </font>
    <font>
      <b/>
      <sz val="22"/>
      <name val="MS Sans Serif"/>
    </font>
    <font>
      <sz val="14"/>
      <name val="MS Sans Serif"/>
    </font>
    <font>
      <sz val="14"/>
      <name val="Helv"/>
    </font>
    <font>
      <sz val="22"/>
      <name val="Tms Rmn"/>
    </font>
    <font>
      <b/>
      <sz val="8"/>
      <name val="MS Sans Serif"/>
      <family val="2"/>
    </font>
    <font>
      <sz val="8"/>
      <name val="Tms Rmn"/>
    </font>
    <font>
      <b/>
      <sz val="10"/>
      <name val="MS Sans Serif"/>
    </font>
    <font>
      <b/>
      <sz val="18"/>
      <name val="MS Sans Serif"/>
      <family val="2"/>
    </font>
    <font>
      <sz val="10"/>
      <name val="Tms Rmn"/>
    </font>
    <font>
      <b/>
      <sz val="8"/>
      <name val="Tms Rmn"/>
    </font>
    <font>
      <sz val="12"/>
      <name val="Tms Rmn"/>
    </font>
    <font>
      <b/>
      <sz val="14"/>
      <name val="MS Sans Serif"/>
    </font>
    <font>
      <b/>
      <sz val="20"/>
      <name val="Garamond"/>
      <family val="1"/>
    </font>
    <font>
      <sz val="10"/>
      <name val="Garamond"/>
      <family val="1"/>
    </font>
    <font>
      <sz val="8"/>
      <name val="Garamond"/>
      <family val="1"/>
    </font>
    <font>
      <b/>
      <sz val="20"/>
      <name val="Garamond"/>
      <family val="1"/>
    </font>
    <font>
      <b/>
      <sz val="20"/>
      <name val="Britannic Bold"/>
      <family val="2"/>
    </font>
    <font>
      <sz val="12"/>
      <color indexed="10"/>
      <name val="Tms Rmn"/>
    </font>
    <font>
      <b/>
      <sz val="20"/>
      <name val="Britannic Bold"/>
      <family val="2"/>
    </font>
    <font>
      <b/>
      <sz val="12"/>
      <name val="Garamond"/>
      <family val="1"/>
    </font>
    <font>
      <b/>
      <sz val="12"/>
      <name val="MS Sans Serif"/>
      <family val="2"/>
    </font>
    <font>
      <sz val="12"/>
      <name val="CommercialScript BT"/>
      <family val="4"/>
    </font>
    <font>
      <b/>
      <sz val="16"/>
      <name val="Times New Roman"/>
      <family val="1"/>
    </font>
    <font>
      <sz val="10"/>
      <color indexed="81"/>
      <name val="Tahoma"/>
      <family val="2"/>
    </font>
    <font>
      <b/>
      <sz val="10"/>
      <color indexed="81"/>
      <name val="Tahoma"/>
      <family val="2"/>
    </font>
    <font>
      <b/>
      <u/>
      <sz val="10"/>
      <color indexed="81"/>
      <name val="Tahoma"/>
      <family val="2"/>
    </font>
    <font>
      <sz val="10"/>
      <name val="Garamond"/>
      <family val="1"/>
    </font>
    <font>
      <b/>
      <sz val="12"/>
      <name val="Helv"/>
    </font>
    <font>
      <b/>
      <sz val="24"/>
      <color indexed="57"/>
      <name val="Helv"/>
    </font>
    <font>
      <sz val="24"/>
      <name val="Helv"/>
    </font>
    <font>
      <sz val="8"/>
      <name val="Garamond"/>
      <family val="1"/>
    </font>
    <font>
      <sz val="12"/>
      <name val="Garamond"/>
      <family val="1"/>
    </font>
    <font>
      <sz val="12"/>
      <name val="Garamond"/>
      <family val="1"/>
    </font>
    <font>
      <b/>
      <sz val="10"/>
      <name val="Arial"/>
      <family val="2"/>
    </font>
    <font>
      <b/>
      <sz val="12"/>
      <name val="Arial"/>
      <family val="2"/>
    </font>
    <font>
      <b/>
      <sz val="16"/>
      <name val="Arial"/>
      <family val="2"/>
    </font>
    <font>
      <sz val="16"/>
      <name val="Arial"/>
      <family val="2"/>
    </font>
    <font>
      <b/>
      <u/>
      <sz val="12"/>
      <name val="Garamond"/>
      <family val="1"/>
    </font>
    <font>
      <b/>
      <u/>
      <sz val="12"/>
      <name val="Helv"/>
    </font>
    <font>
      <sz val="9"/>
      <name val="Garamond"/>
      <family val="1"/>
    </font>
    <font>
      <b/>
      <sz val="11"/>
      <name val="Arial"/>
      <family val="2"/>
    </font>
    <font>
      <b/>
      <u/>
      <sz val="12"/>
      <name val="Arial"/>
      <family val="2"/>
    </font>
    <font>
      <b/>
      <u/>
      <sz val="10"/>
      <name val="Arial"/>
      <family val="2"/>
    </font>
    <font>
      <sz val="9"/>
      <name val="Helv"/>
    </font>
    <font>
      <u/>
      <sz val="20"/>
      <name val="Arial Black"/>
      <family val="2"/>
    </font>
    <font>
      <b/>
      <sz val="8"/>
      <name val="Arial"/>
      <family val="2"/>
    </font>
    <font>
      <b/>
      <sz val="20"/>
      <name val="Arial"/>
      <family val="2"/>
    </font>
    <font>
      <sz val="40"/>
      <name val="Arial"/>
      <family val="2"/>
    </font>
    <font>
      <sz val="32"/>
      <name val="Arial Black"/>
      <family val="2"/>
    </font>
    <font>
      <u/>
      <sz val="32"/>
      <name val="Arial Black"/>
      <family val="2"/>
    </font>
    <font>
      <sz val="12"/>
      <color indexed="81"/>
      <name val="Tahoma"/>
      <family val="2"/>
    </font>
    <font>
      <u/>
      <sz val="10"/>
      <color theme="10"/>
      <name val="Helv"/>
    </font>
    <font>
      <sz val="11"/>
      <name val="Calibri"/>
      <family val="2"/>
      <scheme val="minor"/>
    </font>
    <font>
      <b/>
      <sz val="12"/>
      <color theme="1"/>
      <name val="Calibri"/>
      <family val="2"/>
      <scheme val="minor"/>
    </font>
    <font>
      <sz val="12"/>
      <color rgb="FF2E3C1F"/>
      <name val="Calibri"/>
      <family val="2"/>
      <scheme val="minor"/>
    </font>
    <font>
      <sz val="10"/>
      <color theme="0" tint="-0.14999847407452621"/>
      <name val="Helv"/>
    </font>
    <font>
      <sz val="11"/>
      <name val="Calibri Light"/>
      <family val="1"/>
      <scheme val="major"/>
    </font>
    <font>
      <sz val="12"/>
      <color theme="1"/>
      <name val="Calibri Light"/>
      <family val="1"/>
      <scheme val="major"/>
    </font>
    <font>
      <sz val="10"/>
      <name val="Calibri Light"/>
      <family val="1"/>
      <scheme val="major"/>
    </font>
    <font>
      <sz val="8"/>
      <color theme="1"/>
      <name val="Calibri Light"/>
      <family val="1"/>
      <scheme val="major"/>
    </font>
    <font>
      <sz val="8"/>
      <name val="Calibri Light"/>
      <family val="1"/>
      <scheme val="major"/>
    </font>
    <font>
      <sz val="10"/>
      <color theme="0" tint="-0.14999847407452621"/>
      <name val="Arial"/>
      <family val="2"/>
    </font>
    <font>
      <b/>
      <sz val="10"/>
      <color theme="0" tint="-4.9989318521683403E-2"/>
      <name val="Arial"/>
      <family val="2"/>
    </font>
    <font>
      <sz val="10"/>
      <color theme="0" tint="-4.9989318521683403E-2"/>
      <name val="Helv"/>
    </font>
    <font>
      <sz val="32"/>
      <color theme="1"/>
      <name val="Arial Black"/>
      <family val="2"/>
    </font>
    <font>
      <sz val="10"/>
      <color theme="0" tint="-0.249977111117893"/>
      <name val="Arial"/>
      <family val="2"/>
    </font>
    <font>
      <b/>
      <sz val="4"/>
      <color rgb="FFFF0000"/>
      <name val="Helv"/>
    </font>
    <font>
      <u/>
      <sz val="32"/>
      <color theme="1"/>
      <name val="Arial Black"/>
      <family val="2"/>
    </font>
    <font>
      <u/>
      <sz val="18"/>
      <color rgb="FFFF0000"/>
      <name val="Arial Black"/>
      <family val="2"/>
    </font>
    <font>
      <b/>
      <sz val="10"/>
      <color theme="0"/>
      <name val="Helv"/>
    </font>
    <font>
      <sz val="9"/>
      <name val="Arial"/>
      <family val="2"/>
    </font>
  </fonts>
  <fills count="2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22"/>
        <bgColor indexed="31"/>
      </patternFill>
    </fill>
    <fill>
      <patternFill patternType="solid">
        <fgColor indexed="45"/>
        <bgColor indexed="64"/>
      </patternFill>
    </fill>
    <fill>
      <patternFill patternType="solid">
        <fgColor theme="8"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C0C0C0"/>
        <bgColor indexed="64"/>
      </patternFill>
    </fill>
    <fill>
      <patternFill patternType="solid">
        <fgColor theme="4"/>
        <bgColor indexed="64"/>
      </patternFill>
    </fill>
    <fill>
      <patternFill patternType="solid">
        <fgColor rgb="FF92D050"/>
        <bgColor indexed="64"/>
      </patternFill>
    </fill>
    <fill>
      <patternFill patternType="solid">
        <fgColor theme="9"/>
        <bgColor indexed="64"/>
      </patternFill>
    </fill>
    <fill>
      <patternFill patternType="solid">
        <fgColor theme="1"/>
        <bgColor indexed="64"/>
      </patternFill>
    </fill>
    <fill>
      <patternFill patternType="solid">
        <fgColor theme="7" tint="0.59999389629810485"/>
        <bgColor indexed="64"/>
      </patternFill>
    </fill>
    <fill>
      <patternFill patternType="solid">
        <fgColor rgb="FFFFFF99"/>
        <bgColor indexed="64"/>
      </patternFill>
    </fill>
    <fill>
      <gradientFill degree="90">
        <stop position="0">
          <color theme="0"/>
        </stop>
        <stop position="0.5">
          <color theme="4"/>
        </stop>
        <stop position="1">
          <color theme="0"/>
        </stop>
      </gradientFill>
    </fill>
    <fill>
      <patternFill patternType="solid">
        <fgColor rgb="FFFFFF00"/>
        <bgColor indexed="64"/>
      </patternFill>
    </fill>
    <fill>
      <patternFill patternType="solid">
        <fgColor theme="2" tint="-0.499984740745262"/>
        <bgColor indexed="64"/>
      </patternFill>
    </fill>
    <fill>
      <patternFill patternType="solid">
        <fgColor theme="0" tint="-0.499984740745262"/>
        <bgColor indexed="64"/>
      </patternFill>
    </fill>
    <fill>
      <patternFill patternType="solid">
        <fgColor rgb="FF84FC0C"/>
        <bgColor indexed="64"/>
      </patternFill>
    </fill>
    <fill>
      <patternFill patternType="solid">
        <fgColor rgb="FF7030A0"/>
        <bgColor indexed="64"/>
      </patternFill>
    </fill>
  </fills>
  <borders count="35">
    <border>
      <left/>
      <right/>
      <top/>
      <bottom/>
      <diagonal/>
    </border>
    <border>
      <left style="medium">
        <color indexed="64"/>
      </left>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hair">
        <color indexed="8"/>
      </top>
      <bottom/>
      <diagonal/>
    </border>
    <border>
      <left/>
      <right/>
      <top/>
      <bottom style="hair">
        <color indexed="8"/>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s>
  <cellStyleXfs count="5">
    <xf numFmtId="0" fontId="0" fillId="0" borderId="0"/>
    <xf numFmtId="0" fontId="75" fillId="0" borderId="0" applyNumberFormat="0" applyFill="0" applyBorder="0" applyAlignment="0" applyProtection="0"/>
    <xf numFmtId="165" fontId="1" fillId="0" borderId="0" applyFont="0" applyFill="0" applyBorder="0" applyAlignment="0" applyProtection="0"/>
    <xf numFmtId="0" fontId="76" fillId="0" borderId="0"/>
    <xf numFmtId="9" fontId="1" fillId="0" borderId="0" applyFont="0" applyFill="0" applyBorder="0" applyAlignment="0" applyProtection="0"/>
  </cellStyleXfs>
  <cellXfs count="876">
    <xf numFmtId="0" fontId="0" fillId="0" borderId="0" xfId="0"/>
    <xf numFmtId="0" fontId="0" fillId="0" borderId="0" xfId="0" applyAlignment="1" applyProtection="1">
      <alignment horizontal="left"/>
    </xf>
    <xf numFmtId="0" fontId="2" fillId="0" borderId="0" xfId="0" applyFont="1" applyProtection="1">
      <protection locked="0"/>
    </xf>
    <xf numFmtId="166" fontId="0" fillId="0" borderId="0" xfId="0" applyNumberFormat="1" applyProtection="1"/>
    <xf numFmtId="0" fontId="0" fillId="0" borderId="0" xfId="0" applyProtection="1"/>
    <xf numFmtId="0" fontId="0" fillId="0" borderId="1" xfId="0" applyBorder="1"/>
    <xf numFmtId="0" fontId="0" fillId="0" borderId="0" xfId="0" applyBorder="1" applyAlignment="1" applyProtection="1">
      <alignment horizontal="left"/>
    </xf>
    <xf numFmtId="0" fontId="0" fillId="0" borderId="0" xfId="0" applyBorder="1" applyProtection="1"/>
    <xf numFmtId="0" fontId="0" fillId="0" borderId="0" xfId="0" applyBorder="1"/>
    <xf numFmtId="1" fontId="0" fillId="0" borderId="0" xfId="0" applyNumberFormat="1" applyBorder="1" applyProtection="1"/>
    <xf numFmtId="0" fontId="0" fillId="0" borderId="0" xfId="0" applyAlignment="1"/>
    <xf numFmtId="0" fontId="5" fillId="0" borderId="0" xfId="0" applyFont="1" applyProtection="1">
      <protection locked="0"/>
    </xf>
    <xf numFmtId="0" fontId="7" fillId="0" borderId="0" xfId="0" applyFont="1" applyProtection="1"/>
    <xf numFmtId="0" fontId="6" fillId="0" borderId="0" xfId="0" applyFont="1" applyAlignment="1" applyProtection="1">
      <alignment horizontal="left"/>
    </xf>
    <xf numFmtId="0" fontId="0" fillId="0" borderId="2" xfId="0" applyBorder="1" applyProtection="1"/>
    <xf numFmtId="0" fontId="0" fillId="0" borderId="3" xfId="0" applyBorder="1" applyProtection="1"/>
    <xf numFmtId="1" fontId="0" fillId="0" borderId="3" xfId="0" applyNumberFormat="1" applyBorder="1" applyProtection="1"/>
    <xf numFmtId="0" fontId="0" fillId="0" borderId="4" xfId="0" applyBorder="1" applyProtection="1"/>
    <xf numFmtId="0" fontId="0" fillId="0" borderId="5" xfId="0" applyBorder="1" applyAlignment="1" applyProtection="1">
      <alignment horizontal="left"/>
    </xf>
    <xf numFmtId="0" fontId="0" fillId="0" borderId="5" xfId="0" applyBorder="1" applyProtection="1"/>
    <xf numFmtId="1" fontId="0" fillId="0" borderId="6" xfId="0" applyNumberFormat="1" applyBorder="1" applyProtection="1"/>
    <xf numFmtId="0" fontId="0" fillId="0" borderId="5" xfId="0" applyBorder="1"/>
    <xf numFmtId="0" fontId="0" fillId="0" borderId="0" xfId="0" applyBorder="1" applyAlignment="1"/>
    <xf numFmtId="0" fontId="0" fillId="2" borderId="5" xfId="0" applyFill="1" applyBorder="1"/>
    <xf numFmtId="0" fontId="0" fillId="3" borderId="5" xfId="0" applyFill="1" applyBorder="1"/>
    <xf numFmtId="0" fontId="0" fillId="3" borderId="7" xfId="0" applyFill="1" applyBorder="1"/>
    <xf numFmtId="0" fontId="4" fillId="3" borderId="8" xfId="0" applyFont="1" applyFill="1" applyBorder="1"/>
    <xf numFmtId="0" fontId="0" fillId="3" borderId="9" xfId="0" applyFill="1" applyBorder="1"/>
    <xf numFmtId="0" fontId="0" fillId="3" borderId="2" xfId="0" applyFill="1" applyBorder="1"/>
    <xf numFmtId="0" fontId="0" fillId="3" borderId="3" xfId="0" applyFill="1" applyBorder="1"/>
    <xf numFmtId="167" fontId="3" fillId="3" borderId="3" xfId="0" applyNumberFormat="1" applyFont="1" applyFill="1" applyBorder="1" applyProtection="1"/>
    <xf numFmtId="0" fontId="0" fillId="3" borderId="4" xfId="0" applyFill="1" applyBorder="1"/>
    <xf numFmtId="0" fontId="0" fillId="3" borderId="6" xfId="0" applyFill="1" applyBorder="1"/>
    <xf numFmtId="167" fontId="8" fillId="2" borderId="10" xfId="0" applyNumberFormat="1" applyFont="1" applyFill="1" applyBorder="1" applyAlignment="1" applyProtection="1">
      <alignment horizontal="center"/>
    </xf>
    <xf numFmtId="167" fontId="8" fillId="2" borderId="11" xfId="0" applyNumberFormat="1" applyFont="1" applyFill="1" applyBorder="1" applyAlignment="1" applyProtection="1">
      <alignment horizontal="center"/>
    </xf>
    <xf numFmtId="166" fontId="7" fillId="0" borderId="0" xfId="0" applyNumberFormat="1" applyFont="1" applyAlignment="1" applyProtection="1">
      <alignment horizontal="left"/>
    </xf>
    <xf numFmtId="0" fontId="7" fillId="0" borderId="0" xfId="0" applyFont="1" applyAlignment="1" applyProtection="1">
      <alignment horizontal="right"/>
    </xf>
    <xf numFmtId="0" fontId="13" fillId="2" borderId="10" xfId="0" applyFont="1" applyFill="1" applyBorder="1" applyAlignment="1">
      <alignment horizontal="center"/>
    </xf>
    <xf numFmtId="0" fontId="13" fillId="2" borderId="11" xfId="0" applyFont="1" applyFill="1" applyBorder="1" applyAlignment="1">
      <alignment horizontal="center"/>
    </xf>
    <xf numFmtId="0" fontId="13" fillId="0" borderId="11" xfId="0" applyFont="1" applyBorder="1" applyAlignment="1">
      <alignment horizontal="center"/>
    </xf>
    <xf numFmtId="167" fontId="13" fillId="0" borderId="11" xfId="0" quotePrefix="1" applyNumberFormat="1" applyFont="1" applyBorder="1" applyAlignment="1">
      <alignment horizontal="center"/>
    </xf>
    <xf numFmtId="1" fontId="14" fillId="2" borderId="10" xfId="0" applyNumberFormat="1" applyFont="1" applyFill="1" applyBorder="1" applyAlignment="1" applyProtection="1">
      <alignment horizontal="center"/>
    </xf>
    <xf numFmtId="1" fontId="14" fillId="2" borderId="11" xfId="0" applyNumberFormat="1" applyFont="1" applyFill="1" applyBorder="1" applyAlignment="1">
      <alignment horizontal="center"/>
    </xf>
    <xf numFmtId="1" fontId="14" fillId="0" borderId="11" xfId="0" applyNumberFormat="1" applyFont="1" applyBorder="1" applyAlignment="1">
      <alignment horizontal="center"/>
    </xf>
    <xf numFmtId="0" fontId="9" fillId="3" borderId="0" xfId="0" applyFont="1" applyFill="1" applyBorder="1"/>
    <xf numFmtId="167" fontId="15" fillId="3" borderId="0" xfId="0" applyNumberFormat="1" applyFont="1" applyFill="1" applyBorder="1"/>
    <xf numFmtId="167" fontId="16" fillId="3" borderId="0" xfId="0" applyNumberFormat="1" applyFont="1" applyFill="1" applyBorder="1"/>
    <xf numFmtId="0" fontId="7" fillId="0" borderId="5" xfId="0" applyFont="1" applyBorder="1" applyAlignment="1" applyProtection="1">
      <alignment horizontal="right"/>
    </xf>
    <xf numFmtId="0" fontId="0" fillId="3" borderId="8" xfId="0" applyFill="1" applyBorder="1"/>
    <xf numFmtId="167" fontId="10" fillId="3" borderId="8" xfId="0" applyNumberFormat="1" applyFont="1" applyFill="1" applyBorder="1"/>
    <xf numFmtId="0" fontId="10" fillId="3" borderId="8" xfId="0" applyFont="1" applyFill="1" applyBorder="1"/>
    <xf numFmtId="49" fontId="11" fillId="3" borderId="8" xfId="0" applyNumberFormat="1" applyFont="1" applyFill="1" applyBorder="1" applyAlignment="1" applyProtection="1">
      <alignment horizontal="left"/>
    </xf>
    <xf numFmtId="167" fontId="12" fillId="3" borderId="8" xfId="0" applyNumberFormat="1" applyFont="1" applyFill="1" applyBorder="1"/>
    <xf numFmtId="0" fontId="9" fillId="3" borderId="5" xfId="0" applyFont="1" applyFill="1" applyBorder="1"/>
    <xf numFmtId="167" fontId="16" fillId="3" borderId="5" xfId="0" applyNumberFormat="1" applyFont="1" applyFill="1" applyBorder="1"/>
    <xf numFmtId="167" fontId="15" fillId="3" borderId="5" xfId="0" applyNumberFormat="1" applyFont="1" applyFill="1" applyBorder="1"/>
    <xf numFmtId="0" fontId="17" fillId="0" borderId="0" xfId="0" applyFont="1" applyBorder="1"/>
    <xf numFmtId="0" fontId="17" fillId="0" borderId="3" xfId="0" applyFont="1" applyBorder="1"/>
    <xf numFmtId="0" fontId="17" fillId="0" borderId="5" xfId="0" applyFont="1" applyBorder="1"/>
    <xf numFmtId="0" fontId="17" fillId="0" borderId="6" xfId="0" applyFont="1" applyBorder="1"/>
    <xf numFmtId="167" fontId="19" fillId="3" borderId="0" xfId="0" applyNumberFormat="1" applyFont="1" applyFill="1" applyBorder="1" applyAlignment="1" applyProtection="1">
      <alignment horizontal="left"/>
    </xf>
    <xf numFmtId="167" fontId="19" fillId="3" borderId="5" xfId="0" applyNumberFormat="1" applyFont="1" applyFill="1" applyBorder="1" applyAlignment="1" applyProtection="1">
      <alignment horizontal="left"/>
    </xf>
    <xf numFmtId="0" fontId="17" fillId="0" borderId="2" xfId="0" applyFont="1" applyBorder="1"/>
    <xf numFmtId="0" fontId="17" fillId="0" borderId="4" xfId="0" applyFont="1" applyBorder="1"/>
    <xf numFmtId="167" fontId="20" fillId="0" borderId="0" xfId="0" applyNumberFormat="1" applyFont="1" applyBorder="1" applyProtection="1"/>
    <xf numFmtId="0" fontId="21" fillId="0" borderId="0" xfId="0" applyFont="1" applyBorder="1"/>
    <xf numFmtId="0" fontId="21" fillId="0" borderId="5" xfId="0" applyFont="1" applyBorder="1"/>
    <xf numFmtId="167" fontId="20" fillId="2" borderId="12" xfId="0" applyNumberFormat="1" applyFont="1" applyFill="1" applyBorder="1" applyProtection="1"/>
    <xf numFmtId="0" fontId="6" fillId="2" borderId="13" xfId="0" applyFont="1" applyFill="1" applyBorder="1"/>
    <xf numFmtId="167" fontId="20" fillId="2" borderId="5" xfId="0" applyNumberFormat="1" applyFont="1" applyFill="1" applyBorder="1" applyProtection="1"/>
    <xf numFmtId="0" fontId="6" fillId="2" borderId="6" xfId="0" applyFont="1" applyFill="1" applyBorder="1"/>
    <xf numFmtId="167" fontId="20" fillId="0" borderId="5" xfId="0" applyNumberFormat="1" applyFont="1" applyBorder="1" applyProtection="1"/>
    <xf numFmtId="0" fontId="6" fillId="0" borderId="6" xfId="0" applyFont="1" applyBorder="1"/>
    <xf numFmtId="1" fontId="14" fillId="2" borderId="5" xfId="0" applyNumberFormat="1" applyFont="1" applyFill="1" applyBorder="1" applyAlignment="1" applyProtection="1">
      <alignment horizontal="center"/>
    </xf>
    <xf numFmtId="0" fontId="18" fillId="0" borderId="3" xfId="0" applyFont="1" applyBorder="1"/>
    <xf numFmtId="167" fontId="30" fillId="2" borderId="10" xfId="0" applyNumberFormat="1" applyFont="1" applyFill="1" applyBorder="1" applyAlignment="1" applyProtection="1">
      <alignment horizontal="center"/>
    </xf>
    <xf numFmtId="167" fontId="30" fillId="0" borderId="10" xfId="0" applyNumberFormat="1" applyFont="1" applyBorder="1" applyAlignment="1" applyProtection="1">
      <alignment horizontal="center"/>
    </xf>
    <xf numFmtId="167" fontId="26" fillId="2" borderId="0" xfId="0" applyNumberFormat="1" applyFont="1" applyFill="1" applyBorder="1" applyProtection="1"/>
    <xf numFmtId="167" fontId="32" fillId="2" borderId="0" xfId="0" applyNumberFormat="1" applyFont="1" applyFill="1" applyBorder="1" applyProtection="1"/>
    <xf numFmtId="167" fontId="32" fillId="2" borderId="0" xfId="0" applyNumberFormat="1" applyFont="1" applyFill="1" applyBorder="1"/>
    <xf numFmtId="167" fontId="26" fillId="2" borderId="0" xfId="0" applyNumberFormat="1" applyFont="1" applyFill="1" applyBorder="1"/>
    <xf numFmtId="167" fontId="0" fillId="2" borderId="0" xfId="0" applyNumberFormat="1" applyFill="1" applyBorder="1"/>
    <xf numFmtId="167" fontId="34" fillId="2" borderId="0" xfId="0" applyNumberFormat="1" applyFont="1" applyFill="1" applyBorder="1"/>
    <xf numFmtId="167" fontId="31" fillId="0" borderId="0" xfId="0" applyNumberFormat="1" applyFont="1" applyBorder="1" applyProtection="1"/>
    <xf numFmtId="167" fontId="32" fillId="0" borderId="0" xfId="0" applyNumberFormat="1" applyFont="1" applyBorder="1"/>
    <xf numFmtId="167" fontId="31" fillId="2" borderId="14" xfId="0" applyNumberFormat="1" applyFont="1" applyFill="1" applyBorder="1" applyProtection="1"/>
    <xf numFmtId="167" fontId="32" fillId="2" borderId="15" xfId="0" applyNumberFormat="1" applyFont="1" applyFill="1" applyBorder="1" applyProtection="1"/>
    <xf numFmtId="167" fontId="32" fillId="0" borderId="15" xfId="0" applyNumberFormat="1" applyFont="1" applyBorder="1"/>
    <xf numFmtId="167" fontId="32" fillId="2" borderId="15" xfId="0" applyNumberFormat="1" applyFont="1" applyFill="1" applyBorder="1"/>
    <xf numFmtId="0" fontId="0" fillId="3" borderId="0" xfId="0" applyFill="1"/>
    <xf numFmtId="0" fontId="4" fillId="3" borderId="2" xfId="0" applyFont="1" applyFill="1" applyBorder="1"/>
    <xf numFmtId="167" fontId="29" fillId="3" borderId="0" xfId="0" applyNumberFormat="1" applyFont="1" applyFill="1" applyBorder="1"/>
    <xf numFmtId="167" fontId="29" fillId="3" borderId="3" xfId="0" applyNumberFormat="1" applyFont="1" applyFill="1" applyBorder="1"/>
    <xf numFmtId="167" fontId="33" fillId="3" borderId="0" xfId="0" applyNumberFormat="1" applyFont="1" applyFill="1" applyBorder="1"/>
    <xf numFmtId="167" fontId="29" fillId="3" borderId="0" xfId="0" applyNumberFormat="1" applyFont="1" applyFill="1" applyBorder="1" applyAlignment="1" applyProtection="1">
      <alignment horizontal="left"/>
    </xf>
    <xf numFmtId="167" fontId="29" fillId="3" borderId="4" xfId="0" applyNumberFormat="1" applyFont="1" applyFill="1" applyBorder="1"/>
    <xf numFmtId="167" fontId="29" fillId="3" borderId="5" xfId="0" applyNumberFormat="1" applyFont="1" applyFill="1" applyBorder="1"/>
    <xf numFmtId="167" fontId="29" fillId="3" borderId="6" xfId="0" applyNumberFormat="1" applyFont="1" applyFill="1" applyBorder="1"/>
    <xf numFmtId="167" fontId="27" fillId="3" borderId="9" xfId="0" applyNumberFormat="1" applyFont="1" applyFill="1" applyBorder="1"/>
    <xf numFmtId="167" fontId="3" fillId="3" borderId="3" xfId="0" applyNumberFormat="1" applyFont="1" applyFill="1" applyBorder="1" applyAlignment="1" applyProtection="1">
      <alignment horizontal="center"/>
    </xf>
    <xf numFmtId="167" fontId="26" fillId="3" borderId="3" xfId="0" applyNumberFormat="1" applyFont="1" applyFill="1" applyBorder="1" applyProtection="1"/>
    <xf numFmtId="167" fontId="32" fillId="3" borderId="3" xfId="0" applyNumberFormat="1" applyFont="1" applyFill="1" applyBorder="1" applyProtection="1"/>
    <xf numFmtId="167" fontId="32" fillId="3" borderId="3" xfId="0" applyNumberFormat="1" applyFont="1" applyFill="1" applyBorder="1"/>
    <xf numFmtId="167" fontId="29" fillId="3" borderId="3" xfId="0" applyNumberFormat="1" applyFont="1" applyFill="1" applyBorder="1" applyProtection="1"/>
    <xf numFmtId="167" fontId="26" fillId="3" borderId="3" xfId="0" applyNumberFormat="1" applyFont="1" applyFill="1" applyBorder="1"/>
    <xf numFmtId="167" fontId="4" fillId="3" borderId="3" xfId="0" applyNumberFormat="1" applyFont="1" applyFill="1" applyBorder="1"/>
    <xf numFmtId="0" fontId="22" fillId="3" borderId="7" xfId="0" applyFont="1" applyFill="1" applyBorder="1"/>
    <xf numFmtId="167" fontId="23" fillId="3" borderId="8" xfId="0" applyNumberFormat="1" applyFont="1" applyFill="1" applyBorder="1" applyAlignment="1" applyProtection="1">
      <alignment horizontal="left"/>
    </xf>
    <xf numFmtId="167" fontId="24" fillId="3" borderId="8" xfId="0" applyNumberFormat="1" applyFont="1" applyFill="1" applyBorder="1" applyProtection="1"/>
    <xf numFmtId="167" fontId="25" fillId="3" borderId="8" xfId="0" applyNumberFormat="1" applyFont="1" applyFill="1" applyBorder="1" applyAlignment="1" applyProtection="1">
      <alignment horizontal="left"/>
    </xf>
    <xf numFmtId="167" fontId="26" fillId="3" borderId="8" xfId="0" applyNumberFormat="1" applyFont="1" applyFill="1" applyBorder="1"/>
    <xf numFmtId="167" fontId="27" fillId="3" borderId="8" xfId="0" applyNumberFormat="1" applyFont="1" applyFill="1" applyBorder="1"/>
    <xf numFmtId="167" fontId="23" fillId="3" borderId="0" xfId="0" applyNumberFormat="1" applyFont="1" applyFill="1" applyBorder="1" applyAlignment="1" applyProtection="1">
      <alignment horizontal="left"/>
    </xf>
    <xf numFmtId="167" fontId="28" fillId="3" borderId="0" xfId="0" applyNumberFormat="1" applyFont="1" applyFill="1" applyBorder="1" applyProtection="1"/>
    <xf numFmtId="167" fontId="26" fillId="3" borderId="0" xfId="0" applyNumberFormat="1" applyFont="1" applyFill="1" applyBorder="1" applyAlignment="1" applyProtection="1">
      <alignment horizontal="left"/>
    </xf>
    <xf numFmtId="167" fontId="26" fillId="3" borderId="0" xfId="0" applyNumberFormat="1" applyFont="1" applyFill="1" applyBorder="1"/>
    <xf numFmtId="167" fontId="35" fillId="3" borderId="8" xfId="0" applyNumberFormat="1" applyFont="1" applyFill="1" applyBorder="1" applyProtection="1"/>
    <xf numFmtId="167" fontId="35" fillId="3" borderId="0" xfId="0" applyNumberFormat="1" applyFont="1" applyFill="1" applyBorder="1" applyProtection="1"/>
    <xf numFmtId="167" fontId="36" fillId="0" borderId="14" xfId="0" applyNumberFormat="1" applyFont="1" applyBorder="1" applyProtection="1"/>
    <xf numFmtId="167" fontId="36" fillId="2" borderId="14" xfId="0" applyNumberFormat="1" applyFont="1" applyFill="1" applyBorder="1" applyProtection="1"/>
    <xf numFmtId="167" fontId="36" fillId="0" borderId="14" xfId="0" applyNumberFormat="1" applyFont="1" applyBorder="1"/>
    <xf numFmtId="167" fontId="36" fillId="2" borderId="14" xfId="0" applyNumberFormat="1" applyFont="1" applyFill="1" applyBorder="1"/>
    <xf numFmtId="167" fontId="37" fillId="0" borderId="15" xfId="0" applyNumberFormat="1" applyFont="1" applyBorder="1" applyProtection="1"/>
    <xf numFmtId="167" fontId="38" fillId="2" borderId="11" xfId="0" applyNumberFormat="1" applyFont="1" applyFill="1" applyBorder="1" applyProtection="1"/>
    <xf numFmtId="167" fontId="38" fillId="0" borderId="11" xfId="0" applyNumberFormat="1" applyFont="1" applyBorder="1" applyProtection="1"/>
    <xf numFmtId="167" fontId="38" fillId="0" borderId="11" xfId="0" applyNumberFormat="1" applyFont="1" applyBorder="1"/>
    <xf numFmtId="167" fontId="38" fillId="2" borderId="11" xfId="0" applyNumberFormat="1" applyFont="1" applyFill="1" applyBorder="1"/>
    <xf numFmtId="167" fontId="33" fillId="3" borderId="0" xfId="0" applyNumberFormat="1" applyFont="1" applyFill="1" applyBorder="1" applyAlignment="1">
      <alignment horizontal="right"/>
    </xf>
    <xf numFmtId="167" fontId="20" fillId="3" borderId="0" xfId="0" applyNumberFormat="1" applyFont="1" applyFill="1" applyBorder="1" applyProtection="1"/>
    <xf numFmtId="0" fontId="21" fillId="3" borderId="0" xfId="0" applyFont="1" applyFill="1" applyBorder="1"/>
    <xf numFmtId="0" fontId="21" fillId="3" borderId="5" xfId="0" applyFont="1" applyFill="1" applyBorder="1"/>
    <xf numFmtId="0" fontId="0" fillId="0" borderId="16" xfId="0" applyBorder="1" applyProtection="1"/>
    <xf numFmtId="0" fontId="0" fillId="0" borderId="17" xfId="0" applyBorder="1" applyAlignment="1" applyProtection="1">
      <alignment horizontal="left"/>
    </xf>
    <xf numFmtId="0" fontId="0" fillId="0" borderId="16" xfId="0" applyBorder="1"/>
    <xf numFmtId="0" fontId="0" fillId="0" borderId="17" xfId="0" applyBorder="1"/>
    <xf numFmtId="1" fontId="0" fillId="0" borderId="0" xfId="0" applyNumberFormat="1"/>
    <xf numFmtId="49" fontId="0" fillId="0" borderId="0" xfId="0" applyNumberFormat="1"/>
    <xf numFmtId="0" fontId="9" fillId="0" borderId="0" xfId="0" applyFont="1" applyBorder="1"/>
    <xf numFmtId="167" fontId="41" fillId="2" borderId="0" xfId="0" quotePrefix="1" applyNumberFormat="1" applyFont="1" applyFill="1" applyBorder="1" applyProtection="1"/>
    <xf numFmtId="167" fontId="41" fillId="2" borderId="0" xfId="0" applyNumberFormat="1" applyFont="1" applyFill="1" applyBorder="1" applyProtection="1"/>
    <xf numFmtId="1" fontId="0" fillId="0" borderId="0" xfId="0" applyNumberFormat="1" applyBorder="1"/>
    <xf numFmtId="0" fontId="0" fillId="0" borderId="10" xfId="0" applyBorder="1"/>
    <xf numFmtId="0" fontId="0" fillId="2" borderId="0" xfId="0" applyFill="1" applyBorder="1"/>
    <xf numFmtId="0" fontId="0" fillId="0" borderId="0" xfId="0" applyFill="1" applyBorder="1" applyAlignment="1">
      <alignment horizontal="right"/>
    </xf>
    <xf numFmtId="0" fontId="0" fillId="4" borderId="18" xfId="0" applyFill="1" applyBorder="1"/>
    <xf numFmtId="0" fontId="0" fillId="4" borderId="12" xfId="0" applyFill="1" applyBorder="1"/>
    <xf numFmtId="0" fontId="0" fillId="0" borderId="0" xfId="0" applyBorder="1" applyAlignment="1">
      <alignment horizontal="right"/>
    </xf>
    <xf numFmtId="0" fontId="0" fillId="0" borderId="0" xfId="0" applyAlignment="1">
      <alignment horizontal="right"/>
    </xf>
    <xf numFmtId="0" fontId="0" fillId="0" borderId="0" xfId="0" applyAlignment="1" applyProtection="1">
      <alignment horizontal="right"/>
    </xf>
    <xf numFmtId="49" fontId="0" fillId="0" borderId="0" xfId="0" applyNumberFormat="1" applyAlignment="1">
      <alignment horizontal="right"/>
    </xf>
    <xf numFmtId="0" fontId="9" fillId="0" borderId="0" xfId="0" applyFont="1" applyBorder="1" applyAlignment="1">
      <alignment horizontal="right"/>
    </xf>
    <xf numFmtId="0" fontId="9" fillId="0" borderId="0" xfId="0" applyFont="1" applyBorder="1" applyAlignment="1" applyProtection="1">
      <alignment horizontal="right"/>
    </xf>
    <xf numFmtId="0" fontId="0" fillId="0" borderId="0" xfId="0" applyBorder="1" applyAlignment="1" applyProtection="1">
      <alignment horizontal="right"/>
    </xf>
    <xf numFmtId="0" fontId="0" fillId="0" borderId="0" xfId="0" applyFill="1" applyBorder="1"/>
    <xf numFmtId="0" fontId="0" fillId="0" borderId="0" xfId="0" applyFill="1" applyBorder="1" applyAlignment="1">
      <alignment horizontal="left"/>
    </xf>
    <xf numFmtId="0" fontId="0" fillId="0" borderId="0" xfId="0" applyAlignment="1">
      <alignment horizontal="left"/>
    </xf>
    <xf numFmtId="0" fontId="0" fillId="0" borderId="5" xfId="0" applyFill="1" applyBorder="1" applyAlignment="1">
      <alignment horizontal="left"/>
    </xf>
    <xf numFmtId="0" fontId="0" fillId="0" borderId="0" xfId="0" applyBorder="1" applyAlignment="1">
      <alignment horizontal="left"/>
    </xf>
    <xf numFmtId="0" fontId="9" fillId="0" borderId="0" xfId="0" applyFont="1" applyBorder="1" applyAlignment="1">
      <alignment horizontal="left"/>
    </xf>
    <xf numFmtId="0" fontId="0" fillId="0" borderId="0" xfId="0" applyAlignment="1">
      <alignment horizontal="center"/>
    </xf>
    <xf numFmtId="167" fontId="17" fillId="0" borderId="10" xfId="0" applyNumberFormat="1" applyFont="1" applyFill="1" applyBorder="1" applyAlignment="1">
      <alignment horizontal="center"/>
    </xf>
    <xf numFmtId="0" fontId="0" fillId="0" borderId="4" xfId="0" applyFill="1" applyBorder="1" applyAlignment="1">
      <alignment horizontal="left"/>
    </xf>
    <xf numFmtId="167" fontId="43" fillId="0" borderId="6" xfId="0" applyNumberFormat="1" applyFont="1" applyFill="1" applyBorder="1" applyAlignment="1" applyProtection="1">
      <alignment horizontal="left"/>
    </xf>
    <xf numFmtId="167" fontId="43" fillId="0" borderId="5" xfId="0" applyNumberFormat="1" applyFont="1" applyFill="1" applyBorder="1" applyAlignment="1" applyProtection="1">
      <alignment horizontal="left"/>
    </xf>
    <xf numFmtId="0" fontId="16" fillId="0" borderId="0" xfId="0" applyFont="1" applyAlignment="1">
      <alignment horizontal="left"/>
    </xf>
    <xf numFmtId="167" fontId="17" fillId="0" borderId="18" xfId="0" applyNumberFormat="1" applyFont="1" applyFill="1" applyBorder="1" applyAlignment="1">
      <alignment horizontal="center"/>
    </xf>
    <xf numFmtId="167" fontId="37" fillId="0" borderId="7" xfId="0" applyNumberFormat="1" applyFont="1" applyFill="1" applyBorder="1" applyAlignment="1" applyProtection="1">
      <alignment horizontal="left"/>
    </xf>
    <xf numFmtId="167" fontId="50" fillId="0" borderId="2" xfId="0" applyNumberFormat="1" applyFont="1" applyFill="1" applyBorder="1" applyAlignment="1" applyProtection="1">
      <alignment horizontal="left"/>
    </xf>
    <xf numFmtId="0" fontId="16" fillId="5" borderId="18" xfId="0" applyFont="1" applyFill="1" applyBorder="1" applyAlignment="1" applyProtection="1">
      <alignment horizontal="right"/>
      <protection locked="0"/>
    </xf>
    <xf numFmtId="0" fontId="0" fillId="5" borderId="13" xfId="0" applyFill="1" applyBorder="1"/>
    <xf numFmtId="0" fontId="0" fillId="5" borderId="18" xfId="0" applyFill="1" applyBorder="1"/>
    <xf numFmtId="0" fontId="0" fillId="5" borderId="12" xfId="0" applyFill="1" applyBorder="1"/>
    <xf numFmtId="0" fontId="0" fillId="6" borderId="12" xfId="0" applyFill="1" applyBorder="1"/>
    <xf numFmtId="0" fontId="0" fillId="6" borderId="13" xfId="0" applyFill="1" applyBorder="1"/>
    <xf numFmtId="0" fontId="0" fillId="6" borderId="10" xfId="0" applyFill="1" applyBorder="1"/>
    <xf numFmtId="0" fontId="0" fillId="6" borderId="18" xfId="0" applyFill="1" applyBorder="1"/>
    <xf numFmtId="0" fontId="16" fillId="5" borderId="4" xfId="0" applyFont="1" applyFill="1" applyBorder="1" applyAlignment="1" applyProtection="1">
      <alignment horizontal="right"/>
      <protection locked="0"/>
    </xf>
    <xf numFmtId="0" fontId="0" fillId="5" borderId="6" xfId="0" applyFill="1" applyBorder="1"/>
    <xf numFmtId="167" fontId="38" fillId="0" borderId="3" xfId="0" applyNumberFormat="1" applyFont="1" applyFill="1" applyBorder="1" applyAlignment="1" applyProtection="1">
      <alignment horizontal="right" vertical="top"/>
    </xf>
    <xf numFmtId="168" fontId="38" fillId="0" borderId="3" xfId="0" applyNumberFormat="1" applyFont="1" applyFill="1" applyBorder="1" applyAlignment="1" applyProtection="1">
      <alignment horizontal="right" vertical="top"/>
    </xf>
    <xf numFmtId="1" fontId="38" fillId="0" borderId="3" xfId="0" applyNumberFormat="1" applyFont="1" applyFill="1" applyBorder="1" applyAlignment="1" applyProtection="1">
      <alignment horizontal="right" vertical="top"/>
    </xf>
    <xf numFmtId="167" fontId="54" fillId="0" borderId="3" xfId="0" applyNumberFormat="1" applyFont="1" applyFill="1" applyBorder="1" applyAlignment="1" applyProtection="1">
      <alignment horizontal="right" vertical="top"/>
    </xf>
    <xf numFmtId="0" fontId="0" fillId="0" borderId="9" xfId="0" applyFill="1" applyBorder="1" applyAlignment="1">
      <alignment horizontal="center"/>
    </xf>
    <xf numFmtId="0" fontId="45" fillId="0" borderId="5" xfId="0" applyFont="1" applyFill="1" applyBorder="1" applyAlignment="1">
      <alignment horizontal="center"/>
    </xf>
    <xf numFmtId="0" fontId="0" fillId="0" borderId="5" xfId="0" applyFill="1" applyBorder="1" applyAlignment="1">
      <alignment horizontal="center"/>
    </xf>
    <xf numFmtId="0" fontId="0" fillId="0" borderId="6" xfId="0" applyFill="1" applyBorder="1" applyAlignment="1">
      <alignment horizontal="center"/>
    </xf>
    <xf numFmtId="0" fontId="16" fillId="0" borderId="3" xfId="0" applyFont="1" applyFill="1" applyBorder="1" applyAlignment="1">
      <alignment horizontal="center"/>
    </xf>
    <xf numFmtId="0" fontId="22" fillId="0" borderId="1" xfId="0" applyFont="1" applyFill="1" applyBorder="1"/>
    <xf numFmtId="0" fontId="0" fillId="0" borderId="19" xfId="0" applyFill="1" applyBorder="1"/>
    <xf numFmtId="49" fontId="24" fillId="0" borderId="19" xfId="0" applyNumberFormat="1" applyFont="1" applyFill="1" applyBorder="1" applyAlignment="1" applyProtection="1">
      <alignment horizontal="right" vertical="center"/>
    </xf>
    <xf numFmtId="0" fontId="0" fillId="0" borderId="19" xfId="0" applyFill="1" applyBorder="1" applyAlignment="1">
      <alignment horizontal="left"/>
    </xf>
    <xf numFmtId="167" fontId="17" fillId="0" borderId="19" xfId="0" applyNumberFormat="1" applyFont="1" applyFill="1" applyBorder="1" applyAlignment="1" applyProtection="1">
      <alignment horizontal="left" vertical="center"/>
    </xf>
    <xf numFmtId="167" fontId="25" fillId="0" borderId="19" xfId="0" applyNumberFormat="1" applyFont="1" applyFill="1" applyBorder="1" applyAlignment="1" applyProtection="1">
      <alignment horizontal="right" vertical="center"/>
    </xf>
    <xf numFmtId="167" fontId="26" fillId="0" borderId="19" xfId="0" applyNumberFormat="1" applyFont="1" applyFill="1" applyBorder="1" applyAlignment="1">
      <alignment vertical="center"/>
    </xf>
    <xf numFmtId="167" fontId="46" fillId="0" borderId="19" xfId="0" applyNumberFormat="1" applyFont="1" applyFill="1" applyBorder="1" applyAlignment="1" applyProtection="1">
      <alignment vertical="center"/>
    </xf>
    <xf numFmtId="0" fontId="0" fillId="0" borderId="19" xfId="0" applyFill="1" applyBorder="1" applyAlignment="1">
      <alignment horizontal="right"/>
    </xf>
    <xf numFmtId="0" fontId="0" fillId="0" borderId="19" xfId="0" applyFill="1" applyBorder="1" applyAlignment="1">
      <alignment vertical="center"/>
    </xf>
    <xf numFmtId="167" fontId="35" fillId="0" borderId="19" xfId="0" applyNumberFormat="1" applyFont="1" applyFill="1" applyBorder="1" applyAlignment="1" applyProtection="1">
      <alignment horizontal="right" vertical="center"/>
    </xf>
    <xf numFmtId="167" fontId="26" fillId="0" borderId="19" xfId="0" applyNumberFormat="1" applyFont="1" applyFill="1" applyBorder="1" applyAlignment="1">
      <alignment horizontal="right" vertical="center"/>
    </xf>
    <xf numFmtId="167" fontId="27" fillId="0" borderId="19" xfId="0" applyNumberFormat="1" applyFont="1" applyFill="1" applyBorder="1" applyAlignment="1">
      <alignment vertical="center"/>
    </xf>
    <xf numFmtId="167" fontId="27" fillId="0" borderId="20" xfId="0" applyNumberFormat="1" applyFont="1" applyFill="1" applyBorder="1"/>
    <xf numFmtId="0" fontId="4" fillId="0" borderId="16" xfId="0" applyFont="1" applyFill="1" applyBorder="1"/>
    <xf numFmtId="167" fontId="28" fillId="0" borderId="0" xfId="0" applyNumberFormat="1" applyFont="1" applyFill="1" applyBorder="1" applyAlignment="1" applyProtection="1">
      <alignment horizontal="left" vertical="center"/>
    </xf>
    <xf numFmtId="167" fontId="28" fillId="0" borderId="0" xfId="0" applyNumberFormat="1" applyFont="1" applyFill="1" applyBorder="1" applyAlignment="1" applyProtection="1">
      <alignment horizontal="right" vertical="center"/>
    </xf>
    <xf numFmtId="167" fontId="17" fillId="0" borderId="0" xfId="0" applyNumberFormat="1" applyFont="1" applyFill="1" applyBorder="1" applyAlignment="1" applyProtection="1">
      <alignment horizontal="left" vertical="center"/>
    </xf>
    <xf numFmtId="167" fontId="26" fillId="0" borderId="0" xfId="0" applyNumberFormat="1" applyFont="1" applyFill="1" applyBorder="1" applyAlignment="1" applyProtection="1">
      <alignment horizontal="right" vertical="center"/>
    </xf>
    <xf numFmtId="167" fontId="26" fillId="0" borderId="0" xfId="0" applyNumberFormat="1" applyFont="1" applyFill="1" applyBorder="1" applyAlignment="1">
      <alignment vertical="center"/>
    </xf>
    <xf numFmtId="167" fontId="46" fillId="0" borderId="0" xfId="0" applyNumberFormat="1" applyFont="1" applyFill="1" applyBorder="1" applyAlignment="1" applyProtection="1">
      <alignment vertical="center"/>
    </xf>
    <xf numFmtId="0" fontId="0" fillId="0" borderId="0" xfId="0" applyFill="1" applyBorder="1" applyAlignment="1">
      <alignment vertical="center"/>
    </xf>
    <xf numFmtId="167" fontId="35" fillId="0" borderId="0" xfId="0" applyNumberFormat="1" applyFont="1" applyFill="1" applyBorder="1" applyAlignment="1" applyProtection="1">
      <alignment horizontal="right" vertical="center"/>
    </xf>
    <xf numFmtId="167" fontId="26" fillId="0" borderId="0" xfId="0" applyNumberFormat="1" applyFont="1" applyFill="1" applyBorder="1" applyAlignment="1">
      <alignment horizontal="right" vertical="center"/>
    </xf>
    <xf numFmtId="167" fontId="29" fillId="0" borderId="0" xfId="0" applyNumberFormat="1" applyFont="1" applyFill="1" applyBorder="1" applyAlignment="1">
      <alignment vertical="center"/>
    </xf>
    <xf numFmtId="167" fontId="29" fillId="0" borderId="17" xfId="0" applyNumberFormat="1" applyFont="1" applyFill="1" applyBorder="1"/>
    <xf numFmtId="0" fontId="0" fillId="0" borderId="16" xfId="0" applyFill="1" applyBorder="1" applyAlignment="1">
      <alignment horizontal="center"/>
    </xf>
    <xf numFmtId="0" fontId="9" fillId="0" borderId="0" xfId="0" applyFont="1" applyFill="1" applyBorder="1" applyAlignment="1">
      <alignment horizontal="center"/>
    </xf>
    <xf numFmtId="0" fontId="0" fillId="0" borderId="13" xfId="0" applyFill="1" applyBorder="1" applyAlignment="1">
      <alignment horizontal="center"/>
    </xf>
    <xf numFmtId="167" fontId="43" fillId="0" borderId="0" xfId="0" applyNumberFormat="1" applyFont="1" applyFill="1" applyBorder="1" applyAlignment="1" applyProtection="1">
      <alignment horizontal="center"/>
    </xf>
    <xf numFmtId="167" fontId="3" fillId="0" borderId="17" xfId="0" applyNumberFormat="1" applyFont="1" applyFill="1" applyBorder="1" applyAlignment="1" applyProtection="1">
      <alignment horizontal="center"/>
    </xf>
    <xf numFmtId="0" fontId="0" fillId="0" borderId="16" xfId="0" applyFill="1" applyBorder="1" applyAlignment="1">
      <alignment horizontal="right"/>
    </xf>
    <xf numFmtId="167" fontId="26" fillId="0" borderId="17" xfId="0" applyNumberFormat="1" applyFont="1" applyFill="1" applyBorder="1" applyAlignment="1" applyProtection="1">
      <alignment horizontal="right"/>
    </xf>
    <xf numFmtId="0" fontId="16" fillId="0" borderId="16" xfId="0" applyFont="1" applyFill="1" applyBorder="1" applyAlignment="1">
      <alignment horizontal="left"/>
    </xf>
    <xf numFmtId="167" fontId="50" fillId="0" borderId="0" xfId="0" applyNumberFormat="1" applyFont="1" applyFill="1" applyBorder="1" applyAlignment="1" applyProtection="1">
      <alignment horizontal="left" vertical="top"/>
    </xf>
    <xf numFmtId="167" fontId="32" fillId="0" borderId="17" xfId="0" applyNumberFormat="1" applyFont="1" applyFill="1" applyBorder="1" applyAlignment="1" applyProtection="1">
      <alignment horizontal="left"/>
    </xf>
    <xf numFmtId="0" fontId="0" fillId="0" borderId="16" xfId="0" applyFill="1" applyBorder="1" applyAlignment="1">
      <alignment horizontal="left"/>
    </xf>
    <xf numFmtId="167" fontId="43" fillId="0" borderId="0" xfId="0" applyNumberFormat="1" applyFont="1" applyFill="1" applyBorder="1" applyAlignment="1" applyProtection="1">
      <alignment horizontal="left"/>
    </xf>
    <xf numFmtId="168" fontId="50" fillId="0" borderId="0" xfId="0" applyNumberFormat="1" applyFont="1" applyFill="1" applyBorder="1" applyAlignment="1" applyProtection="1">
      <alignment horizontal="left" vertical="top"/>
    </xf>
    <xf numFmtId="1" fontId="50" fillId="0" borderId="0" xfId="0" applyNumberFormat="1" applyFont="1" applyFill="1" applyBorder="1" applyAlignment="1" applyProtection="1">
      <alignment horizontal="left" vertical="top"/>
    </xf>
    <xf numFmtId="167" fontId="26" fillId="0" borderId="17" xfId="0" applyNumberFormat="1" applyFont="1" applyFill="1" applyBorder="1" applyAlignment="1">
      <alignment horizontal="left"/>
    </xf>
    <xf numFmtId="167" fontId="32" fillId="0" borderId="17" xfId="0" applyNumberFormat="1" applyFont="1" applyFill="1" applyBorder="1" applyAlignment="1">
      <alignment horizontal="left"/>
    </xf>
    <xf numFmtId="0" fontId="16" fillId="0" borderId="16" xfId="0" applyFont="1" applyFill="1" applyBorder="1" applyAlignment="1">
      <alignment horizontal="center"/>
    </xf>
    <xf numFmtId="167" fontId="32" fillId="0" borderId="0" xfId="0" applyNumberFormat="1" applyFont="1" applyFill="1" applyBorder="1" applyAlignment="1">
      <alignment horizontal="center"/>
    </xf>
    <xf numFmtId="167" fontId="32" fillId="0" borderId="0" xfId="0" applyNumberFormat="1" applyFont="1" applyFill="1" applyBorder="1" applyAlignment="1">
      <alignment horizontal="left"/>
    </xf>
    <xf numFmtId="167" fontId="32" fillId="0" borderId="0" xfId="0" applyNumberFormat="1" applyFont="1" applyFill="1" applyBorder="1"/>
    <xf numFmtId="167" fontId="32" fillId="0" borderId="0" xfId="0" applyNumberFormat="1" applyFont="1" applyFill="1" applyBorder="1" applyAlignment="1">
      <alignment horizontal="right"/>
    </xf>
    <xf numFmtId="167" fontId="32" fillId="0" borderId="17" xfId="0" applyNumberFormat="1" applyFont="1" applyFill="1" applyBorder="1" applyAlignment="1">
      <alignment horizontal="center"/>
    </xf>
    <xf numFmtId="0" fontId="16" fillId="0" borderId="16" xfId="0" applyFont="1" applyFill="1" applyBorder="1"/>
    <xf numFmtId="167" fontId="32" fillId="0" borderId="12" xfId="0" applyNumberFormat="1" applyFont="1" applyFill="1" applyBorder="1" applyProtection="1"/>
    <xf numFmtId="167" fontId="32" fillId="0" borderId="12" xfId="0" applyNumberFormat="1" applyFont="1" applyFill="1" applyBorder="1"/>
    <xf numFmtId="167" fontId="32" fillId="0" borderId="12" xfId="0" applyNumberFormat="1" applyFont="1" applyFill="1" applyBorder="1" applyAlignment="1">
      <alignment horizontal="right"/>
    </xf>
    <xf numFmtId="167" fontId="32" fillId="0" borderId="12" xfId="0" applyNumberFormat="1" applyFont="1" applyFill="1" applyBorder="1" applyAlignment="1">
      <alignment horizontal="left"/>
    </xf>
    <xf numFmtId="167" fontId="32" fillId="0" borderId="17" xfId="0" applyNumberFormat="1" applyFont="1" applyFill="1" applyBorder="1"/>
    <xf numFmtId="167" fontId="32" fillId="0" borderId="0" xfId="0" applyNumberFormat="1" applyFont="1" applyFill="1" applyBorder="1" applyProtection="1"/>
    <xf numFmtId="167" fontId="32" fillId="0" borderId="21" xfId="0" applyNumberFormat="1" applyFont="1" applyFill="1" applyBorder="1"/>
    <xf numFmtId="167" fontId="32" fillId="0" borderId="22" xfId="0" applyNumberFormat="1" applyFont="1" applyFill="1" applyBorder="1"/>
    <xf numFmtId="0" fontId="16" fillId="0" borderId="22" xfId="0" applyFont="1" applyFill="1" applyBorder="1"/>
    <xf numFmtId="167" fontId="32" fillId="0" borderId="22" xfId="0" applyNumberFormat="1" applyFont="1" applyFill="1" applyBorder="1" applyAlignment="1">
      <alignment horizontal="right"/>
    </xf>
    <xf numFmtId="167" fontId="20" fillId="0" borderId="22" xfId="0" applyNumberFormat="1" applyFont="1" applyFill="1" applyBorder="1" applyAlignment="1" applyProtection="1">
      <alignment horizontal="left"/>
    </xf>
    <xf numFmtId="0" fontId="21" fillId="0" borderId="22" xfId="0" applyFont="1" applyFill="1" applyBorder="1" applyAlignment="1">
      <alignment horizontal="right"/>
    </xf>
    <xf numFmtId="0" fontId="16" fillId="0" borderId="22" xfId="0" applyFont="1" applyFill="1" applyBorder="1" applyAlignment="1">
      <alignment horizontal="left"/>
    </xf>
    <xf numFmtId="0" fontId="16" fillId="0" borderId="22" xfId="0" applyFont="1" applyFill="1" applyBorder="1" applyAlignment="1">
      <alignment horizontal="right"/>
    </xf>
    <xf numFmtId="167" fontId="20" fillId="0" borderId="22" xfId="0" applyNumberFormat="1" applyFont="1" applyFill="1" applyBorder="1" applyProtection="1"/>
    <xf numFmtId="167" fontId="32" fillId="0" borderId="22" xfId="0" applyNumberFormat="1" applyFont="1" applyFill="1" applyBorder="1" applyAlignment="1">
      <alignment horizontal="left"/>
    </xf>
    <xf numFmtId="167" fontId="32" fillId="0" borderId="23" xfId="0" applyNumberFormat="1" applyFont="1" applyFill="1" applyBorder="1"/>
    <xf numFmtId="0" fontId="62" fillId="0" borderId="0" xfId="0" applyFont="1" applyFill="1" applyBorder="1" applyAlignment="1">
      <alignment horizontal="left"/>
    </xf>
    <xf numFmtId="0" fontId="0" fillId="0" borderId="0" xfId="0" applyFont="1"/>
    <xf numFmtId="0" fontId="77" fillId="10" borderId="0" xfId="0" applyFont="1" applyFill="1" applyAlignment="1">
      <alignment horizontal="center"/>
    </xf>
    <xf numFmtId="169" fontId="78" fillId="0" borderId="0" xfId="0" applyNumberFormat="1" applyFont="1"/>
    <xf numFmtId="16" fontId="78" fillId="0" borderId="0" xfId="0" applyNumberFormat="1" applyFont="1"/>
    <xf numFmtId="167" fontId="37" fillId="0" borderId="0" xfId="0" applyNumberFormat="1" applyFont="1" applyFill="1" applyBorder="1" applyAlignment="1" applyProtection="1">
      <alignment horizontal="left" vertical="top"/>
    </xf>
    <xf numFmtId="168" fontId="37" fillId="0" borderId="0" xfId="0" applyNumberFormat="1" applyFont="1" applyFill="1" applyBorder="1" applyAlignment="1" applyProtection="1">
      <alignment horizontal="left" vertical="top"/>
    </xf>
    <xf numFmtId="1" fontId="37" fillId="0" borderId="0" xfId="0" applyNumberFormat="1" applyFont="1" applyFill="1" applyBorder="1" applyAlignment="1" applyProtection="1">
      <alignment horizontal="left" vertical="top"/>
    </xf>
    <xf numFmtId="167" fontId="37" fillId="0" borderId="2" xfId="0" applyNumberFormat="1" applyFont="1" applyFill="1" applyBorder="1" applyAlignment="1" applyProtection="1">
      <alignment horizontal="left"/>
    </xf>
    <xf numFmtId="0" fontId="18" fillId="0" borderId="22" xfId="0" applyFont="1" applyFill="1" applyBorder="1" applyAlignment="1">
      <alignment horizontal="right"/>
    </xf>
    <xf numFmtId="167" fontId="55" fillId="0" borderId="6" xfId="0" applyNumberFormat="1" applyFont="1" applyFill="1" applyBorder="1" applyAlignment="1" applyProtection="1"/>
    <xf numFmtId="0" fontId="0" fillId="0" borderId="10" xfId="0" applyBorder="1" applyAlignment="1">
      <alignment horizontal="center" vertical="center"/>
    </xf>
    <xf numFmtId="0" fontId="64" fillId="0" borderId="24" xfId="0" applyFont="1" applyBorder="1"/>
    <xf numFmtId="0" fontId="65" fillId="0" borderId="24" xfId="0" applyFont="1" applyBorder="1"/>
    <xf numFmtId="0" fontId="58" fillId="0" borderId="10" xfId="0" applyFont="1" applyBorder="1"/>
    <xf numFmtId="0" fontId="0" fillId="0" borderId="0" xfId="0" applyBorder="1" applyAlignment="1">
      <alignment horizontal="center"/>
    </xf>
    <xf numFmtId="0" fontId="58" fillId="0" borderId="0" xfId="0" applyFont="1" applyBorder="1"/>
    <xf numFmtId="2" fontId="0" fillId="0" borderId="10" xfId="0" applyNumberFormat="1" applyBorder="1" applyAlignment="1">
      <alignment horizontal="left" vertical="center"/>
    </xf>
    <xf numFmtId="2" fontId="0" fillId="0" borderId="18" xfId="0" applyNumberFormat="1" applyBorder="1" applyAlignment="1">
      <alignment vertical="center"/>
    </xf>
    <xf numFmtId="1" fontId="0" fillId="0" borderId="10" xfId="0" applyNumberFormat="1" applyBorder="1" applyAlignment="1">
      <alignment horizontal="left" vertical="center"/>
    </xf>
    <xf numFmtId="20" fontId="0" fillId="0" borderId="0" xfId="0" applyNumberFormat="1"/>
    <xf numFmtId="1" fontId="1" fillId="0" borderId="0" xfId="0" applyNumberFormat="1" applyFont="1"/>
    <xf numFmtId="2" fontId="0" fillId="0" borderId="0" xfId="0" applyNumberFormat="1"/>
    <xf numFmtId="0" fontId="1" fillId="0" borderId="19" xfId="0" applyFont="1" applyBorder="1" applyAlignment="1">
      <alignment horizontal="center"/>
    </xf>
    <xf numFmtId="0" fontId="0" fillId="0" borderId="8" xfId="0" applyBorder="1" applyAlignment="1">
      <alignment horizontal="center"/>
    </xf>
    <xf numFmtId="2" fontId="0" fillId="0" borderId="0" xfId="0" applyNumberFormat="1" applyBorder="1"/>
    <xf numFmtId="0" fontId="0" fillId="0" borderId="0" xfId="0" applyBorder="1" applyAlignment="1">
      <alignment wrapText="1"/>
    </xf>
    <xf numFmtId="2" fontId="0" fillId="0" borderId="0" xfId="0" applyNumberFormat="1" applyBorder="1" applyAlignment="1"/>
    <xf numFmtId="0" fontId="0" fillId="0" borderId="0" xfId="0" applyBorder="1" applyAlignment="1" applyProtection="1"/>
    <xf numFmtId="0" fontId="0" fillId="0" borderId="10" xfId="0" applyBorder="1" applyAlignment="1">
      <alignment horizontal="center" vertical="center" wrapText="1"/>
    </xf>
    <xf numFmtId="177" fontId="0" fillId="0" borderId="10" xfId="0" applyNumberFormat="1" applyBorder="1"/>
    <xf numFmtId="177" fontId="0" fillId="0" borderId="10" xfId="2" applyNumberFormat="1" applyFont="1" applyBorder="1"/>
    <xf numFmtId="0" fontId="0" fillId="0" borderId="0" xfId="0" applyBorder="1" applyAlignment="1" applyProtection="1">
      <alignment horizontal="center" vertical="center"/>
    </xf>
    <xf numFmtId="0" fontId="79" fillId="11" borderId="0" xfId="0" applyFont="1" applyFill="1" applyBorder="1" applyAlignment="1" applyProtection="1">
      <alignment horizontal="center" vertical="center"/>
    </xf>
    <xf numFmtId="0" fontId="79" fillId="0" borderId="0" xfId="0" applyFont="1" applyBorder="1" applyAlignment="1" applyProtection="1">
      <alignment horizontal="center" vertical="center"/>
    </xf>
    <xf numFmtId="169" fontId="0" fillId="0" borderId="0" xfId="0" applyNumberFormat="1"/>
    <xf numFmtId="0" fontId="0" fillId="0" borderId="0" xfId="0" applyBorder="1" applyAlignment="1" applyProtection="1">
      <alignment horizontal="center"/>
    </xf>
    <xf numFmtId="0" fontId="80" fillId="0" borderId="0" xfId="3" applyFont="1" applyBorder="1" applyProtection="1"/>
    <xf numFmtId="0" fontId="1" fillId="0" borderId="0" xfId="0" applyFont="1" applyBorder="1" applyAlignment="1" applyProtection="1"/>
    <xf numFmtId="0" fontId="80" fillId="0" borderId="19" xfId="3" applyFont="1" applyBorder="1" applyProtection="1"/>
    <xf numFmtId="0" fontId="58" fillId="3" borderId="0" xfId="0" applyFont="1" applyFill="1" applyBorder="1" applyAlignment="1" applyProtection="1">
      <alignment horizontal="center" vertical="center"/>
    </xf>
    <xf numFmtId="172" fontId="0" fillId="12" borderId="0" xfId="0" applyNumberFormat="1" applyFill="1" applyBorder="1" applyAlignment="1" applyProtection="1">
      <alignment horizontal="center"/>
    </xf>
    <xf numFmtId="0" fontId="0" fillId="3" borderId="0" xfId="0" applyFill="1" applyBorder="1" applyProtection="1"/>
    <xf numFmtId="0" fontId="0" fillId="12" borderId="0" xfId="0" applyFill="1" applyBorder="1" applyProtection="1"/>
    <xf numFmtId="173" fontId="0" fillId="12" borderId="0" xfId="0" applyNumberFormat="1" applyFill="1" applyBorder="1" applyProtection="1"/>
    <xf numFmtId="172" fontId="0" fillId="3" borderId="0" xfId="0" applyNumberFormat="1" applyFill="1" applyBorder="1" applyProtection="1"/>
    <xf numFmtId="172" fontId="0" fillId="12" borderId="0" xfId="0" applyNumberFormat="1" applyFill="1" applyBorder="1" applyProtection="1"/>
    <xf numFmtId="172" fontId="58" fillId="0" borderId="0" xfId="0" applyNumberFormat="1" applyFont="1" applyBorder="1" applyProtection="1"/>
    <xf numFmtId="0" fontId="81" fillId="0" borderId="0" xfId="0" applyFont="1" applyBorder="1" applyProtection="1"/>
    <xf numFmtId="0" fontId="81" fillId="0" borderId="0" xfId="0" applyFont="1" applyBorder="1" applyAlignment="1" applyProtection="1">
      <alignment horizontal="center"/>
    </xf>
    <xf numFmtId="0" fontId="82" fillId="0" borderId="0" xfId="3" applyFont="1" applyBorder="1" applyProtection="1"/>
    <xf numFmtId="0" fontId="81" fillId="0" borderId="0" xfId="0" applyFont="1" applyBorder="1" applyAlignment="1" applyProtection="1"/>
    <xf numFmtId="0" fontId="81" fillId="0" borderId="0" xfId="0" applyNumberFormat="1" applyFont="1" applyBorder="1" applyAlignment="1" applyProtection="1"/>
    <xf numFmtId="0" fontId="83" fillId="0" borderId="0" xfId="0" applyFont="1" applyBorder="1" applyAlignment="1" applyProtection="1"/>
    <xf numFmtId="0" fontId="80" fillId="0" borderId="0" xfId="3" applyFont="1" applyBorder="1" applyAlignment="1" applyProtection="1">
      <alignment horizontal="center"/>
    </xf>
    <xf numFmtId="0" fontId="80" fillId="0" borderId="0" xfId="3" applyNumberFormat="1" applyFont="1" applyBorder="1" applyAlignment="1" applyProtection="1">
      <alignment horizontal="center"/>
    </xf>
    <xf numFmtId="0" fontId="84" fillId="0" borderId="0" xfId="3" applyFont="1" applyBorder="1" applyAlignment="1" applyProtection="1">
      <alignment horizontal="center"/>
    </xf>
    <xf numFmtId="0" fontId="80" fillId="0" borderId="0" xfId="3" applyNumberFormat="1" applyFont="1" applyBorder="1" applyProtection="1"/>
    <xf numFmtId="173" fontId="58" fillId="0" borderId="0" xfId="0" applyNumberFormat="1" applyFont="1" applyFill="1" applyBorder="1" applyAlignment="1" applyProtection="1">
      <alignment horizontal="center"/>
    </xf>
    <xf numFmtId="0" fontId="1" fillId="0" borderId="0" xfId="0" applyFont="1" applyFill="1" applyBorder="1" applyAlignment="1" applyProtection="1">
      <alignment horizontal="left"/>
    </xf>
    <xf numFmtId="0" fontId="0" fillId="0" borderId="0" xfId="0" applyFill="1" applyBorder="1" applyAlignment="1" applyProtection="1">
      <alignment horizontal="left"/>
    </xf>
    <xf numFmtId="176" fontId="0" fillId="0" borderId="0" xfId="0" applyNumberFormat="1" applyBorder="1" applyProtection="1"/>
    <xf numFmtId="0" fontId="0" fillId="0" borderId="17" xfId="0" applyBorder="1" applyProtection="1"/>
    <xf numFmtId="0" fontId="0" fillId="0" borderId="0" xfId="0" applyFill="1" applyBorder="1" applyProtection="1"/>
    <xf numFmtId="0" fontId="59" fillId="0" borderId="0" xfId="0" applyFont="1" applyFill="1" applyBorder="1" applyAlignment="1" applyProtection="1">
      <alignment horizontal="left"/>
    </xf>
    <xf numFmtId="0" fontId="79" fillId="11" borderId="0" xfId="0" applyFont="1" applyFill="1" applyBorder="1" applyProtection="1"/>
    <xf numFmtId="0" fontId="85" fillId="11" borderId="0" xfId="0" applyFont="1" applyFill="1" applyBorder="1" applyAlignment="1" applyProtection="1"/>
    <xf numFmtId="0" fontId="79" fillId="11" borderId="0" xfId="0" applyFont="1" applyFill="1" applyBorder="1" applyAlignment="1" applyProtection="1"/>
    <xf numFmtId="0" fontId="79" fillId="0" borderId="0" xfId="0" applyFont="1" applyBorder="1" applyProtection="1"/>
    <xf numFmtId="0" fontId="85" fillId="0" borderId="0" xfId="0" applyFont="1" applyBorder="1" applyAlignment="1" applyProtection="1"/>
    <xf numFmtId="0" fontId="79" fillId="0" borderId="0" xfId="0" applyFont="1" applyBorder="1" applyAlignment="1" applyProtection="1"/>
    <xf numFmtId="0" fontId="80" fillId="13" borderId="0" xfId="3" applyFont="1" applyFill="1" applyBorder="1" applyProtection="1"/>
    <xf numFmtId="0" fontId="80" fillId="13" borderId="19" xfId="3" applyFont="1" applyFill="1" applyBorder="1" applyProtection="1"/>
    <xf numFmtId="0" fontId="0" fillId="13" borderId="1" xfId="0" applyFill="1" applyBorder="1" applyProtection="1"/>
    <xf numFmtId="0" fontId="0" fillId="13" borderId="19" xfId="0" applyFill="1" applyBorder="1" applyProtection="1"/>
    <xf numFmtId="0" fontId="0" fillId="13" borderId="0" xfId="0" applyFill="1" applyBorder="1" applyProtection="1"/>
    <xf numFmtId="0" fontId="0" fillId="13" borderId="22" xfId="0" applyFill="1" applyBorder="1" applyProtection="1"/>
    <xf numFmtId="0" fontId="0" fillId="13" borderId="0" xfId="0" applyFill="1" applyBorder="1" applyAlignment="1" applyProtection="1"/>
    <xf numFmtId="0" fontId="0" fillId="13" borderId="0" xfId="0" applyFont="1" applyFill="1" applyBorder="1" applyProtection="1"/>
    <xf numFmtId="0" fontId="0" fillId="13" borderId="0" xfId="0" applyFill="1" applyBorder="1" applyAlignment="1" applyProtection="1">
      <alignment horizontal="center" vertical="center"/>
    </xf>
    <xf numFmtId="0" fontId="1" fillId="13" borderId="0" xfId="0" applyFont="1" applyFill="1" applyBorder="1" applyAlignment="1" applyProtection="1"/>
    <xf numFmtId="0" fontId="0" fillId="13" borderId="16" xfId="0" applyFill="1" applyBorder="1" applyProtection="1"/>
    <xf numFmtId="0" fontId="79" fillId="13" borderId="0" xfId="0" applyFont="1" applyFill="1" applyBorder="1" applyProtection="1"/>
    <xf numFmtId="0" fontId="79" fillId="13" borderId="0" xfId="0" applyFont="1" applyFill="1" applyBorder="1" applyAlignment="1" applyProtection="1">
      <alignment horizontal="center" vertical="center"/>
    </xf>
    <xf numFmtId="0" fontId="85" fillId="13" borderId="0" xfId="0" applyFont="1" applyFill="1" applyBorder="1" applyAlignment="1" applyProtection="1"/>
    <xf numFmtId="0" fontId="79" fillId="13" borderId="0" xfId="0" applyFont="1" applyFill="1" applyBorder="1" applyAlignment="1" applyProtection="1"/>
    <xf numFmtId="171" fontId="0" fillId="0" borderId="0" xfId="0" applyNumberFormat="1" applyBorder="1" applyProtection="1"/>
    <xf numFmtId="0" fontId="0" fillId="0" borderId="0" xfId="0" applyNumberFormat="1" applyBorder="1" applyProtection="1"/>
    <xf numFmtId="0" fontId="80" fillId="0" borderId="17" xfId="3" applyFont="1" applyBorder="1" applyAlignment="1" applyProtection="1">
      <alignment horizontal="center"/>
    </xf>
    <xf numFmtId="0" fontId="0" fillId="0" borderId="0" xfId="0" applyNumberFormat="1" applyBorder="1"/>
    <xf numFmtId="0" fontId="4" fillId="0" borderId="0" xfId="0" applyFont="1" applyBorder="1"/>
    <xf numFmtId="171" fontId="0" fillId="0" borderId="22" xfId="0" applyNumberFormat="1" applyBorder="1" applyProtection="1"/>
    <xf numFmtId="0" fontId="0" fillId="0" borderId="22" xfId="0" applyBorder="1" applyProtection="1"/>
    <xf numFmtId="0" fontId="0" fillId="0" borderId="22" xfId="0" applyNumberFormat="1" applyBorder="1" applyProtection="1"/>
    <xf numFmtId="0" fontId="0" fillId="0" borderId="22" xfId="0" applyBorder="1"/>
    <xf numFmtId="0" fontId="0" fillId="0" borderId="22" xfId="0" applyNumberFormat="1" applyBorder="1"/>
    <xf numFmtId="0" fontId="4" fillId="0" borderId="22" xfId="0" applyFont="1" applyBorder="1"/>
    <xf numFmtId="0" fontId="0" fillId="0" borderId="23" xfId="0" applyBorder="1"/>
    <xf numFmtId="0" fontId="4" fillId="0" borderId="0" xfId="0" applyFont="1" applyBorder="1" applyProtection="1"/>
    <xf numFmtId="0" fontId="4" fillId="0" borderId="22" xfId="0" applyFont="1" applyBorder="1" applyProtection="1"/>
    <xf numFmtId="0" fontId="0" fillId="0" borderId="23" xfId="0" applyBorder="1" applyProtection="1"/>
    <xf numFmtId="0" fontId="80" fillId="0" borderId="0" xfId="3" applyFont="1" applyFill="1" applyBorder="1" applyProtection="1"/>
    <xf numFmtId="0" fontId="0" fillId="0" borderId="16" xfId="0" applyFill="1" applyBorder="1" applyProtection="1"/>
    <xf numFmtId="0" fontId="0" fillId="0" borderId="0" xfId="0" applyFill="1" applyBorder="1" applyAlignment="1" applyProtection="1">
      <alignment horizontal="center"/>
    </xf>
    <xf numFmtId="0" fontId="0" fillId="0" borderId="0" xfId="0" applyFill="1" applyBorder="1" applyAlignment="1" applyProtection="1">
      <alignment horizontal="center" vertical="center"/>
    </xf>
    <xf numFmtId="0" fontId="1" fillId="0" borderId="0" xfId="0" applyFont="1" applyFill="1" applyBorder="1" applyAlignment="1" applyProtection="1"/>
    <xf numFmtId="0" fontId="0" fillId="0" borderId="0" xfId="0" applyFill="1" applyBorder="1" applyAlignment="1" applyProtection="1"/>
    <xf numFmtId="0" fontId="0" fillId="13" borderId="0" xfId="0" applyFill="1" applyBorder="1"/>
    <xf numFmtId="171" fontId="0" fillId="13" borderId="0" xfId="0" applyNumberFormat="1" applyFill="1" applyBorder="1" applyProtection="1"/>
    <xf numFmtId="0" fontId="57" fillId="13" borderId="0" xfId="0" applyFont="1" applyFill="1" applyBorder="1" applyProtection="1"/>
    <xf numFmtId="0" fontId="57" fillId="13" borderId="0" xfId="0" applyFont="1" applyFill="1" applyBorder="1" applyAlignment="1" applyProtection="1"/>
    <xf numFmtId="0" fontId="1" fillId="13" borderId="0" xfId="0" applyNumberFormat="1" applyFont="1" applyFill="1" applyBorder="1" applyAlignment="1" applyProtection="1"/>
    <xf numFmtId="0" fontId="0" fillId="14" borderId="0" xfId="0" applyFill="1" applyBorder="1" applyProtection="1"/>
    <xf numFmtId="0" fontId="0" fillId="14" borderId="0" xfId="0" applyNumberFormat="1" applyFill="1" applyBorder="1" applyProtection="1"/>
    <xf numFmtId="0" fontId="4" fillId="14" borderId="0" xfId="0" applyFont="1" applyFill="1" applyBorder="1" applyProtection="1"/>
    <xf numFmtId="0" fontId="0" fillId="14" borderId="0" xfId="0" applyFill="1" applyBorder="1" applyAlignment="1" applyProtection="1">
      <alignment horizontal="center"/>
    </xf>
    <xf numFmtId="0" fontId="0" fillId="13" borderId="0" xfId="0" applyFill="1" applyBorder="1" applyAlignment="1" applyProtection="1">
      <alignment vertical="center"/>
    </xf>
    <xf numFmtId="0" fontId="57" fillId="13" borderId="0" xfId="0" applyNumberFormat="1" applyFont="1" applyFill="1" applyBorder="1" applyAlignment="1" applyProtection="1"/>
    <xf numFmtId="0" fontId="1" fillId="13" borderId="0" xfId="0" applyFont="1" applyFill="1" applyBorder="1" applyProtection="1"/>
    <xf numFmtId="0" fontId="86" fillId="13" borderId="0" xfId="0" applyFont="1" applyFill="1" applyBorder="1" applyAlignment="1" applyProtection="1"/>
    <xf numFmtId="0" fontId="87" fillId="13" borderId="0" xfId="0" applyFont="1" applyFill="1" applyBorder="1" applyProtection="1"/>
    <xf numFmtId="0" fontId="1" fillId="13" borderId="0" xfId="0" applyFont="1" applyFill="1" applyBorder="1" applyAlignment="1" applyProtection="1">
      <alignment vertical="center"/>
    </xf>
    <xf numFmtId="0" fontId="0" fillId="13" borderId="0" xfId="0" applyNumberFormat="1" applyFill="1" applyBorder="1" applyProtection="1"/>
    <xf numFmtId="0" fontId="57" fillId="14" borderId="0" xfId="0" applyFont="1" applyFill="1" applyBorder="1" applyAlignment="1" applyProtection="1">
      <alignment horizontal="left"/>
    </xf>
    <xf numFmtId="0" fontId="57" fillId="14" borderId="0" xfId="0" applyNumberFormat="1" applyFont="1" applyFill="1" applyBorder="1" applyAlignment="1" applyProtection="1">
      <alignment horizontal="left"/>
    </xf>
    <xf numFmtId="0" fontId="69" fillId="14" borderId="0" xfId="0" applyFont="1" applyFill="1" applyBorder="1" applyAlignment="1" applyProtection="1">
      <alignment horizontal="left"/>
    </xf>
    <xf numFmtId="173" fontId="0" fillId="14" borderId="0" xfId="0" applyNumberFormat="1" applyFill="1" applyBorder="1" applyProtection="1"/>
    <xf numFmtId="0" fontId="58" fillId="13" borderId="0" xfId="0" applyFont="1" applyFill="1" applyBorder="1" applyAlignment="1" applyProtection="1"/>
    <xf numFmtId="176" fontId="0" fillId="0" borderId="0" xfId="0" applyNumberFormat="1" applyBorder="1" applyAlignment="1" applyProtection="1">
      <alignment horizontal="center"/>
    </xf>
    <xf numFmtId="0" fontId="0" fillId="11" borderId="0" xfId="0" applyFill="1" applyBorder="1" applyProtection="1"/>
    <xf numFmtId="0" fontId="0" fillId="11" borderId="0" xfId="0" applyFill="1" applyBorder="1"/>
    <xf numFmtId="0" fontId="57" fillId="0" borderId="0" xfId="0" applyFont="1" applyBorder="1" applyProtection="1"/>
    <xf numFmtId="0" fontId="57" fillId="0" borderId="0" xfId="0" applyFont="1" applyBorder="1" applyAlignment="1" applyProtection="1"/>
    <xf numFmtId="0" fontId="1" fillId="0" borderId="0" xfId="0" applyNumberFormat="1" applyFont="1" applyBorder="1" applyAlignment="1" applyProtection="1"/>
    <xf numFmtId="0" fontId="0" fillId="7" borderId="0" xfId="0" applyFill="1" applyBorder="1" applyProtection="1"/>
    <xf numFmtId="0" fontId="0" fillId="0" borderId="0" xfId="0" applyBorder="1" applyAlignment="1" applyProtection="1">
      <alignment vertical="center"/>
    </xf>
    <xf numFmtId="0" fontId="0" fillId="15" borderId="0" xfId="0" applyFill="1" applyBorder="1" applyProtection="1"/>
    <xf numFmtId="0" fontId="57" fillId="0" borderId="0" xfId="0" applyNumberFormat="1" applyFont="1" applyBorder="1" applyAlignment="1" applyProtection="1"/>
    <xf numFmtId="0" fontId="1" fillId="16" borderId="0" xfId="0" applyFont="1" applyFill="1" applyBorder="1" applyProtection="1"/>
    <xf numFmtId="0" fontId="0" fillId="17" borderId="0" xfId="0" applyFill="1" applyBorder="1" applyProtection="1"/>
    <xf numFmtId="0" fontId="86" fillId="0" borderId="0" xfId="0" applyFont="1" applyBorder="1" applyAlignment="1" applyProtection="1"/>
    <xf numFmtId="0" fontId="87" fillId="0" borderId="0" xfId="0" applyFont="1" applyBorder="1" applyProtection="1"/>
    <xf numFmtId="0" fontId="1" fillId="0" borderId="0" xfId="0" applyFont="1" applyFill="1" applyBorder="1" applyAlignment="1" applyProtection="1">
      <alignment vertical="center"/>
    </xf>
    <xf numFmtId="0" fontId="1" fillId="0" borderId="0" xfId="0" applyFont="1" applyBorder="1" applyAlignment="1" applyProtection="1">
      <alignment horizontal="center" vertical="center" wrapText="1"/>
    </xf>
    <xf numFmtId="0" fontId="0" fillId="0" borderId="0" xfId="0" applyNumberFormat="1" applyBorder="1" applyAlignment="1" applyProtection="1">
      <alignment horizontal="center" vertical="center"/>
    </xf>
    <xf numFmtId="0" fontId="58" fillId="0" borderId="0" xfId="0" applyFont="1" applyBorder="1" applyAlignment="1" applyProtection="1"/>
    <xf numFmtId="171" fontId="0" fillId="0" borderId="0" xfId="0" applyNumberFormat="1" applyFill="1" applyBorder="1" applyProtection="1"/>
    <xf numFmtId="0" fontId="57" fillId="0" borderId="0" xfId="0" applyFont="1" applyFill="1" applyBorder="1" applyProtection="1"/>
    <xf numFmtId="0" fontId="57" fillId="0" borderId="0" xfId="0" applyFont="1" applyFill="1" applyBorder="1" applyAlignment="1" applyProtection="1"/>
    <xf numFmtId="0" fontId="1" fillId="0" borderId="0" xfId="0" applyNumberFormat="1" applyFont="1" applyFill="1" applyBorder="1" applyAlignment="1" applyProtection="1"/>
    <xf numFmtId="0" fontId="0" fillId="0" borderId="0" xfId="0" applyFill="1" applyBorder="1" applyAlignment="1" applyProtection="1">
      <alignment vertical="center"/>
    </xf>
    <xf numFmtId="0" fontId="57" fillId="0" borderId="0" xfId="0" applyNumberFormat="1" applyFont="1" applyFill="1" applyBorder="1" applyAlignment="1" applyProtection="1"/>
    <xf numFmtId="0" fontId="1" fillId="0" borderId="0" xfId="0" applyFont="1" applyFill="1" applyBorder="1" applyProtection="1"/>
    <xf numFmtId="0" fontId="86" fillId="0" borderId="0" xfId="0" applyFont="1" applyFill="1" applyBorder="1" applyAlignment="1" applyProtection="1"/>
    <xf numFmtId="0" fontId="87" fillId="0" borderId="0" xfId="0" applyFont="1" applyFill="1" applyBorder="1" applyProtection="1"/>
    <xf numFmtId="0" fontId="0" fillId="0" borderId="0" xfId="0" applyNumberFormat="1" applyFill="1" applyBorder="1" applyProtection="1"/>
    <xf numFmtId="0" fontId="79" fillId="0" borderId="0" xfId="0" applyFont="1" applyFill="1" applyBorder="1" applyProtection="1"/>
    <xf numFmtId="0" fontId="79" fillId="0" borderId="0" xfId="0" applyFont="1" applyFill="1" applyBorder="1" applyAlignment="1" applyProtection="1"/>
    <xf numFmtId="0" fontId="58" fillId="0" borderId="0" xfId="0" applyFont="1" applyFill="1" applyBorder="1" applyAlignment="1" applyProtection="1"/>
    <xf numFmtId="0" fontId="0" fillId="13" borderId="1" xfId="0" applyFill="1" applyBorder="1"/>
    <xf numFmtId="0" fontId="0" fillId="13" borderId="19" xfId="0" applyFill="1" applyBorder="1"/>
    <xf numFmtId="171" fontId="0" fillId="13" borderId="19" xfId="0" applyNumberFormat="1" applyFill="1" applyBorder="1" applyProtection="1"/>
    <xf numFmtId="0" fontId="57" fillId="13" borderId="19" xfId="0" applyFont="1" applyFill="1" applyBorder="1" applyProtection="1"/>
    <xf numFmtId="0" fontId="57" fillId="13" borderId="19" xfId="0" applyFont="1" applyFill="1" applyBorder="1" applyAlignment="1" applyProtection="1"/>
    <xf numFmtId="0" fontId="1" fillId="13" borderId="19" xfId="0" applyFont="1" applyFill="1" applyBorder="1" applyAlignment="1" applyProtection="1"/>
    <xf numFmtId="0" fontId="1" fillId="13" borderId="19" xfId="0" applyNumberFormat="1" applyFont="1" applyFill="1" applyBorder="1" applyAlignment="1" applyProtection="1"/>
    <xf numFmtId="0" fontId="0" fillId="13" borderId="16" xfId="0" applyFill="1" applyBorder="1"/>
    <xf numFmtId="0" fontId="0" fillId="13" borderId="21" xfId="0" applyFill="1" applyBorder="1" applyProtection="1"/>
    <xf numFmtId="0" fontId="0" fillId="13" borderId="22" xfId="0" applyFill="1" applyBorder="1"/>
    <xf numFmtId="171" fontId="0" fillId="13" borderId="22" xfId="0" applyNumberFormat="1" applyFill="1" applyBorder="1" applyProtection="1"/>
    <xf numFmtId="0" fontId="0" fillId="13" borderId="22" xfId="0" applyNumberFormat="1" applyFill="1" applyBorder="1" applyProtection="1"/>
    <xf numFmtId="0" fontId="0" fillId="11" borderId="16" xfId="0" applyFill="1" applyBorder="1" applyProtection="1"/>
    <xf numFmtId="0" fontId="0" fillId="11" borderId="16" xfId="0" applyFill="1" applyBorder="1"/>
    <xf numFmtId="0" fontId="0" fillId="11" borderId="21" xfId="0" applyFill="1" applyBorder="1" applyProtection="1"/>
    <xf numFmtId="0" fontId="0" fillId="11" borderId="22" xfId="0" applyFill="1" applyBorder="1" applyProtection="1"/>
    <xf numFmtId="0" fontId="0" fillId="11" borderId="22" xfId="0" applyFill="1" applyBorder="1"/>
    <xf numFmtId="0" fontId="88" fillId="0" borderId="0" xfId="0" applyFont="1" applyBorder="1" applyAlignment="1">
      <alignment vertical="center"/>
    </xf>
    <xf numFmtId="0" fontId="72" fillId="0" borderId="0" xfId="0" applyFont="1" applyBorder="1"/>
    <xf numFmtId="0" fontId="0" fillId="0" borderId="0" xfId="0" applyBorder="1" applyAlignment="1">
      <alignment horizontal="center" vertical="center"/>
    </xf>
    <xf numFmtId="0" fontId="0" fillId="12" borderId="0" xfId="0" applyFill="1" applyBorder="1" applyAlignment="1" applyProtection="1">
      <alignment horizontal="left"/>
    </xf>
    <xf numFmtId="0" fontId="1" fillId="12" borderId="0" xfId="0" applyFont="1" applyFill="1" applyBorder="1" applyAlignment="1" applyProtection="1">
      <alignment horizontal="left"/>
    </xf>
    <xf numFmtId="173" fontId="0" fillId="12" borderId="0" xfId="0" applyNumberFormat="1" applyFill="1" applyBorder="1" applyAlignment="1" applyProtection="1">
      <alignment horizontal="center"/>
    </xf>
    <xf numFmtId="173" fontId="89" fillId="3" borderId="0" xfId="0" applyNumberFormat="1" applyFont="1" applyFill="1" applyBorder="1" applyAlignment="1" applyProtection="1">
      <alignment horizontal="center"/>
    </xf>
    <xf numFmtId="0" fontId="0" fillId="0" borderId="0" xfId="0" applyBorder="1" applyAlignment="1" applyProtection="1">
      <protection locked="0"/>
    </xf>
    <xf numFmtId="0" fontId="57" fillId="0" borderId="0" xfId="0" applyFont="1" applyBorder="1" applyAlignment="1">
      <alignment horizontal="center" vertical="center"/>
    </xf>
    <xf numFmtId="0" fontId="57" fillId="0" borderId="0" xfId="0" applyFont="1" applyBorder="1" applyAlignment="1">
      <alignment vertical="center"/>
    </xf>
    <xf numFmtId="0" fontId="57" fillId="0" borderId="0" xfId="0" applyFont="1" applyBorder="1"/>
    <xf numFmtId="0" fontId="53" fillId="0" borderId="0" xfId="0" applyFont="1" applyFill="1" applyBorder="1" applyAlignment="1" applyProtection="1">
      <alignment vertical="center"/>
    </xf>
    <xf numFmtId="0" fontId="53" fillId="0" borderId="0" xfId="0" applyFont="1" applyFill="1" applyBorder="1" applyAlignment="1" applyProtection="1"/>
    <xf numFmtId="0" fontId="90" fillId="0" borderId="0" xfId="0" applyFont="1" applyFill="1" applyBorder="1" applyAlignment="1" applyProtection="1">
      <alignment vertical="center"/>
    </xf>
    <xf numFmtId="0" fontId="0" fillId="4" borderId="15" xfId="0" applyFill="1" applyBorder="1" applyAlignment="1" applyProtection="1">
      <alignment horizontal="left"/>
      <protection locked="0"/>
    </xf>
    <xf numFmtId="0" fontId="0" fillId="4" borderId="2" xfId="0" applyFill="1" applyBorder="1" applyAlignment="1" applyProtection="1">
      <alignment horizontal="left"/>
      <protection locked="0"/>
    </xf>
    <xf numFmtId="0" fontId="0" fillId="4" borderId="14" xfId="0" applyFill="1" applyBorder="1" applyProtection="1">
      <protection locked="0"/>
    </xf>
    <xf numFmtId="0" fontId="0" fillId="4" borderId="3" xfId="0" applyFill="1" applyBorder="1" applyProtection="1">
      <protection locked="0"/>
    </xf>
    <xf numFmtId="0" fontId="0" fillId="4" borderId="2" xfId="0" applyFill="1" applyBorder="1" applyProtection="1">
      <protection locked="0"/>
    </xf>
    <xf numFmtId="0" fontId="0" fillId="4" borderId="15" xfId="0" applyFill="1" applyBorder="1" applyProtection="1">
      <protection locked="0"/>
    </xf>
    <xf numFmtId="0" fontId="0" fillId="4" borderId="0" xfId="0" applyFill="1" applyBorder="1" applyProtection="1">
      <protection locked="0"/>
    </xf>
    <xf numFmtId="0" fontId="0" fillId="4" borderId="0" xfId="0" applyFill="1" applyProtection="1">
      <protection locked="0"/>
    </xf>
    <xf numFmtId="0" fontId="16" fillId="4" borderId="15" xfId="0" applyFont="1" applyFill="1" applyBorder="1" applyAlignment="1" applyProtection="1">
      <alignment horizontal="left"/>
      <protection locked="0"/>
    </xf>
    <xf numFmtId="0" fontId="16" fillId="4" borderId="0" xfId="0" applyFont="1" applyFill="1" applyBorder="1" applyAlignment="1" applyProtection="1">
      <alignment horizontal="left"/>
      <protection locked="0"/>
    </xf>
    <xf numFmtId="167" fontId="0" fillId="4" borderId="3" xfId="0" applyNumberFormat="1" applyFill="1" applyBorder="1" applyAlignment="1" applyProtection="1">
      <alignment horizontal="left"/>
      <protection locked="0"/>
    </xf>
    <xf numFmtId="0" fontId="0" fillId="4" borderId="3" xfId="0" applyFill="1" applyBorder="1" applyAlignment="1" applyProtection="1">
      <alignment horizontal="left"/>
      <protection locked="0"/>
    </xf>
    <xf numFmtId="0" fontId="0" fillId="4" borderId="11" xfId="0"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4" borderId="11" xfId="0" applyFill="1" applyBorder="1" applyProtection="1">
      <protection locked="0"/>
    </xf>
    <xf numFmtId="0" fontId="0" fillId="4" borderId="5" xfId="0" applyFill="1" applyBorder="1" applyProtection="1">
      <protection locked="0"/>
    </xf>
    <xf numFmtId="0" fontId="0" fillId="14" borderId="1" xfId="0" applyFill="1" applyBorder="1" applyProtection="1"/>
    <xf numFmtId="0" fontId="0" fillId="14" borderId="19" xfId="0" applyFill="1" applyBorder="1" applyProtection="1"/>
    <xf numFmtId="0" fontId="0" fillId="14" borderId="19" xfId="0" applyFill="1" applyBorder="1" applyAlignment="1" applyProtection="1">
      <alignment horizontal="center"/>
    </xf>
    <xf numFmtId="0" fontId="0" fillId="14" borderId="20" xfId="0" applyFill="1" applyBorder="1" applyAlignment="1" applyProtection="1">
      <alignment horizontal="center"/>
    </xf>
    <xf numFmtId="173" fontId="0" fillId="3" borderId="17" xfId="0" applyNumberFormat="1" applyFill="1" applyBorder="1" applyProtection="1"/>
    <xf numFmtId="0" fontId="0" fillId="3" borderId="17" xfId="0" applyFill="1" applyBorder="1" applyProtection="1"/>
    <xf numFmtId="0" fontId="1" fillId="12" borderId="16" xfId="0" applyFont="1" applyFill="1" applyBorder="1" applyProtection="1"/>
    <xf numFmtId="0" fontId="1" fillId="12" borderId="0" xfId="0" applyFont="1" applyFill="1" applyBorder="1" applyProtection="1"/>
    <xf numFmtId="0" fontId="1" fillId="12" borderId="16" xfId="0" applyFont="1" applyFill="1" applyBorder="1" applyAlignment="1" applyProtection="1">
      <alignment horizontal="left"/>
    </xf>
    <xf numFmtId="0" fontId="57" fillId="14" borderId="21" xfId="0" applyFont="1" applyFill="1" applyBorder="1" applyAlignment="1" applyProtection="1">
      <alignment horizontal="left"/>
    </xf>
    <xf numFmtId="0" fontId="57" fillId="14" borderId="22" xfId="0" applyFont="1" applyFill="1" applyBorder="1" applyAlignment="1" applyProtection="1">
      <alignment horizontal="left"/>
    </xf>
    <xf numFmtId="173" fontId="0" fillId="14" borderId="22" xfId="0" applyNumberFormat="1" applyFill="1" applyBorder="1" applyProtection="1"/>
    <xf numFmtId="0" fontId="0" fillId="14" borderId="22" xfId="0" applyFill="1" applyBorder="1" applyProtection="1"/>
    <xf numFmtId="0" fontId="0" fillId="14" borderId="23" xfId="0" applyFill="1" applyBorder="1" applyProtection="1"/>
    <xf numFmtId="0" fontId="0" fillId="18" borderId="16" xfId="0" applyFill="1" applyBorder="1" applyAlignment="1" applyProtection="1">
      <alignment horizontal="left"/>
    </xf>
    <xf numFmtId="0" fontId="0" fillId="18" borderId="0" xfId="0" applyFill="1" applyBorder="1" applyAlignment="1" applyProtection="1">
      <alignment horizontal="left"/>
    </xf>
    <xf numFmtId="173" fontId="0" fillId="18" borderId="22" xfId="0" applyNumberFormat="1" applyFill="1" applyBorder="1" applyProtection="1"/>
    <xf numFmtId="173" fontId="0" fillId="18" borderId="0" xfId="0" applyNumberFormat="1" applyFill="1" applyBorder="1" applyProtection="1"/>
    <xf numFmtId="0" fontId="0" fillId="18" borderId="0" xfId="0" applyFill="1" applyBorder="1" applyProtection="1"/>
    <xf numFmtId="0" fontId="0" fillId="18" borderId="17" xfId="0" applyFill="1" applyBorder="1" applyProtection="1"/>
    <xf numFmtId="0" fontId="81" fillId="0" borderId="16" xfId="0" applyFont="1" applyBorder="1" applyAlignment="1" applyProtection="1"/>
    <xf numFmtId="0" fontId="80" fillId="0" borderId="16" xfId="3" applyFont="1" applyBorder="1" applyAlignment="1" applyProtection="1">
      <alignment horizontal="center"/>
    </xf>
    <xf numFmtId="0" fontId="80" fillId="0" borderId="16" xfId="3" applyFont="1" applyBorder="1" applyProtection="1"/>
    <xf numFmtId="0" fontId="1" fillId="0" borderId="16" xfId="0" applyFont="1" applyFill="1" applyBorder="1" applyAlignment="1" applyProtection="1">
      <alignment horizontal="left"/>
    </xf>
    <xf numFmtId="0" fontId="0" fillId="18" borderId="25" xfId="0" applyFill="1" applyBorder="1" applyAlignment="1" applyProtection="1">
      <alignment horizontal="left"/>
    </xf>
    <xf numFmtId="0" fontId="0" fillId="18" borderId="25" xfId="0" applyFill="1" applyBorder="1" applyProtection="1"/>
    <xf numFmtId="0" fontId="0" fillId="18" borderId="26" xfId="0" applyFill="1" applyBorder="1" applyProtection="1"/>
    <xf numFmtId="0" fontId="0" fillId="0" borderId="16" xfId="0" applyFill="1" applyBorder="1" applyAlignment="1" applyProtection="1">
      <alignment horizontal="left"/>
    </xf>
    <xf numFmtId="0" fontId="59" fillId="0" borderId="16" xfId="0" applyFont="1" applyFill="1" applyBorder="1" applyAlignment="1" applyProtection="1">
      <alignment horizontal="left"/>
    </xf>
    <xf numFmtId="0" fontId="80" fillId="0" borderId="0" xfId="3" applyFont="1" applyAlignment="1" applyProtection="1">
      <alignment horizontal="center"/>
    </xf>
    <xf numFmtId="0" fontId="0" fillId="19" borderId="19" xfId="0" applyFill="1" applyBorder="1" applyProtection="1">
      <protection locked="0"/>
    </xf>
    <xf numFmtId="0" fontId="0" fillId="19" borderId="0" xfId="0" applyFill="1" applyBorder="1" applyProtection="1">
      <protection locked="0"/>
    </xf>
    <xf numFmtId="0" fontId="0" fillId="19" borderId="22" xfId="0" applyFill="1" applyBorder="1" applyProtection="1">
      <protection locked="0"/>
    </xf>
    <xf numFmtId="0" fontId="0" fillId="20" borderId="0" xfId="0" applyFill="1" applyBorder="1" applyProtection="1">
      <protection locked="0"/>
    </xf>
    <xf numFmtId="0" fontId="0" fillId="20" borderId="22" xfId="0" applyFill="1" applyBorder="1" applyProtection="1">
      <protection locked="0"/>
    </xf>
    <xf numFmtId="0" fontId="0" fillId="12" borderId="0" xfId="0" applyFill="1" applyBorder="1" applyAlignment="1" applyProtection="1">
      <alignment horizontal="left"/>
    </xf>
    <xf numFmtId="0" fontId="0" fillId="13" borderId="0" xfId="0" applyFill="1" applyBorder="1" applyAlignment="1" applyProtection="1">
      <alignment horizontal="center"/>
    </xf>
    <xf numFmtId="0" fontId="1" fillId="13" borderId="0" xfId="0" applyFont="1" applyFill="1" applyBorder="1" applyAlignment="1" applyProtection="1">
      <alignment horizontal="center" vertical="center" wrapText="1"/>
    </xf>
    <xf numFmtId="0" fontId="0" fillId="13" borderId="0" xfId="0" applyNumberFormat="1" applyFill="1" applyBorder="1" applyAlignment="1" applyProtection="1">
      <alignment horizontal="center" vertical="center"/>
    </xf>
    <xf numFmtId="173" fontId="89" fillId="3" borderId="0" xfId="0" applyNumberFormat="1" applyFont="1" applyFill="1" applyBorder="1" applyAlignment="1" applyProtection="1">
      <alignment horizontal="center"/>
    </xf>
    <xf numFmtId="0" fontId="1" fillId="12" borderId="0" xfId="0" applyFont="1" applyFill="1" applyBorder="1" applyAlignment="1" applyProtection="1">
      <alignment horizontal="left"/>
    </xf>
    <xf numFmtId="173" fontId="0" fillId="12" borderId="0" xfId="0" applyNumberFormat="1" applyFill="1" applyBorder="1" applyAlignment="1" applyProtection="1">
      <alignment horizontal="center"/>
    </xf>
    <xf numFmtId="0" fontId="79" fillId="0" borderId="0" xfId="0" applyFont="1" applyBorder="1" applyAlignment="1" applyProtection="1">
      <alignment horizontal="center"/>
    </xf>
    <xf numFmtId="0" fontId="79" fillId="13" borderId="0" xfId="0" applyFont="1" applyFill="1" applyBorder="1" applyAlignment="1" applyProtection="1">
      <alignment horizontal="center"/>
    </xf>
    <xf numFmtId="0" fontId="79" fillId="11" borderId="0" xfId="0" applyFont="1" applyFill="1" applyBorder="1" applyAlignment="1" applyProtection="1">
      <alignment horizontal="center"/>
    </xf>
    <xf numFmtId="0" fontId="0" fillId="8" borderId="0" xfId="0" applyFill="1"/>
    <xf numFmtId="179" fontId="0" fillId="8" borderId="0" xfId="0" applyNumberFormat="1" applyFill="1"/>
    <xf numFmtId="0" fontId="0" fillId="0" borderId="0" xfId="0" applyFill="1"/>
    <xf numFmtId="180" fontId="0" fillId="8" borderId="27" xfId="0" applyNumberFormat="1" applyFill="1" applyBorder="1"/>
    <xf numFmtId="0" fontId="0" fillId="0" borderId="27" xfId="0" applyFill="1" applyBorder="1"/>
    <xf numFmtId="179" fontId="0" fillId="8" borderId="27" xfId="0" applyNumberFormat="1" applyFill="1" applyBorder="1"/>
    <xf numFmtId="0" fontId="0" fillId="0" borderId="27" xfId="0" applyBorder="1"/>
    <xf numFmtId="180" fontId="0" fillId="8" borderId="28" xfId="0" applyNumberFormat="1" applyFill="1" applyBorder="1"/>
    <xf numFmtId="0" fontId="0" fillId="0" borderId="28" xfId="0" applyFont="1" applyFill="1" applyBorder="1"/>
    <xf numFmtId="179" fontId="0" fillId="8" borderId="28" xfId="0" applyNumberFormat="1" applyFill="1" applyBorder="1"/>
    <xf numFmtId="0" fontId="0" fillId="0" borderId="28" xfId="0" applyBorder="1"/>
    <xf numFmtId="180" fontId="0" fillId="8" borderId="0" xfId="0" applyNumberFormat="1" applyFill="1"/>
    <xf numFmtId="0" fontId="0" fillId="8" borderId="0" xfId="0" applyFill="1" applyAlignment="1">
      <alignment wrapText="1"/>
    </xf>
    <xf numFmtId="179" fontId="0" fillId="8" borderId="0" xfId="0" applyNumberFormat="1" applyFill="1" applyAlignment="1">
      <alignment wrapText="1"/>
    </xf>
    <xf numFmtId="0" fontId="0" fillId="0" borderId="0" xfId="0" applyAlignment="1">
      <alignment wrapText="1"/>
    </xf>
    <xf numFmtId="0" fontId="0" fillId="11" borderId="1" xfId="0" applyFill="1" applyBorder="1" applyProtection="1"/>
    <xf numFmtId="0" fontId="0" fillId="11" borderId="19" xfId="0" applyFill="1" applyBorder="1" applyProtection="1"/>
    <xf numFmtId="0" fontId="0" fillId="11" borderId="19" xfId="0" applyFill="1" applyBorder="1"/>
    <xf numFmtId="171" fontId="0" fillId="0" borderId="19" xfId="0" applyNumberFormat="1" applyBorder="1" applyProtection="1"/>
    <xf numFmtId="0" fontId="57" fillId="0" borderId="19" xfId="0" applyFont="1" applyBorder="1" applyProtection="1"/>
    <xf numFmtId="0" fontId="57" fillId="0" borderId="19" xfId="0" applyFont="1" applyBorder="1" applyAlignment="1" applyProtection="1"/>
    <xf numFmtId="0" fontId="1" fillId="0" borderId="19" xfId="0" applyFont="1" applyBorder="1" applyAlignment="1" applyProtection="1"/>
    <xf numFmtId="0" fontId="1" fillId="0" borderId="19" xfId="0" applyNumberFormat="1" applyFont="1" applyBorder="1" applyAlignment="1" applyProtection="1"/>
    <xf numFmtId="0" fontId="0" fillId="0" borderId="19" xfId="0" applyFill="1" applyBorder="1" applyProtection="1"/>
    <xf numFmtId="0" fontId="0" fillId="0" borderId="1" xfId="0" applyFill="1" applyBorder="1" applyProtection="1"/>
    <xf numFmtId="0" fontId="0" fillId="20" borderId="19" xfId="0" applyFill="1" applyBorder="1" applyProtection="1">
      <protection locked="0"/>
    </xf>
    <xf numFmtId="171" fontId="0" fillId="0" borderId="19" xfId="0" applyNumberFormat="1" applyFill="1" applyBorder="1" applyProtection="1"/>
    <xf numFmtId="0" fontId="57" fillId="0" borderId="19" xfId="0" applyFont="1" applyFill="1" applyBorder="1" applyProtection="1"/>
    <xf numFmtId="0" fontId="57" fillId="0" borderId="19" xfId="0" applyFont="1" applyFill="1" applyBorder="1" applyAlignment="1" applyProtection="1"/>
    <xf numFmtId="0" fontId="80" fillId="0" borderId="19" xfId="3" applyFont="1" applyFill="1" applyBorder="1" applyProtection="1"/>
    <xf numFmtId="0" fontId="1" fillId="0" borderId="19" xfId="0" applyFont="1" applyFill="1" applyBorder="1" applyAlignment="1" applyProtection="1"/>
    <xf numFmtId="0" fontId="1" fillId="0" borderId="19" xfId="0" applyNumberFormat="1" applyFont="1" applyFill="1" applyBorder="1" applyAlignment="1" applyProtection="1"/>
    <xf numFmtId="0" fontId="0" fillId="0" borderId="21" xfId="0" applyFill="1" applyBorder="1" applyProtection="1"/>
    <xf numFmtId="0" fontId="0" fillId="0" borderId="22" xfId="0" applyFill="1" applyBorder="1" applyProtection="1"/>
    <xf numFmtId="0" fontId="0" fillId="0" borderId="22" xfId="0" applyFill="1" applyBorder="1"/>
    <xf numFmtId="171" fontId="0" fillId="0" borderId="22" xfId="0" applyNumberFormat="1" applyFill="1" applyBorder="1" applyProtection="1"/>
    <xf numFmtId="0" fontId="0" fillId="0" borderId="22" xfId="0" applyNumberFormat="1" applyFill="1" applyBorder="1" applyProtection="1"/>
    <xf numFmtId="0" fontId="80" fillId="0" borderId="22" xfId="3" applyFont="1" applyBorder="1" applyAlignment="1" applyProtection="1">
      <alignment horizontal="center"/>
    </xf>
    <xf numFmtId="0" fontId="80" fillId="0" borderId="22" xfId="3" applyNumberFormat="1" applyFont="1" applyBorder="1" applyAlignment="1" applyProtection="1">
      <alignment horizontal="center"/>
    </xf>
    <xf numFmtId="0" fontId="84" fillId="0" borderId="22" xfId="3" applyFont="1" applyBorder="1" applyAlignment="1" applyProtection="1">
      <alignment horizontal="center"/>
    </xf>
    <xf numFmtId="0" fontId="81" fillId="0" borderId="22" xfId="0" applyFont="1" applyBorder="1" applyAlignment="1" applyProtection="1"/>
    <xf numFmtId="0" fontId="81" fillId="0" borderId="22" xfId="0" applyNumberFormat="1" applyFont="1" applyBorder="1" applyAlignment="1" applyProtection="1"/>
    <xf numFmtId="173" fontId="71" fillId="0" borderId="22" xfId="0" applyNumberFormat="1" applyFont="1" applyFill="1" applyBorder="1" applyAlignment="1" applyProtection="1">
      <alignment vertical="center"/>
    </xf>
    <xf numFmtId="0" fontId="59" fillId="0" borderId="22" xfId="0" applyFont="1" applyFill="1" applyBorder="1" applyAlignment="1" applyProtection="1">
      <alignment horizontal="left"/>
    </xf>
    <xf numFmtId="0" fontId="80" fillId="0" borderId="23" xfId="3" applyFont="1" applyBorder="1" applyAlignment="1" applyProtection="1">
      <alignment horizontal="center"/>
    </xf>
    <xf numFmtId="0" fontId="0" fillId="0" borderId="0" xfId="0" applyBorder="1" applyAlignment="1">
      <alignment horizontal="center"/>
    </xf>
    <xf numFmtId="178" fontId="93" fillId="18" borderId="0" xfId="0" applyNumberFormat="1" applyFont="1" applyFill="1" applyBorder="1" applyAlignment="1" applyProtection="1">
      <alignment horizontal="center"/>
    </xf>
    <xf numFmtId="178" fontId="93" fillId="18" borderId="17" xfId="0" applyNumberFormat="1" applyFont="1" applyFill="1" applyBorder="1" applyAlignment="1" applyProtection="1">
      <alignment horizontal="center"/>
    </xf>
    <xf numFmtId="0" fontId="70" fillId="14" borderId="0" xfId="0" applyFont="1" applyFill="1" applyBorder="1" applyAlignment="1" applyProtection="1">
      <alignment horizontal="center" vertical="center"/>
    </xf>
    <xf numFmtId="173" fontId="71" fillId="14" borderId="0" xfId="0" applyNumberFormat="1" applyFont="1" applyFill="1" applyBorder="1" applyAlignment="1" applyProtection="1">
      <alignment horizontal="right" vertical="center"/>
    </xf>
    <xf numFmtId="173" fontId="71" fillId="14" borderId="0" xfId="0" applyNumberFormat="1" applyFont="1" applyFill="1" applyBorder="1" applyAlignment="1" applyProtection="1">
      <alignment horizontal="center" vertical="center"/>
    </xf>
    <xf numFmtId="0" fontId="0" fillId="12" borderId="0" xfId="0" applyFill="1" applyBorder="1" applyAlignment="1" applyProtection="1">
      <alignment horizontal="left"/>
    </xf>
    <xf numFmtId="0" fontId="0" fillId="0" borderId="0" xfId="0" applyNumberFormat="1" applyFill="1" applyBorder="1" applyAlignment="1" applyProtection="1">
      <alignment horizontal="center"/>
    </xf>
    <xf numFmtId="0" fontId="0" fillId="22" borderId="0" xfId="0" applyNumberFormat="1" applyFill="1" applyBorder="1" applyAlignment="1" applyProtection="1">
      <alignment horizontal="center"/>
    </xf>
    <xf numFmtId="172" fontId="4" fillId="0" borderId="0" xfId="0" applyNumberFormat="1" applyFont="1" applyFill="1" applyBorder="1" applyAlignment="1" applyProtection="1">
      <alignment horizontal="center"/>
    </xf>
    <xf numFmtId="172" fontId="0" fillId="0" borderId="0" xfId="0" applyNumberFormat="1" applyBorder="1" applyAlignment="1" applyProtection="1">
      <alignment horizontal="center"/>
    </xf>
    <xf numFmtId="178" fontId="93" fillId="18" borderId="19" xfId="0" applyNumberFormat="1" applyFont="1" applyFill="1" applyBorder="1" applyAlignment="1" applyProtection="1">
      <alignment horizontal="center"/>
    </xf>
    <xf numFmtId="0" fontId="0" fillId="23" borderId="0" xfId="0" applyNumberFormat="1" applyFill="1" applyBorder="1" applyAlignment="1" applyProtection="1">
      <alignment horizontal="center"/>
      <protection locked="0"/>
    </xf>
    <xf numFmtId="0" fontId="58" fillId="3" borderId="0" xfId="0" applyFont="1" applyFill="1" applyBorder="1" applyAlignment="1" applyProtection="1">
      <alignment horizontal="left"/>
    </xf>
    <xf numFmtId="0" fontId="58" fillId="14" borderId="0" xfId="0" applyFont="1" applyFill="1" applyBorder="1" applyAlignment="1" applyProtection="1">
      <alignment horizontal="left"/>
    </xf>
    <xf numFmtId="172" fontId="58" fillId="0" borderId="0" xfId="0" applyNumberFormat="1" applyFont="1" applyBorder="1" applyAlignment="1" applyProtection="1">
      <alignment horizontal="center"/>
    </xf>
    <xf numFmtId="173" fontId="89" fillId="3" borderId="0" xfId="0" applyNumberFormat="1" applyFont="1" applyFill="1" applyBorder="1" applyAlignment="1" applyProtection="1">
      <alignment horizontal="center"/>
    </xf>
    <xf numFmtId="172" fontId="4" fillId="0" borderId="0" xfId="0" applyNumberFormat="1" applyFont="1" applyBorder="1" applyAlignment="1" applyProtection="1">
      <alignment horizontal="center"/>
    </xf>
    <xf numFmtId="0" fontId="1" fillId="3" borderId="0" xfId="0" applyFont="1" applyFill="1" applyBorder="1" applyAlignment="1" applyProtection="1">
      <alignment horizontal="center"/>
    </xf>
    <xf numFmtId="173" fontId="0" fillId="22" borderId="0" xfId="0" applyNumberFormat="1" applyFill="1" applyBorder="1" applyAlignment="1" applyProtection="1">
      <alignment horizontal="center"/>
    </xf>
    <xf numFmtId="0" fontId="0" fillId="0" borderId="0" xfId="0" applyBorder="1" applyAlignment="1" applyProtection="1">
      <alignment horizontal="center"/>
    </xf>
    <xf numFmtId="0" fontId="57" fillId="0" borderId="0" xfId="0" applyFont="1" applyBorder="1" applyAlignment="1" applyProtection="1">
      <alignment horizontal="right" vertical="center"/>
    </xf>
    <xf numFmtId="0" fontId="57" fillId="0" borderId="0" xfId="0" applyFont="1" applyBorder="1" applyAlignment="1" applyProtection="1">
      <alignment horizontal="center" vertical="center"/>
    </xf>
    <xf numFmtId="0" fontId="1" fillId="0" borderId="0" xfId="0" applyFont="1" applyBorder="1" applyAlignment="1" applyProtection="1">
      <alignment horizontal="center" vertical="center" wrapText="1"/>
    </xf>
    <xf numFmtId="0" fontId="0" fillId="0" borderId="0" xfId="0" applyNumberFormat="1" applyBorder="1" applyAlignment="1" applyProtection="1">
      <alignment horizontal="center" vertical="center"/>
    </xf>
    <xf numFmtId="0" fontId="0" fillId="13" borderId="0" xfId="0" applyFill="1" applyBorder="1" applyAlignment="1" applyProtection="1">
      <alignment horizontal="center"/>
    </xf>
    <xf numFmtId="0" fontId="1" fillId="13" borderId="0" xfId="0" applyFont="1" applyFill="1" applyBorder="1" applyAlignment="1" applyProtection="1">
      <alignment horizontal="center" vertical="center" wrapText="1"/>
    </xf>
    <xf numFmtId="0" fontId="0" fillId="13" borderId="0" xfId="0" applyNumberFormat="1" applyFill="1" applyBorder="1" applyAlignment="1" applyProtection="1">
      <alignment horizontal="center" vertical="center"/>
    </xf>
    <xf numFmtId="0" fontId="57" fillId="13" borderId="0" xfId="0" applyFont="1" applyFill="1" applyBorder="1" applyAlignment="1" applyProtection="1">
      <alignment horizontal="left" vertical="center"/>
    </xf>
    <xf numFmtId="0" fontId="57" fillId="0" borderId="0" xfId="0" applyFont="1" applyBorder="1" applyAlignment="1" applyProtection="1">
      <alignment horizontal="left" vertical="center"/>
    </xf>
    <xf numFmtId="0" fontId="1" fillId="0" borderId="0" xfId="0" applyFont="1" applyFill="1" applyBorder="1" applyAlignment="1" applyProtection="1">
      <alignment horizontal="center" vertical="center" wrapText="1"/>
    </xf>
    <xf numFmtId="0" fontId="0" fillId="0" borderId="0" xfId="0" applyNumberFormat="1" applyFill="1" applyBorder="1" applyAlignment="1" applyProtection="1">
      <alignment horizontal="center" vertical="center"/>
    </xf>
    <xf numFmtId="0" fontId="0" fillId="0" borderId="0" xfId="0" applyFill="1" applyBorder="1" applyAlignment="1" applyProtection="1">
      <alignment horizontal="center"/>
    </xf>
    <xf numFmtId="0" fontId="57" fillId="0" borderId="0" xfId="0" applyFont="1" applyFill="1" applyBorder="1" applyAlignment="1" applyProtection="1">
      <alignment horizontal="left" vertical="center"/>
    </xf>
    <xf numFmtId="0" fontId="57" fillId="13" borderId="0" xfId="0" applyFont="1" applyFill="1" applyBorder="1" applyAlignment="1" applyProtection="1">
      <alignment horizontal="center" vertical="center"/>
    </xf>
    <xf numFmtId="0" fontId="57" fillId="13" borderId="0" xfId="0" applyNumberFormat="1" applyFont="1" applyFill="1" applyBorder="1" applyAlignment="1" applyProtection="1">
      <alignment horizontal="right" vertical="center"/>
    </xf>
    <xf numFmtId="0" fontId="57" fillId="14" borderId="0" xfId="0" applyFont="1" applyFill="1" applyBorder="1" applyAlignment="1" applyProtection="1">
      <alignment horizontal="center"/>
    </xf>
    <xf numFmtId="173" fontId="58" fillId="14" borderId="0" xfId="0" applyNumberFormat="1" applyFont="1" applyFill="1" applyBorder="1" applyAlignment="1" applyProtection="1">
      <alignment horizontal="center"/>
    </xf>
    <xf numFmtId="0" fontId="58" fillId="14" borderId="0" xfId="0" applyFont="1" applyFill="1" applyBorder="1" applyAlignment="1" applyProtection="1">
      <alignment horizontal="center"/>
    </xf>
    <xf numFmtId="10" fontId="0" fillId="0" borderId="0" xfId="0" applyNumberFormat="1" applyBorder="1" applyAlignment="1" applyProtection="1">
      <alignment horizontal="center"/>
    </xf>
    <xf numFmtId="173" fontId="58" fillId="14" borderId="17" xfId="0" applyNumberFormat="1" applyFont="1" applyFill="1" applyBorder="1" applyAlignment="1" applyProtection="1">
      <alignment horizontal="center"/>
    </xf>
    <xf numFmtId="174" fontId="0" fillId="0" borderId="0" xfId="2" applyNumberFormat="1" applyFont="1" applyBorder="1" applyAlignment="1" applyProtection="1">
      <alignment horizontal="center"/>
    </xf>
    <xf numFmtId="0" fontId="1" fillId="12" borderId="0" xfId="0" applyFont="1" applyFill="1" applyBorder="1" applyAlignment="1" applyProtection="1">
      <alignment horizontal="left"/>
    </xf>
    <xf numFmtId="173" fontId="0" fillId="12" borderId="0" xfId="0" applyNumberFormat="1" applyFill="1" applyBorder="1" applyAlignment="1" applyProtection="1">
      <alignment horizontal="center"/>
    </xf>
    <xf numFmtId="173" fontId="0" fillId="3" borderId="17" xfId="0" applyNumberFormat="1" applyFill="1" applyBorder="1" applyAlignment="1" applyProtection="1">
      <alignment horizontal="center"/>
    </xf>
    <xf numFmtId="175" fontId="0" fillId="0" borderId="0" xfId="4" applyNumberFormat="1" applyFont="1" applyBorder="1" applyAlignment="1" applyProtection="1">
      <alignment horizontal="center"/>
    </xf>
    <xf numFmtId="173" fontId="0" fillId="0" borderId="0" xfId="0" applyNumberFormat="1" applyFill="1" applyBorder="1" applyAlignment="1" applyProtection="1">
      <alignment horizontal="center"/>
    </xf>
    <xf numFmtId="0" fontId="1" fillId="0" borderId="0" xfId="0" applyFont="1" applyFill="1" applyBorder="1" applyAlignment="1" applyProtection="1">
      <alignment horizontal="center"/>
    </xf>
    <xf numFmtId="173" fontId="60" fillId="14" borderId="0" xfId="0" applyNumberFormat="1" applyFont="1" applyFill="1" applyBorder="1" applyAlignment="1" applyProtection="1">
      <alignment horizontal="center"/>
    </xf>
    <xf numFmtId="173" fontId="60" fillId="14" borderId="17" xfId="0" applyNumberFormat="1" applyFont="1" applyFill="1" applyBorder="1" applyAlignment="1" applyProtection="1">
      <alignment horizontal="center"/>
    </xf>
    <xf numFmtId="172" fontId="0" fillId="24" borderId="0" xfId="0" applyNumberFormat="1" applyFill="1" applyBorder="1" applyAlignment="1" applyProtection="1">
      <alignment horizontal="center"/>
      <protection locked="0"/>
    </xf>
    <xf numFmtId="0" fontId="4" fillId="0" borderId="0" xfId="0" applyFont="1" applyFill="1" applyBorder="1" applyAlignment="1" applyProtection="1">
      <alignment horizontal="center"/>
    </xf>
    <xf numFmtId="0" fontId="1" fillId="24" borderId="0" xfId="0" applyFont="1" applyFill="1" applyBorder="1" applyAlignment="1" applyProtection="1">
      <alignment horizontal="center"/>
      <protection locked="0"/>
    </xf>
    <xf numFmtId="177" fontId="0" fillId="0" borderId="0" xfId="0" applyNumberFormat="1" applyBorder="1" applyAlignment="1" applyProtection="1">
      <alignment horizontal="center"/>
    </xf>
    <xf numFmtId="0" fontId="57" fillId="0" borderId="0" xfId="0" applyNumberFormat="1" applyFont="1" applyBorder="1" applyAlignment="1" applyProtection="1">
      <alignment horizontal="right" vertical="center"/>
    </xf>
    <xf numFmtId="173" fontId="0" fillId="24" borderId="0" xfId="0" applyNumberFormat="1" applyFill="1" applyBorder="1" applyAlignment="1" applyProtection="1">
      <alignment horizontal="center"/>
      <protection locked="0"/>
    </xf>
    <xf numFmtId="0" fontId="4" fillId="23" borderId="0" xfId="0" applyFont="1" applyFill="1" applyBorder="1" applyAlignment="1" applyProtection="1">
      <alignment horizontal="center"/>
      <protection locked="0"/>
    </xf>
    <xf numFmtId="165" fontId="0" fillId="0" borderId="0" xfId="2" applyFont="1" applyBorder="1" applyAlignment="1" applyProtection="1">
      <alignment horizontal="center"/>
    </xf>
    <xf numFmtId="178" fontId="93" fillId="18" borderId="20" xfId="0" applyNumberFormat="1" applyFont="1" applyFill="1" applyBorder="1" applyAlignment="1" applyProtection="1">
      <alignment horizontal="center"/>
    </xf>
    <xf numFmtId="0" fontId="58" fillId="3" borderId="0" xfId="0" applyFont="1" applyFill="1" applyBorder="1" applyAlignment="1" applyProtection="1">
      <alignment horizontal="center" vertical="center"/>
    </xf>
    <xf numFmtId="0" fontId="57" fillId="3" borderId="17" xfId="0" applyFont="1" applyFill="1" applyBorder="1" applyAlignment="1" applyProtection="1">
      <alignment horizontal="center"/>
    </xf>
    <xf numFmtId="0" fontId="57" fillId="0" borderId="0" xfId="0" applyFont="1" applyBorder="1" applyAlignment="1" applyProtection="1">
      <alignment horizontal="left"/>
    </xf>
    <xf numFmtId="0" fontId="57" fillId="0" borderId="0" xfId="0" applyFont="1" applyBorder="1" applyAlignment="1" applyProtection="1">
      <alignment horizontal="center"/>
    </xf>
    <xf numFmtId="0" fontId="57" fillId="0" borderId="17" xfId="0" applyFont="1" applyBorder="1" applyAlignment="1" applyProtection="1">
      <alignment horizontal="center"/>
    </xf>
    <xf numFmtId="0" fontId="57" fillId="13" borderId="0" xfId="0" applyFont="1" applyFill="1" applyBorder="1" applyAlignment="1" applyProtection="1">
      <alignment horizontal="left"/>
    </xf>
    <xf numFmtId="0" fontId="79" fillId="0" borderId="0" xfId="0" applyFont="1" applyBorder="1" applyAlignment="1" applyProtection="1">
      <alignment horizontal="center"/>
    </xf>
    <xf numFmtId="0" fontId="79" fillId="13" borderId="0" xfId="0" applyFont="1" applyFill="1" applyBorder="1" applyAlignment="1" applyProtection="1">
      <alignment horizontal="center"/>
    </xf>
    <xf numFmtId="0" fontId="57" fillId="0" borderId="0" xfId="0" applyFont="1" applyFill="1" applyBorder="1" applyAlignment="1" applyProtection="1">
      <alignment horizontal="left"/>
    </xf>
    <xf numFmtId="0" fontId="79" fillId="11" borderId="0" xfId="0" applyFont="1" applyFill="1" applyBorder="1" applyAlignment="1" applyProtection="1">
      <alignment horizontal="center"/>
    </xf>
    <xf numFmtId="0" fontId="57" fillId="14" borderId="22" xfId="0" applyFont="1" applyFill="1" applyBorder="1" applyAlignment="1" applyProtection="1">
      <alignment horizontal="center"/>
    </xf>
    <xf numFmtId="173" fontId="58" fillId="14" borderId="22" xfId="0" applyNumberFormat="1" applyFont="1" applyFill="1" applyBorder="1" applyAlignment="1" applyProtection="1">
      <alignment horizontal="center"/>
    </xf>
    <xf numFmtId="0" fontId="91" fillId="0" borderId="19" xfId="1" applyFont="1" applyBorder="1" applyAlignment="1" applyProtection="1">
      <alignment horizontal="center" vertical="center" textRotation="255"/>
    </xf>
    <xf numFmtId="0" fontId="91" fillId="0" borderId="0" xfId="1" applyFont="1" applyBorder="1" applyAlignment="1" applyProtection="1">
      <alignment horizontal="center" vertical="center" textRotation="255"/>
    </xf>
    <xf numFmtId="0" fontId="91" fillId="0" borderId="22" xfId="1" applyFont="1" applyBorder="1" applyAlignment="1" applyProtection="1">
      <alignment horizontal="center" vertical="center" textRotation="255"/>
    </xf>
    <xf numFmtId="0" fontId="91" fillId="13" borderId="19" xfId="1" applyFont="1" applyFill="1" applyBorder="1" applyAlignment="1" applyProtection="1">
      <alignment horizontal="center" vertical="center" textRotation="255"/>
    </xf>
    <xf numFmtId="0" fontId="91" fillId="13" borderId="0" xfId="1" applyFont="1" applyFill="1" applyBorder="1" applyAlignment="1" applyProtection="1">
      <alignment horizontal="center" vertical="center" textRotation="255"/>
    </xf>
    <xf numFmtId="0" fontId="91" fillId="13" borderId="22" xfId="1" applyFont="1" applyFill="1" applyBorder="1" applyAlignment="1" applyProtection="1">
      <alignment horizontal="center" vertical="center" textRotation="255"/>
    </xf>
    <xf numFmtId="0" fontId="57" fillId="0" borderId="0" xfId="0" applyNumberFormat="1" applyFont="1" applyFill="1" applyBorder="1" applyAlignment="1" applyProtection="1">
      <alignment horizontal="right" vertical="center"/>
    </xf>
    <xf numFmtId="0" fontId="91" fillId="0" borderId="19" xfId="1" applyFont="1" applyFill="1" applyBorder="1" applyAlignment="1" applyProtection="1">
      <alignment horizontal="center" vertical="center" textRotation="255"/>
    </xf>
    <xf numFmtId="0" fontId="91" fillId="0" borderId="0" xfId="1" applyFont="1" applyFill="1" applyBorder="1" applyAlignment="1" applyProtection="1">
      <alignment horizontal="center" vertical="center" textRotation="255"/>
    </xf>
    <xf numFmtId="0" fontId="91" fillId="0" borderId="22" xfId="1" applyFont="1" applyFill="1" applyBorder="1" applyAlignment="1" applyProtection="1">
      <alignment horizontal="center" vertical="center" textRotation="255"/>
    </xf>
    <xf numFmtId="0" fontId="92" fillId="21" borderId="29" xfId="0" applyFont="1" applyFill="1" applyBorder="1" applyAlignment="1" applyProtection="1">
      <alignment horizontal="center" vertical="center"/>
      <protection locked="0"/>
    </xf>
    <xf numFmtId="0" fontId="92" fillId="21" borderId="30" xfId="0" applyFont="1" applyFill="1" applyBorder="1" applyAlignment="1" applyProtection="1">
      <alignment horizontal="center" vertical="center"/>
      <protection locked="0"/>
    </xf>
    <xf numFmtId="0" fontId="73" fillId="0" borderId="19" xfId="1" applyFont="1" applyFill="1" applyBorder="1" applyAlignment="1">
      <alignment horizontal="center" textRotation="255"/>
    </xf>
    <xf numFmtId="0" fontId="73" fillId="0" borderId="0" xfId="1" applyFont="1" applyFill="1" applyBorder="1" applyAlignment="1">
      <alignment horizontal="center" textRotation="255"/>
    </xf>
    <xf numFmtId="0" fontId="73" fillId="0" borderId="22" xfId="1" applyFont="1" applyFill="1" applyBorder="1" applyAlignment="1">
      <alignment horizontal="center" textRotation="255"/>
    </xf>
    <xf numFmtId="0" fontId="57" fillId="0" borderId="18" xfId="0" applyFont="1" applyBorder="1" applyAlignment="1">
      <alignment horizontal="left"/>
    </xf>
    <xf numFmtId="0" fontId="57" fillId="0" borderId="12" xfId="0" applyFont="1" applyBorder="1" applyAlignment="1">
      <alignment horizontal="left"/>
    </xf>
    <xf numFmtId="0" fontId="57" fillId="0" borderId="13" xfId="0" applyFont="1" applyBorder="1" applyAlignment="1">
      <alignment horizontal="left"/>
    </xf>
    <xf numFmtId="0" fontId="57" fillId="0" borderId="18" xfId="0" applyFont="1" applyBorder="1" applyAlignment="1">
      <alignment horizontal="center"/>
    </xf>
    <xf numFmtId="0" fontId="57" fillId="0" borderId="13" xfId="0" applyFont="1" applyBorder="1" applyAlignment="1">
      <alignment horizontal="center"/>
    </xf>
    <xf numFmtId="0" fontId="57" fillId="0" borderId="18" xfId="0" applyFont="1" applyBorder="1" applyAlignment="1">
      <alignment horizontal="center" wrapText="1"/>
    </xf>
    <xf numFmtId="0" fontId="57" fillId="0" borderId="12" xfId="0" applyFont="1" applyBorder="1" applyAlignment="1">
      <alignment horizontal="center" wrapText="1"/>
    </xf>
    <xf numFmtId="0" fontId="57" fillId="0" borderId="13" xfId="0" applyFont="1" applyBorder="1" applyAlignment="1">
      <alignment horizontal="center" wrapText="1"/>
    </xf>
    <xf numFmtId="0" fontId="94" fillId="0" borderId="7" xfId="0" applyFont="1" applyBorder="1" applyAlignment="1">
      <alignment horizontal="center" wrapText="1"/>
    </xf>
    <xf numFmtId="0" fontId="94" fillId="0" borderId="8" xfId="0" applyFont="1" applyBorder="1" applyAlignment="1">
      <alignment horizontal="center" wrapText="1"/>
    </xf>
    <xf numFmtId="0" fontId="94" fillId="0" borderId="9" xfId="0" applyFont="1" applyBorder="1" applyAlignment="1">
      <alignment horizontal="center" wrapText="1"/>
    </xf>
    <xf numFmtId="0" fontId="94" fillId="0" borderId="4" xfId="0" applyFont="1" applyBorder="1" applyAlignment="1">
      <alignment horizontal="center" wrapText="1"/>
    </xf>
    <xf numFmtId="0" fontId="94" fillId="0" borderId="5" xfId="0" applyFont="1" applyBorder="1" applyAlignment="1">
      <alignment horizontal="center" wrapText="1"/>
    </xf>
    <xf numFmtId="0" fontId="94" fillId="0" borderId="6" xfId="0" applyFont="1" applyBorder="1" applyAlignment="1">
      <alignment horizontal="center" wrapText="1"/>
    </xf>
    <xf numFmtId="0" fontId="57" fillId="0" borderId="12" xfId="0" applyFont="1" applyBorder="1" applyAlignment="1">
      <alignment horizontal="center"/>
    </xf>
    <xf numFmtId="0" fontId="65" fillId="0" borderId="7" xfId="0" applyFont="1" applyBorder="1" applyAlignment="1">
      <alignment horizontal="center"/>
    </xf>
    <xf numFmtId="0" fontId="65" fillId="0" borderId="8" xfId="0" applyFont="1" applyBorder="1" applyAlignment="1">
      <alignment horizontal="center"/>
    </xf>
    <xf numFmtId="0" fontId="65" fillId="0" borderId="31" xfId="0" applyFont="1" applyBorder="1" applyAlignment="1">
      <alignment horizontal="center"/>
    </xf>
    <xf numFmtId="0" fontId="67" fillId="0" borderId="7" xfId="0" applyFont="1" applyBorder="1" applyAlignment="1">
      <alignment horizontal="center" wrapText="1"/>
    </xf>
    <xf numFmtId="0" fontId="67" fillId="0" borderId="8" xfId="0" applyFont="1" applyBorder="1" applyAlignment="1">
      <alignment horizontal="center" wrapText="1"/>
    </xf>
    <xf numFmtId="0" fontId="67" fillId="0" borderId="9" xfId="0" applyFont="1" applyBorder="1" applyAlignment="1">
      <alignment horizontal="center" wrapText="1"/>
    </xf>
    <xf numFmtId="0" fontId="67" fillId="0" borderId="4" xfId="0" applyFont="1" applyBorder="1" applyAlignment="1">
      <alignment horizontal="center" wrapText="1"/>
    </xf>
    <xf numFmtId="0" fontId="67" fillId="0" borderId="5" xfId="0" applyFont="1" applyBorder="1" applyAlignment="1">
      <alignment horizontal="center" wrapText="1"/>
    </xf>
    <xf numFmtId="0" fontId="67" fillId="0" borderId="6" xfId="0" applyFont="1" applyBorder="1" applyAlignment="1">
      <alignment horizontal="center" wrapText="1"/>
    </xf>
    <xf numFmtId="0" fontId="57" fillId="0" borderId="33" xfId="0" applyFont="1" applyBorder="1" applyAlignment="1">
      <alignment horizontal="center"/>
    </xf>
    <xf numFmtId="0" fontId="0" fillId="0" borderId="18"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64" fontId="0" fillId="0" borderId="7" xfId="0" applyNumberFormat="1" applyBorder="1" applyAlignment="1">
      <alignment horizontal="center"/>
    </xf>
    <xf numFmtId="164" fontId="0" fillId="0" borderId="8" xfId="0" applyNumberFormat="1" applyBorder="1" applyAlignment="1">
      <alignment horizontal="center"/>
    </xf>
    <xf numFmtId="164" fontId="0" fillId="0" borderId="9" xfId="0" applyNumberFormat="1" applyBorder="1" applyAlignment="1">
      <alignment horizontal="center"/>
    </xf>
    <xf numFmtId="164" fontId="0" fillId="0" borderId="4" xfId="0" applyNumberFormat="1" applyBorder="1" applyAlignment="1">
      <alignment horizontal="center"/>
    </xf>
    <xf numFmtId="164" fontId="0" fillId="0" borderId="5" xfId="0" applyNumberFormat="1" applyBorder="1" applyAlignment="1">
      <alignment horizontal="center"/>
    </xf>
    <xf numFmtId="164" fontId="0" fillId="0" borderId="6" xfId="0" applyNumberFormat="1" applyBorder="1" applyAlignment="1">
      <alignment horizontal="center"/>
    </xf>
    <xf numFmtId="0" fontId="1" fillId="0" borderId="32" xfId="0" applyFont="1" applyBorder="1" applyAlignment="1">
      <alignment horizontal="center"/>
    </xf>
    <xf numFmtId="0" fontId="1" fillId="0" borderId="25" xfId="0" applyFont="1" applyBorder="1" applyAlignment="1">
      <alignment horizontal="center"/>
    </xf>
    <xf numFmtId="0" fontId="1" fillId="0" borderId="26" xfId="0" applyFont="1" applyBorder="1" applyAlignment="1">
      <alignment horizontal="center"/>
    </xf>
    <xf numFmtId="0" fontId="1" fillId="0" borderId="18" xfId="0" applyFont="1" applyBorder="1" applyAlignment="1">
      <alignment horizontal="left"/>
    </xf>
    <xf numFmtId="0" fontId="1" fillId="0" borderId="12" xfId="0" applyFont="1" applyBorder="1" applyAlignment="1">
      <alignment horizontal="left"/>
    </xf>
    <xf numFmtId="0" fontId="1" fillId="0" borderId="7" xfId="0" applyFont="1" applyBorder="1" applyAlignment="1">
      <alignment horizontal="center"/>
    </xf>
    <xf numFmtId="0" fontId="1" fillId="0" borderId="8" xfId="0" applyFont="1" applyBorder="1" applyAlignment="1">
      <alignment horizontal="center"/>
    </xf>
    <xf numFmtId="0" fontId="0" fillId="0" borderId="18" xfId="0" applyBorder="1" applyAlignment="1">
      <alignment horizontal="left"/>
    </xf>
    <xf numFmtId="0" fontId="0" fillId="0" borderId="12" xfId="0" applyBorder="1" applyAlignment="1">
      <alignment horizontal="left"/>
    </xf>
    <xf numFmtId="0" fontId="1" fillId="0" borderId="18"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0" fillId="0" borderId="0" xfId="0" applyFill="1" applyBorder="1" applyAlignment="1">
      <alignment horizontal="center"/>
    </xf>
    <xf numFmtId="0" fontId="0" fillId="0" borderId="5" xfId="0" applyFont="1" applyBorder="1" applyAlignment="1">
      <alignment horizontal="center" textRotation="135"/>
    </xf>
    <xf numFmtId="0" fontId="0" fillId="0" borderId="5" xfId="0" applyFont="1" applyBorder="1" applyAlignment="1">
      <alignment horizontal="center" textRotation="135" wrapText="1"/>
    </xf>
    <xf numFmtId="177" fontId="57" fillId="0" borderId="1" xfId="0" applyNumberFormat="1" applyFont="1" applyBorder="1" applyAlignment="1">
      <alignment horizontal="center"/>
    </xf>
    <xf numFmtId="177" fontId="57" fillId="0" borderId="19" xfId="0" applyNumberFormat="1" applyFont="1" applyBorder="1" applyAlignment="1">
      <alignment horizontal="center"/>
    </xf>
    <xf numFmtId="177" fontId="57" fillId="0" borderId="20" xfId="0" applyNumberFormat="1" applyFont="1" applyBorder="1" applyAlignment="1">
      <alignment horizontal="center"/>
    </xf>
    <xf numFmtId="177" fontId="57" fillId="0" borderId="21" xfId="0" applyNumberFormat="1" applyFont="1" applyBorder="1" applyAlignment="1">
      <alignment horizontal="center"/>
    </xf>
    <xf numFmtId="177" fontId="57" fillId="0" borderId="22" xfId="0" applyNumberFormat="1" applyFont="1" applyBorder="1" applyAlignment="1">
      <alignment horizontal="center"/>
    </xf>
    <xf numFmtId="177" fontId="57" fillId="0" borderId="23" xfId="0" applyNumberFormat="1" applyFont="1" applyBorder="1" applyAlignment="1">
      <alignment horizontal="center"/>
    </xf>
    <xf numFmtId="0" fontId="1" fillId="0" borderId="10" xfId="0" applyFont="1" applyBorder="1" applyAlignment="1">
      <alignment horizontal="center" wrapText="1"/>
    </xf>
    <xf numFmtId="0" fontId="58" fillId="0" borderId="18" xfId="0" applyFont="1" applyBorder="1" applyAlignment="1">
      <alignment horizontal="left"/>
    </xf>
    <xf numFmtId="0" fontId="58" fillId="0" borderId="12" xfId="0" applyFont="1" applyBorder="1" applyAlignment="1">
      <alignment horizontal="left"/>
    </xf>
    <xf numFmtId="0" fontId="58" fillId="0" borderId="14" xfId="0" applyFont="1" applyBorder="1" applyAlignment="1">
      <alignment horizontal="center"/>
    </xf>
    <xf numFmtId="0" fontId="58" fillId="0" borderId="11" xfId="0" applyFont="1" applyBorder="1" applyAlignment="1">
      <alignment horizontal="center"/>
    </xf>
    <xf numFmtId="0" fontId="0" fillId="0" borderId="2" xfId="0" applyBorder="1" applyAlignment="1" applyProtection="1">
      <alignment horizontal="center"/>
      <protection locked="0"/>
    </xf>
    <xf numFmtId="0" fontId="0" fillId="0" borderId="0" xfId="0" applyBorder="1" applyAlignment="1" applyProtection="1">
      <alignment horizont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xf>
    <xf numFmtId="167" fontId="61" fillId="0" borderId="4" xfId="0" applyNumberFormat="1" applyFont="1" applyFill="1" applyBorder="1" applyAlignment="1" applyProtection="1">
      <alignment horizontal="left"/>
    </xf>
    <xf numFmtId="0" fontId="62" fillId="0" borderId="5" xfId="0" applyFont="1" applyFill="1" applyBorder="1" applyAlignment="1">
      <alignment horizontal="left"/>
    </xf>
    <xf numFmtId="167" fontId="37" fillId="0" borderId="7" xfId="0" applyNumberFormat="1" applyFont="1" applyFill="1" applyBorder="1" applyAlignment="1" applyProtection="1">
      <alignment horizontal="center" vertical="center" wrapText="1"/>
    </xf>
    <xf numFmtId="0" fontId="0" fillId="0" borderId="8" xfId="0" applyFont="1" applyFill="1" applyBorder="1" applyAlignment="1">
      <alignment horizontal="center" vertical="center" wrapText="1"/>
    </xf>
    <xf numFmtId="167" fontId="61" fillId="0" borderId="2" xfId="0" applyNumberFormat="1" applyFont="1" applyFill="1" applyBorder="1" applyAlignment="1" applyProtection="1">
      <alignment horizontal="left"/>
    </xf>
    <xf numFmtId="167" fontId="61" fillId="0" borderId="0" xfId="0" applyNumberFormat="1" applyFont="1" applyFill="1" applyBorder="1" applyAlignment="1" applyProtection="1">
      <alignment horizontal="left"/>
    </xf>
    <xf numFmtId="0" fontId="62" fillId="0" borderId="0" xfId="0" applyFont="1" applyFill="1" applyBorder="1" applyAlignment="1">
      <alignment horizontal="left"/>
    </xf>
    <xf numFmtId="167" fontId="39" fillId="0" borderId="8" xfId="0" applyNumberFormat="1" applyFont="1" applyFill="1" applyBorder="1" applyAlignment="1" applyProtection="1">
      <alignment horizontal="right"/>
    </xf>
    <xf numFmtId="0" fontId="0" fillId="0" borderId="9" xfId="0" applyFill="1" applyBorder="1" applyAlignment="1">
      <alignment horizontal="right"/>
    </xf>
    <xf numFmtId="167" fontId="55" fillId="0" borderId="12" xfId="0" applyNumberFormat="1" applyFont="1" applyFill="1" applyBorder="1" applyAlignment="1" applyProtection="1">
      <alignment horizontal="left"/>
    </xf>
    <xf numFmtId="0" fontId="9" fillId="0" borderId="12" xfId="0" applyFont="1" applyFill="1" applyBorder="1" applyAlignment="1"/>
    <xf numFmtId="167" fontId="61" fillId="0" borderId="4" xfId="0" applyNumberFormat="1" applyFont="1" applyFill="1" applyBorder="1" applyAlignment="1" applyProtection="1">
      <alignment horizontal="center"/>
    </xf>
    <xf numFmtId="167" fontId="61" fillId="0" borderId="5" xfId="0" applyNumberFormat="1" applyFont="1" applyFill="1" applyBorder="1" applyAlignment="1" applyProtection="1">
      <alignment horizontal="center"/>
    </xf>
    <xf numFmtId="167" fontId="36" fillId="0" borderId="8" xfId="0" applyNumberFormat="1" applyFont="1" applyFill="1" applyBorder="1" applyAlignment="1" applyProtection="1">
      <alignment horizontal="right"/>
    </xf>
    <xf numFmtId="0" fontId="68" fillId="0" borderId="19" xfId="1" applyNumberFormat="1" applyFont="1" applyFill="1" applyBorder="1" applyAlignment="1" applyProtection="1">
      <alignment horizontal="left" vertical="center"/>
    </xf>
    <xf numFmtId="167" fontId="44" fillId="0" borderId="18" xfId="0" applyNumberFormat="1" applyFont="1" applyFill="1" applyBorder="1" applyAlignment="1" applyProtection="1">
      <alignment horizontal="center"/>
    </xf>
    <xf numFmtId="0" fontId="9" fillId="0" borderId="12" xfId="0" applyFont="1" applyFill="1" applyBorder="1" applyAlignment="1">
      <alignment horizontal="center"/>
    </xf>
    <xf numFmtId="0" fontId="9" fillId="0" borderId="13" xfId="0" applyFont="1" applyFill="1" applyBorder="1" applyAlignment="1">
      <alignment horizontal="center"/>
    </xf>
    <xf numFmtId="0" fontId="0" fillId="0" borderId="12" xfId="0" applyFill="1" applyBorder="1" applyAlignment="1">
      <alignment horizontal="center"/>
    </xf>
    <xf numFmtId="0" fontId="0" fillId="0" borderId="13" xfId="0" applyFill="1" applyBorder="1" applyAlignment="1">
      <alignment horizontal="center"/>
    </xf>
    <xf numFmtId="14" fontId="4" fillId="0" borderId="7" xfId="0" applyNumberFormat="1" applyFont="1" applyBorder="1" applyAlignment="1" applyProtection="1">
      <alignment horizontal="right"/>
    </xf>
    <xf numFmtId="0" fontId="0" fillId="0" borderId="8" xfId="0" applyBorder="1" applyAlignment="1"/>
    <xf numFmtId="0" fontId="0" fillId="0" borderId="9" xfId="0" applyBorder="1" applyAlignment="1"/>
    <xf numFmtId="0" fontId="4" fillId="0" borderId="2" xfId="0" applyFont="1" applyBorder="1" applyAlignment="1" applyProtection="1">
      <alignment horizontal="right"/>
    </xf>
    <xf numFmtId="0" fontId="0" fillId="0" borderId="0" xfId="0" applyBorder="1" applyAlignment="1"/>
    <xf numFmtId="0" fontId="0" fillId="0" borderId="3" xfId="0" applyBorder="1" applyAlignment="1"/>
    <xf numFmtId="0" fontId="51" fillId="0" borderId="18" xfId="0" applyFont="1" applyFill="1" applyBorder="1" applyAlignment="1">
      <alignment horizontal="center"/>
    </xf>
    <xf numFmtId="0" fontId="51" fillId="0" borderId="12" xfId="0" applyFont="1" applyFill="1" applyBorder="1" applyAlignment="1">
      <alignment horizontal="center"/>
    </xf>
    <xf numFmtId="0" fontId="6" fillId="0" borderId="13" xfId="0" applyFont="1" applyFill="1" applyBorder="1" applyAlignment="1">
      <alignment horizontal="center"/>
    </xf>
    <xf numFmtId="0" fontId="4" fillId="0" borderId="0" xfId="0" applyFont="1" applyBorder="1" applyAlignment="1">
      <alignment horizontal="right"/>
    </xf>
    <xf numFmtId="0" fontId="4" fillId="0" borderId="3" xfId="0" applyFont="1" applyBorder="1" applyAlignment="1">
      <alignment horizontal="right"/>
    </xf>
    <xf numFmtId="167" fontId="17" fillId="0" borderId="10" xfId="0" applyNumberFormat="1" applyFont="1" applyFill="1" applyBorder="1" applyAlignment="1">
      <alignment horizontal="center"/>
    </xf>
    <xf numFmtId="0" fontId="0" fillId="0" borderId="10" xfId="0" applyFill="1" applyBorder="1" applyAlignment="1"/>
    <xf numFmtId="0" fontId="0" fillId="0" borderId="8" xfId="0" applyBorder="1" applyAlignment="1">
      <alignment horizontal="right"/>
    </xf>
    <xf numFmtId="0" fontId="0" fillId="0" borderId="9" xfId="0" applyBorder="1" applyAlignment="1">
      <alignment horizontal="right"/>
    </xf>
    <xf numFmtId="0" fontId="0" fillId="9" borderId="7" xfId="0" applyFill="1" applyBorder="1" applyAlignment="1">
      <alignment horizontal="center" vertical="center"/>
    </xf>
    <xf numFmtId="0" fontId="0" fillId="0" borderId="8"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4" borderId="18" xfId="0" applyFill="1" applyBorder="1" applyAlignment="1"/>
    <xf numFmtId="0" fontId="0" fillId="4" borderId="12" xfId="0" applyFill="1" applyBorder="1" applyAlignment="1"/>
    <xf numFmtId="0" fontId="0" fillId="4" borderId="13" xfId="0" applyFill="1" applyBorder="1" applyAlignment="1"/>
    <xf numFmtId="14" fontId="4" fillId="0" borderId="2" xfId="0" applyNumberFormat="1" applyFont="1" applyBorder="1" applyAlignment="1" applyProtection="1">
      <alignment horizontal="right"/>
    </xf>
    <xf numFmtId="0" fontId="0" fillId="0" borderId="0" xfId="0" applyBorder="1" applyAlignment="1">
      <alignment horizontal="right"/>
    </xf>
    <xf numFmtId="0" fontId="0" fillId="0" borderId="3" xfId="0" applyBorder="1" applyAlignment="1">
      <alignment horizontal="right"/>
    </xf>
    <xf numFmtId="0" fontId="4" fillId="0" borderId="4" xfId="0" applyFont="1" applyBorder="1" applyAlignment="1" applyProtection="1">
      <alignment horizontal="right"/>
    </xf>
    <xf numFmtId="0" fontId="0" fillId="0" borderId="5" xfId="0" applyBorder="1" applyAlignment="1">
      <alignment horizontal="right"/>
    </xf>
    <xf numFmtId="0" fontId="0" fillId="0" borderId="6" xfId="0" applyBorder="1" applyAlignment="1">
      <alignment horizontal="right"/>
    </xf>
    <xf numFmtId="0" fontId="17" fillId="0" borderId="12" xfId="0" applyFont="1" applyFill="1" applyBorder="1" applyAlignment="1">
      <alignment horizontal="center"/>
    </xf>
    <xf numFmtId="0" fontId="17" fillId="0" borderId="18" xfId="0" applyFont="1" applyFill="1" applyBorder="1" applyAlignment="1">
      <alignment horizontal="center"/>
    </xf>
    <xf numFmtId="14" fontId="4" fillId="0" borderId="8" xfId="0" applyNumberFormat="1" applyFont="1" applyBorder="1" applyAlignment="1">
      <alignment horizontal="right"/>
    </xf>
    <xf numFmtId="14" fontId="4" fillId="0" borderId="9" xfId="0" applyNumberFormat="1" applyFont="1" applyBorder="1" applyAlignment="1">
      <alignment horizontal="right"/>
    </xf>
    <xf numFmtId="167" fontId="42" fillId="0" borderId="5" xfId="0" applyNumberFormat="1" applyFont="1" applyFill="1" applyBorder="1" applyAlignment="1" applyProtection="1">
      <alignment horizontal="left" vertical="center"/>
    </xf>
    <xf numFmtId="0" fontId="0" fillId="0" borderId="0" xfId="0" applyAlignment="1">
      <alignment horizontal="center"/>
    </xf>
    <xf numFmtId="167" fontId="32" fillId="0" borderId="22" xfId="0" applyNumberFormat="1" applyFont="1" applyFill="1" applyBorder="1" applyAlignment="1">
      <alignment horizontal="center"/>
    </xf>
    <xf numFmtId="0" fontId="16" fillId="0" borderId="34" xfId="0" applyFont="1" applyFill="1" applyBorder="1" applyAlignment="1">
      <alignment horizontal="center"/>
    </xf>
    <xf numFmtId="167" fontId="56" fillId="0" borderId="12" xfId="0" applyNumberFormat="1" applyFont="1" applyFill="1" applyBorder="1" applyAlignment="1" applyProtection="1">
      <alignment horizontal="left"/>
    </xf>
    <xf numFmtId="167" fontId="36" fillId="0" borderId="9" xfId="0" applyNumberFormat="1" applyFont="1" applyFill="1" applyBorder="1" applyAlignment="1" applyProtection="1">
      <alignment horizontal="right"/>
    </xf>
    <xf numFmtId="167" fontId="37" fillId="0" borderId="8" xfId="0" applyNumberFormat="1" applyFont="1" applyFill="1" applyBorder="1" applyAlignment="1" applyProtection="1">
      <alignment horizontal="center" vertical="center" wrapText="1"/>
    </xf>
    <xf numFmtId="0" fontId="52" fillId="0" borderId="0" xfId="0" applyFont="1" applyFill="1" applyBorder="1" applyAlignment="1" applyProtection="1">
      <alignment horizontal="center" vertical="center"/>
      <protection locked="0"/>
    </xf>
    <xf numFmtId="0" fontId="53" fillId="0" borderId="0" xfId="0" applyFont="1" applyFill="1" applyBorder="1" applyAlignment="1">
      <alignment horizontal="center" vertical="center"/>
    </xf>
    <xf numFmtId="0" fontId="53" fillId="0" borderId="0" xfId="0" applyFont="1" applyFill="1" applyBorder="1" applyAlignment="1"/>
    <xf numFmtId="0" fontId="0" fillId="0" borderId="0" xfId="0" applyFill="1" applyBorder="1" applyAlignment="1"/>
    <xf numFmtId="167" fontId="40" fillId="0" borderId="5" xfId="0" applyNumberFormat="1" applyFont="1" applyFill="1" applyBorder="1" applyAlignment="1" applyProtection="1">
      <alignment horizontal="left" vertical="center"/>
    </xf>
    <xf numFmtId="0" fontId="51" fillId="0" borderId="13" xfId="0" applyFont="1" applyFill="1" applyBorder="1" applyAlignment="1">
      <alignment horizontal="center"/>
    </xf>
    <xf numFmtId="167" fontId="44" fillId="0" borderId="12" xfId="0" applyNumberFormat="1" applyFont="1" applyFill="1" applyBorder="1" applyAlignment="1" applyProtection="1">
      <alignment horizontal="center"/>
    </xf>
    <xf numFmtId="167" fontId="44" fillId="0" borderId="13" xfId="0" applyNumberFormat="1" applyFont="1" applyFill="1" applyBorder="1" applyAlignment="1" applyProtection="1">
      <alignment horizontal="center"/>
    </xf>
    <xf numFmtId="167" fontId="55" fillId="0" borderId="4" xfId="0" applyNumberFormat="1" applyFont="1" applyFill="1" applyBorder="1" applyAlignment="1" applyProtection="1">
      <alignment horizontal="left"/>
    </xf>
    <xf numFmtId="167" fontId="55" fillId="0" borderId="5" xfId="0" applyNumberFormat="1" applyFont="1" applyFill="1" applyBorder="1" applyAlignment="1" applyProtection="1">
      <alignment horizontal="left"/>
    </xf>
    <xf numFmtId="167" fontId="55" fillId="0" borderId="2" xfId="0" applyNumberFormat="1" applyFont="1" applyFill="1" applyBorder="1" applyAlignment="1" applyProtection="1">
      <alignment horizontal="left"/>
    </xf>
    <xf numFmtId="167" fontId="55" fillId="0" borderId="0" xfId="0" applyNumberFormat="1" applyFont="1" applyFill="1" applyBorder="1" applyAlignment="1" applyProtection="1">
      <alignment horizontal="left"/>
    </xf>
    <xf numFmtId="167" fontId="55" fillId="0" borderId="4" xfId="0" applyNumberFormat="1" applyFont="1" applyFill="1" applyBorder="1" applyAlignment="1" applyProtection="1">
      <alignment horizontal="center"/>
    </xf>
    <xf numFmtId="167" fontId="55" fillId="0" borderId="5" xfId="0" applyNumberFormat="1" applyFont="1" applyFill="1" applyBorder="1" applyAlignment="1" applyProtection="1">
      <alignment horizontal="center"/>
    </xf>
    <xf numFmtId="0" fontId="0" fillId="0" borderId="5" xfId="0" applyBorder="1" applyAlignment="1"/>
    <xf numFmtId="0" fontId="0" fillId="0" borderId="6" xfId="0" applyBorder="1" applyAlignment="1"/>
    <xf numFmtId="0" fontId="4" fillId="0" borderId="5" xfId="0" applyFont="1" applyBorder="1" applyAlignment="1">
      <alignment horizontal="right"/>
    </xf>
    <xf numFmtId="0" fontId="4" fillId="0" borderId="6" xfId="0" applyFont="1" applyBorder="1" applyAlignment="1">
      <alignment horizontal="right"/>
    </xf>
    <xf numFmtId="167" fontId="63" fillId="0" borderId="7" xfId="0" applyNumberFormat="1" applyFont="1" applyFill="1" applyBorder="1" applyAlignment="1" applyProtection="1">
      <alignment horizontal="center" vertical="center" wrapText="1"/>
    </xf>
    <xf numFmtId="167" fontId="63" fillId="0" borderId="8" xfId="0" applyNumberFormat="1" applyFont="1" applyFill="1" applyBorder="1" applyAlignment="1" applyProtection="1">
      <alignment horizontal="center" vertical="center" wrapText="1"/>
    </xf>
    <xf numFmtId="167" fontId="55" fillId="0" borderId="2" xfId="0" applyNumberFormat="1" applyFont="1" applyFill="1" applyBorder="1" applyAlignment="1" applyProtection="1">
      <alignment horizontal="left" vertical="center"/>
    </xf>
    <xf numFmtId="167" fontId="55" fillId="0" borderId="0" xfId="0" applyNumberFormat="1" applyFont="1" applyFill="1" applyBorder="1" applyAlignment="1" applyProtection="1">
      <alignment horizontal="left" vertical="center"/>
    </xf>
    <xf numFmtId="0" fontId="0" fillId="0" borderId="22" xfId="0" applyBorder="1" applyAlignment="1" applyProtection="1">
      <alignment horizontal="center"/>
    </xf>
    <xf numFmtId="174" fontId="0" fillId="0" borderId="22" xfId="2" applyNumberFormat="1" applyFont="1" applyBorder="1" applyAlignment="1" applyProtection="1">
      <alignment horizontal="center"/>
    </xf>
    <xf numFmtId="176" fontId="0" fillId="0" borderId="22" xfId="0" applyNumberFormat="1" applyBorder="1" applyAlignment="1" applyProtection="1">
      <alignment horizontal="center"/>
    </xf>
    <xf numFmtId="0" fontId="0" fillId="18" borderId="32" xfId="0" applyFill="1" applyBorder="1" applyAlignment="1" applyProtection="1">
      <alignment horizontal="left"/>
    </xf>
    <xf numFmtId="0" fontId="0" fillId="18" borderId="25" xfId="0" applyFill="1" applyBorder="1" applyAlignment="1" applyProtection="1">
      <alignment horizontal="left"/>
    </xf>
    <xf numFmtId="0" fontId="58" fillId="14" borderId="16" xfId="0" applyFont="1" applyFill="1" applyBorder="1" applyAlignment="1" applyProtection="1">
      <alignment horizontal="center"/>
    </xf>
    <xf numFmtId="173" fontId="60" fillId="14" borderId="25" xfId="0" applyNumberFormat="1" applyFont="1" applyFill="1" applyBorder="1" applyAlignment="1" applyProtection="1">
      <alignment horizontal="center"/>
    </xf>
    <xf numFmtId="173" fontId="60" fillId="14" borderId="26" xfId="0" applyNumberFormat="1" applyFont="1" applyFill="1" applyBorder="1" applyAlignment="1" applyProtection="1">
      <alignment horizontal="center"/>
    </xf>
    <xf numFmtId="0" fontId="58" fillId="3" borderId="32" xfId="0" applyFont="1" applyFill="1" applyBorder="1" applyAlignment="1" applyProtection="1">
      <alignment horizontal="left"/>
    </xf>
    <xf numFmtId="0" fontId="58" fillId="3" borderId="25" xfId="0" applyFont="1" applyFill="1" applyBorder="1" applyAlignment="1" applyProtection="1">
      <alignment horizontal="left"/>
    </xf>
    <xf numFmtId="0" fontId="58" fillId="3" borderId="26" xfId="0" applyFont="1" applyFill="1" applyBorder="1" applyAlignment="1" applyProtection="1">
      <alignment horizontal="left"/>
    </xf>
    <xf numFmtId="0" fontId="58" fillId="3" borderId="1" xfId="0" applyFont="1" applyFill="1" applyBorder="1" applyAlignment="1" applyProtection="1">
      <alignment horizontal="center"/>
    </xf>
    <xf numFmtId="0" fontId="58" fillId="14" borderId="19" xfId="0" applyFont="1" applyFill="1" applyBorder="1" applyAlignment="1" applyProtection="1">
      <alignment horizontal="center"/>
    </xf>
    <xf numFmtId="10" fontId="0" fillId="0" borderId="19" xfId="0" applyNumberFormat="1" applyBorder="1" applyAlignment="1" applyProtection="1">
      <alignment horizontal="center"/>
    </xf>
    <xf numFmtId="0" fontId="1" fillId="3" borderId="21" xfId="0" applyFont="1" applyFill="1" applyBorder="1" applyAlignment="1" applyProtection="1">
      <alignment horizontal="left"/>
    </xf>
    <xf numFmtId="0" fontId="1" fillId="3" borderId="22" xfId="0" applyFont="1" applyFill="1" applyBorder="1" applyAlignment="1" applyProtection="1">
      <alignment horizontal="left"/>
    </xf>
    <xf numFmtId="174" fontId="0" fillId="0" borderId="23" xfId="2" applyNumberFormat="1" applyFont="1" applyBorder="1" applyAlignment="1" applyProtection="1">
      <alignment horizontal="center"/>
    </xf>
    <xf numFmtId="174" fontId="0" fillId="0" borderId="21" xfId="2" applyNumberFormat="1" applyFont="1" applyBorder="1" applyAlignment="1" applyProtection="1">
      <alignment horizontal="center"/>
    </xf>
    <xf numFmtId="173" fontId="0" fillId="3" borderId="1" xfId="0" applyNumberFormat="1" applyFill="1" applyBorder="1" applyAlignment="1" applyProtection="1">
      <alignment horizontal="center"/>
    </xf>
    <xf numFmtId="173" fontId="0" fillId="3" borderId="19" xfId="0" applyNumberFormat="1" applyFill="1" applyBorder="1" applyAlignment="1" applyProtection="1">
      <alignment horizontal="center"/>
    </xf>
    <xf numFmtId="173" fontId="0" fillId="3" borderId="20" xfId="0" applyNumberFormat="1" applyFill="1" applyBorder="1" applyAlignment="1" applyProtection="1">
      <alignment horizontal="center"/>
    </xf>
    <xf numFmtId="173" fontId="0" fillId="0" borderId="16" xfId="0" applyNumberFormat="1" applyFill="1" applyBorder="1" applyAlignment="1" applyProtection="1">
      <alignment horizontal="center"/>
    </xf>
    <xf numFmtId="173" fontId="0" fillId="0" borderId="17" xfId="0" applyNumberFormat="1" applyFill="1" applyBorder="1" applyAlignment="1" applyProtection="1">
      <alignment horizontal="center"/>
    </xf>
    <xf numFmtId="177" fontId="1" fillId="3" borderId="0" xfId="0" applyNumberFormat="1" applyFont="1" applyFill="1" applyBorder="1" applyAlignment="1" applyProtection="1">
      <alignment horizontal="center"/>
    </xf>
    <xf numFmtId="177" fontId="1" fillId="3" borderId="17" xfId="0" applyNumberFormat="1" applyFont="1" applyFill="1" applyBorder="1" applyAlignment="1" applyProtection="1">
      <alignment horizontal="center"/>
    </xf>
    <xf numFmtId="175" fontId="0" fillId="0" borderId="16" xfId="4" applyNumberFormat="1" applyFont="1" applyBorder="1" applyAlignment="1" applyProtection="1">
      <alignment horizontal="center"/>
    </xf>
    <xf numFmtId="175" fontId="0" fillId="0" borderId="17" xfId="4" applyNumberFormat="1" applyFont="1" applyBorder="1" applyAlignment="1" applyProtection="1">
      <alignment horizontal="center"/>
    </xf>
    <xf numFmtId="0" fontId="1" fillId="3" borderId="17" xfId="0" applyFont="1" applyFill="1" applyBorder="1" applyAlignment="1" applyProtection="1">
      <alignment horizontal="center"/>
    </xf>
    <xf numFmtId="174" fontId="0" fillId="0" borderId="16" xfId="2" applyNumberFormat="1" applyFont="1" applyBorder="1" applyAlignment="1" applyProtection="1">
      <alignment horizontal="center"/>
    </xf>
    <xf numFmtId="174" fontId="0" fillId="0" borderId="17" xfId="2" applyNumberFormat="1" applyFont="1" applyBorder="1" applyAlignment="1" applyProtection="1">
      <alignment horizontal="center"/>
    </xf>
    <xf numFmtId="0" fontId="1" fillId="12" borderId="16" xfId="0" applyFont="1" applyFill="1" applyBorder="1" applyAlignment="1" applyProtection="1">
      <alignment horizontal="left"/>
    </xf>
    <xf numFmtId="0" fontId="58" fillId="3" borderId="16" xfId="0" applyFont="1" applyFill="1" applyBorder="1" applyAlignment="1" applyProtection="1">
      <alignment horizontal="left"/>
    </xf>
    <xf numFmtId="172" fontId="58" fillId="0" borderId="8" xfId="0" applyNumberFormat="1" applyFont="1" applyBorder="1" applyAlignment="1" applyProtection="1">
      <alignment horizontal="center"/>
    </xf>
    <xf numFmtId="172" fontId="58" fillId="0" borderId="9" xfId="0" applyNumberFormat="1" applyFont="1" applyBorder="1" applyAlignment="1" applyProtection="1">
      <alignment horizontal="center"/>
    </xf>
    <xf numFmtId="177" fontId="1" fillId="3" borderId="0" xfId="2" applyNumberFormat="1" applyFont="1" applyFill="1" applyBorder="1" applyAlignment="1" applyProtection="1">
      <alignment horizontal="center"/>
    </xf>
    <xf numFmtId="177" fontId="1" fillId="3" borderId="17" xfId="2" applyNumberFormat="1" applyFont="1" applyFill="1" applyBorder="1" applyAlignment="1" applyProtection="1">
      <alignment horizontal="center"/>
    </xf>
    <xf numFmtId="0" fontId="0" fillId="0" borderId="10" xfId="0" applyFill="1" applyBorder="1" applyAlignment="1" applyProtection="1">
      <alignment horizontal="center"/>
    </xf>
    <xf numFmtId="0" fontId="0" fillId="0" borderId="18" xfId="0" applyFill="1" applyBorder="1" applyAlignment="1" applyProtection="1">
      <alignment horizontal="center"/>
    </xf>
    <xf numFmtId="0" fontId="0" fillId="0" borderId="12" xfId="0" applyFill="1" applyBorder="1" applyAlignment="1" applyProtection="1">
      <alignment horizontal="center"/>
    </xf>
    <xf numFmtId="0" fontId="0" fillId="0" borderId="13" xfId="0" applyFill="1" applyBorder="1" applyAlignment="1" applyProtection="1">
      <alignment horizontal="center"/>
    </xf>
    <xf numFmtId="172" fontId="0" fillId="0" borderId="18" xfId="0" applyNumberFormat="1" applyBorder="1" applyAlignment="1" applyProtection="1">
      <alignment horizontal="center"/>
    </xf>
    <xf numFmtId="172" fontId="0" fillId="0" borderId="12" xfId="0" applyNumberFormat="1" applyBorder="1" applyAlignment="1" applyProtection="1">
      <alignment horizontal="center"/>
    </xf>
    <xf numFmtId="172" fontId="0" fillId="0" borderId="13" xfId="0" applyNumberFormat="1" applyBorder="1" applyAlignment="1" applyProtection="1">
      <alignment horizontal="center"/>
    </xf>
    <xf numFmtId="172" fontId="0" fillId="24" borderId="0" xfId="0" applyNumberFormat="1" applyFill="1" applyBorder="1" applyAlignment="1" applyProtection="1">
      <alignment horizontal="center"/>
    </xf>
    <xf numFmtId="2" fontId="0" fillId="0" borderId="10" xfId="0" applyNumberFormat="1" applyFill="1" applyBorder="1" applyAlignment="1" applyProtection="1">
      <alignment horizontal="center"/>
    </xf>
    <xf numFmtId="173" fontId="0" fillId="24" borderId="18" xfId="0" applyNumberFormat="1" applyFill="1" applyBorder="1" applyAlignment="1" applyProtection="1">
      <alignment horizontal="center"/>
    </xf>
    <xf numFmtId="173" fontId="0" fillId="24" borderId="12" xfId="0" applyNumberFormat="1" applyFill="1" applyBorder="1" applyAlignment="1" applyProtection="1">
      <alignment horizontal="center"/>
    </xf>
    <xf numFmtId="173" fontId="0" fillId="24" borderId="13" xfId="0" applyNumberFormat="1" applyFill="1" applyBorder="1" applyAlignment="1" applyProtection="1">
      <alignment horizontal="center"/>
    </xf>
    <xf numFmtId="2" fontId="0" fillId="22" borderId="10" xfId="0" applyNumberFormat="1" applyFill="1" applyBorder="1" applyAlignment="1" applyProtection="1">
      <alignment horizontal="center"/>
    </xf>
    <xf numFmtId="0" fontId="0" fillId="23" borderId="10" xfId="0" applyFill="1" applyBorder="1" applyAlignment="1" applyProtection="1">
      <alignment horizontal="center"/>
    </xf>
    <xf numFmtId="0" fontId="0" fillId="23" borderId="18" xfId="0" applyFill="1" applyBorder="1" applyAlignment="1" applyProtection="1">
      <alignment horizontal="center"/>
    </xf>
    <xf numFmtId="0" fontId="0" fillId="23" borderId="12" xfId="0" applyFill="1" applyBorder="1" applyAlignment="1" applyProtection="1">
      <alignment horizontal="center"/>
    </xf>
    <xf numFmtId="0" fontId="0" fillId="23" borderId="13" xfId="0" applyFill="1" applyBorder="1" applyAlignment="1" applyProtection="1">
      <alignment horizontal="center"/>
    </xf>
    <xf numFmtId="0" fontId="0" fillId="22" borderId="10" xfId="0" applyFill="1" applyBorder="1" applyAlignment="1" applyProtection="1">
      <alignment horizontal="center"/>
    </xf>
    <xf numFmtId="0" fontId="0" fillId="22" borderId="18" xfId="0" applyFill="1" applyBorder="1" applyAlignment="1" applyProtection="1">
      <alignment horizontal="center"/>
    </xf>
    <xf numFmtId="0" fontId="0" fillId="22" borderId="12" xfId="0" applyFill="1" applyBorder="1" applyAlignment="1" applyProtection="1">
      <alignment horizontal="center"/>
    </xf>
    <xf numFmtId="0" fontId="0" fillId="22" borderId="13" xfId="0" applyFill="1" applyBorder="1" applyAlignment="1" applyProtection="1">
      <alignment horizontal="center"/>
    </xf>
    <xf numFmtId="172" fontId="0" fillId="25" borderId="18" xfId="0" applyNumberFormat="1" applyFill="1" applyBorder="1" applyAlignment="1" applyProtection="1">
      <alignment horizontal="center"/>
    </xf>
    <xf numFmtId="172" fontId="0" fillId="25" borderId="12" xfId="0" applyNumberFormat="1" applyFill="1" applyBorder="1" applyAlignment="1" applyProtection="1">
      <alignment horizontal="center"/>
    </xf>
    <xf numFmtId="172" fontId="0" fillId="25" borderId="13" xfId="0" applyNumberFormat="1" applyFill="1" applyBorder="1" applyAlignment="1" applyProtection="1">
      <alignment horizontal="center"/>
    </xf>
    <xf numFmtId="170" fontId="0" fillId="22" borderId="10" xfId="0" applyNumberFormat="1" applyFill="1" applyBorder="1" applyAlignment="1" applyProtection="1">
      <alignment horizontal="center"/>
    </xf>
    <xf numFmtId="175" fontId="0" fillId="0" borderId="1" xfId="4" applyNumberFormat="1" applyFont="1" applyBorder="1" applyAlignment="1" applyProtection="1">
      <alignment horizontal="center"/>
    </xf>
    <xf numFmtId="175" fontId="0" fillId="0" borderId="19" xfId="4" applyNumberFormat="1" applyFont="1" applyBorder="1" applyAlignment="1" applyProtection="1">
      <alignment horizontal="center"/>
    </xf>
    <xf numFmtId="175" fontId="0" fillId="0" borderId="20" xfId="4" applyNumberFormat="1" applyFont="1" applyBorder="1" applyAlignment="1" applyProtection="1">
      <alignment horizontal="center"/>
    </xf>
    <xf numFmtId="0" fontId="0" fillId="18" borderId="32" xfId="0" applyFill="1" applyBorder="1" applyAlignment="1" applyProtection="1">
      <alignment horizontal="center"/>
    </xf>
    <xf numFmtId="0" fontId="0" fillId="18" borderId="25" xfId="0" applyFill="1" applyBorder="1" applyAlignment="1" applyProtection="1">
      <alignment horizontal="center"/>
    </xf>
    <xf numFmtId="0" fontId="0" fillId="18" borderId="26" xfId="0" applyFill="1" applyBorder="1" applyAlignment="1" applyProtection="1">
      <alignment horizontal="center"/>
    </xf>
    <xf numFmtId="0" fontId="0" fillId="18" borderId="1" xfId="0" applyFill="1" applyBorder="1" applyAlignment="1" applyProtection="1">
      <alignment horizontal="center"/>
    </xf>
    <xf numFmtId="0" fontId="0" fillId="18" borderId="19" xfId="0" applyFill="1" applyBorder="1" applyAlignment="1" applyProtection="1">
      <alignment horizontal="center"/>
    </xf>
    <xf numFmtId="0" fontId="0" fillId="18" borderId="20" xfId="0" applyFill="1" applyBorder="1" applyAlignment="1" applyProtection="1">
      <alignment horizontal="center"/>
    </xf>
    <xf numFmtId="0" fontId="58" fillId="3" borderId="1" xfId="0" applyFont="1" applyFill="1" applyBorder="1" applyAlignment="1" applyProtection="1">
      <alignment horizontal="center" vertical="center"/>
    </xf>
    <xf numFmtId="0" fontId="58" fillId="3" borderId="19" xfId="0" applyFont="1" applyFill="1" applyBorder="1" applyAlignment="1" applyProtection="1">
      <alignment horizontal="center" vertical="center"/>
    </xf>
    <xf numFmtId="0" fontId="58" fillId="3" borderId="21" xfId="0" applyFont="1" applyFill="1" applyBorder="1" applyAlignment="1" applyProtection="1">
      <alignment horizontal="center" vertical="center"/>
    </xf>
    <xf numFmtId="0" fontId="58" fillId="3" borderId="22" xfId="0" applyFont="1" applyFill="1" applyBorder="1" applyAlignment="1" applyProtection="1">
      <alignment horizontal="center" vertical="center"/>
    </xf>
    <xf numFmtId="0" fontId="57" fillId="3" borderId="25" xfId="0" applyFont="1" applyFill="1" applyBorder="1" applyAlignment="1" applyProtection="1">
      <alignment horizontal="center"/>
    </xf>
    <xf numFmtId="0" fontId="57" fillId="3" borderId="26" xfId="0" applyFont="1" applyFill="1" applyBorder="1" applyAlignment="1" applyProtection="1">
      <alignment horizontal="center"/>
    </xf>
    <xf numFmtId="0" fontId="57" fillId="3" borderId="32" xfId="0" applyFont="1" applyFill="1" applyBorder="1" applyAlignment="1" applyProtection="1">
      <alignment horizontal="center"/>
    </xf>
    <xf numFmtId="0" fontId="0" fillId="12" borderId="16" xfId="0" applyFill="1" applyBorder="1" applyAlignment="1" applyProtection="1">
      <alignment horizontal="left"/>
    </xf>
    <xf numFmtId="0" fontId="1" fillId="3" borderId="2" xfId="0" applyFont="1" applyFill="1" applyBorder="1" applyAlignment="1" applyProtection="1">
      <alignment horizontal="center"/>
    </xf>
    <xf numFmtId="0" fontId="1" fillId="3" borderId="3" xfId="0" applyFont="1" applyFill="1" applyBorder="1" applyAlignment="1" applyProtection="1">
      <alignment horizontal="center"/>
    </xf>
    <xf numFmtId="173" fontId="0" fillId="22" borderId="2" xfId="0" applyNumberFormat="1" applyFill="1" applyBorder="1" applyAlignment="1" applyProtection="1">
      <alignment horizontal="center"/>
    </xf>
    <xf numFmtId="0" fontId="57" fillId="0" borderId="32" xfId="0" applyFont="1" applyBorder="1" applyAlignment="1" applyProtection="1">
      <alignment horizontal="center"/>
    </xf>
    <xf numFmtId="0" fontId="57" fillId="0" borderId="25" xfId="0" applyFont="1" applyBorder="1" applyAlignment="1" applyProtection="1">
      <alignment horizontal="center"/>
    </xf>
    <xf numFmtId="0" fontId="57" fillId="0" borderId="26" xfId="0" applyFont="1" applyBorder="1" applyAlignment="1" applyProtection="1">
      <alignment horizontal="center"/>
    </xf>
    <xf numFmtId="0" fontId="0" fillId="26" borderId="0" xfId="0" applyNumberFormat="1" applyFill="1" applyBorder="1" applyAlignment="1" applyProtection="1">
      <alignment horizontal="center" vertical="center"/>
    </xf>
    <xf numFmtId="0" fontId="0" fillId="22" borderId="0" xfId="0" applyFill="1" applyBorder="1" applyAlignment="1" applyProtection="1">
      <alignment horizontal="center" vertical="center"/>
    </xf>
  </cellXfs>
  <cellStyles count="5">
    <cellStyle name="Lien hypertexte" xfId="1" builtinId="8"/>
    <cellStyle name="Monétaire" xfId="2" builtinId="4"/>
    <cellStyle name="Normal" xfId="0" builtinId="0"/>
    <cellStyle name="Normal 2" xfId="3"/>
    <cellStyle name="Pourcentage" xfId="4" builtinId="5"/>
  </cellStyles>
  <dxfs count="99">
    <dxf>
      <font>
        <b/>
        <i val="0"/>
      </font>
      <fill>
        <gradientFill degree="90">
          <stop position="0">
            <color theme="0"/>
          </stop>
          <stop position="0.5">
            <color theme="5" tint="0.40000610370189521"/>
          </stop>
          <stop position="1">
            <color theme="0"/>
          </stop>
        </gradient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90">
          <stop position="0">
            <color theme="0"/>
          </stop>
          <stop position="0.5">
            <color theme="5" tint="0.40000610370189521"/>
          </stop>
          <stop position="1">
            <color theme="0"/>
          </stop>
        </gradient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font>
      <fill>
        <gradientFill degree="90">
          <stop position="0">
            <color theme="0"/>
          </stop>
          <stop position="0.5">
            <color theme="5" tint="0.59999389629810485"/>
          </stop>
          <stop position="1">
            <color theme="0"/>
          </stop>
        </gradient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font>
      <fill>
        <gradientFill degree="270">
          <stop position="0">
            <color theme="0"/>
          </stop>
          <stop position="1">
            <color theme="0" tint="-0.34900967436750391"/>
          </stop>
        </gradientFill>
      </fill>
      <border>
        <left style="thin">
          <color indexed="64"/>
        </left>
        <right style="thin">
          <color indexed="64"/>
        </right>
        <top style="thin">
          <color indexed="64"/>
        </top>
        <bottom style="thin">
          <color indexed="64"/>
        </bottom>
      </border>
    </dxf>
    <dxf>
      <font>
        <b/>
        <i val="0"/>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font>
      <fill>
        <gradientFill degree="270">
          <stop position="0">
            <color theme="0"/>
          </stop>
          <stop position="1">
            <color theme="2" tint="-0.49803155613879818"/>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i val="0"/>
        <color theme="9" tint="0.39994506668294322"/>
      </font>
      <fill>
        <patternFill>
          <bgColor rgb="FF00B050"/>
        </patternFill>
      </fill>
    </dxf>
    <dxf>
      <font>
        <b/>
        <i val="0"/>
        <color auto="1"/>
      </font>
      <fill>
        <gradientFill degree="90">
          <stop position="0">
            <color theme="0"/>
          </stop>
          <stop position="0.5">
            <color theme="0" tint="-0.34900967436750391"/>
          </stop>
          <stop position="1">
            <color theme="0"/>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0" tint="-0.34900967436750391"/>
          </stop>
          <stop position="1">
            <color theme="0"/>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0" tint="-0.34900967436750391"/>
          </stop>
          <stop position="1">
            <color theme="0"/>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0.5">
            <color theme="5" tint="0.40000610370189521"/>
          </stop>
          <stop position="1">
            <color theme="0"/>
          </stop>
        </gradientFill>
      </fill>
      <border>
        <left style="thin">
          <color indexed="64"/>
        </left>
        <right style="thin">
          <color indexed="64"/>
        </right>
        <top style="thin">
          <color indexed="64"/>
        </top>
        <bottom style="thin">
          <color indexed="64"/>
        </bottom>
      </border>
    </dxf>
    <dxf>
      <font>
        <b/>
        <i val="0"/>
      </font>
      <fill>
        <gradientFill degree="90">
          <stop position="0">
            <color theme="0"/>
          </stop>
          <stop position="1">
            <color theme="5" tint="0.40000610370189521"/>
          </stop>
        </gradientFill>
      </fill>
      <border>
        <left style="thin">
          <color indexed="64"/>
        </left>
        <right style="thin">
          <color indexed="64"/>
        </right>
        <top style="thin">
          <color indexed="64"/>
        </top>
        <bottom style="thin">
          <color indexed="64"/>
        </bottom>
      </border>
    </dxf>
    <dxf>
      <font>
        <b/>
        <i/>
      </font>
      <fill>
        <patternFill>
          <bgColor theme="7" tint="0.59996337778862885"/>
        </patternFill>
      </fill>
    </dxf>
    <dxf>
      <font>
        <b/>
        <i/>
      </font>
      <fill>
        <patternFill>
          <bgColor theme="7" tint="0.59996337778862885"/>
        </patternFill>
      </fill>
    </dxf>
    <dxf>
      <font>
        <b val="0"/>
        <i/>
      </font>
      <fill>
        <patternFill>
          <bgColor theme="7" tint="0.79998168889431442"/>
        </patternFill>
      </fill>
    </dxf>
    <dxf>
      <font>
        <color rgb="FF006100"/>
      </font>
      <fill>
        <patternFill>
          <bgColor rgb="FFC6EFCE"/>
        </patternFill>
      </fill>
    </dxf>
    <dxf>
      <font>
        <color rgb="FF9C0006"/>
      </font>
      <fill>
        <patternFill>
          <bgColor rgb="FFFFC7CE"/>
        </patternFill>
      </fill>
    </dxf>
    <dxf>
      <font>
        <color auto="1"/>
      </font>
      <fill>
        <patternFill>
          <bgColor theme="0" tint="-4.9989318521683403E-2"/>
        </patternFill>
      </fill>
    </dxf>
    <dxf>
      <font>
        <color rgb="FF006100"/>
      </font>
      <fill>
        <patternFill>
          <bgColor rgb="FFC6EFCE"/>
        </patternFill>
      </fill>
    </dxf>
    <dxf>
      <font>
        <color rgb="FF9C0006"/>
      </font>
      <fill>
        <patternFill>
          <bgColor rgb="FFFFC7CE"/>
        </patternFill>
      </fill>
    </dxf>
    <dxf>
      <font>
        <color auto="1"/>
      </font>
      <fill>
        <patternFill>
          <bgColor theme="0" tint="-4.9989318521683403E-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drawings/_rels/drawing17.xml.rels><?xml version="1.0" encoding="UTF-8" standalone="yes"?>
<Relationships xmlns="http://schemas.openxmlformats.org/package/2006/relationships"><Relationship Id="rId8" Type="http://schemas.openxmlformats.org/officeDocument/2006/relationships/image" Target="../media/image25.emf"/><Relationship Id="rId13" Type="http://schemas.openxmlformats.org/officeDocument/2006/relationships/image" Target="../media/image30.emf"/><Relationship Id="rId18" Type="http://schemas.openxmlformats.org/officeDocument/2006/relationships/image" Target="../media/image35.emf"/><Relationship Id="rId3" Type="http://schemas.openxmlformats.org/officeDocument/2006/relationships/image" Target="../media/image20.emf"/><Relationship Id="rId7" Type="http://schemas.openxmlformats.org/officeDocument/2006/relationships/image" Target="../media/image24.emf"/><Relationship Id="rId12" Type="http://schemas.openxmlformats.org/officeDocument/2006/relationships/image" Target="../media/image29.emf"/><Relationship Id="rId17" Type="http://schemas.openxmlformats.org/officeDocument/2006/relationships/image" Target="../media/image34.emf"/><Relationship Id="rId2" Type="http://schemas.openxmlformats.org/officeDocument/2006/relationships/image" Target="../media/image19.emf"/><Relationship Id="rId16" Type="http://schemas.openxmlformats.org/officeDocument/2006/relationships/image" Target="../media/image33.emf"/><Relationship Id="rId1" Type="http://schemas.openxmlformats.org/officeDocument/2006/relationships/image" Target="../media/image18.emf"/><Relationship Id="rId6" Type="http://schemas.openxmlformats.org/officeDocument/2006/relationships/image" Target="../media/image23.emf"/><Relationship Id="rId11" Type="http://schemas.openxmlformats.org/officeDocument/2006/relationships/image" Target="../media/image28.emf"/><Relationship Id="rId5" Type="http://schemas.openxmlformats.org/officeDocument/2006/relationships/image" Target="../media/image22.emf"/><Relationship Id="rId15" Type="http://schemas.openxmlformats.org/officeDocument/2006/relationships/image" Target="../media/image32.emf"/><Relationship Id="rId10" Type="http://schemas.openxmlformats.org/officeDocument/2006/relationships/image" Target="../media/image27.emf"/><Relationship Id="rId19" Type="http://schemas.openxmlformats.org/officeDocument/2006/relationships/image" Target="../media/image36.emf"/><Relationship Id="rId4" Type="http://schemas.openxmlformats.org/officeDocument/2006/relationships/image" Target="../media/image21.emf"/><Relationship Id="rId9" Type="http://schemas.openxmlformats.org/officeDocument/2006/relationships/image" Target="../media/image26.emf"/><Relationship Id="rId14" Type="http://schemas.openxmlformats.org/officeDocument/2006/relationships/image" Target="../media/image31.emf"/></Relationships>
</file>

<file path=xl/drawings/_rels/drawing18.xml.rels><?xml version="1.0" encoding="UTF-8" standalone="yes"?>
<Relationships xmlns="http://schemas.openxmlformats.org/package/2006/relationships"><Relationship Id="rId3" Type="http://schemas.openxmlformats.org/officeDocument/2006/relationships/image" Target="../media/image21.emf"/><Relationship Id="rId2" Type="http://schemas.openxmlformats.org/officeDocument/2006/relationships/image" Target="../media/image18.emf"/><Relationship Id="rId1" Type="http://schemas.openxmlformats.org/officeDocument/2006/relationships/image" Target="../media/image37.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8.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2.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355600</xdr:colOff>
          <xdr:row>13</xdr:row>
          <xdr:rowOff>63500</xdr:rowOff>
        </xdr:from>
        <xdr:to>
          <xdr:col>11</xdr:col>
          <xdr:colOff>965200</xdr:colOff>
          <xdr:row>15</xdr:row>
          <xdr:rowOff>63500</xdr:rowOff>
        </xdr:to>
        <xdr:sp macro="" textlink="">
          <xdr:nvSpPr>
            <xdr:cNvPr id="56378" name="MENU" hidden="1">
              <a:extLst>
                <a:ext uri="{63B3BB69-23CF-44E3-9099-C40C66FF867C}">
                  <a14:compatExt spid="_x0000_s56378"/>
                </a:ext>
                <a:ext uri="{FF2B5EF4-FFF2-40B4-BE49-F238E27FC236}">
                  <a16:creationId xmlns="" xmlns:a16="http://schemas.microsoft.com/office/drawing/2014/main" id="{00000000-0008-0000-0100-00003AD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29</xdr:col>
          <xdr:colOff>57150</xdr:colOff>
          <xdr:row>7</xdr:row>
          <xdr:rowOff>76200</xdr:rowOff>
        </xdr:from>
        <xdr:to>
          <xdr:col>32</xdr:col>
          <xdr:colOff>304800</xdr:colOff>
          <xdr:row>9</xdr:row>
          <xdr:rowOff>57150</xdr:rowOff>
        </xdr:to>
        <xdr:sp macro="" textlink="">
          <xdr:nvSpPr>
            <xdr:cNvPr id="100353" name="MENU" hidden="1">
              <a:extLst>
                <a:ext uri="{63B3BB69-23CF-44E3-9099-C40C66FF867C}">
                  <a14:compatExt spid="_x0000_s100353"/>
                </a:ext>
                <a:ext uri="{FF2B5EF4-FFF2-40B4-BE49-F238E27FC236}">
                  <a16:creationId xmlns="" xmlns:a16="http://schemas.microsoft.com/office/drawing/2014/main" id="{00000000-0008-0000-0200-0000018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142875</xdr:colOff>
          <xdr:row>18</xdr:row>
          <xdr:rowOff>114300</xdr:rowOff>
        </xdr:from>
        <xdr:to>
          <xdr:col>11</xdr:col>
          <xdr:colOff>38100</xdr:colOff>
          <xdr:row>21</xdr:row>
          <xdr:rowOff>9525</xdr:rowOff>
        </xdr:to>
        <xdr:sp macro="" textlink="">
          <xdr:nvSpPr>
            <xdr:cNvPr id="101377" name="MENU" hidden="1">
              <a:extLst>
                <a:ext uri="{63B3BB69-23CF-44E3-9099-C40C66FF867C}">
                  <a14:compatExt spid="_x0000_s101377"/>
                </a:ext>
                <a:ext uri="{FF2B5EF4-FFF2-40B4-BE49-F238E27FC236}">
                  <a16:creationId xmlns="" xmlns:a16="http://schemas.microsoft.com/office/drawing/2014/main" id="{00000000-0008-0000-0300-0000018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8</xdr:row>
          <xdr:rowOff>152400</xdr:rowOff>
        </xdr:from>
        <xdr:to>
          <xdr:col>20</xdr:col>
          <xdr:colOff>304800</xdr:colOff>
          <xdr:row>11</xdr:row>
          <xdr:rowOff>85725</xdr:rowOff>
        </xdr:to>
        <xdr:sp macro="" textlink="">
          <xdr:nvSpPr>
            <xdr:cNvPr id="30725" name="MENU" hidden="1">
              <a:extLst>
                <a:ext uri="{63B3BB69-23CF-44E3-9099-C40C66FF867C}">
                  <a14:compatExt spid="_x0000_s30725"/>
                </a:ext>
                <a:ext uri="{FF2B5EF4-FFF2-40B4-BE49-F238E27FC236}">
                  <a16:creationId xmlns="" xmlns:a16="http://schemas.microsoft.com/office/drawing/2014/main" id="{00000000-0008-0000-0400-000005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26</xdr:row>
          <xdr:rowOff>76200</xdr:rowOff>
        </xdr:from>
        <xdr:to>
          <xdr:col>20</xdr:col>
          <xdr:colOff>304800</xdr:colOff>
          <xdr:row>28</xdr:row>
          <xdr:rowOff>114300</xdr:rowOff>
        </xdr:to>
        <xdr:sp macro="" textlink="">
          <xdr:nvSpPr>
            <xdr:cNvPr id="74754" name="MENU" hidden="1">
              <a:extLst>
                <a:ext uri="{63B3BB69-23CF-44E3-9099-C40C66FF867C}">
                  <a14:compatExt spid="_x0000_s74754"/>
                </a:ext>
                <a:ext uri="{FF2B5EF4-FFF2-40B4-BE49-F238E27FC236}">
                  <a16:creationId xmlns="" xmlns:a16="http://schemas.microsoft.com/office/drawing/2014/main" id="{00000000-0008-0000-0500-0000022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38</xdr:col>
          <xdr:colOff>123825</xdr:colOff>
          <xdr:row>7</xdr:row>
          <xdr:rowOff>104775</xdr:rowOff>
        </xdr:from>
        <xdr:to>
          <xdr:col>44</xdr:col>
          <xdr:colOff>142875</xdr:colOff>
          <xdr:row>8</xdr:row>
          <xdr:rowOff>152400</xdr:rowOff>
        </xdr:to>
        <xdr:sp macro="" textlink="">
          <xdr:nvSpPr>
            <xdr:cNvPr id="88068" name="MENU" hidden="1">
              <a:extLst>
                <a:ext uri="{63B3BB69-23CF-44E3-9099-C40C66FF867C}">
                  <a14:compatExt spid="_x0000_s88068"/>
                </a:ext>
                <a:ext uri="{FF2B5EF4-FFF2-40B4-BE49-F238E27FC236}">
                  <a16:creationId xmlns="" xmlns:a16="http://schemas.microsoft.com/office/drawing/2014/main" id="{00000000-0008-0000-0600-0000045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123825</xdr:colOff>
          <xdr:row>39</xdr:row>
          <xdr:rowOff>142875</xdr:rowOff>
        </xdr:from>
        <xdr:to>
          <xdr:col>33</xdr:col>
          <xdr:colOff>76200</xdr:colOff>
          <xdr:row>42</xdr:row>
          <xdr:rowOff>0</xdr:rowOff>
        </xdr:to>
        <xdr:sp macro="" textlink="">
          <xdr:nvSpPr>
            <xdr:cNvPr id="87042" name="CommandButton1" hidden="1">
              <a:extLst>
                <a:ext uri="{63B3BB69-23CF-44E3-9099-C40C66FF867C}">
                  <a14:compatExt spid="_x0000_s87042"/>
                </a:ext>
                <a:ext uri="{FF2B5EF4-FFF2-40B4-BE49-F238E27FC236}">
                  <a16:creationId xmlns="" xmlns:a16="http://schemas.microsoft.com/office/drawing/2014/main" id="{00000000-0008-0000-0700-0000025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123825</xdr:colOff>
          <xdr:row>3</xdr:row>
          <xdr:rowOff>304800</xdr:rowOff>
        </xdr:from>
        <xdr:to>
          <xdr:col>49</xdr:col>
          <xdr:colOff>142875</xdr:colOff>
          <xdr:row>5</xdr:row>
          <xdr:rowOff>152400</xdr:rowOff>
        </xdr:to>
        <xdr:sp macro="" textlink="">
          <xdr:nvSpPr>
            <xdr:cNvPr id="87043" name="MENU" hidden="1">
              <a:extLst>
                <a:ext uri="{63B3BB69-23CF-44E3-9099-C40C66FF867C}">
                  <a14:compatExt spid="_x0000_s87043"/>
                </a:ext>
                <a:ext uri="{FF2B5EF4-FFF2-40B4-BE49-F238E27FC236}">
                  <a16:creationId xmlns="" xmlns:a16="http://schemas.microsoft.com/office/drawing/2014/main" id="{00000000-0008-0000-0700-0000035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8</xdr:row>
          <xdr:rowOff>152400</xdr:rowOff>
        </xdr:from>
        <xdr:to>
          <xdr:col>20</xdr:col>
          <xdr:colOff>304800</xdr:colOff>
          <xdr:row>11</xdr:row>
          <xdr:rowOff>85725</xdr:rowOff>
        </xdr:to>
        <xdr:sp macro="" textlink="">
          <xdr:nvSpPr>
            <xdr:cNvPr id="86018" name="MENU" hidden="1">
              <a:extLst>
                <a:ext uri="{63B3BB69-23CF-44E3-9099-C40C66FF867C}">
                  <a14:compatExt spid="_x0000_s86018"/>
                </a:ext>
                <a:ext uri="{FF2B5EF4-FFF2-40B4-BE49-F238E27FC236}">
                  <a16:creationId xmlns="" xmlns:a16="http://schemas.microsoft.com/office/drawing/2014/main" id="{00000000-0008-0000-0800-0000025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8</xdr:row>
          <xdr:rowOff>152400</xdr:rowOff>
        </xdr:from>
        <xdr:to>
          <xdr:col>20</xdr:col>
          <xdr:colOff>304800</xdr:colOff>
          <xdr:row>11</xdr:row>
          <xdr:rowOff>85725</xdr:rowOff>
        </xdr:to>
        <xdr:sp macro="" textlink="">
          <xdr:nvSpPr>
            <xdr:cNvPr id="84994" name="MENU" hidden="1">
              <a:extLst>
                <a:ext uri="{63B3BB69-23CF-44E3-9099-C40C66FF867C}">
                  <a14:compatExt spid="_x0000_s84994"/>
                </a:ext>
                <a:ext uri="{FF2B5EF4-FFF2-40B4-BE49-F238E27FC236}">
                  <a16:creationId xmlns="" xmlns:a16="http://schemas.microsoft.com/office/drawing/2014/main" id="{00000000-0008-0000-0900-0000024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123825</xdr:colOff>
          <xdr:row>27</xdr:row>
          <xdr:rowOff>133350</xdr:rowOff>
        </xdr:from>
        <xdr:to>
          <xdr:col>29</xdr:col>
          <xdr:colOff>76200</xdr:colOff>
          <xdr:row>30</xdr:row>
          <xdr:rowOff>0</xdr:rowOff>
        </xdr:to>
        <xdr:sp macro="" textlink="">
          <xdr:nvSpPr>
            <xdr:cNvPr id="83970" name="MENU" hidden="1">
              <a:extLst>
                <a:ext uri="{63B3BB69-23CF-44E3-9099-C40C66FF867C}">
                  <a14:compatExt spid="_x0000_s83970"/>
                </a:ext>
                <a:ext uri="{FF2B5EF4-FFF2-40B4-BE49-F238E27FC236}">
                  <a16:creationId xmlns="" xmlns:a16="http://schemas.microsoft.com/office/drawing/2014/main" id="{00000000-0008-0000-0A00-0000024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123825</xdr:colOff>
          <xdr:row>30</xdr:row>
          <xdr:rowOff>133350</xdr:rowOff>
        </xdr:from>
        <xdr:to>
          <xdr:col>29</xdr:col>
          <xdr:colOff>76200</xdr:colOff>
          <xdr:row>33</xdr:row>
          <xdr:rowOff>0</xdr:rowOff>
        </xdr:to>
        <xdr:sp macro="" textlink="">
          <xdr:nvSpPr>
            <xdr:cNvPr id="82946" name="MENU" hidden="1">
              <a:extLst>
                <a:ext uri="{63B3BB69-23CF-44E3-9099-C40C66FF867C}">
                  <a14:compatExt spid="_x0000_s82946"/>
                </a:ext>
                <a:ext uri="{FF2B5EF4-FFF2-40B4-BE49-F238E27FC236}">
                  <a16:creationId xmlns="" xmlns:a16="http://schemas.microsoft.com/office/drawing/2014/main" id="{00000000-0008-0000-0B00-0000024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123825</xdr:colOff>
          <xdr:row>25</xdr:row>
          <xdr:rowOff>104775</xdr:rowOff>
        </xdr:from>
        <xdr:to>
          <xdr:col>19</xdr:col>
          <xdr:colOff>76200</xdr:colOff>
          <xdr:row>27</xdr:row>
          <xdr:rowOff>114300</xdr:rowOff>
        </xdr:to>
        <xdr:sp macro="" textlink="">
          <xdr:nvSpPr>
            <xdr:cNvPr id="81922" name="MENU" hidden="1">
              <a:extLst>
                <a:ext uri="{63B3BB69-23CF-44E3-9099-C40C66FF867C}">
                  <a14:compatExt spid="_x0000_s81922"/>
                </a:ext>
                <a:ext uri="{FF2B5EF4-FFF2-40B4-BE49-F238E27FC236}">
                  <a16:creationId xmlns="" xmlns:a16="http://schemas.microsoft.com/office/drawing/2014/main" id="{00000000-0008-0000-0C00-0000024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38</xdr:col>
          <xdr:colOff>66675</xdr:colOff>
          <xdr:row>3</xdr:row>
          <xdr:rowOff>9525</xdr:rowOff>
        </xdr:from>
        <xdr:to>
          <xdr:col>44</xdr:col>
          <xdr:colOff>85725</xdr:colOff>
          <xdr:row>4</xdr:row>
          <xdr:rowOff>57150</xdr:rowOff>
        </xdr:to>
        <xdr:sp macro="" textlink="">
          <xdr:nvSpPr>
            <xdr:cNvPr id="78850" name="MENU" hidden="1">
              <a:extLst>
                <a:ext uri="{63B3BB69-23CF-44E3-9099-C40C66FF867C}">
                  <a14:compatExt spid="_x0000_s78850"/>
                </a:ext>
                <a:ext uri="{FF2B5EF4-FFF2-40B4-BE49-F238E27FC236}">
                  <a16:creationId xmlns="" xmlns:a16="http://schemas.microsoft.com/office/drawing/2014/main" id="{00000000-0008-0000-0D00-0000023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123825</xdr:colOff>
          <xdr:row>23</xdr:row>
          <xdr:rowOff>304800</xdr:rowOff>
        </xdr:from>
        <xdr:to>
          <xdr:col>19</xdr:col>
          <xdr:colOff>76200</xdr:colOff>
          <xdr:row>25</xdr:row>
          <xdr:rowOff>152400</xdr:rowOff>
        </xdr:to>
        <xdr:sp macro="" textlink="">
          <xdr:nvSpPr>
            <xdr:cNvPr id="79874" name="MENU" hidden="1">
              <a:extLst>
                <a:ext uri="{63B3BB69-23CF-44E3-9099-C40C66FF867C}">
                  <a14:compatExt spid="_x0000_s79874"/>
                </a:ext>
                <a:ext uri="{FF2B5EF4-FFF2-40B4-BE49-F238E27FC236}">
                  <a16:creationId xmlns="" xmlns:a16="http://schemas.microsoft.com/office/drawing/2014/main" id="{00000000-0008-0000-0E00-0000023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8</xdr:row>
          <xdr:rowOff>152400</xdr:rowOff>
        </xdr:from>
        <xdr:to>
          <xdr:col>20</xdr:col>
          <xdr:colOff>304800</xdr:colOff>
          <xdr:row>11</xdr:row>
          <xdr:rowOff>85725</xdr:rowOff>
        </xdr:to>
        <xdr:sp macro="" textlink="">
          <xdr:nvSpPr>
            <xdr:cNvPr id="80898" name="MENU" hidden="1">
              <a:extLst>
                <a:ext uri="{63B3BB69-23CF-44E3-9099-C40C66FF867C}">
                  <a14:compatExt spid="_x0000_s80898"/>
                </a:ext>
                <a:ext uri="{FF2B5EF4-FFF2-40B4-BE49-F238E27FC236}">
                  <a16:creationId xmlns="" xmlns:a16="http://schemas.microsoft.com/office/drawing/2014/main" id="{00000000-0008-0000-0F00-0000023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1819275</xdr:colOff>
          <xdr:row>14</xdr:row>
          <xdr:rowOff>133350</xdr:rowOff>
        </xdr:from>
        <xdr:to>
          <xdr:col>6</xdr:col>
          <xdr:colOff>3324225</xdr:colOff>
          <xdr:row>17</xdr:row>
          <xdr:rowOff>28575</xdr:rowOff>
        </xdr:to>
        <xdr:sp macro="" textlink="">
          <xdr:nvSpPr>
            <xdr:cNvPr id="102401" name="CommandButton1" hidden="1">
              <a:extLst>
                <a:ext uri="{63B3BB69-23CF-44E3-9099-C40C66FF867C}">
                  <a14:compatExt spid="_x0000_s102401"/>
                </a:ext>
                <a:ext uri="{FF2B5EF4-FFF2-40B4-BE49-F238E27FC236}">
                  <a16:creationId xmlns="" xmlns:a16="http://schemas.microsoft.com/office/drawing/2014/main" id="{00000000-0008-0000-1000-0000019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7</xdr:col>
      <xdr:colOff>0</xdr:colOff>
      <xdr:row>43</xdr:row>
      <xdr:rowOff>38100</xdr:rowOff>
    </xdr:from>
    <xdr:to>
      <xdr:col>8</xdr:col>
      <xdr:colOff>9525</xdr:colOff>
      <xdr:row>47</xdr:row>
      <xdr:rowOff>171450</xdr:rowOff>
    </xdr:to>
    <xdr:pic>
      <xdr:nvPicPr>
        <xdr:cNvPr id="97195" name="Image 8">
          <a:extLst>
            <a:ext uri="{FF2B5EF4-FFF2-40B4-BE49-F238E27FC236}">
              <a16:creationId xmlns="" xmlns:a16="http://schemas.microsoft.com/office/drawing/2014/main" id="{00000000-0008-0000-1400-0000AB7B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67325" y="8820150"/>
          <a:ext cx="857250" cy="7810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3</xdr:col>
      <xdr:colOff>85725</xdr:colOff>
      <xdr:row>51</xdr:row>
      <xdr:rowOff>0</xdr:rowOff>
    </xdr:from>
    <xdr:to>
      <xdr:col>3</xdr:col>
      <xdr:colOff>581025</xdr:colOff>
      <xdr:row>54</xdr:row>
      <xdr:rowOff>0</xdr:rowOff>
    </xdr:to>
    <xdr:pic>
      <xdr:nvPicPr>
        <xdr:cNvPr id="97196" name="Image 9">
          <a:extLst>
            <a:ext uri="{FF2B5EF4-FFF2-40B4-BE49-F238E27FC236}">
              <a16:creationId xmlns="" xmlns:a16="http://schemas.microsoft.com/office/drawing/2014/main" id="{00000000-0008-0000-1400-0000AC7B01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62150" y="10191750"/>
          <a:ext cx="495300" cy="4857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3</xdr:col>
      <xdr:colOff>657225</xdr:colOff>
      <xdr:row>51</xdr:row>
      <xdr:rowOff>0</xdr:rowOff>
    </xdr:from>
    <xdr:to>
      <xdr:col>4</xdr:col>
      <xdr:colOff>238125</xdr:colOff>
      <xdr:row>53</xdr:row>
      <xdr:rowOff>152400</xdr:rowOff>
    </xdr:to>
    <xdr:pic>
      <xdr:nvPicPr>
        <xdr:cNvPr id="97197" name="Image 10">
          <a:extLst>
            <a:ext uri="{FF2B5EF4-FFF2-40B4-BE49-F238E27FC236}">
              <a16:creationId xmlns="" xmlns:a16="http://schemas.microsoft.com/office/drawing/2014/main" id="{00000000-0008-0000-1400-0000AD7B01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33650" y="10191750"/>
          <a:ext cx="428625" cy="4762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4</xdr:col>
      <xdr:colOff>314325</xdr:colOff>
      <xdr:row>51</xdr:row>
      <xdr:rowOff>0</xdr:rowOff>
    </xdr:from>
    <xdr:to>
      <xdr:col>4</xdr:col>
      <xdr:colOff>723900</xdr:colOff>
      <xdr:row>53</xdr:row>
      <xdr:rowOff>133350</xdr:rowOff>
    </xdr:to>
    <xdr:pic>
      <xdr:nvPicPr>
        <xdr:cNvPr id="97198" name="Image 11">
          <a:extLst>
            <a:ext uri="{FF2B5EF4-FFF2-40B4-BE49-F238E27FC236}">
              <a16:creationId xmlns="" xmlns:a16="http://schemas.microsoft.com/office/drawing/2014/main" id="{00000000-0008-0000-1400-0000AE7B01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38475" y="10191750"/>
          <a:ext cx="409575" cy="4572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4</xdr:col>
      <xdr:colOff>295275</xdr:colOff>
      <xdr:row>51</xdr:row>
      <xdr:rowOff>0</xdr:rowOff>
    </xdr:from>
    <xdr:to>
      <xdr:col>4</xdr:col>
      <xdr:colOff>781050</xdr:colOff>
      <xdr:row>53</xdr:row>
      <xdr:rowOff>152400</xdr:rowOff>
    </xdr:to>
    <xdr:pic>
      <xdr:nvPicPr>
        <xdr:cNvPr id="97199" name="Image 12">
          <a:extLst>
            <a:ext uri="{FF2B5EF4-FFF2-40B4-BE49-F238E27FC236}">
              <a16:creationId xmlns="" xmlns:a16="http://schemas.microsoft.com/office/drawing/2014/main" id="{00000000-0008-0000-1400-0000AF7B01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19425" y="10191750"/>
          <a:ext cx="485775" cy="4762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4</xdr:col>
      <xdr:colOff>819150</xdr:colOff>
      <xdr:row>51</xdr:row>
      <xdr:rowOff>0</xdr:rowOff>
    </xdr:from>
    <xdr:to>
      <xdr:col>5</xdr:col>
      <xdr:colOff>409575</xdr:colOff>
      <xdr:row>53</xdr:row>
      <xdr:rowOff>152400</xdr:rowOff>
    </xdr:to>
    <xdr:pic>
      <xdr:nvPicPr>
        <xdr:cNvPr id="97200" name="Image 13">
          <a:extLst>
            <a:ext uri="{FF2B5EF4-FFF2-40B4-BE49-F238E27FC236}">
              <a16:creationId xmlns="" xmlns:a16="http://schemas.microsoft.com/office/drawing/2014/main" id="{00000000-0008-0000-1400-0000B07B01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543300" y="10191750"/>
          <a:ext cx="438150" cy="4762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5</xdr:col>
      <xdr:colOff>514350</xdr:colOff>
      <xdr:row>51</xdr:row>
      <xdr:rowOff>0</xdr:rowOff>
    </xdr:from>
    <xdr:to>
      <xdr:col>6</xdr:col>
      <xdr:colOff>171450</xdr:colOff>
      <xdr:row>53</xdr:row>
      <xdr:rowOff>152400</xdr:rowOff>
    </xdr:to>
    <xdr:pic>
      <xdr:nvPicPr>
        <xdr:cNvPr id="97201" name="Image 14">
          <a:extLst>
            <a:ext uri="{FF2B5EF4-FFF2-40B4-BE49-F238E27FC236}">
              <a16:creationId xmlns="" xmlns:a16="http://schemas.microsoft.com/office/drawing/2014/main" id="{00000000-0008-0000-1400-0000B17B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6225" y="10191750"/>
          <a:ext cx="504825" cy="4762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1</xdr:col>
      <xdr:colOff>438150</xdr:colOff>
      <xdr:row>58</xdr:row>
      <xdr:rowOff>38100</xdr:rowOff>
    </xdr:from>
    <xdr:to>
      <xdr:col>2</xdr:col>
      <xdr:colOff>514350</xdr:colOff>
      <xdr:row>63</xdr:row>
      <xdr:rowOff>85725</xdr:rowOff>
    </xdr:to>
    <xdr:pic>
      <xdr:nvPicPr>
        <xdr:cNvPr id="97202" name="Image 15">
          <a:extLst>
            <a:ext uri="{FF2B5EF4-FFF2-40B4-BE49-F238E27FC236}">
              <a16:creationId xmlns="" xmlns:a16="http://schemas.microsoft.com/office/drawing/2014/main" id="{00000000-0008-0000-1400-0000B27B01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19125" y="11363325"/>
          <a:ext cx="923925" cy="8572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3</xdr:col>
      <xdr:colOff>400050</xdr:colOff>
      <xdr:row>58</xdr:row>
      <xdr:rowOff>66675</xdr:rowOff>
    </xdr:from>
    <xdr:to>
      <xdr:col>4</xdr:col>
      <xdr:colOff>523875</xdr:colOff>
      <xdr:row>63</xdr:row>
      <xdr:rowOff>114300</xdr:rowOff>
    </xdr:to>
    <xdr:pic>
      <xdr:nvPicPr>
        <xdr:cNvPr id="97203" name="Image 16">
          <a:extLst>
            <a:ext uri="{FF2B5EF4-FFF2-40B4-BE49-F238E27FC236}">
              <a16:creationId xmlns="" xmlns:a16="http://schemas.microsoft.com/office/drawing/2014/main" id="{00000000-0008-0000-1400-0000B37B01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76475" y="11391900"/>
          <a:ext cx="971550" cy="8572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1</xdr:col>
      <xdr:colOff>466725</xdr:colOff>
      <xdr:row>66</xdr:row>
      <xdr:rowOff>38100</xdr:rowOff>
    </xdr:from>
    <xdr:to>
      <xdr:col>2</xdr:col>
      <xdr:colOff>561975</xdr:colOff>
      <xdr:row>71</xdr:row>
      <xdr:rowOff>76200</xdr:rowOff>
    </xdr:to>
    <xdr:pic>
      <xdr:nvPicPr>
        <xdr:cNvPr id="97204" name="Image 17">
          <a:extLst>
            <a:ext uri="{FF2B5EF4-FFF2-40B4-BE49-F238E27FC236}">
              <a16:creationId xmlns="" xmlns:a16="http://schemas.microsoft.com/office/drawing/2014/main" id="{00000000-0008-0000-1400-0000B47B01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47700" y="12658725"/>
          <a:ext cx="942975" cy="8477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7</xdr:col>
      <xdr:colOff>390525</xdr:colOff>
      <xdr:row>74</xdr:row>
      <xdr:rowOff>66675</xdr:rowOff>
    </xdr:from>
    <xdr:to>
      <xdr:col>9</xdr:col>
      <xdr:colOff>200025</xdr:colOff>
      <xdr:row>79</xdr:row>
      <xdr:rowOff>133350</xdr:rowOff>
    </xdr:to>
    <xdr:pic>
      <xdr:nvPicPr>
        <xdr:cNvPr id="97205" name="Image 18">
          <a:extLst>
            <a:ext uri="{FF2B5EF4-FFF2-40B4-BE49-F238E27FC236}">
              <a16:creationId xmlns="" xmlns:a16="http://schemas.microsoft.com/office/drawing/2014/main" id="{00000000-0008-0000-1400-0000B57B01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657850" y="13982700"/>
          <a:ext cx="838200" cy="876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3</xdr:col>
      <xdr:colOff>361950</xdr:colOff>
      <xdr:row>66</xdr:row>
      <xdr:rowOff>28575</xdr:rowOff>
    </xdr:from>
    <xdr:to>
      <xdr:col>4</xdr:col>
      <xdr:colOff>523875</xdr:colOff>
      <xdr:row>71</xdr:row>
      <xdr:rowOff>95250</xdr:rowOff>
    </xdr:to>
    <xdr:pic>
      <xdr:nvPicPr>
        <xdr:cNvPr id="97206" name="Image 19">
          <a:extLst>
            <a:ext uri="{FF2B5EF4-FFF2-40B4-BE49-F238E27FC236}">
              <a16:creationId xmlns="" xmlns:a16="http://schemas.microsoft.com/office/drawing/2014/main" id="{00000000-0008-0000-1400-0000B67B01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238375" y="12649200"/>
          <a:ext cx="1009650" cy="876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7</xdr:col>
      <xdr:colOff>209550</xdr:colOff>
      <xdr:row>82</xdr:row>
      <xdr:rowOff>38100</xdr:rowOff>
    </xdr:from>
    <xdr:to>
      <xdr:col>9</xdr:col>
      <xdr:colOff>257175</xdr:colOff>
      <xdr:row>90</xdr:row>
      <xdr:rowOff>76200</xdr:rowOff>
    </xdr:to>
    <xdr:pic>
      <xdr:nvPicPr>
        <xdr:cNvPr id="97207" name="Image 20">
          <a:extLst>
            <a:ext uri="{FF2B5EF4-FFF2-40B4-BE49-F238E27FC236}">
              <a16:creationId xmlns="" xmlns:a16="http://schemas.microsoft.com/office/drawing/2014/main" id="{00000000-0008-0000-1400-0000B77B01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5476875" y="15249525"/>
          <a:ext cx="1076325" cy="13335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7</xdr:col>
      <xdr:colOff>304800</xdr:colOff>
      <xdr:row>66</xdr:row>
      <xdr:rowOff>85725</xdr:rowOff>
    </xdr:from>
    <xdr:to>
      <xdr:col>9</xdr:col>
      <xdr:colOff>342900</xdr:colOff>
      <xdr:row>72</xdr:row>
      <xdr:rowOff>114300</xdr:rowOff>
    </xdr:to>
    <xdr:pic>
      <xdr:nvPicPr>
        <xdr:cNvPr id="97208" name="Image 21">
          <a:extLst>
            <a:ext uri="{FF2B5EF4-FFF2-40B4-BE49-F238E27FC236}">
              <a16:creationId xmlns="" xmlns:a16="http://schemas.microsoft.com/office/drawing/2014/main" id="{00000000-0008-0000-1400-0000B87B01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572125" y="12706350"/>
          <a:ext cx="1066800" cy="10001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1</xdr:col>
      <xdr:colOff>438150</xdr:colOff>
      <xdr:row>74</xdr:row>
      <xdr:rowOff>9525</xdr:rowOff>
    </xdr:from>
    <xdr:to>
      <xdr:col>2</xdr:col>
      <xdr:colOff>619125</xdr:colOff>
      <xdr:row>78</xdr:row>
      <xdr:rowOff>152400</xdr:rowOff>
    </xdr:to>
    <xdr:pic>
      <xdr:nvPicPr>
        <xdr:cNvPr id="97209" name="Image 22">
          <a:extLst>
            <a:ext uri="{FF2B5EF4-FFF2-40B4-BE49-F238E27FC236}">
              <a16:creationId xmlns="" xmlns:a16="http://schemas.microsoft.com/office/drawing/2014/main" id="{00000000-0008-0000-1400-0000B97B01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19125" y="13925550"/>
          <a:ext cx="1028700" cy="7905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3</xdr:col>
      <xdr:colOff>323850</xdr:colOff>
      <xdr:row>74</xdr:row>
      <xdr:rowOff>38100</xdr:rowOff>
    </xdr:from>
    <xdr:to>
      <xdr:col>4</xdr:col>
      <xdr:colOff>466725</xdr:colOff>
      <xdr:row>79</xdr:row>
      <xdr:rowOff>9525</xdr:rowOff>
    </xdr:to>
    <xdr:pic>
      <xdr:nvPicPr>
        <xdr:cNvPr id="97210" name="Image 23">
          <a:extLst>
            <a:ext uri="{FF2B5EF4-FFF2-40B4-BE49-F238E27FC236}">
              <a16:creationId xmlns="" xmlns:a16="http://schemas.microsoft.com/office/drawing/2014/main" id="{00000000-0008-0000-1400-0000BA7B01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200275" y="13954125"/>
          <a:ext cx="990600" cy="7810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5</xdr:col>
      <xdr:colOff>400050</xdr:colOff>
      <xdr:row>66</xdr:row>
      <xdr:rowOff>28575</xdr:rowOff>
    </xdr:from>
    <xdr:to>
      <xdr:col>6</xdr:col>
      <xdr:colOff>514350</xdr:colOff>
      <xdr:row>71</xdr:row>
      <xdr:rowOff>95250</xdr:rowOff>
    </xdr:to>
    <xdr:pic>
      <xdr:nvPicPr>
        <xdr:cNvPr id="97211" name="Image 24">
          <a:extLst>
            <a:ext uri="{FF2B5EF4-FFF2-40B4-BE49-F238E27FC236}">
              <a16:creationId xmlns="" xmlns:a16="http://schemas.microsoft.com/office/drawing/2014/main" id="{00000000-0008-0000-1400-0000BB7B01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3971925" y="12649200"/>
          <a:ext cx="962025" cy="876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5</xdr:col>
      <xdr:colOff>381000</xdr:colOff>
      <xdr:row>58</xdr:row>
      <xdr:rowOff>47625</xdr:rowOff>
    </xdr:from>
    <xdr:to>
      <xdr:col>6</xdr:col>
      <xdr:colOff>485775</xdr:colOff>
      <xdr:row>63</xdr:row>
      <xdr:rowOff>114300</xdr:rowOff>
    </xdr:to>
    <xdr:pic>
      <xdr:nvPicPr>
        <xdr:cNvPr id="97212" name="Image 25">
          <a:extLst>
            <a:ext uri="{FF2B5EF4-FFF2-40B4-BE49-F238E27FC236}">
              <a16:creationId xmlns="" xmlns:a16="http://schemas.microsoft.com/office/drawing/2014/main" id="{00000000-0008-0000-1400-0000BC7B01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3952875" y="11372850"/>
          <a:ext cx="952500" cy="876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5</xdr:col>
      <xdr:colOff>400050</xdr:colOff>
      <xdr:row>74</xdr:row>
      <xdr:rowOff>123825</xdr:rowOff>
    </xdr:from>
    <xdr:to>
      <xdr:col>6</xdr:col>
      <xdr:colOff>409575</xdr:colOff>
      <xdr:row>80</xdr:row>
      <xdr:rowOff>76200</xdr:rowOff>
    </xdr:to>
    <xdr:pic>
      <xdr:nvPicPr>
        <xdr:cNvPr id="97213" name="Image 26">
          <a:extLst>
            <a:ext uri="{FF2B5EF4-FFF2-40B4-BE49-F238E27FC236}">
              <a16:creationId xmlns="" xmlns:a16="http://schemas.microsoft.com/office/drawing/2014/main" id="{00000000-0008-0000-1400-0000BD7B01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3971925" y="14039850"/>
          <a:ext cx="857250" cy="923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2</xdr:col>
      <xdr:colOff>400050</xdr:colOff>
      <xdr:row>51</xdr:row>
      <xdr:rowOff>9525</xdr:rowOff>
    </xdr:from>
    <xdr:to>
      <xdr:col>2</xdr:col>
      <xdr:colOff>790575</xdr:colOff>
      <xdr:row>53</xdr:row>
      <xdr:rowOff>133350</xdr:rowOff>
    </xdr:to>
    <xdr:pic>
      <xdr:nvPicPr>
        <xdr:cNvPr id="97214" name="Image 27">
          <a:extLst>
            <a:ext uri="{FF2B5EF4-FFF2-40B4-BE49-F238E27FC236}">
              <a16:creationId xmlns="" xmlns:a16="http://schemas.microsoft.com/office/drawing/2014/main" id="{00000000-0008-0000-1400-0000BE7B01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428750" y="10201275"/>
          <a:ext cx="390525" cy="4476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7</xdr:col>
      <xdr:colOff>342900</xdr:colOff>
      <xdr:row>58</xdr:row>
      <xdr:rowOff>66675</xdr:rowOff>
    </xdr:from>
    <xdr:to>
      <xdr:col>9</xdr:col>
      <xdr:colOff>342900</xdr:colOff>
      <xdr:row>64</xdr:row>
      <xdr:rowOff>19050</xdr:rowOff>
    </xdr:to>
    <xdr:pic>
      <xdr:nvPicPr>
        <xdr:cNvPr id="97215" name="Image 28">
          <a:extLst>
            <a:ext uri="{FF2B5EF4-FFF2-40B4-BE49-F238E27FC236}">
              <a16:creationId xmlns="" xmlns:a16="http://schemas.microsoft.com/office/drawing/2014/main" id="{00000000-0008-0000-1400-0000BF7B01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5610225" y="11391900"/>
          <a:ext cx="1028700" cy="923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7</xdr:col>
      <xdr:colOff>0</xdr:colOff>
      <xdr:row>4</xdr:row>
      <xdr:rowOff>66675</xdr:rowOff>
    </xdr:from>
    <xdr:to>
      <xdr:col>7</xdr:col>
      <xdr:colOff>828675</xdr:colOff>
      <xdr:row>5</xdr:row>
      <xdr:rowOff>314325</xdr:rowOff>
    </xdr:to>
    <xdr:pic>
      <xdr:nvPicPr>
        <xdr:cNvPr id="97216" name="Image 29">
          <a:extLst>
            <a:ext uri="{FF2B5EF4-FFF2-40B4-BE49-F238E27FC236}">
              <a16:creationId xmlns="" xmlns:a16="http://schemas.microsoft.com/office/drawing/2014/main" id="{00000000-0008-0000-1400-0000C07B01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67325" y="714375"/>
          <a:ext cx="828675" cy="5905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1</xdr:col>
      <xdr:colOff>19050</xdr:colOff>
      <xdr:row>22</xdr:row>
      <xdr:rowOff>104775</xdr:rowOff>
    </xdr:from>
    <xdr:to>
      <xdr:col>1</xdr:col>
      <xdr:colOff>409575</xdr:colOff>
      <xdr:row>24</xdr:row>
      <xdr:rowOff>142875</xdr:rowOff>
    </xdr:to>
    <xdr:pic>
      <xdr:nvPicPr>
        <xdr:cNvPr id="97217" name="Image 32">
          <a:extLst>
            <a:ext uri="{FF2B5EF4-FFF2-40B4-BE49-F238E27FC236}">
              <a16:creationId xmlns="" xmlns:a16="http://schemas.microsoft.com/office/drawing/2014/main" id="{00000000-0008-0000-1400-0000C17B01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00025" y="4629150"/>
          <a:ext cx="390525" cy="4476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4</xdr:row>
      <xdr:rowOff>76200</xdr:rowOff>
    </xdr:from>
    <xdr:to>
      <xdr:col>3</xdr:col>
      <xdr:colOff>476250</xdr:colOff>
      <xdr:row>6</xdr:row>
      <xdr:rowOff>123825</xdr:rowOff>
    </xdr:to>
    <xdr:pic>
      <xdr:nvPicPr>
        <xdr:cNvPr id="3863" name="Image 2">
          <a:extLst>
            <a:ext uri="{FF2B5EF4-FFF2-40B4-BE49-F238E27FC236}">
              <a16:creationId xmlns="" xmlns:a16="http://schemas.microsoft.com/office/drawing/2014/main" id="{00000000-0008-0000-1500-0000170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723900"/>
          <a:ext cx="857250" cy="695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8</xdr:col>
      <xdr:colOff>495300</xdr:colOff>
      <xdr:row>38</xdr:row>
      <xdr:rowOff>47625</xdr:rowOff>
    </xdr:from>
    <xdr:to>
      <xdr:col>8</xdr:col>
      <xdr:colOff>1257300</xdr:colOff>
      <xdr:row>42</xdr:row>
      <xdr:rowOff>114300</xdr:rowOff>
    </xdr:to>
    <xdr:pic>
      <xdr:nvPicPr>
        <xdr:cNvPr id="3864" name="Image 3">
          <a:extLst>
            <a:ext uri="{FF2B5EF4-FFF2-40B4-BE49-F238E27FC236}">
              <a16:creationId xmlns="" xmlns:a16="http://schemas.microsoft.com/office/drawing/2014/main" id="{00000000-0008-0000-1500-0000180F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76875" y="8934450"/>
          <a:ext cx="762000" cy="7143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twoCellAnchor editAs="oneCell">
    <xdr:from>
      <xdr:col>6</xdr:col>
      <xdr:colOff>19050</xdr:colOff>
      <xdr:row>16</xdr:row>
      <xdr:rowOff>0</xdr:rowOff>
    </xdr:from>
    <xdr:to>
      <xdr:col>7</xdr:col>
      <xdr:colOff>9525</xdr:colOff>
      <xdr:row>17</xdr:row>
      <xdr:rowOff>0</xdr:rowOff>
    </xdr:to>
    <xdr:pic>
      <xdr:nvPicPr>
        <xdr:cNvPr id="3865" name="Image 4">
          <a:extLst>
            <a:ext uri="{FF2B5EF4-FFF2-40B4-BE49-F238E27FC236}">
              <a16:creationId xmlns="" xmlns:a16="http://schemas.microsoft.com/office/drawing/2014/main" id="{00000000-0008-0000-1500-0000190F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71700" y="3648075"/>
          <a:ext cx="371475" cy="2381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3.emf"/></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4.emf"/><Relationship Id="rId4" Type="http://schemas.openxmlformats.org/officeDocument/2006/relationships/control" Target="../activeX/activeX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omments" Target="../comments3.xml"/><Relationship Id="rId5" Type="http://schemas.openxmlformats.org/officeDocument/2006/relationships/image" Target="../media/image5.emf"/><Relationship Id="rId4" Type="http://schemas.openxmlformats.org/officeDocument/2006/relationships/control" Target="../activeX/activeX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omments" Target="../comments4.xml"/><Relationship Id="rId5" Type="http://schemas.openxmlformats.org/officeDocument/2006/relationships/image" Target="../media/image6.emf"/><Relationship Id="rId4" Type="http://schemas.openxmlformats.org/officeDocument/2006/relationships/control" Target="../activeX/activeX6.xml"/></Relationships>
</file>

<file path=xl/worksheets/_rels/sheet8.xml.rels><?xml version="1.0" encoding="UTF-8" standalone="yes"?>
<Relationships xmlns="http://schemas.openxmlformats.org/package/2006/relationships"><Relationship Id="rId8" Type="http://schemas.openxmlformats.org/officeDocument/2006/relationships/comments" Target="../comments5.xml"/><Relationship Id="rId3" Type="http://schemas.openxmlformats.org/officeDocument/2006/relationships/vmlDrawing" Target="../drawings/vmlDrawing7.vml"/><Relationship Id="rId7" Type="http://schemas.openxmlformats.org/officeDocument/2006/relationships/image" Target="../media/image8.emf"/><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ontrol" Target="../activeX/activeX8.xml"/><Relationship Id="rId5" Type="http://schemas.openxmlformats.org/officeDocument/2006/relationships/image" Target="../media/image7.emf"/><Relationship Id="rId4" Type="http://schemas.openxmlformats.org/officeDocument/2006/relationships/control" Target="../activeX/activeX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omments" Target="../comments6.xml"/><Relationship Id="rId5" Type="http://schemas.openxmlformats.org/officeDocument/2006/relationships/image" Target="../media/image9.emf"/><Relationship Id="rId4" Type="http://schemas.openxmlformats.org/officeDocument/2006/relationships/control" Target="../activeX/activeX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8.bin"/><Relationship Id="rId6" Type="http://schemas.openxmlformats.org/officeDocument/2006/relationships/comments" Target="../comments7.xml"/><Relationship Id="rId5" Type="http://schemas.openxmlformats.org/officeDocument/2006/relationships/image" Target="../media/image10.emf"/><Relationship Id="rId4" Type="http://schemas.openxmlformats.org/officeDocument/2006/relationships/control" Target="../activeX/activeX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comments" Target="../comments8.xml"/><Relationship Id="rId5" Type="http://schemas.openxmlformats.org/officeDocument/2006/relationships/image" Target="../media/image11.emf"/><Relationship Id="rId4" Type="http://schemas.openxmlformats.org/officeDocument/2006/relationships/control" Target="../activeX/activeX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omments" Target="../comments9.xml"/><Relationship Id="rId5" Type="http://schemas.openxmlformats.org/officeDocument/2006/relationships/image" Target="../media/image12.emf"/><Relationship Id="rId4" Type="http://schemas.openxmlformats.org/officeDocument/2006/relationships/control" Target="../activeX/activeX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omments" Target="../comments10.xml"/><Relationship Id="rId5" Type="http://schemas.openxmlformats.org/officeDocument/2006/relationships/image" Target="../media/image13.emf"/><Relationship Id="rId4" Type="http://schemas.openxmlformats.org/officeDocument/2006/relationships/control" Target="../activeX/activeX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2.bin"/><Relationship Id="rId6" Type="http://schemas.openxmlformats.org/officeDocument/2006/relationships/comments" Target="../comments11.xml"/><Relationship Id="rId5" Type="http://schemas.openxmlformats.org/officeDocument/2006/relationships/image" Target="../media/image14.emf"/><Relationship Id="rId4" Type="http://schemas.openxmlformats.org/officeDocument/2006/relationships/control" Target="../activeX/activeX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3.bin"/><Relationship Id="rId6" Type="http://schemas.openxmlformats.org/officeDocument/2006/relationships/comments" Target="../comments12.xml"/><Relationship Id="rId5" Type="http://schemas.openxmlformats.org/officeDocument/2006/relationships/image" Target="../media/image15.emf"/><Relationship Id="rId4" Type="http://schemas.openxmlformats.org/officeDocument/2006/relationships/control" Target="../activeX/activeX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4.bin"/><Relationship Id="rId6" Type="http://schemas.openxmlformats.org/officeDocument/2006/relationships/comments" Target="../comments13.xml"/><Relationship Id="rId5" Type="http://schemas.openxmlformats.org/officeDocument/2006/relationships/image" Target="../media/image16.emf"/><Relationship Id="rId4" Type="http://schemas.openxmlformats.org/officeDocument/2006/relationships/control" Target="../activeX/activeX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5.bin"/><Relationship Id="rId5" Type="http://schemas.openxmlformats.org/officeDocument/2006/relationships/image" Target="../media/image17.emf"/><Relationship Id="rId4" Type="http://schemas.openxmlformats.org/officeDocument/2006/relationships/control" Target="../activeX/activeX17.xml"/></Relationships>
</file>

<file path=xl/worksheets/_rels/sheet19.xml.rels><?xml version="1.0" encoding="UTF-8" standalone="yes"?>
<Relationships xmlns="http://schemas.openxmlformats.org/package/2006/relationships"><Relationship Id="rId8" Type="http://schemas.openxmlformats.org/officeDocument/2006/relationships/hyperlink" Target="https://www.joursferies.fr/noel.php" TargetMode="External"/><Relationship Id="rId3" Type="http://schemas.openxmlformats.org/officeDocument/2006/relationships/hyperlink" Target="https://www.joursferies.fr/ascension.php" TargetMode="External"/><Relationship Id="rId7" Type="http://schemas.openxmlformats.org/officeDocument/2006/relationships/hyperlink" Target="https://www.joursferies.fr/armistice.php" TargetMode="External"/><Relationship Id="rId2" Type="http://schemas.openxmlformats.org/officeDocument/2006/relationships/hyperlink" Target="https://www.joursferies.fr/fete-du-travail.php" TargetMode="External"/><Relationship Id="rId1" Type="http://schemas.openxmlformats.org/officeDocument/2006/relationships/hyperlink" Target="https://www.joursferies.fr/lundi-de-paques.php" TargetMode="External"/><Relationship Id="rId6" Type="http://schemas.openxmlformats.org/officeDocument/2006/relationships/hyperlink" Target="https://www.joursferies.fr/toussaint.php" TargetMode="External"/><Relationship Id="rId5" Type="http://schemas.openxmlformats.org/officeDocument/2006/relationships/hyperlink" Target="https://www.joursferies.fr/assomption.php" TargetMode="External"/><Relationship Id="rId4" Type="http://schemas.openxmlformats.org/officeDocument/2006/relationships/hyperlink" Target="https://www.joursferies.fr/pentecote.php" TargetMode="Externa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D211"/>
  <sheetViews>
    <sheetView workbookViewId="0">
      <selection activeCell="A4" sqref="A4:B4"/>
    </sheetView>
  </sheetViews>
  <sheetFormatPr baseColWidth="10" defaultRowHeight="12.75"/>
  <cols>
    <col min="1" max="2" width="4.7109375" customWidth="1"/>
  </cols>
  <sheetData>
    <row r="2" spans="1:4">
      <c r="A2" s="131">
        <v>1</v>
      </c>
      <c r="B2" s="7">
        <v>1</v>
      </c>
      <c r="C2" s="7">
        <v>1.1000000000000001</v>
      </c>
      <c r="D2" s="132" t="s">
        <v>0</v>
      </c>
    </row>
    <row r="3" spans="1:4">
      <c r="A3" s="133"/>
      <c r="B3" s="8"/>
      <c r="C3" s="8"/>
      <c r="D3" s="134"/>
    </row>
    <row r="4" spans="1:4">
      <c r="A4" s="131">
        <v>1</v>
      </c>
      <c r="B4" s="7">
        <v>2</v>
      </c>
      <c r="C4" s="7" t="e">
        <f>VLOOKUP(A4,$G$2:$J$13,4)+B4+0.1</f>
        <v>#N/A</v>
      </c>
      <c r="D4" s="132" t="s">
        <v>69</v>
      </c>
    </row>
    <row r="6" spans="1:4">
      <c r="A6" s="131">
        <v>1</v>
      </c>
      <c r="B6" s="7">
        <v>3</v>
      </c>
      <c r="C6" s="7" t="e">
        <f>VLOOKUP(A6,$G$2:$J$13,4)+B6+0.1</f>
        <v>#N/A</v>
      </c>
      <c r="D6" s="132" t="s">
        <v>70</v>
      </c>
    </row>
    <row r="7" spans="1:4">
      <c r="A7" s="133"/>
      <c r="B7" s="8"/>
      <c r="C7" s="8"/>
      <c r="D7" s="134"/>
    </row>
    <row r="8" spans="1:4">
      <c r="A8" s="131">
        <v>1</v>
      </c>
      <c r="B8" s="7">
        <v>6</v>
      </c>
      <c r="C8" s="7" t="e">
        <f>VLOOKUP(A8,$G$2:$J$13,4)+B8+0.1</f>
        <v>#N/A</v>
      </c>
      <c r="D8" s="132" t="s">
        <v>1</v>
      </c>
    </row>
    <row r="9" spans="1:4">
      <c r="A9" s="133"/>
      <c r="B9" s="8"/>
      <c r="C9" s="8"/>
      <c r="D9" s="134"/>
    </row>
    <row r="10" spans="1:4">
      <c r="A10" s="131">
        <v>1</v>
      </c>
      <c r="B10" s="7">
        <v>8</v>
      </c>
      <c r="C10" s="7" t="e">
        <f>VLOOKUP(A10,$G$2:$J$13,4)+B10+0.1</f>
        <v>#N/A</v>
      </c>
      <c r="D10" s="132" t="s">
        <v>71</v>
      </c>
    </row>
    <row r="11" spans="1:4">
      <c r="A11" s="133"/>
      <c r="B11" s="8"/>
      <c r="C11" s="8"/>
      <c r="D11" s="134"/>
    </row>
    <row r="12" spans="1:4">
      <c r="A12" s="131">
        <v>1</v>
      </c>
      <c r="B12" s="7">
        <v>9</v>
      </c>
      <c r="C12" s="7" t="e">
        <f>VLOOKUP(A12,$G$2:$J$13,4)+B12+0.1</f>
        <v>#N/A</v>
      </c>
      <c r="D12" s="132" t="s">
        <v>72</v>
      </c>
    </row>
    <row r="13" spans="1:4">
      <c r="A13" s="133"/>
      <c r="B13" s="8"/>
      <c r="C13" s="8"/>
      <c r="D13" s="134"/>
    </row>
    <row r="14" spans="1:4">
      <c r="A14" s="131">
        <v>1</v>
      </c>
      <c r="B14" s="7">
        <v>18</v>
      </c>
      <c r="C14" s="7" t="e">
        <f>VLOOKUP(A14,$G$2:$J$13,4)+B14+0.1</f>
        <v>#N/A</v>
      </c>
      <c r="D14" s="132" t="s">
        <v>73</v>
      </c>
    </row>
    <row r="15" spans="1:4">
      <c r="A15" s="133"/>
      <c r="B15" s="8"/>
      <c r="C15" s="8"/>
      <c r="D15" s="134"/>
    </row>
    <row r="16" spans="1:4">
      <c r="A16" s="131">
        <v>1</v>
      </c>
      <c r="B16" s="7">
        <v>22</v>
      </c>
      <c r="C16" s="7" t="e">
        <f>VLOOKUP(A16,$G$2:$J$13,4)+B16+0.1</f>
        <v>#N/A</v>
      </c>
      <c r="D16" s="132" t="s">
        <v>74</v>
      </c>
    </row>
    <row r="17" spans="1:4">
      <c r="A17" s="133"/>
      <c r="B17" s="8"/>
      <c r="C17" s="8"/>
      <c r="D17" s="134"/>
    </row>
    <row r="18" spans="1:4">
      <c r="A18" s="131">
        <v>1</v>
      </c>
      <c r="B18" s="7">
        <v>27</v>
      </c>
      <c r="C18" s="7" t="e">
        <f>VLOOKUP(A18,$G$2:$J$13,4)+B18+0.1</f>
        <v>#N/A</v>
      </c>
      <c r="D18" s="132" t="s">
        <v>75</v>
      </c>
    </row>
    <row r="19" spans="1:4">
      <c r="A19" s="131">
        <v>1</v>
      </c>
      <c r="B19" s="7">
        <v>27</v>
      </c>
      <c r="C19" s="7" t="e">
        <f>VLOOKUP(A19,$G$2:$J$13,4)+B19+0.2</f>
        <v>#N/A</v>
      </c>
      <c r="D19" s="132" t="s">
        <v>76</v>
      </c>
    </row>
    <row r="20" spans="1:4">
      <c r="A20" s="133"/>
      <c r="B20" s="8"/>
      <c r="C20" s="8"/>
      <c r="D20" s="134"/>
    </row>
    <row r="21" spans="1:4">
      <c r="A21" s="131">
        <v>1</v>
      </c>
      <c r="B21" s="7">
        <v>29</v>
      </c>
      <c r="C21" s="7" t="e">
        <f>VLOOKUP(A21,$G$2:$J$13,4)+B21+0.1</f>
        <v>#N/A</v>
      </c>
      <c r="D21" s="132" t="s">
        <v>77</v>
      </c>
    </row>
    <row r="22" spans="1:4">
      <c r="A22" s="133"/>
      <c r="B22" s="8"/>
      <c r="C22" s="8"/>
      <c r="D22" s="134"/>
    </row>
    <row r="23" spans="1:4">
      <c r="A23" s="131">
        <v>1</v>
      </c>
      <c r="B23" s="7">
        <v>31</v>
      </c>
      <c r="C23" s="7" t="e">
        <f>VLOOKUP(A23,$G$2:$J$13,4)+B23+0.1</f>
        <v>#N/A</v>
      </c>
      <c r="D23" s="132" t="s">
        <v>78</v>
      </c>
    </row>
    <row r="24" spans="1:4">
      <c r="A24" s="133"/>
      <c r="B24" s="8"/>
      <c r="C24" s="8"/>
      <c r="D24" s="134"/>
    </row>
    <row r="25" spans="1:4">
      <c r="A25" s="131">
        <v>2</v>
      </c>
      <c r="B25" s="7">
        <v>1</v>
      </c>
      <c r="C25" s="7" t="e">
        <f>VLOOKUP(A25,$G$2:$J$13,4)+B25+0.1</f>
        <v>#N/A</v>
      </c>
      <c r="D25" s="132" t="s">
        <v>2</v>
      </c>
    </row>
    <row r="26" spans="1:4">
      <c r="A26" s="133"/>
      <c r="B26" s="8"/>
      <c r="C26" s="8"/>
      <c r="D26" s="134"/>
    </row>
    <row r="27" spans="1:4">
      <c r="A27" s="131">
        <v>2</v>
      </c>
      <c r="B27" s="7">
        <v>2</v>
      </c>
      <c r="C27" s="7" t="e">
        <f>VLOOKUP(A27,$G$2:$J$13,4)+B27+0.1</f>
        <v>#N/A</v>
      </c>
      <c r="D27" s="132" t="s">
        <v>79</v>
      </c>
    </row>
    <row r="28" spans="1:4">
      <c r="A28" s="133"/>
      <c r="B28" s="8"/>
      <c r="C28" s="8"/>
      <c r="D28" s="134"/>
    </row>
    <row r="29" spans="1:4">
      <c r="A29" s="131">
        <v>2</v>
      </c>
      <c r="B29" s="7">
        <v>3</v>
      </c>
      <c r="C29" s="7" t="e">
        <f>VLOOKUP(A29,$G$2:$J$13,4)+B29+0.1</f>
        <v>#N/A</v>
      </c>
      <c r="D29" s="132" t="s">
        <v>3</v>
      </c>
    </row>
    <row r="30" spans="1:4">
      <c r="A30" s="133"/>
      <c r="B30" s="8"/>
      <c r="C30" s="8"/>
      <c r="D30" s="134"/>
    </row>
    <row r="31" spans="1:4">
      <c r="A31" s="131">
        <v>2</v>
      </c>
      <c r="B31" s="7">
        <v>9</v>
      </c>
      <c r="C31" s="7" t="e">
        <f>VLOOKUP(A31,$G$2:$J$13,4)+B31+0.1</f>
        <v>#N/A</v>
      </c>
      <c r="D31" s="132" t="s">
        <v>80</v>
      </c>
    </row>
    <row r="32" spans="1:4">
      <c r="A32" s="133"/>
      <c r="B32" s="8"/>
      <c r="C32" s="8"/>
      <c r="D32" s="134"/>
    </row>
    <row r="33" spans="1:4">
      <c r="A33" s="131">
        <v>2</v>
      </c>
      <c r="B33" s="7">
        <v>10</v>
      </c>
      <c r="C33" s="7" t="e">
        <f>VLOOKUP(A33,$G$2:$J$13,4)+B33+0.1</f>
        <v>#N/A</v>
      </c>
      <c r="D33" s="132" t="s">
        <v>4</v>
      </c>
    </row>
    <row r="34" spans="1:4">
      <c r="A34" s="133"/>
      <c r="B34" s="8"/>
      <c r="C34" s="8"/>
      <c r="D34" s="134"/>
    </row>
    <row r="35" spans="1:4">
      <c r="A35" s="131">
        <v>2</v>
      </c>
      <c r="B35" s="7">
        <v>12</v>
      </c>
      <c r="C35" s="7" t="e">
        <f>VLOOKUP(A35,$G$2:$J$13,4)+B35+0.1</f>
        <v>#N/A</v>
      </c>
      <c r="D35" s="132" t="s">
        <v>81</v>
      </c>
    </row>
    <row r="36" spans="1:4">
      <c r="A36" s="131">
        <v>2</v>
      </c>
      <c r="B36" s="7">
        <v>12</v>
      </c>
      <c r="C36" s="7" t="e">
        <f>VLOOKUP(A36,$G$2:$J$13,4)+B36+0.2</f>
        <v>#N/A</v>
      </c>
      <c r="D36" s="132" t="s">
        <v>82</v>
      </c>
    </row>
    <row r="37" spans="1:4">
      <c r="A37" s="133"/>
      <c r="B37" s="8"/>
      <c r="C37" s="8"/>
      <c r="D37" s="134"/>
    </row>
    <row r="38" spans="1:4">
      <c r="A38" s="131">
        <v>2</v>
      </c>
      <c r="B38" s="7">
        <v>16</v>
      </c>
      <c r="C38" s="7" t="e">
        <f>VLOOKUP(A38,$G$2:$J$13,4)+B38+0.1</f>
        <v>#N/A</v>
      </c>
      <c r="D38" s="132" t="s">
        <v>5</v>
      </c>
    </row>
    <row r="39" spans="1:4">
      <c r="A39" s="133"/>
      <c r="B39" s="8"/>
      <c r="C39" s="8"/>
      <c r="D39" s="134"/>
    </row>
    <row r="40" spans="1:4">
      <c r="A40" s="131">
        <v>2</v>
      </c>
      <c r="B40" s="7">
        <v>20</v>
      </c>
      <c r="C40" s="7" t="e">
        <f>VLOOKUP(A40,$G$2:$J$13,4)+B40+0.1</f>
        <v>#N/A</v>
      </c>
      <c r="D40" s="132" t="s">
        <v>83</v>
      </c>
    </row>
    <row r="41" spans="1:4">
      <c r="A41" s="131">
        <v>2</v>
      </c>
      <c r="B41" s="7">
        <v>20</v>
      </c>
      <c r="C41" s="7" t="e">
        <f>VLOOKUP(A41,$G$2:$J$13,4)+B41+0.2</f>
        <v>#N/A</v>
      </c>
      <c r="D41" s="132" t="s">
        <v>84</v>
      </c>
    </row>
    <row r="42" spans="1:4">
      <c r="A42" s="133"/>
      <c r="B42" s="8"/>
      <c r="C42" s="8"/>
      <c r="D42" s="134"/>
    </row>
    <row r="43" spans="1:4">
      <c r="A43" s="131">
        <v>2</v>
      </c>
      <c r="B43" s="7">
        <v>25</v>
      </c>
      <c r="C43" s="7" t="e">
        <f>VLOOKUP(A43,$G$2:$J$13,4)+B43+0.1</f>
        <v>#N/A</v>
      </c>
      <c r="D43" s="132" t="s">
        <v>85</v>
      </c>
    </row>
    <row r="44" spans="1:4">
      <c r="A44" s="131">
        <v>2</v>
      </c>
      <c r="B44" s="7">
        <v>25</v>
      </c>
      <c r="C44" s="7" t="e">
        <f>VLOOKUP(A44,$G$2:$J$13,4)+B44+0.2</f>
        <v>#N/A</v>
      </c>
      <c r="D44" s="132" t="s">
        <v>86</v>
      </c>
    </row>
    <row r="45" spans="1:4">
      <c r="A45" s="133"/>
      <c r="B45" s="8"/>
      <c r="C45" s="8"/>
      <c r="D45" s="134"/>
    </row>
    <row r="46" spans="1:4">
      <c r="A46" s="131">
        <v>2</v>
      </c>
      <c r="B46" s="7">
        <v>27</v>
      </c>
      <c r="C46" s="7" t="e">
        <f>VLOOKUP(A46,$G$2:$J$13,4)+B46+0.1</f>
        <v>#N/A</v>
      </c>
      <c r="D46" s="132" t="s">
        <v>87</v>
      </c>
    </row>
    <row r="47" spans="1:4">
      <c r="A47" s="133"/>
      <c r="B47" s="8"/>
      <c r="C47" s="8"/>
      <c r="D47" s="134"/>
    </row>
    <row r="48" spans="1:4">
      <c r="A48" s="131">
        <v>3</v>
      </c>
      <c r="B48" s="7">
        <v>1</v>
      </c>
      <c r="C48" s="7" t="e">
        <f>VLOOKUP(A48,$G$2:$J$13,4)+B48+0.1</f>
        <v>#N/A</v>
      </c>
      <c r="D48" s="132" t="s">
        <v>6</v>
      </c>
    </row>
    <row r="49" spans="1:4">
      <c r="A49" s="131">
        <v>3</v>
      </c>
      <c r="B49" s="7">
        <v>1</v>
      </c>
      <c r="C49" s="7" t="e">
        <f>VLOOKUP(A49,$G$2:$J$13,4)+B49+0.2</f>
        <v>#N/A</v>
      </c>
      <c r="D49" s="132" t="s">
        <v>88</v>
      </c>
    </row>
    <row r="50" spans="1:4">
      <c r="A50" s="133"/>
      <c r="B50" s="8"/>
      <c r="C50" s="8"/>
      <c r="D50" s="134"/>
    </row>
    <row r="51" spans="1:4">
      <c r="A51" s="131">
        <v>3</v>
      </c>
      <c r="B51" s="7">
        <v>14</v>
      </c>
      <c r="C51" s="7" t="e">
        <f>VLOOKUP(A51,$G$2:$J$13,4)+B51+0.1</f>
        <v>#N/A</v>
      </c>
      <c r="D51" s="132" t="s">
        <v>89</v>
      </c>
    </row>
    <row r="52" spans="1:4">
      <c r="A52" s="133"/>
      <c r="B52" s="8"/>
      <c r="C52" s="8"/>
      <c r="D52" s="134"/>
    </row>
    <row r="53" spans="1:4">
      <c r="A53" s="131">
        <v>3</v>
      </c>
      <c r="B53" s="7">
        <v>15</v>
      </c>
      <c r="C53" s="7" t="e">
        <f>VLOOKUP(A53,$G$2:$J$13,4)+B53+0.1</f>
        <v>#N/A</v>
      </c>
      <c r="D53" s="132" t="s">
        <v>90</v>
      </c>
    </row>
    <row r="54" spans="1:4">
      <c r="A54" s="133"/>
      <c r="B54" s="8"/>
      <c r="C54" s="8"/>
      <c r="D54" s="134"/>
    </row>
    <row r="55" spans="1:4">
      <c r="A55" s="131">
        <v>3</v>
      </c>
      <c r="B55" s="7">
        <v>16</v>
      </c>
      <c r="C55" s="7" t="e">
        <f>VLOOKUP(A55,$G$2:$J$13,4)+B55+0.1</f>
        <v>#N/A</v>
      </c>
      <c r="D55" s="132" t="s">
        <v>91</v>
      </c>
    </row>
    <row r="56" spans="1:4">
      <c r="A56" s="131">
        <v>3</v>
      </c>
      <c r="B56" s="7">
        <v>16</v>
      </c>
      <c r="C56" s="7" t="e">
        <f>VLOOKUP(A56,$G$2:$J$13,4)+B56+0.2</f>
        <v>#N/A</v>
      </c>
      <c r="D56" s="132" t="s">
        <v>92</v>
      </c>
    </row>
    <row r="57" spans="1:4">
      <c r="A57" s="133"/>
      <c r="B57" s="8"/>
      <c r="C57" s="8"/>
      <c r="D57" s="134"/>
    </row>
    <row r="58" spans="1:4">
      <c r="A58" s="131">
        <v>3</v>
      </c>
      <c r="B58" s="7">
        <v>21</v>
      </c>
      <c r="C58" s="7" t="e">
        <f>VLOOKUP(A58,$G$2:$J$13,4)+B58+0.1</f>
        <v>#N/A</v>
      </c>
      <c r="D58" s="132" t="s">
        <v>93</v>
      </c>
    </row>
    <row r="59" spans="1:4">
      <c r="A59" s="133"/>
      <c r="B59" s="8"/>
      <c r="C59" s="8"/>
      <c r="D59" s="134"/>
    </row>
    <row r="60" spans="1:4">
      <c r="A60" s="131">
        <v>3</v>
      </c>
      <c r="B60" s="7">
        <v>29</v>
      </c>
      <c r="C60" s="7" t="e">
        <f>VLOOKUP(A60,$G$2:$J$13,4)+B60+0.1</f>
        <v>#N/A</v>
      </c>
      <c r="D60" s="132" t="s">
        <v>94</v>
      </c>
    </row>
    <row r="61" spans="1:4">
      <c r="A61" s="131">
        <v>3</v>
      </c>
      <c r="B61" s="7">
        <v>29</v>
      </c>
      <c r="C61" s="7" t="e">
        <f>VLOOKUP(A61,$G$2:$J$13,4)+B61+0.2</f>
        <v>#N/A</v>
      </c>
      <c r="D61" s="132" t="s">
        <v>95</v>
      </c>
    </row>
    <row r="62" spans="1:4">
      <c r="A62" s="133"/>
      <c r="B62" s="8"/>
      <c r="C62" s="8"/>
      <c r="D62" s="134"/>
    </row>
    <row r="63" spans="1:4">
      <c r="A63" s="131">
        <v>4</v>
      </c>
      <c r="B63" s="7">
        <v>3</v>
      </c>
      <c r="C63" s="7" t="e">
        <f>VLOOKUP(A63,$G$2:$J$13,4)+B63+0.1</f>
        <v>#N/A</v>
      </c>
      <c r="D63" s="132" t="s">
        <v>96</v>
      </c>
    </row>
    <row r="64" spans="1:4">
      <c r="A64" s="133"/>
      <c r="B64" s="8"/>
      <c r="C64" s="8"/>
      <c r="D64" s="134"/>
    </row>
    <row r="65" spans="1:4">
      <c r="A65" s="131">
        <v>4</v>
      </c>
      <c r="B65" s="7">
        <v>7</v>
      </c>
      <c r="C65" s="7" t="e">
        <f>VLOOKUP(A65,$G$2:$J$13,4)+B65+0.1</f>
        <v>#N/A</v>
      </c>
      <c r="D65" s="132" t="s">
        <v>97</v>
      </c>
    </row>
    <row r="66" spans="1:4">
      <c r="A66" s="133"/>
      <c r="B66" s="8"/>
      <c r="C66" s="8"/>
      <c r="D66" s="134"/>
    </row>
    <row r="67" spans="1:4">
      <c r="A67" s="131">
        <v>4</v>
      </c>
      <c r="B67" s="7">
        <v>14</v>
      </c>
      <c r="C67" s="7" t="e">
        <f>VLOOKUP(A67,$G$2:$J$13,4)+B67+0.1</f>
        <v>#N/A</v>
      </c>
      <c r="D67" s="132" t="s">
        <v>98</v>
      </c>
    </row>
    <row r="68" spans="1:4">
      <c r="A68" s="133"/>
      <c r="B68" s="8"/>
      <c r="C68" s="8"/>
      <c r="D68" s="134"/>
    </row>
    <row r="69" spans="1:4">
      <c r="A69" s="131">
        <v>4</v>
      </c>
      <c r="B69" s="7">
        <v>18</v>
      </c>
      <c r="C69" s="7" t="e">
        <f>VLOOKUP(A69,$G$2:$J$13,4)+B69+0.1</f>
        <v>#N/A</v>
      </c>
      <c r="D69" s="132" t="s">
        <v>99</v>
      </c>
    </row>
    <row r="70" spans="1:4">
      <c r="A70" s="133"/>
      <c r="B70" s="8"/>
      <c r="C70" s="8"/>
      <c r="D70" s="134"/>
    </row>
    <row r="71" spans="1:4">
      <c r="A71" s="131">
        <v>4</v>
      </c>
      <c r="B71" s="7">
        <v>24</v>
      </c>
      <c r="C71" s="7" t="e">
        <f>VLOOKUP(A71,$G$2:$J$13,4)+B71+0.1</f>
        <v>#N/A</v>
      </c>
      <c r="D71" s="132" t="s">
        <v>7</v>
      </c>
    </row>
    <row r="72" spans="1:4">
      <c r="A72" s="133"/>
      <c r="B72" s="8"/>
      <c r="C72" s="8"/>
      <c r="D72" s="134"/>
    </row>
    <row r="73" spans="1:4">
      <c r="A73" s="131">
        <v>4</v>
      </c>
      <c r="B73" s="7">
        <v>30</v>
      </c>
      <c r="C73" s="7" t="e">
        <f>VLOOKUP(A73,$G$2:$J$13,4)+B73+0.1</f>
        <v>#N/A</v>
      </c>
      <c r="D73" s="132" t="s">
        <v>8</v>
      </c>
    </row>
    <row r="74" spans="1:4">
      <c r="A74" s="133"/>
      <c r="B74" s="8"/>
      <c r="C74" s="8"/>
      <c r="D74" s="134"/>
    </row>
    <row r="75" spans="1:4">
      <c r="A75" s="131">
        <v>5</v>
      </c>
      <c r="B75" s="7">
        <v>5</v>
      </c>
      <c r="C75" s="7" t="e">
        <f>VLOOKUP(A75,$G$2:$J$13,4)+B75+0.1</f>
        <v>#N/A</v>
      </c>
      <c r="D75" s="132" t="s">
        <v>100</v>
      </c>
    </row>
    <row r="76" spans="1:4">
      <c r="A76" s="133"/>
      <c r="B76" s="8"/>
      <c r="C76" s="8"/>
      <c r="D76" s="134"/>
    </row>
    <row r="77" spans="1:4">
      <c r="A77" s="131">
        <v>5</v>
      </c>
      <c r="B77" s="7">
        <v>6</v>
      </c>
      <c r="C77" s="7" t="e">
        <f>VLOOKUP(A77,$G$2:$J$13,4)+B77+0.1</f>
        <v>#N/A</v>
      </c>
      <c r="D77" s="132" t="s">
        <v>101</v>
      </c>
    </row>
    <row r="78" spans="1:4">
      <c r="A78" s="133"/>
      <c r="B78" s="8"/>
      <c r="C78" s="8"/>
      <c r="D78" s="134"/>
    </row>
    <row r="79" spans="1:4">
      <c r="A79" s="131">
        <v>5</v>
      </c>
      <c r="B79" s="7">
        <v>10</v>
      </c>
      <c r="C79" s="7" t="e">
        <f>VLOOKUP(A79,$G$2:$J$13,4)+B79+0.1</f>
        <v>#N/A</v>
      </c>
      <c r="D79" s="132" t="s">
        <v>9</v>
      </c>
    </row>
    <row r="80" spans="1:4">
      <c r="A80" s="133"/>
      <c r="B80" s="8"/>
      <c r="C80" s="8"/>
      <c r="D80" s="134"/>
    </row>
    <row r="81" spans="1:4">
      <c r="A81" s="131">
        <v>5</v>
      </c>
      <c r="B81" s="7">
        <v>11</v>
      </c>
      <c r="C81" s="7" t="e">
        <f>VLOOKUP(A81,$G$2:$J$13,4)+B81+0.1</f>
        <v>#N/A</v>
      </c>
      <c r="D81" s="132" t="s">
        <v>102</v>
      </c>
    </row>
    <row r="82" spans="1:4">
      <c r="A82" s="133"/>
      <c r="B82" s="8"/>
      <c r="C82" s="8"/>
      <c r="D82" s="134"/>
    </row>
    <row r="83" spans="1:4">
      <c r="A83" s="131">
        <v>5</v>
      </c>
      <c r="B83" s="7">
        <v>14</v>
      </c>
      <c r="C83" s="7" t="e">
        <f>VLOOKUP(A83,$G$2:$J$13,4)+B83+0.1</f>
        <v>#N/A</v>
      </c>
      <c r="D83" s="132" t="s">
        <v>103</v>
      </c>
    </row>
    <row r="84" spans="1:4">
      <c r="A84" s="133"/>
      <c r="B84" s="8"/>
      <c r="C84" s="8"/>
      <c r="D84" s="134"/>
    </row>
    <row r="85" spans="1:4">
      <c r="A85" s="131">
        <v>5</v>
      </c>
      <c r="B85" s="7">
        <v>15</v>
      </c>
      <c r="C85" s="7" t="e">
        <f>VLOOKUP(A85,$G$2:$J$13,4)+B85+0.1</f>
        <v>#N/A</v>
      </c>
      <c r="D85" s="132" t="s">
        <v>104</v>
      </c>
    </row>
    <row r="86" spans="1:4">
      <c r="A86" s="133"/>
      <c r="B86" s="8"/>
      <c r="C86" s="8"/>
      <c r="D86" s="134"/>
    </row>
    <row r="87" spans="1:4">
      <c r="A87" s="131">
        <v>5</v>
      </c>
      <c r="B87" s="7">
        <v>16</v>
      </c>
      <c r="C87" s="7" t="e">
        <f>VLOOKUP(A87,$G$2:$J$13,4)+B87+0.1</f>
        <v>#N/A</v>
      </c>
      <c r="D87" s="132" t="s">
        <v>105</v>
      </c>
    </row>
    <row r="88" spans="1:4">
      <c r="A88" s="133"/>
      <c r="B88" s="8"/>
      <c r="C88" s="8"/>
      <c r="D88" s="134"/>
    </row>
    <row r="89" spans="1:4">
      <c r="A89" s="131">
        <v>6</v>
      </c>
      <c r="B89" s="7">
        <v>2</v>
      </c>
      <c r="C89" s="7" t="e">
        <f>VLOOKUP(A89,$G$2:$J$13,4)+B89+0.1</f>
        <v>#N/A</v>
      </c>
      <c r="D89" s="132" t="s">
        <v>10</v>
      </c>
    </row>
    <row r="90" spans="1:4">
      <c r="A90" s="133"/>
      <c r="B90" s="8"/>
      <c r="C90" s="8"/>
      <c r="D90" s="134"/>
    </row>
    <row r="91" spans="1:4">
      <c r="A91" s="131">
        <v>6</v>
      </c>
      <c r="B91" s="7">
        <v>6</v>
      </c>
      <c r="C91" s="7" t="e">
        <f>VLOOKUP(A91,$G$2:$J$13,4)+B91+0.1</f>
        <v>#N/A</v>
      </c>
      <c r="D91" s="132" t="s">
        <v>106</v>
      </c>
    </row>
    <row r="92" spans="1:4">
      <c r="A92" s="133"/>
      <c r="B92" s="8"/>
      <c r="C92" s="8"/>
      <c r="D92" s="134"/>
    </row>
    <row r="93" spans="1:4">
      <c r="A93" s="131">
        <v>6</v>
      </c>
      <c r="B93" s="7">
        <v>10</v>
      </c>
      <c r="C93" s="7" t="e">
        <f>VLOOKUP(A93,$G$2:$J$13,4)+B93+0.1</f>
        <v>#N/A</v>
      </c>
      <c r="D93" s="132" t="s">
        <v>107</v>
      </c>
    </row>
    <row r="94" spans="1:4">
      <c r="A94" s="133"/>
      <c r="B94" s="8"/>
      <c r="C94" s="8"/>
      <c r="D94" s="134"/>
    </row>
    <row r="95" spans="1:4">
      <c r="A95" s="131">
        <v>6</v>
      </c>
      <c r="B95" s="7">
        <v>11</v>
      </c>
      <c r="C95" s="7" t="e">
        <f>VLOOKUP(A95,$G$2:$J$13,4)+B95+0.1</f>
        <v>#N/A</v>
      </c>
      <c r="D95" s="132" t="s">
        <v>108</v>
      </c>
    </row>
    <row r="96" spans="1:4">
      <c r="A96" s="133"/>
      <c r="B96" s="8"/>
      <c r="C96" s="8"/>
      <c r="D96" s="134"/>
    </row>
    <row r="97" spans="1:4">
      <c r="A97" s="131">
        <v>6</v>
      </c>
      <c r="B97" s="7">
        <v>15</v>
      </c>
      <c r="C97" s="7" t="e">
        <f>VLOOKUP(A97,$G$2:$J$13,4)+B97+0.1</f>
        <v>#N/A</v>
      </c>
      <c r="D97" s="132" t="s">
        <v>11</v>
      </c>
    </row>
    <row r="98" spans="1:4">
      <c r="A98" s="133"/>
      <c r="B98" s="8"/>
      <c r="C98" s="8"/>
      <c r="D98" s="134"/>
    </row>
    <row r="99" spans="1:4">
      <c r="A99" s="131">
        <v>6</v>
      </c>
      <c r="B99" s="7">
        <v>18</v>
      </c>
      <c r="C99" s="7" t="e">
        <f>VLOOKUP(A99,$G$2:$J$13,4)+B99+0.1</f>
        <v>#N/A</v>
      </c>
      <c r="D99" s="132" t="s">
        <v>12</v>
      </c>
    </row>
    <row r="100" spans="1:4">
      <c r="A100" s="133"/>
      <c r="B100" s="8"/>
      <c r="C100" s="8"/>
      <c r="D100" s="134"/>
    </row>
    <row r="101" spans="1:4">
      <c r="A101" s="131">
        <v>6</v>
      </c>
      <c r="B101" s="7">
        <v>20</v>
      </c>
      <c r="C101" s="7" t="e">
        <f>VLOOKUP(A101,$G$2:$J$13,4)+B101+0.1</f>
        <v>#N/A</v>
      </c>
      <c r="D101" s="132" t="s">
        <v>109</v>
      </c>
    </row>
    <row r="102" spans="1:4">
      <c r="A102" s="133"/>
      <c r="B102" s="8"/>
      <c r="C102" s="8"/>
      <c r="D102" s="134"/>
    </row>
    <row r="103" spans="1:4">
      <c r="A103" s="131">
        <v>6</v>
      </c>
      <c r="B103" s="7">
        <v>22</v>
      </c>
      <c r="C103" s="7" t="e">
        <f>VLOOKUP(A103,$G$2:$J$13,4)+B103+0.1</f>
        <v>#N/A</v>
      </c>
      <c r="D103" s="132" t="s">
        <v>110</v>
      </c>
    </row>
    <row r="104" spans="1:4">
      <c r="A104" s="133"/>
      <c r="B104" s="8"/>
      <c r="C104" s="8"/>
      <c r="D104" s="134"/>
    </row>
    <row r="105" spans="1:4">
      <c r="A105" s="131">
        <v>6</v>
      </c>
      <c r="B105" s="7">
        <v>24</v>
      </c>
      <c r="C105" s="7" t="e">
        <f>VLOOKUP(A105,$G$2:$J$13,4)+B105+0.1</f>
        <v>#N/A</v>
      </c>
      <c r="D105" s="132" t="s">
        <v>111</v>
      </c>
    </row>
    <row r="106" spans="1:4">
      <c r="A106" s="133"/>
      <c r="B106" s="8"/>
      <c r="C106" s="8"/>
      <c r="D106" s="134"/>
    </row>
    <row r="107" spans="1:4">
      <c r="A107" s="131">
        <v>6</v>
      </c>
      <c r="B107" s="7">
        <v>26</v>
      </c>
      <c r="C107" s="7" t="e">
        <f>VLOOKUP(A107,$G$2:$J$13,4)+B107+0.1</f>
        <v>#N/A</v>
      </c>
      <c r="D107" s="132" t="s">
        <v>112</v>
      </c>
    </row>
    <row r="108" spans="1:4">
      <c r="A108" s="133"/>
      <c r="B108" s="8"/>
      <c r="C108" s="8"/>
      <c r="D108" s="134"/>
    </row>
    <row r="109" spans="1:4">
      <c r="A109" s="131">
        <v>6</v>
      </c>
      <c r="B109" s="7">
        <v>29</v>
      </c>
      <c r="C109" s="7" t="e">
        <f>VLOOKUP(A109,$G$2:$J$13,4)+B109+0.1</f>
        <v>#N/A</v>
      </c>
      <c r="D109" s="132" t="s">
        <v>113</v>
      </c>
    </row>
    <row r="110" spans="1:4">
      <c r="A110" s="133"/>
      <c r="B110" s="8"/>
      <c r="C110" s="8"/>
      <c r="D110" s="134"/>
    </row>
    <row r="111" spans="1:4">
      <c r="A111" s="131">
        <v>7</v>
      </c>
      <c r="B111" s="7">
        <v>3</v>
      </c>
      <c r="C111" s="7" t="e">
        <f>VLOOKUP(A111,$G$2:$J$13,4)+B111+0.1</f>
        <v>#N/A</v>
      </c>
      <c r="D111" s="132" t="s">
        <v>13</v>
      </c>
    </row>
    <row r="112" spans="1:4">
      <c r="A112" s="133"/>
      <c r="B112" s="8"/>
      <c r="C112" s="8"/>
      <c r="D112" s="134"/>
    </row>
    <row r="113" spans="1:4">
      <c r="A113" s="131">
        <v>7</v>
      </c>
      <c r="B113" s="7">
        <v>8</v>
      </c>
      <c r="C113" s="7" t="e">
        <f>VLOOKUP(A113,$G$2:$J$13,4)+B113+0.1</f>
        <v>#N/A</v>
      </c>
      <c r="D113" s="132" t="s">
        <v>114</v>
      </c>
    </row>
    <row r="114" spans="1:4">
      <c r="A114" s="133"/>
      <c r="B114" s="8"/>
      <c r="C114" s="8"/>
      <c r="D114" s="134"/>
    </row>
    <row r="115" spans="1:4">
      <c r="A115" s="131">
        <v>7</v>
      </c>
      <c r="B115" s="7">
        <v>14</v>
      </c>
      <c r="C115" s="7" t="e">
        <f>VLOOKUP(A115,$G$2:$J$13,4)+B115+0.1</f>
        <v>#N/A</v>
      </c>
      <c r="D115" s="132" t="s">
        <v>115</v>
      </c>
    </row>
    <row r="116" spans="1:4">
      <c r="A116" s="133"/>
      <c r="B116" s="8"/>
      <c r="C116" s="8"/>
      <c r="D116" s="134"/>
    </row>
    <row r="117" spans="1:4">
      <c r="A117" s="131">
        <v>7</v>
      </c>
      <c r="B117" s="7">
        <v>17</v>
      </c>
      <c r="C117" s="7" t="e">
        <f>VLOOKUP(A117,$G$2:$J$13,4)+B117+0.1</f>
        <v>#N/A</v>
      </c>
      <c r="D117" s="132" t="s">
        <v>116</v>
      </c>
    </row>
    <row r="118" spans="1:4">
      <c r="A118" s="133"/>
      <c r="B118" s="8"/>
      <c r="C118" s="8"/>
      <c r="D118" s="134"/>
    </row>
    <row r="119" spans="1:4">
      <c r="A119" s="131">
        <v>7</v>
      </c>
      <c r="B119" s="7">
        <v>18</v>
      </c>
      <c r="C119" s="7" t="e">
        <f>VLOOKUP(A119,$G$2:$J$13,4)+B119+0.1</f>
        <v>#N/A</v>
      </c>
      <c r="D119" s="132" t="s">
        <v>117</v>
      </c>
    </row>
    <row r="120" spans="1:4">
      <c r="A120" s="131">
        <v>7</v>
      </c>
      <c r="B120" s="7">
        <v>18</v>
      </c>
      <c r="C120" s="7" t="e">
        <f>VLOOKUP(A120,$G$2:$J$13,4)+B120+0.2</f>
        <v>#N/A</v>
      </c>
      <c r="D120" s="132" t="s">
        <v>118</v>
      </c>
    </row>
    <row r="121" spans="1:4">
      <c r="A121" s="131">
        <v>7</v>
      </c>
      <c r="B121" s="7">
        <v>18</v>
      </c>
      <c r="C121" s="7" t="e">
        <f>VLOOKUP(A121,$G$2:$J$13,4)+B121+0.3</f>
        <v>#N/A</v>
      </c>
      <c r="D121" s="132" t="s">
        <v>119</v>
      </c>
    </row>
    <row r="122" spans="1:4">
      <c r="A122" s="133"/>
      <c r="B122" s="8"/>
      <c r="C122" s="8"/>
      <c r="D122" s="134"/>
    </row>
    <row r="123" spans="1:4">
      <c r="A123" s="131">
        <v>7</v>
      </c>
      <c r="B123" s="7">
        <v>25</v>
      </c>
      <c r="C123" s="7" t="e">
        <f>VLOOKUP(A123,$G$2:$J$13,4)+B123+0.1</f>
        <v>#N/A</v>
      </c>
      <c r="D123" s="132" t="s">
        <v>120</v>
      </c>
    </row>
    <row r="124" spans="1:4">
      <c r="A124" s="133"/>
      <c r="B124" s="8"/>
      <c r="C124" s="8"/>
      <c r="D124" s="134"/>
    </row>
    <row r="125" spans="1:4">
      <c r="A125" s="131">
        <v>7</v>
      </c>
      <c r="B125" s="7">
        <v>26</v>
      </c>
      <c r="C125" s="7" t="e">
        <f>VLOOKUP(A125,$G$2:$J$13,4)+B125+0.1</f>
        <v>#N/A</v>
      </c>
      <c r="D125" s="132" t="s">
        <v>14</v>
      </c>
    </row>
    <row r="126" spans="1:4">
      <c r="A126" s="133"/>
      <c r="B126" s="8"/>
      <c r="C126" s="8"/>
      <c r="D126" s="134"/>
    </row>
    <row r="127" spans="1:4">
      <c r="A127" s="131">
        <v>7</v>
      </c>
      <c r="B127" s="7">
        <v>27</v>
      </c>
      <c r="C127" s="7" t="e">
        <f>VLOOKUP(A127,$G$2:$J$13,4)+B127+0.1</f>
        <v>#N/A</v>
      </c>
      <c r="D127" s="132" t="s">
        <v>15</v>
      </c>
    </row>
    <row r="128" spans="1:4">
      <c r="A128" s="133"/>
      <c r="B128" s="8"/>
      <c r="C128" s="8"/>
      <c r="D128" s="134"/>
    </row>
    <row r="129" spans="1:4">
      <c r="A129" s="131">
        <v>8</v>
      </c>
      <c r="B129" s="7">
        <v>4</v>
      </c>
      <c r="C129" s="7" t="e">
        <f>VLOOKUP(A129,$G$2:$J$13,4)+B129+0.1</f>
        <v>#N/A</v>
      </c>
      <c r="D129" s="132" t="s">
        <v>16</v>
      </c>
    </row>
    <row r="130" spans="1:4">
      <c r="A130" s="131">
        <v>8</v>
      </c>
      <c r="B130" s="7">
        <v>4</v>
      </c>
      <c r="C130" s="7" t="e">
        <f>VLOOKUP(A130,$G$2:$J$13,4)+B130+0.2</f>
        <v>#N/A</v>
      </c>
      <c r="D130" s="132" t="s">
        <v>121</v>
      </c>
    </row>
    <row r="131" spans="1:4">
      <c r="A131" s="133"/>
      <c r="B131" s="8"/>
      <c r="C131" s="8"/>
      <c r="D131" s="134"/>
    </row>
    <row r="132" spans="1:4">
      <c r="A132" s="131">
        <v>8</v>
      </c>
      <c r="B132" s="7">
        <v>10</v>
      </c>
      <c r="C132" s="7" t="e">
        <f>VLOOKUP(A132,$G$2:$J$13,4)+B132+0.1</f>
        <v>#N/A</v>
      </c>
      <c r="D132" s="132" t="s">
        <v>17</v>
      </c>
    </row>
    <row r="133" spans="1:4">
      <c r="A133" s="133"/>
      <c r="B133" s="8"/>
      <c r="C133" s="8"/>
      <c r="D133" s="134"/>
    </row>
    <row r="134" spans="1:4">
      <c r="A134" s="131">
        <v>8</v>
      </c>
      <c r="B134" s="7">
        <v>12</v>
      </c>
      <c r="C134" s="7" t="e">
        <f>VLOOKUP(A134,$G$2:$J$13,4)+B134+0.1</f>
        <v>#N/A</v>
      </c>
      <c r="D134" s="132" t="s">
        <v>122</v>
      </c>
    </row>
    <row r="135" spans="1:4">
      <c r="A135" s="133"/>
      <c r="B135" s="8"/>
      <c r="C135" s="8"/>
      <c r="D135" s="134"/>
    </row>
    <row r="136" spans="1:4">
      <c r="A136" s="131">
        <v>8</v>
      </c>
      <c r="B136" s="7">
        <v>14</v>
      </c>
      <c r="C136" s="7" t="e">
        <f>VLOOKUP(A136,$G$2:$J$13,4)+B136+0.1</f>
        <v>#N/A</v>
      </c>
      <c r="D136" s="132" t="s">
        <v>123</v>
      </c>
    </row>
    <row r="137" spans="1:4">
      <c r="A137" s="133"/>
      <c r="B137" s="8"/>
      <c r="C137" s="8"/>
      <c r="D137" s="134"/>
    </row>
    <row r="138" spans="1:4">
      <c r="A138" s="131">
        <v>8</v>
      </c>
      <c r="B138" s="7">
        <v>19</v>
      </c>
      <c r="C138" s="7" t="e">
        <f>VLOOKUP(A138,$G$2:$J$13,4)+B138+0.1</f>
        <v>#N/A</v>
      </c>
      <c r="D138" s="132" t="s">
        <v>124</v>
      </c>
    </row>
    <row r="139" spans="1:4">
      <c r="A139" s="131">
        <v>8</v>
      </c>
      <c r="B139" s="7">
        <v>19</v>
      </c>
      <c r="C139" s="7" t="e">
        <f>VLOOKUP(A139,$G$2:$J$13,4)+B139+0.2</f>
        <v>#N/A</v>
      </c>
      <c r="D139" s="132" t="s">
        <v>125</v>
      </c>
    </row>
    <row r="140" spans="1:4">
      <c r="A140" s="133"/>
      <c r="B140" s="8"/>
      <c r="C140" s="8"/>
      <c r="D140" s="134"/>
    </row>
    <row r="141" spans="1:4">
      <c r="A141" s="131">
        <v>8</v>
      </c>
      <c r="B141" s="7">
        <v>20</v>
      </c>
      <c r="C141" s="7" t="e">
        <f>VLOOKUP(A141,$G$2:$J$13,4)+B141+0.1</f>
        <v>#N/A</v>
      </c>
      <c r="D141" s="132" t="s">
        <v>126</v>
      </c>
    </row>
    <row r="142" spans="1:4">
      <c r="A142" s="133"/>
      <c r="B142" s="8"/>
      <c r="C142" s="8"/>
      <c r="D142" s="134"/>
    </row>
    <row r="143" spans="1:4">
      <c r="A143" s="131">
        <v>8</v>
      </c>
      <c r="B143" s="7">
        <v>25</v>
      </c>
      <c r="C143" s="7" t="e">
        <f>VLOOKUP(A143,$G$2:$J$13,4)+B143+0.1</f>
        <v>#N/A</v>
      </c>
      <c r="D143" s="132" t="s">
        <v>127</v>
      </c>
    </row>
    <row r="144" spans="1:4">
      <c r="A144" s="133"/>
      <c r="B144" s="8"/>
      <c r="C144" s="8"/>
      <c r="D144" s="134"/>
    </row>
    <row r="145" spans="1:4">
      <c r="A145" s="131">
        <v>8</v>
      </c>
      <c r="B145" s="7">
        <v>29</v>
      </c>
      <c r="C145" s="7" t="e">
        <f>VLOOKUP(A145,$G$2:$J$13,4)+B145+0.1</f>
        <v>#N/A</v>
      </c>
      <c r="D145" s="132" t="s">
        <v>128</v>
      </c>
    </row>
    <row r="146" spans="1:4">
      <c r="A146" s="133"/>
      <c r="B146" s="8"/>
      <c r="C146" s="8"/>
      <c r="D146" s="134"/>
    </row>
    <row r="147" spans="1:4">
      <c r="A147" s="131">
        <v>9</v>
      </c>
      <c r="B147" s="7">
        <v>2</v>
      </c>
      <c r="C147" s="7" t="e">
        <f>VLOOKUP(A147,$G$2:$J$13,4)+B147+0.1</f>
        <v>#N/A</v>
      </c>
      <c r="D147" s="132" t="s">
        <v>129</v>
      </c>
    </row>
    <row r="148" spans="1:4">
      <c r="A148" s="133"/>
      <c r="B148" s="8"/>
      <c r="C148" s="8"/>
      <c r="D148" s="134"/>
    </row>
    <row r="149" spans="1:4">
      <c r="A149" s="131">
        <v>9</v>
      </c>
      <c r="B149" s="7">
        <v>6</v>
      </c>
      <c r="C149" s="7" t="e">
        <f>VLOOKUP(A149,$G$2:$J$13,4)+B149+0.1</f>
        <v>#N/A</v>
      </c>
      <c r="D149" s="132" t="s">
        <v>18</v>
      </c>
    </row>
    <row r="150" spans="1:4">
      <c r="A150" s="133"/>
      <c r="B150" s="8"/>
      <c r="C150" s="8"/>
      <c r="D150" s="134"/>
    </row>
    <row r="151" spans="1:4">
      <c r="A151" s="131">
        <v>9</v>
      </c>
      <c r="B151" s="7">
        <v>14</v>
      </c>
      <c r="C151" s="7" t="e">
        <f>VLOOKUP(A151,$G$2:$J$13,4)+B151+0.1</f>
        <v>#N/A</v>
      </c>
      <c r="D151" s="132" t="s">
        <v>19</v>
      </c>
    </row>
    <row r="152" spans="1:4">
      <c r="A152" s="133"/>
      <c r="B152" s="8"/>
      <c r="C152" s="8"/>
      <c r="D152" s="134"/>
    </row>
    <row r="153" spans="1:4">
      <c r="A153" s="131">
        <v>9</v>
      </c>
      <c r="B153" s="7">
        <v>15</v>
      </c>
      <c r="C153" s="7" t="e">
        <f>VLOOKUP(A153,$G$2:$J$13,4)+B153+0.1</f>
        <v>#N/A</v>
      </c>
      <c r="D153" s="132" t="s">
        <v>130</v>
      </c>
    </row>
    <row r="154" spans="1:4">
      <c r="A154" s="133"/>
      <c r="B154" s="8"/>
      <c r="C154" s="8"/>
      <c r="D154" s="134"/>
    </row>
    <row r="155" spans="1:4">
      <c r="A155" s="131">
        <v>9</v>
      </c>
      <c r="B155" s="7">
        <v>22</v>
      </c>
      <c r="C155" s="7" t="e">
        <f>VLOOKUP(A155,$G$2:$J$13,4)+B155+0.1</f>
        <v>#N/A</v>
      </c>
      <c r="D155" s="132" t="s">
        <v>131</v>
      </c>
    </row>
    <row r="156" spans="1:4">
      <c r="A156" s="133"/>
      <c r="B156" s="8"/>
      <c r="C156" s="8"/>
      <c r="D156" s="134"/>
    </row>
    <row r="157" spans="1:4">
      <c r="A157" s="131">
        <v>9</v>
      </c>
      <c r="B157" s="7">
        <v>23</v>
      </c>
      <c r="C157" s="7" t="e">
        <f>VLOOKUP(A157,$G$2:$J$13,4)+B157+0.1</f>
        <v>#N/A</v>
      </c>
      <c r="D157" s="132" t="s">
        <v>20</v>
      </c>
    </row>
    <row r="158" spans="1:4">
      <c r="A158" s="131">
        <v>9</v>
      </c>
      <c r="B158" s="7">
        <v>23</v>
      </c>
      <c r="C158" s="7" t="e">
        <f>VLOOKUP(A158,$G$2:$J$13,4)+B158+0.2</f>
        <v>#N/A</v>
      </c>
      <c r="D158" s="132" t="s">
        <v>132</v>
      </c>
    </row>
    <row r="159" spans="1:4">
      <c r="A159" s="133"/>
      <c r="B159" s="8"/>
      <c r="C159" s="8"/>
      <c r="D159" s="134"/>
    </row>
    <row r="160" spans="1:4">
      <c r="A160" s="131">
        <v>10</v>
      </c>
      <c r="B160" s="7">
        <v>7</v>
      </c>
      <c r="C160" s="7" t="e">
        <f>VLOOKUP(A160,$G$2:$J$13,4)+B160+0.1</f>
        <v>#N/A</v>
      </c>
      <c r="D160" s="132" t="s">
        <v>133</v>
      </c>
    </row>
    <row r="161" spans="1:4">
      <c r="A161" s="133"/>
      <c r="B161" s="8"/>
      <c r="C161" s="8"/>
      <c r="D161" s="134"/>
    </row>
    <row r="162" spans="1:4">
      <c r="A162" s="131">
        <v>10</v>
      </c>
      <c r="B162" s="7">
        <v>10</v>
      </c>
      <c r="C162" s="7" t="e">
        <f>VLOOKUP(A162,$G$2:$J$13,4)+B162+0.1</f>
        <v>#N/A</v>
      </c>
      <c r="D162" s="132" t="s">
        <v>134</v>
      </c>
    </row>
    <row r="163" spans="1:4">
      <c r="A163" s="133"/>
      <c r="B163" s="8"/>
      <c r="C163" s="8"/>
      <c r="D163" s="134"/>
    </row>
    <row r="164" spans="1:4">
      <c r="A164" s="131">
        <v>10</v>
      </c>
      <c r="B164" s="7">
        <v>10</v>
      </c>
      <c r="C164" s="7" t="e">
        <f>VLOOKUP(A164,$G$2:$J$13,4)+B164+0.1</f>
        <v>#N/A</v>
      </c>
      <c r="D164" s="132" t="s">
        <v>135</v>
      </c>
    </row>
    <row r="165" spans="1:4">
      <c r="A165" s="133"/>
      <c r="B165" s="8"/>
      <c r="C165" s="8"/>
      <c r="D165" s="134"/>
    </row>
    <row r="166" spans="1:4">
      <c r="A166" s="131">
        <v>10</v>
      </c>
      <c r="B166" s="7">
        <v>16</v>
      </c>
      <c r="C166" s="7" t="e">
        <f>VLOOKUP(A166,$G$2:$J$13,4)+B166+0.1</f>
        <v>#N/A</v>
      </c>
      <c r="D166" s="132" t="s">
        <v>21</v>
      </c>
    </row>
    <row r="167" spans="1:4">
      <c r="A167" s="131">
        <v>10</v>
      </c>
      <c r="B167" s="7">
        <v>16</v>
      </c>
      <c r="C167" s="7" t="e">
        <f>VLOOKUP(A167,$G$2:$J$13,4)+B167+0.2</f>
        <v>#N/A</v>
      </c>
      <c r="D167" s="132" t="s">
        <v>136</v>
      </c>
    </row>
    <row r="168" spans="1:4">
      <c r="A168" s="133"/>
      <c r="B168" s="8"/>
      <c r="C168" s="8"/>
      <c r="D168" s="134"/>
    </row>
    <row r="169" spans="1:4">
      <c r="A169" s="131">
        <v>10</v>
      </c>
      <c r="B169" s="7">
        <v>17</v>
      </c>
      <c r="C169" s="7" t="e">
        <f>VLOOKUP(A169,$G$2:$J$13,4)+B169+0.1</f>
        <v>#N/A</v>
      </c>
      <c r="D169" s="132" t="s">
        <v>22</v>
      </c>
    </row>
    <row r="170" spans="1:4">
      <c r="A170" s="131">
        <v>10</v>
      </c>
      <c r="B170" s="7">
        <v>17</v>
      </c>
      <c r="C170" s="7" t="e">
        <f>VLOOKUP(A170,$G$2:$J$13,4)+B170+0.2</f>
        <v>#N/A</v>
      </c>
      <c r="D170" s="132" t="s">
        <v>137</v>
      </c>
    </row>
    <row r="171" spans="1:4">
      <c r="A171" s="131">
        <v>10</v>
      </c>
      <c r="B171" s="7">
        <v>17</v>
      </c>
      <c r="C171" s="7" t="e">
        <f>VLOOKUP(A171,$G$2:$J$13,4)+B171+0.3</f>
        <v>#N/A</v>
      </c>
      <c r="D171" s="132" t="s">
        <v>138</v>
      </c>
    </row>
    <row r="172" spans="1:4">
      <c r="A172" s="133"/>
      <c r="B172" s="8"/>
      <c r="C172" s="8"/>
      <c r="D172" s="134"/>
    </row>
    <row r="173" spans="1:4">
      <c r="A173" s="131">
        <v>10</v>
      </c>
      <c r="B173" s="7">
        <v>21</v>
      </c>
      <c r="C173" s="7" t="e">
        <f>VLOOKUP(A173,$G$2:$J$13,4)+B173+0.1</f>
        <v>#N/A</v>
      </c>
      <c r="D173" s="132" t="s">
        <v>139</v>
      </c>
    </row>
    <row r="174" spans="1:4">
      <c r="A174" s="133"/>
      <c r="B174" s="8"/>
      <c r="C174" s="8"/>
      <c r="D174" s="134"/>
    </row>
    <row r="175" spans="1:4">
      <c r="A175" s="131">
        <v>10</v>
      </c>
      <c r="B175" s="7">
        <v>24</v>
      </c>
      <c r="C175" s="7" t="e">
        <f>VLOOKUP(A175,$G$2:$J$13,4)+B175+0.1</f>
        <v>#N/A</v>
      </c>
      <c r="D175" s="132" t="s">
        <v>140</v>
      </c>
    </row>
    <row r="176" spans="1:4">
      <c r="A176" s="133"/>
      <c r="B176" s="8"/>
      <c r="C176" s="8"/>
      <c r="D176" s="134"/>
    </row>
    <row r="177" spans="1:4">
      <c r="A177" s="131">
        <v>10</v>
      </c>
      <c r="B177" s="7">
        <v>25</v>
      </c>
      <c r="C177" s="7" t="e">
        <f>VLOOKUP(A177,$G$2:$J$13,4)+B177+0.1</f>
        <v>#N/A</v>
      </c>
      <c r="D177" s="132" t="s">
        <v>141</v>
      </c>
    </row>
    <row r="178" spans="1:4">
      <c r="A178" s="131">
        <v>10</v>
      </c>
      <c r="B178" s="7">
        <v>25</v>
      </c>
      <c r="C178" s="7" t="e">
        <f>VLOOKUP(A178,$G$2:$J$13,4)+B178+0.2</f>
        <v>#N/A</v>
      </c>
      <c r="D178" s="132" t="s">
        <v>142</v>
      </c>
    </row>
    <row r="179" spans="1:4">
      <c r="A179" s="133"/>
      <c r="B179" s="8"/>
      <c r="C179" s="8"/>
      <c r="D179" s="134"/>
    </row>
    <row r="180" spans="1:4">
      <c r="A180" s="131">
        <v>11</v>
      </c>
      <c r="B180" s="7">
        <v>1</v>
      </c>
      <c r="C180" s="7" t="e">
        <f>VLOOKUP(A180,$G$2:$J$13,4)+B180+0.1</f>
        <v>#N/A</v>
      </c>
      <c r="D180" s="132" t="s">
        <v>143</v>
      </c>
    </row>
    <row r="181" spans="1:4">
      <c r="A181" s="133"/>
      <c r="B181" s="8"/>
      <c r="C181" s="8"/>
      <c r="D181" s="134"/>
    </row>
    <row r="182" spans="1:4">
      <c r="A182" s="131">
        <v>11</v>
      </c>
      <c r="B182" s="7">
        <v>3</v>
      </c>
      <c r="C182" s="7" t="e">
        <f>VLOOKUP(A182,$G$2:$J$13,4)+B182+0.1</f>
        <v>#N/A</v>
      </c>
      <c r="D182" s="132" t="s">
        <v>23</v>
      </c>
    </row>
    <row r="183" spans="1:4">
      <c r="A183" s="133"/>
      <c r="B183" s="8"/>
      <c r="C183" s="8"/>
      <c r="D183" s="134"/>
    </row>
    <row r="184" spans="1:4">
      <c r="A184" s="131">
        <v>11</v>
      </c>
      <c r="B184" s="7">
        <v>4</v>
      </c>
      <c r="C184" s="7" t="e">
        <f>VLOOKUP(A184,$G$2:$J$13,4)+B184+0.1</f>
        <v>#N/A</v>
      </c>
      <c r="D184" s="132" t="s">
        <v>144</v>
      </c>
    </row>
    <row r="185" spans="1:4">
      <c r="A185" s="133"/>
      <c r="B185" s="8"/>
      <c r="C185" s="8"/>
      <c r="D185" s="134"/>
    </row>
    <row r="186" spans="1:4">
      <c r="A186" s="131">
        <v>11</v>
      </c>
      <c r="B186" s="7">
        <v>5</v>
      </c>
      <c r="C186" s="7" t="e">
        <f>VLOOKUP(A186,$G$2:$J$13,4)+B186+0.1</f>
        <v>#N/A</v>
      </c>
      <c r="D186" s="132" t="s">
        <v>145</v>
      </c>
    </row>
    <row r="187" spans="1:4">
      <c r="A187" s="133"/>
      <c r="B187" s="8"/>
      <c r="C187" s="8"/>
      <c r="D187" s="134"/>
    </row>
    <row r="188" spans="1:4">
      <c r="A188" s="131">
        <v>11</v>
      </c>
      <c r="B188" s="7">
        <v>8</v>
      </c>
      <c r="C188" s="7" t="e">
        <f>VLOOKUP(A188,$G$2:$J$13,4)+B188+0.1</f>
        <v>#N/A</v>
      </c>
      <c r="D188" s="132" t="s">
        <v>146</v>
      </c>
    </row>
    <row r="189" spans="1:4">
      <c r="A189" s="133"/>
      <c r="B189" s="8"/>
      <c r="C189" s="8"/>
      <c r="D189" s="134"/>
    </row>
    <row r="190" spans="1:4">
      <c r="A190" s="131">
        <v>11</v>
      </c>
      <c r="B190" s="7">
        <v>12</v>
      </c>
      <c r="C190" s="7" t="e">
        <f>VLOOKUP(A190,$G$2:$J$13,4)+B190+0.1</f>
        <v>#N/A</v>
      </c>
      <c r="D190" s="132" t="s">
        <v>147</v>
      </c>
    </row>
    <row r="191" spans="1:4">
      <c r="A191" s="133"/>
      <c r="B191" s="8"/>
      <c r="C191" s="8"/>
      <c r="D191" s="134"/>
    </row>
    <row r="192" spans="1:4">
      <c r="A192" s="131">
        <v>11</v>
      </c>
      <c r="B192" s="7">
        <v>22</v>
      </c>
      <c r="C192" s="7" t="e">
        <f>VLOOKUP(A192,$G$2:$J$13,4)+B192+0.1</f>
        <v>#N/A</v>
      </c>
      <c r="D192" s="132" t="s">
        <v>24</v>
      </c>
    </row>
    <row r="193" spans="1:4">
      <c r="A193" s="133"/>
      <c r="B193" s="8"/>
      <c r="C193" s="8"/>
      <c r="D193" s="134"/>
    </row>
    <row r="194" spans="1:4">
      <c r="A194" s="131">
        <v>11</v>
      </c>
      <c r="B194" s="7">
        <v>25</v>
      </c>
      <c r="C194" s="7" t="e">
        <f>VLOOKUP(A194,$G$2:$J$13,4)+B194+0.1</f>
        <v>#N/A</v>
      </c>
      <c r="D194" s="132" t="s">
        <v>148</v>
      </c>
    </row>
    <row r="195" spans="1:4">
      <c r="A195" s="133"/>
      <c r="B195" s="8"/>
      <c r="C195" s="8"/>
      <c r="D195" s="134"/>
    </row>
    <row r="196" spans="1:4">
      <c r="A196" s="131">
        <v>12</v>
      </c>
      <c r="B196" s="7">
        <v>2</v>
      </c>
      <c r="C196" s="7" t="e">
        <f>VLOOKUP(A196,$G$2:$J$13,4)+B196+0.1</f>
        <v>#N/A</v>
      </c>
      <c r="D196" s="132" t="s">
        <v>149</v>
      </c>
    </row>
    <row r="197" spans="1:4">
      <c r="A197" s="133"/>
      <c r="B197" s="8"/>
      <c r="C197" s="8"/>
      <c r="D197" s="134"/>
    </row>
    <row r="198" spans="1:4">
      <c r="A198" s="131">
        <v>12</v>
      </c>
      <c r="B198" s="7">
        <v>3</v>
      </c>
      <c r="C198" s="7" t="e">
        <f>VLOOKUP(A198,$G$2:$J$13,4)+B198+0.1</f>
        <v>#N/A</v>
      </c>
      <c r="D198" s="132" t="s">
        <v>25</v>
      </c>
    </row>
    <row r="199" spans="1:4">
      <c r="A199" s="133"/>
      <c r="B199" s="8"/>
      <c r="C199" s="8"/>
      <c r="D199" s="134"/>
    </row>
    <row r="200" spans="1:4">
      <c r="A200" s="131">
        <v>12</v>
      </c>
      <c r="B200" s="7">
        <v>11</v>
      </c>
      <c r="C200" s="7" t="e">
        <f>VLOOKUP(A200,$G$2:$J$13,4)+B200+0.1</f>
        <v>#N/A</v>
      </c>
      <c r="D200" s="132" t="s">
        <v>150</v>
      </c>
    </row>
    <row r="201" spans="1:4">
      <c r="A201" s="133"/>
      <c r="B201" s="8"/>
      <c r="C201" s="8"/>
      <c r="D201" s="134"/>
    </row>
    <row r="202" spans="1:4">
      <c r="A202" s="131">
        <v>12</v>
      </c>
      <c r="B202" s="7">
        <v>18</v>
      </c>
      <c r="C202" s="7" t="e">
        <f>VLOOKUP(A202,$G$2:$J$13,4)+B202+0.1</f>
        <v>#N/A</v>
      </c>
      <c r="D202" s="132" t="s">
        <v>26</v>
      </c>
    </row>
    <row r="203" spans="1:4">
      <c r="A203" s="133"/>
      <c r="B203" s="8"/>
      <c r="C203" s="8"/>
      <c r="D203" s="134"/>
    </row>
    <row r="204" spans="1:4">
      <c r="A204" s="131">
        <v>12</v>
      </c>
      <c r="B204" s="7">
        <v>19</v>
      </c>
      <c r="C204" s="7" t="e">
        <f>VLOOKUP(A204,$G$2:$J$13,4)+B204+0.1</f>
        <v>#N/A</v>
      </c>
      <c r="D204" s="132" t="s">
        <v>151</v>
      </c>
    </row>
    <row r="205" spans="1:4">
      <c r="A205" s="133"/>
      <c r="B205" s="8"/>
      <c r="C205" s="8"/>
      <c r="D205" s="134"/>
    </row>
    <row r="206" spans="1:4">
      <c r="A206" s="133"/>
      <c r="B206" s="8"/>
      <c r="C206" s="8"/>
      <c r="D206" s="134"/>
    </row>
    <row r="207" spans="1:4">
      <c r="A207" s="133"/>
      <c r="B207" s="8"/>
      <c r="C207" s="8"/>
      <c r="D207" s="134"/>
    </row>
    <row r="208" spans="1:4">
      <c r="A208" s="133"/>
      <c r="B208" s="8"/>
      <c r="C208" s="8"/>
      <c r="D208" s="134"/>
    </row>
    <row r="209" spans="1:4">
      <c r="A209" s="133"/>
      <c r="B209" s="8"/>
      <c r="C209" s="8"/>
      <c r="D209" s="134"/>
    </row>
    <row r="210" spans="1:4">
      <c r="A210" s="133"/>
      <c r="B210" s="8"/>
      <c r="C210" s="8"/>
      <c r="D210" s="134"/>
    </row>
    <row r="211" spans="1:4">
      <c r="A211" s="133"/>
      <c r="B211" s="8"/>
      <c r="C211" s="8"/>
      <c r="D211" s="134"/>
    </row>
  </sheetData>
  <pageMargins left="0.78740157499999996" right="0.78740157499999996" top="0.984251969" bottom="0.984251969" header="0.4921259845" footer="0.4921259845"/>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CH367"/>
  <sheetViews>
    <sheetView showGridLines="0" tabSelected="1" zoomScale="70" zoomScaleNormal="70" workbookViewId="0">
      <pane xSplit="9" topLeftCell="J1" activePane="topRight" state="frozen"/>
      <selection activeCell="A4" sqref="A4"/>
      <selection pane="topRight" activeCell="E17" sqref="E17"/>
    </sheetView>
  </sheetViews>
  <sheetFormatPr baseColWidth="10" defaultRowHeight="48.75"/>
  <cols>
    <col min="1" max="2" width="4.7109375" style="8" customWidth="1"/>
    <col min="3" max="3" width="5.7109375" style="8" customWidth="1"/>
    <col min="4" max="6" width="20.7109375" style="8" customWidth="1"/>
    <col min="7" max="7" width="7" style="8" customWidth="1"/>
    <col min="8" max="8" width="11.42578125" style="430"/>
    <col min="9" max="9" width="9.42578125" style="8" bestFit="1" customWidth="1"/>
    <col min="10" max="10" width="13.7109375" style="8" bestFit="1" customWidth="1"/>
    <col min="11" max="11" width="13.42578125" style="8" customWidth="1"/>
    <col min="12" max="12" width="15.42578125" style="8" bestFit="1" customWidth="1"/>
    <col min="13" max="13" width="33.28515625" style="8" bestFit="1" customWidth="1"/>
    <col min="14" max="14" width="9.140625" style="8" customWidth="1"/>
    <col min="15" max="15" width="12.5703125" style="342" bestFit="1" customWidth="1"/>
    <col min="16" max="16" width="11.42578125" style="8"/>
    <col min="17" max="26" width="2.7109375" style="8" customWidth="1"/>
    <col min="27" max="29" width="2.7109375" style="342" customWidth="1"/>
    <col min="30" max="32" width="2.85546875" style="343" customWidth="1"/>
    <col min="33" max="33" width="5.42578125" style="8" customWidth="1"/>
    <col min="34" max="35" width="2.7109375" style="8" customWidth="1"/>
    <col min="36" max="36" width="3.7109375" style="8" customWidth="1"/>
    <col min="37" max="40" width="2.7109375" style="8" customWidth="1"/>
    <col min="41" max="41" width="4.140625" style="8" customWidth="1"/>
    <col min="42" max="60" width="2.7109375" style="8" customWidth="1"/>
    <col min="61" max="64" width="2.85546875" style="8" customWidth="1"/>
    <col min="65" max="81" width="2.7109375" style="8" customWidth="1"/>
    <col min="82" max="16384" width="11.42578125" style="8"/>
  </cols>
  <sheetData>
    <row r="1" spans="1:86" ht="15" customHeight="1">
      <c r="A1" s="412">
        <v>1</v>
      </c>
      <c r="B1" s="413">
        <v>1</v>
      </c>
      <c r="C1" s="327">
        <f t="shared" ref="C1:C7" si="0">VLOOKUP(A1,Données,4)+B1-1</f>
        <v>1</v>
      </c>
      <c r="D1" s="413" t="str">
        <f>IF(I1='Jour Férié'!F$14,'Jour Férié'!E$14,""&amp;IF(I1='Jour Férié'!F$15,'Jour Férié'!E$15,""&amp;IF(I1='Jour Férié'!F$3,'Jour Férié'!E$3,""&amp;IF(I1='Jour Férié'!F$4,'Jour Férié'!E$4,""&amp;IF(I1='Jour Férié'!B$3,'Jour Férié'!A$3,""&amp;IF(MOD(MATCH(I1,vacances!$A$3:$A$202,1),2)=1,"vacances",""))))))</f>
        <v>Jour de l'an</v>
      </c>
      <c r="E1" s="489" t="s">
        <v>201</v>
      </c>
      <c r="F1" s="489"/>
      <c r="G1" s="489"/>
      <c r="H1" s="630">
        <v>2018</v>
      </c>
      <c r="I1" s="414">
        <f>DATE(annee,1,1)</f>
        <v>43101</v>
      </c>
      <c r="J1" s="415" t="s">
        <v>201</v>
      </c>
      <c r="K1" s="416" t="s">
        <v>202</v>
      </c>
      <c r="L1" s="325"/>
      <c r="M1" s="417" t="s">
        <v>203</v>
      </c>
      <c r="N1" s="417"/>
      <c r="O1" s="418">
        <f>(COUNTIF($E1:$E31,$J1))</f>
        <v>3</v>
      </c>
      <c r="P1" s="327"/>
      <c r="Q1" s="560">
        <f>DATE(annee,1,1)</f>
        <v>43101</v>
      </c>
      <c r="R1" s="560"/>
      <c r="S1" s="560"/>
      <c r="T1" s="560"/>
      <c r="U1" s="560"/>
      <c r="V1" s="560"/>
      <c r="W1" s="560"/>
      <c r="X1" s="560"/>
      <c r="Y1" s="560"/>
      <c r="Z1" s="560"/>
      <c r="AA1" s="560"/>
      <c r="AB1" s="560"/>
      <c r="AC1" s="560"/>
      <c r="AD1" s="560"/>
      <c r="AE1" s="560"/>
      <c r="AF1" s="560"/>
      <c r="AG1" s="560"/>
      <c r="AH1" s="560"/>
      <c r="AI1" s="560"/>
      <c r="AJ1" s="560"/>
      <c r="AK1" s="560"/>
      <c r="AL1" s="560"/>
      <c r="AM1" s="560"/>
      <c r="AN1" s="560"/>
      <c r="AO1" s="560"/>
      <c r="AP1" s="560"/>
      <c r="AQ1" s="560"/>
      <c r="AR1" s="560"/>
      <c r="AS1" s="560"/>
      <c r="AT1" s="560"/>
      <c r="AU1" s="560"/>
      <c r="AV1" s="292"/>
      <c r="AW1" s="560">
        <f>Q1</f>
        <v>43101</v>
      </c>
      <c r="AX1" s="560"/>
      <c r="AY1" s="560"/>
      <c r="AZ1" s="560"/>
      <c r="BA1" s="560"/>
      <c r="BB1" s="560"/>
      <c r="BC1" s="560"/>
      <c r="BD1" s="560"/>
      <c r="BE1" s="560"/>
      <c r="BF1" s="560"/>
      <c r="BG1" s="560"/>
      <c r="BH1" s="560"/>
      <c r="BI1" s="560"/>
      <c r="BJ1" s="560"/>
      <c r="BK1" s="560"/>
      <c r="BL1" s="560"/>
      <c r="BM1" s="560"/>
      <c r="BN1" s="560"/>
      <c r="BO1" s="560"/>
      <c r="BP1" s="560"/>
      <c r="BQ1" s="560"/>
      <c r="BR1" s="560"/>
      <c r="BS1" s="560"/>
      <c r="BT1" s="560"/>
      <c r="BU1" s="560"/>
      <c r="BV1" s="560"/>
      <c r="BW1" s="560"/>
      <c r="BX1" s="560"/>
      <c r="BY1" s="560"/>
      <c r="BZ1" s="560"/>
      <c r="CA1" s="607"/>
      <c r="CD1" s="549"/>
      <c r="CF1" s="8" t="s">
        <v>204</v>
      </c>
      <c r="CG1" s="8" t="s">
        <v>281</v>
      </c>
      <c r="CH1" s="8" t="s">
        <v>34</v>
      </c>
    </row>
    <row r="2" spans="1:86" ht="15" customHeight="1" thickBot="1">
      <c r="A2" s="419">
        <v>1</v>
      </c>
      <c r="B2" s="360">
        <v>2</v>
      </c>
      <c r="C2" s="328">
        <f t="shared" si="0"/>
        <v>2</v>
      </c>
      <c r="D2" s="360" t="e">
        <f>IF(I2='Jour Férié'!F$14,'Jour Férié'!E$14,""&amp;IF(I2='Jour Férié'!F$15,'Jour Férié'!E$15,""&amp;IF(I2='Jour Férié'!F$3,'Jour Férié'!E$3,""&amp;IF(I2='Jour Férié'!F$4,'Jour Férié'!E$4,""&amp;IF(I2='Jour Férié'!B$3,'Jour Férié'!A$3,""&amp;IF(MOD(MATCH(I2,vacances!$A$3:$A$202,1),2)=1,"vacances",""))))))</f>
        <v>#N/A</v>
      </c>
      <c r="E2" s="490"/>
      <c r="F2" s="490"/>
      <c r="G2" s="490"/>
      <c r="H2" s="631"/>
      <c r="I2" s="361">
        <f t="shared" ref="I2:I31" si="1">DATE(annee,1,1)+B1</f>
        <v>43102</v>
      </c>
      <c r="J2" s="362" t="s">
        <v>204</v>
      </c>
      <c r="K2" s="363" t="s">
        <v>205</v>
      </c>
      <c r="L2" s="324"/>
      <c r="M2" s="333" t="s">
        <v>206</v>
      </c>
      <c r="N2" s="333"/>
      <c r="O2" s="364">
        <f>(COUNTIF($E1:$E31,$J2))</f>
        <v>2</v>
      </c>
      <c r="P2" s="328"/>
      <c r="Q2" s="365"/>
      <c r="R2" s="365"/>
      <c r="S2" s="365"/>
      <c r="T2" s="365"/>
      <c r="U2" s="365"/>
      <c r="V2" s="365"/>
      <c r="W2" s="365"/>
      <c r="X2" s="365"/>
      <c r="Y2" s="365"/>
      <c r="Z2" s="365"/>
      <c r="AA2" s="366"/>
      <c r="AB2" s="366"/>
      <c r="AC2" s="366"/>
      <c r="AD2" s="367"/>
      <c r="AE2" s="367"/>
      <c r="AF2" s="367"/>
      <c r="AG2" s="365"/>
      <c r="AH2" s="365"/>
      <c r="AI2" s="365"/>
      <c r="AJ2" s="365"/>
      <c r="AK2" s="365"/>
      <c r="AL2" s="365"/>
      <c r="AM2" s="365"/>
      <c r="AN2" s="365"/>
      <c r="AO2" s="365"/>
      <c r="AP2" s="368"/>
      <c r="AQ2" s="368"/>
      <c r="AR2" s="368"/>
      <c r="AS2" s="368"/>
      <c r="AT2" s="368"/>
      <c r="AU2" s="368"/>
      <c r="AV2" s="290"/>
      <c r="AW2" s="608" t="s">
        <v>229</v>
      </c>
      <c r="AX2" s="608"/>
      <c r="AY2" s="608"/>
      <c r="AZ2" s="608"/>
      <c r="BA2" s="608"/>
      <c r="BB2" s="608"/>
      <c r="BC2" s="608"/>
      <c r="BD2" s="608"/>
      <c r="BE2" s="608"/>
      <c r="BF2" s="608"/>
      <c r="BG2" s="608"/>
      <c r="BH2" s="608"/>
      <c r="BI2" s="293"/>
      <c r="BJ2" s="293"/>
      <c r="BK2" s="293"/>
      <c r="BL2" s="585" t="s">
        <v>230</v>
      </c>
      <c r="BM2" s="585"/>
      <c r="BN2" s="585"/>
      <c r="BO2" s="585"/>
      <c r="BP2" s="585"/>
      <c r="BQ2" s="585"/>
      <c r="BR2" s="585"/>
      <c r="BS2" s="585"/>
      <c r="BT2" s="585"/>
      <c r="BU2" s="585" t="s">
        <v>231</v>
      </c>
      <c r="BV2" s="585"/>
      <c r="BW2" s="585"/>
      <c r="BX2" s="585"/>
      <c r="BY2" s="585"/>
      <c r="BZ2" s="585"/>
      <c r="CA2" s="609"/>
      <c r="CD2" s="549"/>
      <c r="CF2" s="8" t="s">
        <v>201</v>
      </c>
      <c r="CG2" s="8" t="s">
        <v>280</v>
      </c>
      <c r="CH2" s="8" t="s">
        <v>196</v>
      </c>
    </row>
    <row r="3" spans="1:86" ht="15" customHeight="1">
      <c r="A3" s="419">
        <v>1</v>
      </c>
      <c r="B3" s="360">
        <v>3</v>
      </c>
      <c r="C3" s="328">
        <f t="shared" si="0"/>
        <v>3</v>
      </c>
      <c r="D3" s="360" t="e">
        <f>IF(I3='Jour Férié'!F$14,'Jour Férié'!E$14,""&amp;IF(I3='Jour Férié'!F$15,'Jour Férié'!E$15,""&amp;IF(I3='Jour Férié'!F$3,'Jour Férié'!E$3,""&amp;IF(I3='Jour Férié'!F$4,'Jour Férié'!E$4,""&amp;IF(I3='Jour Férié'!B$3,'Jour Férié'!A$3,""&amp;IF(MOD(MATCH(I3,vacances!$A$3:$A$202,1),2)=1,"vacances",""))))))</f>
        <v>#N/A</v>
      </c>
      <c r="E3" s="490"/>
      <c r="F3" s="490"/>
      <c r="G3" s="490"/>
      <c r="H3" s="632" t="s">
        <v>34</v>
      </c>
      <c r="I3" s="361">
        <f t="shared" si="1"/>
        <v>43103</v>
      </c>
      <c r="J3" s="613" t="s">
        <v>207</v>
      </c>
      <c r="K3" s="613"/>
      <c r="L3" s="324"/>
      <c r="M3" s="333" t="s">
        <v>208</v>
      </c>
      <c r="N3" s="333"/>
      <c r="O3" s="364">
        <f>(COUNTIF($E1:$E31,$J3))</f>
        <v>1</v>
      </c>
      <c r="P3" s="328"/>
      <c r="Q3" s="555" t="str">
        <f>'FICHE DE PAIE'!A$4</f>
        <v>Salaire de base</v>
      </c>
      <c r="R3" s="555"/>
      <c r="S3" s="555"/>
      <c r="T3" s="555"/>
      <c r="U3" s="555"/>
      <c r="V3" s="555"/>
      <c r="W3" s="555"/>
      <c r="X3" s="555"/>
      <c r="Y3" s="555"/>
      <c r="Z3" s="494"/>
      <c r="AA3" s="556">
        <f>'FICHE DE PAIE'!$K$4</f>
        <v>151.66999999999999</v>
      </c>
      <c r="AB3" s="556"/>
      <c r="AC3" s="556"/>
      <c r="AD3" s="558">
        <f>'FICHE DE PAIE'!N$4</f>
        <v>12.074</v>
      </c>
      <c r="AE3" s="558"/>
      <c r="AF3" s="558"/>
      <c r="AG3" s="559">
        <f>AA3*AD3</f>
        <v>1831.2635799999998</v>
      </c>
      <c r="AH3" s="559"/>
      <c r="AI3" s="559"/>
      <c r="AJ3" s="559"/>
      <c r="AK3" s="567" t="s">
        <v>233</v>
      </c>
      <c r="AL3" s="567"/>
      <c r="AM3" s="567"/>
      <c r="AN3" s="567"/>
      <c r="AO3" s="568">
        <v>2946</v>
      </c>
      <c r="AP3" s="568"/>
      <c r="AQ3" s="568"/>
      <c r="AR3" s="500"/>
      <c r="AS3" s="500"/>
      <c r="AT3" s="500"/>
      <c r="AU3" s="297"/>
      <c r="AV3" s="290"/>
      <c r="AW3" s="608"/>
      <c r="AX3" s="608"/>
      <c r="AY3" s="608"/>
      <c r="AZ3" s="608"/>
      <c r="BA3" s="608"/>
      <c r="BB3" s="608"/>
      <c r="BC3" s="608"/>
      <c r="BD3" s="608"/>
      <c r="BE3" s="608"/>
      <c r="BF3" s="608"/>
      <c r="BG3" s="608"/>
      <c r="BH3" s="608"/>
      <c r="BI3" s="611" t="s">
        <v>234</v>
      </c>
      <c r="BJ3" s="611"/>
      <c r="BK3" s="611"/>
      <c r="BL3" s="611"/>
      <c r="BM3" s="611" t="s">
        <v>235</v>
      </c>
      <c r="BN3" s="611"/>
      <c r="BO3" s="611"/>
      <c r="BP3" s="611"/>
      <c r="BQ3" s="611" t="s">
        <v>236</v>
      </c>
      <c r="BR3" s="611"/>
      <c r="BS3" s="611"/>
      <c r="BT3" s="611"/>
      <c r="BU3" s="611" t="s">
        <v>235</v>
      </c>
      <c r="BV3" s="611"/>
      <c r="BW3" s="611"/>
      <c r="BX3" s="611" t="s">
        <v>236</v>
      </c>
      <c r="BY3" s="611"/>
      <c r="BZ3" s="611"/>
      <c r="CA3" s="612"/>
      <c r="CF3" s="8" t="s">
        <v>207</v>
      </c>
      <c r="CG3" s="8" t="s">
        <v>335</v>
      </c>
      <c r="CH3" s="8" t="s">
        <v>40</v>
      </c>
    </row>
    <row r="4" spans="1:86" ht="15" customHeight="1">
      <c r="A4" s="419">
        <v>1</v>
      </c>
      <c r="B4" s="360">
        <v>4</v>
      </c>
      <c r="C4" s="328">
        <f t="shared" si="0"/>
        <v>4</v>
      </c>
      <c r="D4" s="360" t="e">
        <f>IF(I4='Jour Férié'!F$14,'Jour Férié'!E$14,""&amp;IF(I4='Jour Férié'!F$15,'Jour Férié'!E$15,""&amp;IF(I4='Jour Férié'!F$3,'Jour Férié'!E$3,""&amp;IF(I4='Jour Férié'!F$4,'Jour Férié'!E$4,""&amp;IF(I4='Jour Férié'!B$3,'Jour Férié'!A$3,""&amp;IF(MOD(MATCH(I4,vacances!$A$3:$A$202,1),2)=1,"vacances",""))))))</f>
        <v>#N/A</v>
      </c>
      <c r="E4" s="490"/>
      <c r="F4" s="490"/>
      <c r="G4" s="490"/>
      <c r="H4" s="633"/>
      <c r="I4" s="361">
        <f t="shared" si="1"/>
        <v>43104</v>
      </c>
      <c r="J4" s="328"/>
      <c r="K4" s="369" t="s">
        <v>209</v>
      </c>
      <c r="L4" s="324"/>
      <c r="M4" s="333" t="s">
        <v>210</v>
      </c>
      <c r="N4" s="333"/>
      <c r="O4" s="364">
        <f>SUM(O1:O3)</f>
        <v>6</v>
      </c>
      <c r="P4" s="328"/>
      <c r="Q4" s="555" t="str">
        <f>'FICHE DE PAIE'!A$5</f>
        <v>HS à 25%</v>
      </c>
      <c r="R4" s="555"/>
      <c r="S4" s="555"/>
      <c r="T4" s="555"/>
      <c r="U4" s="555"/>
      <c r="V4" s="555"/>
      <c r="W4" s="555"/>
      <c r="X4" s="555"/>
      <c r="Y4" s="555"/>
      <c r="Z4" s="494"/>
      <c r="AA4" s="561"/>
      <c r="AB4" s="561"/>
      <c r="AC4" s="561"/>
      <c r="AD4" s="558">
        <f>'FICHE DE PAIE'!N$5</f>
        <v>15.092499999999999</v>
      </c>
      <c r="AE4" s="558"/>
      <c r="AF4" s="558"/>
      <c r="AG4" s="559">
        <f t="shared" ref="AG4:AG12" si="2">AA4*AD4</f>
        <v>0</v>
      </c>
      <c r="AH4" s="559"/>
      <c r="AI4" s="559"/>
      <c r="AJ4" s="559"/>
      <c r="AK4" s="294"/>
      <c r="AL4" s="294"/>
      <c r="AM4" s="294"/>
      <c r="AN4" s="295"/>
      <c r="AO4" s="295"/>
      <c r="AP4" s="295"/>
      <c r="AQ4" s="295"/>
      <c r="AR4" s="295"/>
      <c r="AS4" s="295"/>
      <c r="AT4" s="295"/>
      <c r="AU4" s="295"/>
      <c r="AV4" s="290"/>
      <c r="AW4" s="591" t="s">
        <v>238</v>
      </c>
      <c r="AX4" s="591"/>
      <c r="AY4" s="591"/>
      <c r="AZ4" s="591"/>
      <c r="BA4" s="591"/>
      <c r="BB4" s="591"/>
      <c r="BC4" s="591"/>
      <c r="BD4" s="591"/>
      <c r="BE4" s="591"/>
      <c r="BF4" s="591"/>
      <c r="BG4" s="591"/>
      <c r="BH4" s="591"/>
      <c r="BI4" s="590">
        <f>$AG$17</f>
        <v>1952.5539499999998</v>
      </c>
      <c r="BJ4" s="590"/>
      <c r="BK4" s="590"/>
      <c r="BL4" s="590"/>
      <c r="BM4" s="594">
        <f>'FICHE DE PAIE'!AW$5</f>
        <v>4.0000000000000001E-3</v>
      </c>
      <c r="BN4" s="594"/>
      <c r="BO4" s="594"/>
      <c r="BP4" s="594"/>
      <c r="BQ4" s="592">
        <f>BI4*BM4</f>
        <v>7.810215799999999</v>
      </c>
      <c r="BR4" s="592"/>
      <c r="BS4" s="592"/>
      <c r="BT4" s="592"/>
      <c r="BU4" s="594">
        <f>'FICHE DE PAIE'!BE$5</f>
        <v>0.152</v>
      </c>
      <c r="BV4" s="594"/>
      <c r="BW4" s="594"/>
      <c r="BX4" s="592">
        <f>BI4*BU4</f>
        <v>296.78820039999994</v>
      </c>
      <c r="BY4" s="592"/>
      <c r="BZ4" s="592"/>
      <c r="CA4" s="593"/>
      <c r="CF4" s="8" t="s">
        <v>274</v>
      </c>
      <c r="CH4" s="8" t="s">
        <v>43</v>
      </c>
    </row>
    <row r="5" spans="1:86" ht="15" customHeight="1">
      <c r="A5" s="334">
        <v>1</v>
      </c>
      <c r="B5" s="328">
        <v>5</v>
      </c>
      <c r="C5" s="328">
        <f t="shared" si="0"/>
        <v>5</v>
      </c>
      <c r="D5" s="360" t="e">
        <f>IF(I5='Jour Férié'!F$14,'Jour Férié'!E$14,""&amp;IF(I5='Jour Férié'!F$15,'Jour Férié'!E$15,""&amp;IF(I5='Jour Férié'!F$3,'Jour Férié'!E$3,""&amp;IF(I5='Jour Férié'!F$4,'Jour Férié'!E$4,""&amp;IF(I5='Jour Férié'!B$3,'Jour Férié'!A$3,""&amp;IF(MOD(MATCH(I5,vacances!$A$3:$A$202,1),2)=1,"vacances",""))))))</f>
        <v>#N/A</v>
      </c>
      <c r="E5" s="490" t="s">
        <v>201</v>
      </c>
      <c r="F5" s="490"/>
      <c r="G5" s="490"/>
      <c r="H5" s="633"/>
      <c r="I5" s="361">
        <f t="shared" si="1"/>
        <v>43105</v>
      </c>
      <c r="J5" s="328"/>
      <c r="K5" s="328"/>
      <c r="L5" s="324"/>
      <c r="M5" s="333" t="s">
        <v>211</v>
      </c>
      <c r="N5" s="333"/>
      <c r="O5" s="364">
        <f ca="1">(COUNTIF(I1:I9,dimanche(COUNTIF($E1:$E31,$J2))))</f>
        <v>0</v>
      </c>
      <c r="P5" s="328"/>
      <c r="Q5" s="555" t="str">
        <f>'FICHE DE PAIE'!A$6</f>
        <v>HS à 50%</v>
      </c>
      <c r="R5" s="555"/>
      <c r="S5" s="555"/>
      <c r="T5" s="555"/>
      <c r="U5" s="555"/>
      <c r="V5" s="555"/>
      <c r="W5" s="555"/>
      <c r="X5" s="555"/>
      <c r="Y5" s="555"/>
      <c r="Z5" s="494"/>
      <c r="AA5" s="561"/>
      <c r="AB5" s="561"/>
      <c r="AC5" s="561"/>
      <c r="AD5" s="558">
        <f>'FICHE DE PAIE'!N$6</f>
        <v>18.111000000000001</v>
      </c>
      <c r="AE5" s="558"/>
      <c r="AF5" s="558"/>
      <c r="AG5" s="559">
        <f t="shared" si="2"/>
        <v>0</v>
      </c>
      <c r="AH5" s="559"/>
      <c r="AI5" s="559"/>
      <c r="AJ5" s="559"/>
      <c r="AK5" s="294"/>
      <c r="AL5" s="294"/>
      <c r="AM5" s="294"/>
      <c r="AN5" s="295"/>
      <c r="AO5" s="295"/>
      <c r="AP5" s="295"/>
      <c r="AQ5" s="295"/>
      <c r="AR5" s="295"/>
      <c r="AS5" s="295"/>
      <c r="AT5" s="295"/>
      <c r="AU5" s="295"/>
      <c r="AV5" s="290"/>
      <c r="AW5" s="591" t="s">
        <v>240</v>
      </c>
      <c r="AX5" s="591"/>
      <c r="AY5" s="591"/>
      <c r="AZ5" s="591"/>
      <c r="BA5" s="591"/>
      <c r="BB5" s="591"/>
      <c r="BC5" s="591"/>
      <c r="BD5" s="591"/>
      <c r="BE5" s="591"/>
      <c r="BF5" s="591"/>
      <c r="BG5" s="591"/>
      <c r="BH5" s="591"/>
      <c r="BI5" s="590">
        <f t="shared" ref="BI5:BI16" si="3">$AG$17</f>
        <v>1952.5539499999998</v>
      </c>
      <c r="BJ5" s="590"/>
      <c r="BK5" s="590"/>
      <c r="BL5" s="590"/>
      <c r="BM5" s="594">
        <f>'FICHE DE PAIE'!AW$6</f>
        <v>6.9000000000000006E-2</v>
      </c>
      <c r="BN5" s="594"/>
      <c r="BO5" s="594"/>
      <c r="BP5" s="594"/>
      <c r="BQ5" s="592">
        <f t="shared" ref="BQ5:BQ24" si="4">BI5*BM5</f>
        <v>134.72622254999999</v>
      </c>
      <c r="BR5" s="592"/>
      <c r="BS5" s="592"/>
      <c r="BT5" s="592"/>
      <c r="BU5" s="594">
        <f>'FICHE DE PAIE'!BE$6</f>
        <v>8.5500000000000007E-2</v>
      </c>
      <c r="BV5" s="594"/>
      <c r="BW5" s="594"/>
      <c r="BX5" s="592">
        <f t="shared" ref="BX5:BX24" si="5">BI5*BU5</f>
        <v>166.94336272499999</v>
      </c>
      <c r="BY5" s="592"/>
      <c r="BZ5" s="592"/>
      <c r="CA5" s="593"/>
      <c r="CF5" s="8" t="s">
        <v>275</v>
      </c>
      <c r="CH5" s="8" t="s">
        <v>46</v>
      </c>
    </row>
    <row r="6" spans="1:86" ht="15" customHeight="1">
      <c r="A6" s="334">
        <v>1</v>
      </c>
      <c r="B6" s="328">
        <v>6</v>
      </c>
      <c r="C6" s="328">
        <f t="shared" si="0"/>
        <v>6</v>
      </c>
      <c r="D6" s="360" t="e">
        <f>IF(I6='Jour Férié'!F$14,'Jour Férié'!E$14,""&amp;IF(I6='Jour Férié'!F$15,'Jour Férié'!E$15,""&amp;IF(I6='Jour Férié'!F$3,'Jour Férié'!E$3,""&amp;IF(I6='Jour Férié'!F$4,'Jour Férié'!E$4,""&amp;IF(I6='Jour Férié'!B$3,'Jour Férié'!A$3,""&amp;IF(MOD(MATCH(I6,vacances!$A$3:$A$202,1),2)=1,"vacances",""))))))</f>
        <v>#N/A</v>
      </c>
      <c r="E6" s="490" t="s">
        <v>201</v>
      </c>
      <c r="F6" s="490"/>
      <c r="G6" s="490"/>
      <c r="H6" s="633"/>
      <c r="I6" s="361">
        <f t="shared" si="1"/>
        <v>43106</v>
      </c>
      <c r="J6" s="328"/>
      <c r="K6" s="369" t="s">
        <v>212</v>
      </c>
      <c r="L6" s="324"/>
      <c r="M6" s="333" t="s">
        <v>213</v>
      </c>
      <c r="N6" s="333"/>
      <c r="O6" s="364">
        <f>SUM(O1:O2)</f>
        <v>5</v>
      </c>
      <c r="P6" s="328"/>
      <c r="Q6" s="555" t="str">
        <f>'FICHE DE PAIE'!A$7</f>
        <v>MAJORATION DIMANCHE</v>
      </c>
      <c r="R6" s="555"/>
      <c r="S6" s="555"/>
      <c r="T6" s="555"/>
      <c r="U6" s="555"/>
      <c r="V6" s="555"/>
      <c r="W6" s="555"/>
      <c r="X6" s="555"/>
      <c r="Y6" s="555"/>
      <c r="Z6" s="494"/>
      <c r="AA6" s="557">
        <f>O11</f>
        <v>7</v>
      </c>
      <c r="AB6" s="557"/>
      <c r="AC6" s="557"/>
      <c r="AD6" s="558">
        <f>'FICHE DE PAIE'!N$7</f>
        <v>1.2074</v>
      </c>
      <c r="AE6" s="558"/>
      <c r="AF6" s="558"/>
      <c r="AG6" s="559">
        <f t="shared" si="2"/>
        <v>8.4518000000000004</v>
      </c>
      <c r="AH6" s="559"/>
      <c r="AI6" s="559"/>
      <c r="AJ6" s="559"/>
      <c r="AK6" s="294"/>
      <c r="AL6" s="294"/>
      <c r="AM6" s="294"/>
      <c r="AN6" s="295"/>
      <c r="AO6" s="295"/>
      <c r="AP6" s="295"/>
      <c r="AQ6" s="295"/>
      <c r="AR6" s="295"/>
      <c r="AS6" s="295"/>
      <c r="AT6" s="295"/>
      <c r="AU6" s="295"/>
      <c r="AV6" s="290"/>
      <c r="AW6" s="591" t="s">
        <v>242</v>
      </c>
      <c r="AX6" s="591"/>
      <c r="AY6" s="591"/>
      <c r="AZ6" s="591"/>
      <c r="BA6" s="591"/>
      <c r="BB6" s="591"/>
      <c r="BC6" s="591"/>
      <c r="BD6" s="591"/>
      <c r="BE6" s="591"/>
      <c r="BF6" s="591"/>
      <c r="BG6" s="591"/>
      <c r="BH6" s="591"/>
      <c r="BI6" s="590">
        <f t="shared" si="3"/>
        <v>1952.5539499999998</v>
      </c>
      <c r="BJ6" s="590"/>
      <c r="BK6" s="590"/>
      <c r="BL6" s="590"/>
      <c r="BM6" s="590"/>
      <c r="BN6" s="590"/>
      <c r="BO6" s="590"/>
      <c r="BP6" s="590"/>
      <c r="BQ6" s="592">
        <f t="shared" si="4"/>
        <v>0</v>
      </c>
      <c r="BR6" s="592"/>
      <c r="BS6" s="592"/>
      <c r="BT6" s="592"/>
      <c r="BU6" s="594">
        <f>'FICHE DE PAIE'!BE$7</f>
        <v>1E-3</v>
      </c>
      <c r="BV6" s="594"/>
      <c r="BW6" s="594"/>
      <c r="BX6" s="592">
        <f t="shared" si="5"/>
        <v>1.9525539499999998</v>
      </c>
      <c r="BY6" s="592"/>
      <c r="BZ6" s="592"/>
      <c r="CA6" s="593"/>
      <c r="CF6" s="8" t="s">
        <v>276</v>
      </c>
      <c r="CH6" s="8" t="s">
        <v>49</v>
      </c>
    </row>
    <row r="7" spans="1:86" ht="15" customHeight="1">
      <c r="A7" s="334">
        <v>1</v>
      </c>
      <c r="B7" s="328">
        <v>7</v>
      </c>
      <c r="C7" s="328">
        <f t="shared" si="0"/>
        <v>7</v>
      </c>
      <c r="D7" s="360" t="e">
        <f>IF(I7='Jour Férié'!F$14,'Jour Férié'!E$14,""&amp;IF(I7='Jour Férié'!F$15,'Jour Férié'!E$15,""&amp;IF(I7='Jour Férié'!F$3,'Jour Férié'!E$3,""&amp;IF(I7='Jour Férié'!F$4,'Jour Férié'!E$4,""&amp;IF(I7='Jour Férié'!B$3,'Jour Férié'!A$3,""&amp;IF(MOD(MATCH(I7,vacances!$A$3:$A$202,1),2)=1,"vacances",""))))))</f>
        <v>#N/A</v>
      </c>
      <c r="E7" s="490" t="s">
        <v>207</v>
      </c>
      <c r="F7" s="490"/>
      <c r="G7" s="490"/>
      <c r="H7" s="633"/>
      <c r="I7" s="361">
        <f t="shared" si="1"/>
        <v>43107</v>
      </c>
      <c r="J7" s="328"/>
      <c r="K7" s="328"/>
      <c r="L7" s="324"/>
      <c r="M7" s="363" t="s">
        <v>214</v>
      </c>
      <c r="N7" s="363"/>
      <c r="O7" s="370">
        <f>(3*COUNTIF(E1,J1))+((6*COUNTIF(E1,J1))+(3*COUNTIF(E2,J1)))+((6*COUNTIF(E2,J1))+(3*COUNTIF(E3,J1)))+((6*COUNTIF(E3,J1))+(3*COUNTIF(E4,J1)))+((6*COUNTIF(E4,J1))+(3*COUNTIF(E5,J1)))+((6*COUNTIF(E5,J1))+(3*COUNTIF(E6,J1)))+((6*COUNTIF(E6,J1))+(3*COUNTIF(E7,J1)))+((6*COUNTIF(E7,J1))+(3*COUNTIF(E8,J1)))+((6*COUNTIF(E8,J1))+(3*COUNTIF(E9,J1)))+((6*COUNTIF(E9,J1))+(3*COUNTIF(E10,J1)))+((6*COUNTIF(E10,J1))+(3*COUNTIF(E11,J1)))+((6*COUNTIF(E11,J1))+(3*COUNTIF(E12,J1)))+((6*COUNTIF(E12,J1))+(3*COUNTIF(E13,J1)))+((6*COUNTIF(E13,J1))+(3*COUNTIF(E14,J1)))+((6*COUNTIF(E14,J1))+(3*COUNTIF(E15,J1)))+((6*COUNTIF(E15,J1))+(3*COUNTIF(E16,J1)))+((6*COUNTIF(E16,J1))+(3*COUNTIF(E17,J1)))+((6*COUNTIF(E17,J1))+(3*COUNTIF(E18,J1)))+((6*COUNTIF(E18,J1))+(3*COUNTIF(E19,J1)))+((6*COUNTIF(E19,J1))+(3*COUNTIF(E20,J1)))+((6*COUNTIF(E20,J1))+(3*COUNTIF(E21,J1)))+((6*COUNTIF(E21,J1))+(3*COUNTIF(E22,J1)))+((6*COUNTIF(E22,J1))+(3*COUNTIF(E23,J1)))+((6*COUNTIF(E23,J1))+(3*COUNTIF(E24,J1)))+((6*COUNTIF(E24,J1))+(3*COUNTIF(E25,J1)))+((6*COUNTIF(E25,J1))+(3*COUNTIF(E26,J1)))+((6*COUNTIF(E26,J1))+(3*COUNTIF(E27,J1)))+((6*COUNTIF(E27,J1))+(3*COUNTIF(E28,J1)))+((6*COUNTIF(E28,J1))+(3*COUNTIF(E29,J1)))+((6*COUNTIF(E29,J1))+(3*COUNTIF(E30,J1)))+((6*COUNTIF(E30,J1))+(3*COUNTIF(E31,J1)))+((6*COUNTIF(E31,J1)))</f>
        <v>27</v>
      </c>
      <c r="P7" s="328"/>
      <c r="Q7" s="555" t="str">
        <f>'FICHE DE PAIE'!A$8</f>
        <v>MAJORATION NUIT</v>
      </c>
      <c r="R7" s="555"/>
      <c r="S7" s="555"/>
      <c r="T7" s="555"/>
      <c r="U7" s="555"/>
      <c r="V7" s="555"/>
      <c r="W7" s="555"/>
      <c r="X7" s="555"/>
      <c r="Y7" s="555"/>
      <c r="Z7" s="494"/>
      <c r="AA7" s="557">
        <f>O7</f>
        <v>27</v>
      </c>
      <c r="AB7" s="557"/>
      <c r="AC7" s="557"/>
      <c r="AD7" s="558">
        <f>'FICHE DE PAIE'!N$8</f>
        <v>1.2074</v>
      </c>
      <c r="AE7" s="558"/>
      <c r="AF7" s="558"/>
      <c r="AG7" s="559">
        <f t="shared" si="2"/>
        <v>32.599800000000002</v>
      </c>
      <c r="AH7" s="559"/>
      <c r="AI7" s="559"/>
      <c r="AJ7" s="559"/>
      <c r="AK7" s="294"/>
      <c r="AL7" s="294"/>
      <c r="AM7" s="294"/>
      <c r="AN7" s="295"/>
      <c r="AO7" s="295"/>
      <c r="AP7" s="295"/>
      <c r="AQ7" s="295"/>
      <c r="AR7" s="295"/>
      <c r="AS7" s="295"/>
      <c r="AT7" s="295"/>
      <c r="AU7" s="295"/>
      <c r="AV7" s="290"/>
      <c r="AW7" s="591" t="s">
        <v>244</v>
      </c>
      <c r="AX7" s="591"/>
      <c r="AY7" s="591"/>
      <c r="AZ7" s="591"/>
      <c r="BA7" s="591"/>
      <c r="BB7" s="591"/>
      <c r="BC7" s="591"/>
      <c r="BD7" s="591"/>
      <c r="BE7" s="591"/>
      <c r="BF7" s="591"/>
      <c r="BG7" s="591"/>
      <c r="BH7" s="591"/>
      <c r="BI7" s="590">
        <f t="shared" si="3"/>
        <v>1952.5539499999998</v>
      </c>
      <c r="BJ7" s="590"/>
      <c r="BK7" s="590"/>
      <c r="BL7" s="590"/>
      <c r="BM7" s="590"/>
      <c r="BN7" s="590"/>
      <c r="BO7" s="590"/>
      <c r="BP7" s="590"/>
      <c r="BQ7" s="592">
        <f t="shared" si="4"/>
        <v>0</v>
      </c>
      <c r="BR7" s="592"/>
      <c r="BS7" s="592"/>
      <c r="BT7" s="592"/>
      <c r="BU7" s="594">
        <f>'FICHE DE PAIE'!BE$8</f>
        <v>4.0000000000000001E-3</v>
      </c>
      <c r="BV7" s="594"/>
      <c r="BW7" s="594"/>
      <c r="BX7" s="592">
        <f t="shared" si="5"/>
        <v>7.810215799999999</v>
      </c>
      <c r="BY7" s="592"/>
      <c r="BZ7" s="592"/>
      <c r="CA7" s="593"/>
      <c r="CF7" s="8" t="s">
        <v>277</v>
      </c>
      <c r="CH7" s="8" t="s">
        <v>52</v>
      </c>
    </row>
    <row r="8" spans="1:86" ht="15" customHeight="1">
      <c r="A8" s="334">
        <v>1</v>
      </c>
      <c r="B8" s="328">
        <v>8</v>
      </c>
      <c r="C8" s="328">
        <f t="shared" ref="C8:C25" si="6">VLOOKUP(A8,Données,4)+B8-1</f>
        <v>8</v>
      </c>
      <c r="D8" s="360" t="e">
        <f>IF(I8='Jour Férié'!F$14,'Jour Férié'!E$14,""&amp;IF(I8='Jour Férié'!F$15,'Jour Férié'!E$15,""&amp;IF(I8='Jour Férié'!F$3,'Jour Férié'!E$3,""&amp;IF(I8='Jour Férié'!F$4,'Jour Férié'!E$4,""&amp;IF(I8='Jour Férié'!B$3,'Jour Férié'!A$3,""&amp;IF(MOD(MATCH(I8,vacances!$A$3:$A$202,1),2)=1,"vacances",""))))))</f>
        <v>#N/A</v>
      </c>
      <c r="E8" s="490" t="s">
        <v>204</v>
      </c>
      <c r="F8" s="490"/>
      <c r="G8" s="490"/>
      <c r="H8" s="633"/>
      <c r="I8" s="361">
        <f t="shared" si="1"/>
        <v>43108</v>
      </c>
      <c r="J8" s="371" t="s">
        <v>215</v>
      </c>
      <c r="K8" s="369" t="s">
        <v>216</v>
      </c>
      <c r="L8" s="324"/>
      <c r="M8" s="333" t="s">
        <v>217</v>
      </c>
      <c r="N8" s="333"/>
      <c r="O8" s="364">
        <f>O2*12</f>
        <v>24</v>
      </c>
      <c r="P8" s="328"/>
      <c r="Q8" s="555" t="str">
        <f>'FICHE DE PAIE'!A$9</f>
        <v>MAJORATION JOUR FERIE</v>
      </c>
      <c r="R8" s="555"/>
      <c r="S8" s="555"/>
      <c r="T8" s="555"/>
      <c r="U8" s="555"/>
      <c r="V8" s="555"/>
      <c r="W8" s="555"/>
      <c r="X8" s="555"/>
      <c r="Y8" s="555"/>
      <c r="Z8" s="494"/>
      <c r="AA8" s="557">
        <f>O13</f>
        <v>5</v>
      </c>
      <c r="AB8" s="557"/>
      <c r="AC8" s="557"/>
      <c r="AD8" s="558">
        <f>'FICHE DE PAIE'!N$9</f>
        <v>12.074</v>
      </c>
      <c r="AE8" s="558"/>
      <c r="AF8" s="558"/>
      <c r="AG8" s="559">
        <f>AA8*AD8</f>
        <v>60.37</v>
      </c>
      <c r="AH8" s="559"/>
      <c r="AI8" s="559"/>
      <c r="AJ8" s="559"/>
      <c r="AK8" s="294"/>
      <c r="AL8" s="294"/>
      <c r="AM8" s="294"/>
      <c r="AN8" s="295"/>
      <c r="AO8" s="295"/>
      <c r="AP8" s="295"/>
      <c r="AQ8" s="295"/>
      <c r="AR8" s="295"/>
      <c r="AS8" s="295"/>
      <c r="AT8" s="295"/>
      <c r="AU8" s="295"/>
      <c r="AV8" s="290"/>
      <c r="AW8" s="591" t="s">
        <v>246</v>
      </c>
      <c r="AX8" s="591"/>
      <c r="AY8" s="591"/>
      <c r="AZ8" s="591"/>
      <c r="BA8" s="591"/>
      <c r="BB8" s="591"/>
      <c r="BC8" s="591"/>
      <c r="BD8" s="591"/>
      <c r="BE8" s="591"/>
      <c r="BF8" s="591"/>
      <c r="BG8" s="591"/>
      <c r="BH8" s="591"/>
      <c r="BI8" s="590">
        <f t="shared" si="3"/>
        <v>1952.5539499999998</v>
      </c>
      <c r="BJ8" s="590"/>
      <c r="BK8" s="590"/>
      <c r="BL8" s="590"/>
      <c r="BM8" s="590"/>
      <c r="BN8" s="590"/>
      <c r="BO8" s="590"/>
      <c r="BP8" s="590"/>
      <c r="BQ8" s="592">
        <f t="shared" si="4"/>
        <v>0</v>
      </c>
      <c r="BR8" s="592"/>
      <c r="BS8" s="592"/>
      <c r="BT8" s="592"/>
      <c r="BU8" s="594">
        <f>'FICHE DE PAIE'!BE$9</f>
        <v>1.2999999999999999E-2</v>
      </c>
      <c r="BV8" s="594"/>
      <c r="BW8" s="594"/>
      <c r="BX8" s="592">
        <f t="shared" si="5"/>
        <v>25.383201349999997</v>
      </c>
      <c r="BY8" s="592"/>
      <c r="BZ8" s="592"/>
      <c r="CA8" s="593"/>
      <c r="CF8" s="8" t="s">
        <v>278</v>
      </c>
      <c r="CH8" s="8" t="s">
        <v>198</v>
      </c>
    </row>
    <row r="9" spans="1:86" ht="15" customHeight="1">
      <c r="A9" s="334">
        <v>1</v>
      </c>
      <c r="B9" s="328">
        <v>9</v>
      </c>
      <c r="C9" s="328">
        <f t="shared" si="6"/>
        <v>9</v>
      </c>
      <c r="D9" s="360" t="e">
        <f>IF(I9='Jour Férié'!F$14,'Jour Férié'!E$14,""&amp;IF(I9='Jour Férié'!F$15,'Jour Férié'!E$15,""&amp;IF(I9='Jour Férié'!F$3,'Jour Férié'!E$3,""&amp;IF(I9='Jour Férié'!F$4,'Jour Férié'!E$4,""&amp;IF(I9='Jour Férié'!B$3,'Jour Férié'!A$3,""&amp;IF(MOD(MATCH(I9,vacances!$A$3:$A$202,1),2)=1,"vacances",""))))))</f>
        <v>#N/A</v>
      </c>
      <c r="E9" s="490"/>
      <c r="F9" s="490"/>
      <c r="G9" s="490"/>
      <c r="H9" s="633"/>
      <c r="I9" s="361">
        <f t="shared" si="1"/>
        <v>43109</v>
      </c>
      <c r="J9" s="371" t="s">
        <v>218</v>
      </c>
      <c r="K9" s="330" t="s">
        <v>219</v>
      </c>
      <c r="L9" s="324"/>
      <c r="M9" s="333" t="s">
        <v>220</v>
      </c>
      <c r="N9" s="333"/>
      <c r="O9" s="364">
        <f>O3*7</f>
        <v>7</v>
      </c>
      <c r="P9" s="328"/>
      <c r="Q9" s="555" t="str">
        <f>'FICHE DE PAIE'!A$10</f>
        <v xml:space="preserve">PRIME ANCIENNETE </v>
      </c>
      <c r="R9" s="555"/>
      <c r="S9" s="555"/>
      <c r="T9" s="555"/>
      <c r="U9" s="555"/>
      <c r="V9" s="555"/>
      <c r="W9" s="555"/>
      <c r="X9" s="555"/>
      <c r="Y9" s="555"/>
      <c r="Z9" s="494"/>
      <c r="AA9" s="556">
        <v>1</v>
      </c>
      <c r="AB9" s="556"/>
      <c r="AC9" s="556"/>
      <c r="AD9" s="558">
        <f>'FICHE DE PAIE'!N$10</f>
        <v>36.630000000000003</v>
      </c>
      <c r="AE9" s="558"/>
      <c r="AF9" s="558"/>
      <c r="AG9" s="606"/>
      <c r="AH9" s="606"/>
      <c r="AI9" s="606"/>
      <c r="AJ9" s="606"/>
      <c r="AK9" s="294"/>
      <c r="AL9" s="294"/>
      <c r="AM9" s="294"/>
      <c r="AN9" s="295"/>
      <c r="AO9" s="295"/>
      <c r="AP9" s="295"/>
      <c r="AQ9" s="295"/>
      <c r="AR9" s="295"/>
      <c r="AS9" s="295"/>
      <c r="AT9" s="295"/>
      <c r="AU9" s="295"/>
      <c r="AV9" s="290"/>
      <c r="AW9" s="591" t="s">
        <v>248</v>
      </c>
      <c r="AX9" s="591"/>
      <c r="AY9" s="591"/>
      <c r="AZ9" s="591"/>
      <c r="BA9" s="591"/>
      <c r="BB9" s="591"/>
      <c r="BC9" s="591"/>
      <c r="BD9" s="591"/>
      <c r="BE9" s="591"/>
      <c r="BF9" s="591"/>
      <c r="BG9" s="591"/>
      <c r="BH9" s="591"/>
      <c r="BI9" s="590">
        <f t="shared" si="3"/>
        <v>1952.5539499999998</v>
      </c>
      <c r="BJ9" s="590"/>
      <c r="BK9" s="590"/>
      <c r="BL9" s="590"/>
      <c r="BM9" s="590"/>
      <c r="BN9" s="590"/>
      <c r="BO9" s="590"/>
      <c r="BP9" s="590"/>
      <c r="BQ9" s="592">
        <f t="shared" si="4"/>
        <v>0</v>
      </c>
      <c r="BR9" s="592"/>
      <c r="BS9" s="592"/>
      <c r="BT9" s="592"/>
      <c r="BU9" s="594">
        <f>'FICHE DE PAIE'!BE$10</f>
        <v>1.7600000000000001E-2</v>
      </c>
      <c r="BV9" s="594"/>
      <c r="BW9" s="594"/>
      <c r="BX9" s="592">
        <f t="shared" si="5"/>
        <v>34.364949519999996</v>
      </c>
      <c r="BY9" s="592"/>
      <c r="BZ9" s="592"/>
      <c r="CA9" s="593"/>
      <c r="CF9" s="8" t="s">
        <v>215</v>
      </c>
      <c r="CH9" s="8" t="s">
        <v>57</v>
      </c>
    </row>
    <row r="10" spans="1:86" ht="15" customHeight="1">
      <c r="A10" s="334">
        <v>1</v>
      </c>
      <c r="B10" s="328">
        <v>10</v>
      </c>
      <c r="C10" s="328">
        <f t="shared" si="6"/>
        <v>10</v>
      </c>
      <c r="D10" s="360" t="e">
        <f>IF(I10='Jour Férié'!F$14,'Jour Férié'!E$14,""&amp;IF(I10='Jour Férié'!F$15,'Jour Férié'!E$15,""&amp;IF(I10='Jour Férié'!F$3,'Jour Férié'!E$3,""&amp;IF(I10='Jour Férié'!F$4,'Jour Férié'!E$4,""&amp;IF(I10='Jour Férié'!B$3,'Jour Férié'!A$3,""&amp;IF(MOD(MATCH(I10,vacances!$A$3:$A$202,1),2)=1,"vacances",""))))))</f>
        <v>#N/A</v>
      </c>
      <c r="E10" s="490"/>
      <c r="F10" s="490"/>
      <c r="G10" s="490"/>
      <c r="H10" s="633"/>
      <c r="I10" s="361">
        <f t="shared" si="1"/>
        <v>43110</v>
      </c>
      <c r="J10" s="328" t="s">
        <v>336</v>
      </c>
      <c r="K10" s="330" t="s">
        <v>222</v>
      </c>
      <c r="L10" s="324"/>
      <c r="M10" s="363" t="s">
        <v>223</v>
      </c>
      <c r="N10" s="363"/>
      <c r="O10" s="370">
        <f>(O1+O2)*12</f>
        <v>60</v>
      </c>
      <c r="P10" s="328"/>
      <c r="Q10" s="555" t="str">
        <f>'FICHE DE PAIE'!A$11</f>
        <v>PRIME HABILLAGE</v>
      </c>
      <c r="R10" s="555"/>
      <c r="S10" s="555"/>
      <c r="T10" s="555"/>
      <c r="U10" s="555"/>
      <c r="V10" s="555"/>
      <c r="W10" s="555"/>
      <c r="X10" s="555"/>
      <c r="Y10" s="555"/>
      <c r="Z10" s="494"/>
      <c r="AA10" s="556">
        <f>AA3</f>
        <v>151.66999999999999</v>
      </c>
      <c r="AB10" s="556"/>
      <c r="AC10" s="556"/>
      <c r="AD10" s="558">
        <f>'FICHE DE PAIE'!N$11</f>
        <v>0.13100000000000001</v>
      </c>
      <c r="AE10" s="558"/>
      <c r="AF10" s="558"/>
      <c r="AG10" s="559">
        <f>AA10*AD10</f>
        <v>19.868769999999998</v>
      </c>
      <c r="AH10" s="559"/>
      <c r="AI10" s="559"/>
      <c r="AJ10" s="559"/>
      <c r="AK10" s="294"/>
      <c r="AL10" s="294"/>
      <c r="AM10" s="294"/>
      <c r="AN10" s="295"/>
      <c r="AO10" s="295"/>
      <c r="AP10" s="295"/>
      <c r="AQ10" s="295"/>
      <c r="AR10" s="295"/>
      <c r="AS10" s="295"/>
      <c r="AT10" s="295"/>
      <c r="AU10" s="295"/>
      <c r="AV10" s="290"/>
      <c r="AW10" s="591" t="s">
        <v>250</v>
      </c>
      <c r="AX10" s="591"/>
      <c r="AY10" s="591"/>
      <c r="AZ10" s="591"/>
      <c r="BA10" s="591"/>
      <c r="BB10" s="591"/>
      <c r="BC10" s="591"/>
      <c r="BD10" s="591"/>
      <c r="BE10" s="591"/>
      <c r="BF10" s="591"/>
      <c r="BG10" s="591"/>
      <c r="BH10" s="591"/>
      <c r="BI10" s="590">
        <f t="shared" si="3"/>
        <v>1952.5539499999998</v>
      </c>
      <c r="BJ10" s="590"/>
      <c r="BK10" s="590"/>
      <c r="BL10" s="590"/>
      <c r="BM10" s="590"/>
      <c r="BN10" s="590"/>
      <c r="BO10" s="590"/>
      <c r="BP10" s="590"/>
      <c r="BQ10" s="592">
        <f t="shared" si="4"/>
        <v>0</v>
      </c>
      <c r="BR10" s="592"/>
      <c r="BS10" s="592"/>
      <c r="BT10" s="592"/>
      <c r="BU10" s="594">
        <f>'FICHE DE PAIE'!BE$11</f>
        <v>3.4500000000000003E-2</v>
      </c>
      <c r="BV10" s="594"/>
      <c r="BW10" s="594"/>
      <c r="BX10" s="592">
        <f t="shared" si="5"/>
        <v>67.363111274999994</v>
      </c>
      <c r="BY10" s="592"/>
      <c r="BZ10" s="592"/>
      <c r="CA10" s="593"/>
      <c r="CF10" s="8" t="s">
        <v>218</v>
      </c>
      <c r="CH10" s="8" t="s">
        <v>60</v>
      </c>
    </row>
    <row r="11" spans="1:86" ht="15" customHeight="1">
      <c r="A11" s="334">
        <v>1</v>
      </c>
      <c r="B11" s="328">
        <v>11</v>
      </c>
      <c r="C11" s="328">
        <f t="shared" si="6"/>
        <v>11</v>
      </c>
      <c r="D11" s="360" t="e">
        <f>IF(I11='Jour Férié'!F$14,'Jour Férié'!E$14,""&amp;IF(I11='Jour Férié'!F$15,'Jour Férié'!E$15,""&amp;IF(I11='Jour Férié'!F$3,'Jour Férié'!E$3,""&amp;IF(I11='Jour Férié'!F$4,'Jour Férié'!E$4,""&amp;IF(I11='Jour Férié'!B$3,'Jour Férié'!A$3,""&amp;IF(MOD(MATCH(I11,vacances!$A$3:$A$202,1),2)=1,"vacances",""))))))</f>
        <v>#N/A</v>
      </c>
      <c r="E11" s="490"/>
      <c r="F11" s="490"/>
      <c r="G11" s="490"/>
      <c r="H11" s="633"/>
      <c r="I11" s="361">
        <f t="shared" si="1"/>
        <v>43111</v>
      </c>
      <c r="J11" s="324"/>
      <c r="K11" s="324"/>
      <c r="L11" s="324"/>
      <c r="M11" s="577" t="s">
        <v>224</v>
      </c>
      <c r="N11" s="372">
        <f>(IF(WEEKDAY(I1,2)=7,(12*COUNTIF(E1,J2))+(5*COUNTIF(E1,J1))))+(IF(WEEKDAY(I2,2)=7,(7*COUNTIF(E1,J1))+(12*COUNTIF(E2,J2))+(5*COUNTIF(E2,J1))))+(IF(WEEKDAY(I3,2)=7,(7*COUNTIF(E2,J1))+(12*COUNTIF(E3,J2))+(5*COUNTIF(E3,J1))))+(IF(WEEKDAY(I4,2)=7,(7*COUNTIF(E3,J1))+(12*COUNTIF(E4,J2))+(5*COUNTIF(E4,J1))))+(IF(WEEKDAY(I5,2)=7,(7*COUNTIF(E4,J1))+(12*COUNTIF(E5,J2))+(5*COUNTIF(E5,J1))))+(IF(WEEKDAY(I6,2)=7,(7*COUNTIF(E5,J1))+(12*COUNTIF(E6,J2))+(5*COUNTIF(E6,J1))))+(IF(WEEKDAY(I7,2)=7,(7*COUNTIF(E6,J1))+(12*COUNTIF(E7,J2))+(5*COUNTIF(E7,J1))))+(IF(WEEKDAY(I8,2)=7,(7*COUNTIF(E7,J1))+(12*COUNTIF(E8,J2))+(5*COUNTIF(E8,J1))))+(IF(WEEKDAY(I9,2)=7,(7*COUNTIF(E8,J1))+(12*COUNTIF(E9,J2))+(5*COUNTIF(E9,J1))))+(IF(WEEKDAY(I10,2)=7,(7*COUNTIF(E9,J1))+(12*COUNTIF(E10,J2))+(5*COUNTIF(E10,J1))))+(IF(WEEKDAY(I11,2)=7,(7*COUNTIF(E10,J1))+(12*COUNTIF(E11,J2))+(5*COUNTIF(E11,J1))))+(IF(WEEKDAY(I12,2)=7,(7*COUNTIF(E11,J1))+(12*COUNTIF(E12,J2))+(5*COUNTIF(E12,J1))))+(IF(WEEKDAY(I13,2)=7,(7*COUNTIF(E12,J1))+(12*COUNTIF(E13,J2))+(5*COUNTIF(E13,J1))))+(IF(WEEKDAY(I14,2)=7,(7*COUNTIF(E13,J1))+(12*COUNTIF(E14,J2))+(5*COUNTIF(E14,J1))))</f>
        <v>7</v>
      </c>
      <c r="O11" s="584">
        <f>SUM(N11:N12)</f>
        <v>7</v>
      </c>
      <c r="P11" s="328"/>
      <c r="Q11" s="555" t="str">
        <f>'FICHE DE PAIE'!A$12</f>
        <v>PRIME ASTREINTE</v>
      </c>
      <c r="R11" s="555"/>
      <c r="S11" s="555"/>
      <c r="T11" s="555"/>
      <c r="U11" s="555"/>
      <c r="V11" s="555"/>
      <c r="W11" s="555"/>
      <c r="X11" s="555"/>
      <c r="Y11" s="555"/>
      <c r="Z11" s="494"/>
      <c r="AA11" s="561"/>
      <c r="AB11" s="561"/>
      <c r="AC11" s="561"/>
      <c r="AD11" s="558">
        <f>'FICHE DE PAIE'!N$12</f>
        <v>90</v>
      </c>
      <c r="AE11" s="558"/>
      <c r="AF11" s="558"/>
      <c r="AG11" s="559">
        <f t="shared" si="2"/>
        <v>0</v>
      </c>
      <c r="AH11" s="559"/>
      <c r="AI11" s="559"/>
      <c r="AJ11" s="559"/>
      <c r="AK11" s="294"/>
      <c r="AL11" s="294"/>
      <c r="AM11" s="294"/>
      <c r="AN11" s="295"/>
      <c r="AO11" s="295"/>
      <c r="AP11" s="295"/>
      <c r="AQ11" s="295"/>
      <c r="AR11" s="295"/>
      <c r="AS11" s="295"/>
      <c r="AT11" s="295"/>
      <c r="AU11" s="295"/>
      <c r="AV11" s="290"/>
      <c r="AW11" s="591" t="s">
        <v>252</v>
      </c>
      <c r="AX11" s="591"/>
      <c r="AY11" s="591"/>
      <c r="AZ11" s="591"/>
      <c r="BA11" s="591"/>
      <c r="BB11" s="591"/>
      <c r="BC11" s="591"/>
      <c r="BD11" s="591"/>
      <c r="BE11" s="591"/>
      <c r="BF11" s="591"/>
      <c r="BG11" s="591"/>
      <c r="BH11" s="591"/>
      <c r="BI11" s="590">
        <f t="shared" si="3"/>
        <v>1952.5539499999998</v>
      </c>
      <c r="BJ11" s="590"/>
      <c r="BK11" s="590"/>
      <c r="BL11" s="590"/>
      <c r="BM11" s="590"/>
      <c r="BN11" s="590"/>
      <c r="BO11" s="590"/>
      <c r="BP11" s="590"/>
      <c r="BQ11" s="592">
        <f t="shared" si="4"/>
        <v>0</v>
      </c>
      <c r="BR11" s="592"/>
      <c r="BS11" s="592"/>
      <c r="BT11" s="592"/>
      <c r="BU11" s="594">
        <f>'FICHE DE PAIE'!BE$12</f>
        <v>1.6000000000000001E-4</v>
      </c>
      <c r="BV11" s="594"/>
      <c r="BW11" s="594"/>
      <c r="BX11" s="592">
        <f t="shared" si="5"/>
        <v>0.31240863199999996</v>
      </c>
      <c r="BY11" s="592"/>
      <c r="BZ11" s="592"/>
      <c r="CA11" s="593"/>
      <c r="CF11" s="8" t="s">
        <v>336</v>
      </c>
      <c r="CH11" s="8" t="s">
        <v>63</v>
      </c>
    </row>
    <row r="12" spans="1:86" ht="15" customHeight="1">
      <c r="A12" s="334">
        <v>1</v>
      </c>
      <c r="B12" s="328">
        <v>12</v>
      </c>
      <c r="C12" s="328">
        <f t="shared" si="6"/>
        <v>12</v>
      </c>
      <c r="D12" s="360" t="e">
        <f>IF(I12='Jour Férié'!F$14,'Jour Férié'!E$14,""&amp;IF(I12='Jour Férié'!F$15,'Jour Férié'!E$15,""&amp;IF(I12='Jour Férié'!F$3,'Jour Férié'!E$3,""&amp;IF(I12='Jour Férié'!F$4,'Jour Férié'!E$4,""&amp;IF(I12='Jour Férié'!B$3,'Jour Férié'!A$3,""&amp;IF(MOD(MATCH(I12,vacances!$A$3:$A$202,1),2)=1,"vacances",""))))))</f>
        <v>#N/A</v>
      </c>
      <c r="E12" s="490"/>
      <c r="F12" s="490"/>
      <c r="G12" s="490"/>
      <c r="H12" s="633"/>
      <c r="I12" s="361">
        <f t="shared" si="1"/>
        <v>43112</v>
      </c>
      <c r="J12" s="328"/>
      <c r="K12" s="328"/>
      <c r="L12" s="328"/>
      <c r="M12" s="577"/>
      <c r="N12" s="373">
        <f>(IF(WEEKDAY(I15,2)=7,(7*COUNTIF(E14,J1))+(12*COUNTIF(E15,J2))+(5*COUNTIF(E15,J1))))+(IF(WEEKDAY(I16,2)=7,(7*COUNTIF(E15,J1))+(12*COUNTIF(E16,J2))+(5*COUNTIF(E16,J1))))+(IF(WEEKDAY(I17,2)=7,(7*COUNTIF(E16,J1))+(12*COUNTIF(E17,J2))+(5*COUNTIF(E17,J1))))+(IF(WEEKDAY(I18,2)=7,(7*COUNTIF(E17,J1))+(12*COUNTIF(E18,J2))+(5*COUNTIF(E18,J1))))+(IF(WEEKDAY(I19,2)=7,(7*COUNTIF(E18,J1))+(12*COUNTIF(E19,J2))+(5*COUNTIF(E19,J1))))+(IF(WEEKDAY(I20,2)=7,(7*COUNTIF(E19,J1))+(12*COUNTIF(E20,J2))+(5*COUNTIF(E20,J1))))+(IF(WEEKDAY(I21,2)=7,(7*COUNTIF(E20,J1))+(12*COUNTIF(E21,J2))+(5*COUNTIF(E21,J1))))+(IF(WEEKDAY(I22,2)=7,(7*COUNTIF(E21,J1))+(12*COUNTIF(E22,J2))+(5*COUNTIF(E22,J1))))+(IF(WEEKDAY(I23,2)=7,(7*COUNTIF(E22,J1))+(12*COUNTIF(E23,J2))+(5*COUNTIF(E23,J1))))+(IF(WEEKDAY(I24,2)=7,(7*COUNTIF(E23,J1))+(12*COUNTIF(E24,J2))+(5*COUNTIF(E24,J1))))+(IF(WEEKDAY(I25,2)=7,(7*COUNTIF(E24,J1))+(12*COUNTIF(E25,J2))+(5*COUNTIF(E25,J1))))+(IF(WEEKDAY(I26,2)=7,(7*COUNTIF(E25,J1))+(12*COUNTIF(E26,J2))+(5*COUNTIF(E26,J1))))+(IF(WEEKDAY(I27,2)=7,(7*COUNTIF(E26,J1))+(12*COUNTIF(E27,J2))+(5*COUNTIF(E27,J1))))+(IF(WEEKDAY(I28,2)=7,(7*COUNTIF(E27,J1))+(12*COUNTIF(E28,J2))+(5*COUNTIF(E28,J1))))+(IF(WEEKDAY(I29,2)=7,(7*COUNTIF(E28,J1))+(12*COUNTIF(E29,J2))+(5*COUNTIF(E29,J1))))+(IF(WEEKDAY(I30,2)=7,(7*COUNTIF(E29,J1))+(12*COUNTIF(E30,J2))+(5*COUNTIF(E30,J1))))+(IF(WEEKDAY(I31,2)=7,(7*COUNTIF(E30,J1))+(12*COUNTIF(E31,J2))+(5*COUNTIF(E31,J1))))</f>
        <v>0</v>
      </c>
      <c r="O12" s="584"/>
      <c r="P12" s="328"/>
      <c r="Q12" s="555" t="str">
        <f>'FICHE DE PAIE'!A$13</f>
        <v>AUTRE PRIME</v>
      </c>
      <c r="R12" s="555"/>
      <c r="S12" s="555"/>
      <c r="T12" s="555"/>
      <c r="U12" s="555"/>
      <c r="V12" s="555"/>
      <c r="W12" s="555"/>
      <c r="X12" s="555"/>
      <c r="Y12" s="555"/>
      <c r="Z12" s="494"/>
      <c r="AA12" s="561"/>
      <c r="AB12" s="561"/>
      <c r="AC12" s="561"/>
      <c r="AD12" s="605"/>
      <c r="AE12" s="605"/>
      <c r="AF12" s="605"/>
      <c r="AG12" s="559">
        <f t="shared" si="2"/>
        <v>0</v>
      </c>
      <c r="AH12" s="559"/>
      <c r="AI12" s="559"/>
      <c r="AJ12" s="559"/>
      <c r="AK12" s="294"/>
      <c r="AL12" s="294"/>
      <c r="AM12" s="294"/>
      <c r="AN12" s="295"/>
      <c r="AO12" s="296"/>
      <c r="AP12" s="296"/>
      <c r="AQ12" s="295"/>
      <c r="AR12" s="295"/>
      <c r="AS12" s="295"/>
      <c r="AT12" s="295"/>
      <c r="AU12" s="295"/>
      <c r="AV12" s="290"/>
      <c r="AW12" s="591" t="s">
        <v>254</v>
      </c>
      <c r="AX12" s="591"/>
      <c r="AY12" s="591"/>
      <c r="AZ12" s="591"/>
      <c r="BA12" s="591"/>
      <c r="BB12" s="591"/>
      <c r="BC12" s="591"/>
      <c r="BD12" s="591"/>
      <c r="BE12" s="591"/>
      <c r="BF12" s="591"/>
      <c r="BG12" s="591"/>
      <c r="BH12" s="591"/>
      <c r="BI12" s="590">
        <f t="shared" si="3"/>
        <v>1952.5539499999998</v>
      </c>
      <c r="BJ12" s="590"/>
      <c r="BK12" s="590"/>
      <c r="BL12" s="590"/>
      <c r="BM12" s="594">
        <f>'FICHE DE PAIE'!AW$13</f>
        <v>9.4999999999999998E-3</v>
      </c>
      <c r="BN12" s="594"/>
      <c r="BO12" s="594"/>
      <c r="BP12" s="594"/>
      <c r="BQ12" s="592">
        <f t="shared" si="4"/>
        <v>18.549262524999996</v>
      </c>
      <c r="BR12" s="592"/>
      <c r="BS12" s="592"/>
      <c r="BT12" s="592"/>
      <c r="BU12" s="594">
        <f>'FICHE DE PAIE'!BE$13</f>
        <v>4.0500000000000001E-2</v>
      </c>
      <c r="BV12" s="594"/>
      <c r="BW12" s="594"/>
      <c r="BX12" s="592">
        <f t="shared" si="5"/>
        <v>79.078434974999993</v>
      </c>
      <c r="BY12" s="592"/>
      <c r="BZ12" s="592"/>
      <c r="CA12" s="593"/>
      <c r="CF12" s="8" t="s">
        <v>279</v>
      </c>
      <c r="CH12" s="8" t="s">
        <v>199</v>
      </c>
    </row>
    <row r="13" spans="1:86" ht="15" customHeight="1">
      <c r="A13" s="334">
        <v>1</v>
      </c>
      <c r="B13" s="328">
        <v>13</v>
      </c>
      <c r="C13" s="328">
        <f t="shared" si="6"/>
        <v>13</v>
      </c>
      <c r="D13" s="360" t="e">
        <f>IF(I13='Jour Férié'!F$14,'Jour Férié'!E$14,""&amp;IF(I13='Jour Férié'!F$15,'Jour Férié'!E$15,""&amp;IF(I13='Jour Férié'!F$3,'Jour Férié'!E$3,""&amp;IF(I13='Jour Férié'!F$4,'Jour Férié'!E$4,""&amp;IF(I13='Jour Férié'!B$3,'Jour Férié'!A$3,""&amp;IF(MOD(MATCH(I13,vacances!$A$3:$A$202,1),2)=1,"vacances",""))))))</f>
        <v>#N/A</v>
      </c>
      <c r="E13" s="490" t="s">
        <v>204</v>
      </c>
      <c r="F13" s="490"/>
      <c r="G13" s="490"/>
      <c r="H13" s="633"/>
      <c r="I13" s="361">
        <f t="shared" si="1"/>
        <v>43113</v>
      </c>
      <c r="J13" s="328"/>
      <c r="K13" s="328"/>
      <c r="L13" s="328"/>
      <c r="M13" s="363" t="s">
        <v>225</v>
      </c>
      <c r="N13" s="363"/>
      <c r="O13" s="328">
        <f>(IF((I1)='Jour Férié'!B3,(12*COUNTIF(E1,J2))+(5*COUNTIF(E1,J1))))</f>
        <v>5</v>
      </c>
      <c r="P13" s="328"/>
      <c r="Q13" s="555" t="str">
        <f>'FICHE DE PAIE'!A$14</f>
        <v>Absence congé payé</v>
      </c>
      <c r="R13" s="555"/>
      <c r="S13" s="555"/>
      <c r="T13" s="555"/>
      <c r="U13" s="555"/>
      <c r="V13" s="555"/>
      <c r="W13" s="555"/>
      <c r="X13" s="555"/>
      <c r="Y13" s="555"/>
      <c r="Z13" s="494"/>
      <c r="AA13" s="557">
        <f>O15*35/6</f>
        <v>0</v>
      </c>
      <c r="AB13" s="557"/>
      <c r="AC13" s="557"/>
      <c r="AD13" s="558">
        <f>'FICHE DE PAIE'!N$14</f>
        <v>12.074</v>
      </c>
      <c r="AE13" s="558"/>
      <c r="AF13" s="558"/>
      <c r="AG13" s="559"/>
      <c r="AH13" s="559"/>
      <c r="AI13" s="559"/>
      <c r="AJ13" s="559"/>
      <c r="AK13" s="602">
        <f>AA13*AD13</f>
        <v>0</v>
      </c>
      <c r="AL13" s="602"/>
      <c r="AM13" s="602"/>
      <c r="AN13" s="602"/>
      <c r="AO13" s="294"/>
      <c r="AP13" s="296"/>
      <c r="AQ13" s="295"/>
      <c r="AR13" s="295"/>
      <c r="AS13" s="295"/>
      <c r="AT13" s="295"/>
      <c r="AU13" s="295"/>
      <c r="AV13" s="290"/>
      <c r="AW13" s="591" t="s">
        <v>256</v>
      </c>
      <c r="AX13" s="591"/>
      <c r="AY13" s="591"/>
      <c r="AZ13" s="591"/>
      <c r="BA13" s="591"/>
      <c r="BB13" s="591"/>
      <c r="BC13" s="591"/>
      <c r="BD13" s="591"/>
      <c r="BE13" s="591"/>
      <c r="BF13" s="591"/>
      <c r="BG13" s="591"/>
      <c r="BH13" s="591"/>
      <c r="BI13" s="590">
        <f t="shared" si="3"/>
        <v>1952.5539499999998</v>
      </c>
      <c r="BJ13" s="590"/>
      <c r="BK13" s="590"/>
      <c r="BL13" s="590"/>
      <c r="BM13" s="590"/>
      <c r="BN13" s="590"/>
      <c r="BO13" s="590"/>
      <c r="BP13" s="590"/>
      <c r="BQ13" s="592">
        <f t="shared" si="4"/>
        <v>0</v>
      </c>
      <c r="BR13" s="592"/>
      <c r="BS13" s="592"/>
      <c r="BT13" s="592"/>
      <c r="BU13" s="594">
        <f>'FICHE DE PAIE'!BE$14</f>
        <v>1.5E-3</v>
      </c>
      <c r="BV13" s="594"/>
      <c r="BW13" s="594"/>
      <c r="BX13" s="592">
        <f t="shared" si="5"/>
        <v>2.9288309249999998</v>
      </c>
      <c r="BY13" s="592"/>
      <c r="BZ13" s="592"/>
      <c r="CA13" s="593"/>
    </row>
    <row r="14" spans="1:86" ht="15" customHeight="1">
      <c r="A14" s="334">
        <v>1</v>
      </c>
      <c r="B14" s="328">
        <v>14</v>
      </c>
      <c r="C14" s="328">
        <f t="shared" si="6"/>
        <v>14</v>
      </c>
      <c r="D14" s="360" t="e">
        <f>IF(I14='Jour Férié'!F$14,'Jour Férié'!E$14,""&amp;IF(I14='Jour Férié'!F$15,'Jour Férié'!E$15,""&amp;IF(I14='Jour Férié'!F$3,'Jour Férié'!E$3,""&amp;IF(I14='Jour Férié'!F$4,'Jour Férié'!E$4,""&amp;IF(I14='Jour Férié'!B$3,'Jour Férié'!A$3,""&amp;IF(MOD(MATCH(I14,vacances!$A$3:$A$202,1),2)=1,"vacances",""))))))</f>
        <v>#N/A</v>
      </c>
      <c r="E14" s="490"/>
      <c r="F14" s="490"/>
      <c r="G14" s="490"/>
      <c r="H14" s="633"/>
      <c r="I14" s="361">
        <f t="shared" si="1"/>
        <v>43114</v>
      </c>
      <c r="J14" s="328"/>
      <c r="K14" s="328"/>
      <c r="L14" s="328"/>
      <c r="M14" s="374" t="s">
        <v>226</v>
      </c>
      <c r="N14" s="374"/>
      <c r="O14" s="364">
        <f>(COUNTIF($E1:$E31,$J10))</f>
        <v>0</v>
      </c>
      <c r="P14" s="328"/>
      <c r="Q14" s="555" t="str">
        <f>'FICHE DE PAIE'!A$15</f>
        <v>paiement congé payé</v>
      </c>
      <c r="R14" s="555"/>
      <c r="S14" s="555"/>
      <c r="T14" s="555"/>
      <c r="U14" s="555"/>
      <c r="V14" s="555"/>
      <c r="W14" s="555"/>
      <c r="X14" s="555"/>
      <c r="Y14" s="555"/>
      <c r="Z14" s="494"/>
      <c r="AA14" s="556"/>
      <c r="AB14" s="556"/>
      <c r="AC14" s="556"/>
      <c r="AD14" s="566"/>
      <c r="AE14" s="566"/>
      <c r="AF14" s="566"/>
      <c r="AG14" s="604"/>
      <c r="AH14" s="604"/>
      <c r="AI14" s="604"/>
      <c r="AJ14" s="604"/>
      <c r="AK14" s="297"/>
      <c r="AL14" s="297"/>
      <c r="AM14" s="297"/>
      <c r="AN14" s="298"/>
      <c r="AO14" s="299"/>
      <c r="AP14" s="296"/>
      <c r="AQ14" s="295"/>
      <c r="AR14" s="295"/>
      <c r="AS14" s="295"/>
      <c r="AT14" s="295"/>
      <c r="AU14" s="295"/>
      <c r="AV14" s="290"/>
      <c r="AW14" s="591" t="s">
        <v>258</v>
      </c>
      <c r="AX14" s="591"/>
      <c r="AY14" s="591"/>
      <c r="AZ14" s="591"/>
      <c r="BA14" s="591"/>
      <c r="BB14" s="591"/>
      <c r="BC14" s="591"/>
      <c r="BD14" s="591"/>
      <c r="BE14" s="591"/>
      <c r="BF14" s="591"/>
      <c r="BG14" s="591"/>
      <c r="BH14" s="591"/>
      <c r="BI14" s="590">
        <f t="shared" si="3"/>
        <v>1952.5539499999998</v>
      </c>
      <c r="BJ14" s="590"/>
      <c r="BK14" s="590"/>
      <c r="BL14" s="590"/>
      <c r="BM14" s="594">
        <f>'FICHE DE PAIE'!AW$15</f>
        <v>3.1E-2</v>
      </c>
      <c r="BN14" s="594"/>
      <c r="BO14" s="594"/>
      <c r="BP14" s="594"/>
      <c r="BQ14" s="592">
        <f t="shared" si="4"/>
        <v>60.52917244999999</v>
      </c>
      <c r="BR14" s="592"/>
      <c r="BS14" s="592"/>
      <c r="BT14" s="592"/>
      <c r="BU14" s="594">
        <f>'FICHE DE PAIE'!BE$15</f>
        <v>4.65E-2</v>
      </c>
      <c r="BV14" s="594"/>
      <c r="BW14" s="594"/>
      <c r="BX14" s="592">
        <f t="shared" si="5"/>
        <v>90.793758674999992</v>
      </c>
      <c r="BY14" s="592"/>
      <c r="BZ14" s="592"/>
      <c r="CA14" s="593"/>
    </row>
    <row r="15" spans="1:86" ht="15" customHeight="1">
      <c r="A15" s="334">
        <v>1</v>
      </c>
      <c r="B15" s="328">
        <v>15</v>
      </c>
      <c r="C15" s="328">
        <f t="shared" si="6"/>
        <v>15</v>
      </c>
      <c r="D15" s="360" t="e">
        <f>IF(I15='Jour Férié'!F$14,'Jour Férié'!E$14,""&amp;IF(I15='Jour Férié'!F$15,'Jour Férié'!E$15,""&amp;IF(I15='Jour Férié'!F$3,'Jour Férié'!E$3,""&amp;IF(I15='Jour Férié'!F$4,'Jour Férié'!E$4,""&amp;IF(I15='Jour Férié'!B$3,'Jour Férié'!A$3,""&amp;IF(MOD(MATCH(I15,vacances!$A$3:$A$202,1),2)=1,"vacances",""))))))</f>
        <v>#N/A</v>
      </c>
      <c r="E15" s="490"/>
      <c r="F15" s="490"/>
      <c r="G15" s="490"/>
      <c r="H15" s="633"/>
      <c r="I15" s="361">
        <f t="shared" si="1"/>
        <v>43115</v>
      </c>
      <c r="J15" s="328"/>
      <c r="K15" s="328"/>
      <c r="L15" s="328"/>
      <c r="M15" s="374" t="s">
        <v>227</v>
      </c>
      <c r="N15" s="374"/>
      <c r="O15" s="364">
        <f>(COUNTIF($E1:$E31,$J8))</f>
        <v>0</v>
      </c>
      <c r="P15" s="328"/>
      <c r="Q15" s="555" t="str">
        <f>'FICHE DE PAIE'!A$16</f>
        <v>Absence maladie</v>
      </c>
      <c r="R15" s="555"/>
      <c r="S15" s="555"/>
      <c r="T15" s="555"/>
      <c r="U15" s="555"/>
      <c r="V15" s="555"/>
      <c r="W15" s="555"/>
      <c r="X15" s="555"/>
      <c r="Y15" s="555"/>
      <c r="Z15" s="494"/>
      <c r="AA15" s="556"/>
      <c r="AB15" s="556"/>
      <c r="AC15" s="556"/>
      <c r="AD15" s="566"/>
      <c r="AE15" s="566"/>
      <c r="AF15" s="566"/>
      <c r="AG15" s="559"/>
      <c r="AH15" s="559"/>
      <c r="AI15" s="559"/>
      <c r="AJ15" s="559"/>
      <c r="AK15" s="599"/>
      <c r="AL15" s="599"/>
      <c r="AM15" s="599"/>
      <c r="AN15" s="599"/>
      <c r="AO15" s="294"/>
      <c r="AP15" s="296"/>
      <c r="AQ15" s="295"/>
      <c r="AR15" s="295"/>
      <c r="AS15" s="295"/>
      <c r="AT15" s="295"/>
      <c r="AU15" s="295"/>
      <c r="AV15" s="290"/>
      <c r="AW15" s="591" t="s">
        <v>260</v>
      </c>
      <c r="AX15" s="591"/>
      <c r="AY15" s="591"/>
      <c r="AZ15" s="591"/>
      <c r="BA15" s="591"/>
      <c r="BB15" s="591"/>
      <c r="BC15" s="591"/>
      <c r="BD15" s="591"/>
      <c r="BE15" s="591"/>
      <c r="BF15" s="591"/>
      <c r="BG15" s="591"/>
      <c r="BH15" s="591"/>
      <c r="BI15" s="590">
        <f t="shared" si="3"/>
        <v>1952.5539499999998</v>
      </c>
      <c r="BJ15" s="590"/>
      <c r="BK15" s="590"/>
      <c r="BL15" s="590"/>
      <c r="BM15" s="594">
        <f>'FICHE DE PAIE'!AW$16</f>
        <v>8.0000000000000002E-3</v>
      </c>
      <c r="BN15" s="594"/>
      <c r="BO15" s="594"/>
      <c r="BP15" s="594"/>
      <c r="BQ15" s="592">
        <f t="shared" si="4"/>
        <v>15.620431599999998</v>
      </c>
      <c r="BR15" s="592"/>
      <c r="BS15" s="592"/>
      <c r="BT15" s="592"/>
      <c r="BU15" s="594">
        <f>'FICHE DE PAIE'!BE$16</f>
        <v>1.2E-2</v>
      </c>
      <c r="BV15" s="594"/>
      <c r="BW15" s="594"/>
      <c r="BX15" s="592">
        <f t="shared" si="5"/>
        <v>23.430647399999998</v>
      </c>
      <c r="BY15" s="592"/>
      <c r="BZ15" s="592"/>
      <c r="CA15" s="593"/>
    </row>
    <row r="16" spans="1:86" ht="15" customHeight="1">
      <c r="A16" s="334">
        <v>1</v>
      </c>
      <c r="B16" s="328">
        <v>16</v>
      </c>
      <c r="C16" s="328">
        <f t="shared" si="6"/>
        <v>16</v>
      </c>
      <c r="D16" s="360" t="e">
        <f>IF(I16='Jour Férié'!F$14,'Jour Férié'!E$14,""&amp;IF(I16='Jour Férié'!F$15,'Jour Férié'!E$15,""&amp;IF(I16='Jour Férié'!F$3,'Jour Férié'!E$3,""&amp;IF(I16='Jour Férié'!F$4,'Jour Férié'!E$4,""&amp;IF(I16='Jour Férié'!B$3,'Jour Férié'!A$3,""&amp;IF(MOD(MATCH(I16,vacances!$A$3:$A$202,1),2)=1,"vacances",""))))))</f>
        <v>#N/A</v>
      </c>
      <c r="E16" s="490"/>
      <c r="F16" s="490"/>
      <c r="G16" s="490"/>
      <c r="H16" s="633"/>
      <c r="I16" s="361">
        <f t="shared" si="1"/>
        <v>43116</v>
      </c>
      <c r="J16" s="328"/>
      <c r="K16" s="328"/>
      <c r="L16" s="328"/>
      <c r="M16" s="374" t="s">
        <v>228</v>
      </c>
      <c r="N16" s="374"/>
      <c r="O16" s="364">
        <f>(COUNTIF($E1:$E31,$J9))</f>
        <v>0</v>
      </c>
      <c r="P16" s="328"/>
      <c r="Q16" s="555"/>
      <c r="R16" s="555"/>
      <c r="S16" s="555"/>
      <c r="T16" s="555"/>
      <c r="U16" s="555"/>
      <c r="V16" s="555"/>
      <c r="W16" s="555"/>
      <c r="X16" s="555"/>
      <c r="Y16" s="555"/>
      <c r="Z16" s="494"/>
      <c r="AA16" s="556"/>
      <c r="AB16" s="556"/>
      <c r="AC16" s="556"/>
      <c r="AD16" s="600"/>
      <c r="AE16" s="600"/>
      <c r="AF16" s="600"/>
      <c r="AG16" s="559"/>
      <c r="AH16" s="559"/>
      <c r="AI16" s="559"/>
      <c r="AJ16" s="559"/>
      <c r="AK16" s="297"/>
      <c r="AL16" s="297"/>
      <c r="AM16" s="297"/>
      <c r="AN16" s="298"/>
      <c r="AO16" s="299"/>
      <c r="AP16" s="296"/>
      <c r="AQ16" s="295"/>
      <c r="AR16" s="295"/>
      <c r="AS16" s="295"/>
      <c r="AT16" s="295"/>
      <c r="AU16" s="295"/>
      <c r="AV16" s="290"/>
      <c r="AW16" s="499" t="s">
        <v>261</v>
      </c>
      <c r="AX16" s="499"/>
      <c r="AY16" s="499"/>
      <c r="AZ16" s="499"/>
      <c r="BA16" s="499"/>
      <c r="BB16" s="499"/>
      <c r="BC16" s="499"/>
      <c r="BD16" s="499"/>
      <c r="BE16" s="499"/>
      <c r="BF16" s="499"/>
      <c r="BG16" s="499"/>
      <c r="BH16" s="499"/>
      <c r="BI16" s="590">
        <f t="shared" si="3"/>
        <v>1952.5539499999998</v>
      </c>
      <c r="BJ16" s="590"/>
      <c r="BK16" s="590"/>
      <c r="BL16" s="590"/>
      <c r="BM16" s="594">
        <f>'FICHE DE PAIE'!AW$17</f>
        <v>5.4000000000000003E-3</v>
      </c>
      <c r="BN16" s="594"/>
      <c r="BO16" s="594"/>
      <c r="BP16" s="594"/>
      <c r="BQ16" s="592">
        <f t="shared" si="4"/>
        <v>10.543791329999999</v>
      </c>
      <c r="BR16" s="592"/>
      <c r="BS16" s="592"/>
      <c r="BT16" s="592"/>
      <c r="BU16" s="594">
        <f>'FICHE DE PAIE'!BE$17</f>
        <v>5.4000000000000003E-3</v>
      </c>
      <c r="BV16" s="594"/>
      <c r="BW16" s="594"/>
      <c r="BX16" s="592">
        <f t="shared" si="5"/>
        <v>10.543791329999999</v>
      </c>
      <c r="BY16" s="592"/>
      <c r="BZ16" s="592"/>
      <c r="CA16" s="593"/>
    </row>
    <row r="17" spans="1:79" ht="15" customHeight="1">
      <c r="A17" s="334">
        <v>1</v>
      </c>
      <c r="B17" s="328">
        <v>17</v>
      </c>
      <c r="C17" s="328">
        <f t="shared" si="6"/>
        <v>17</v>
      </c>
      <c r="D17" s="360" t="e">
        <f>IF(I17='Jour Férié'!F$14,'Jour Férié'!E$14,""&amp;IF(I17='Jour Férié'!F$15,'Jour Férié'!E$15,""&amp;IF(I17='Jour Férié'!F$3,'Jour Férié'!E$3,""&amp;IF(I17='Jour Férié'!F$4,'Jour Férié'!E$4,""&amp;IF(I17='Jour Férié'!B$3,'Jour Férié'!A$3,""&amp;IF(MOD(MATCH(I17,vacances!$A$3:$A$202,1),2)=1,"vacances",""))))))</f>
        <v>#N/A</v>
      </c>
      <c r="E17" s="490"/>
      <c r="F17" s="490"/>
      <c r="G17" s="490"/>
      <c r="H17" s="633"/>
      <c r="I17" s="361">
        <f t="shared" si="1"/>
        <v>43117</v>
      </c>
      <c r="J17" s="328"/>
      <c r="K17" s="328"/>
      <c r="L17" s="328"/>
      <c r="M17" s="328"/>
      <c r="N17" s="328"/>
      <c r="O17" s="375"/>
      <c r="P17" s="328"/>
      <c r="Q17" s="562" t="s">
        <v>262</v>
      </c>
      <c r="R17" s="562"/>
      <c r="S17" s="562"/>
      <c r="T17" s="562"/>
      <c r="U17" s="562"/>
      <c r="V17" s="562"/>
      <c r="W17" s="562"/>
      <c r="X17" s="563"/>
      <c r="Y17" s="563"/>
      <c r="Z17" s="563"/>
      <c r="AA17" s="563"/>
      <c r="AB17" s="563"/>
      <c r="AC17" s="563"/>
      <c r="AD17" s="563"/>
      <c r="AE17" s="563"/>
      <c r="AF17" s="563"/>
      <c r="AG17" s="564">
        <f>SUM(AG3:AJ12)+AG14-AK13-AK15</f>
        <v>1952.5539499999998</v>
      </c>
      <c r="AH17" s="564"/>
      <c r="AI17" s="564"/>
      <c r="AJ17" s="564"/>
      <c r="AK17" s="300"/>
      <c r="AL17" s="300"/>
      <c r="AM17" s="300"/>
      <c r="AN17" s="295"/>
      <c r="AO17" s="565">
        <f>AG17-AO3</f>
        <v>-993.44605000000024</v>
      </c>
      <c r="AP17" s="565"/>
      <c r="AQ17" s="565"/>
      <c r="AR17" s="498"/>
      <c r="AS17" s="498"/>
      <c r="AT17" s="498"/>
      <c r="AU17" s="295"/>
      <c r="AV17" s="301"/>
      <c r="AW17" s="591" t="s">
        <v>263</v>
      </c>
      <c r="AX17" s="591"/>
      <c r="AY17" s="591"/>
      <c r="AZ17" s="591"/>
      <c r="BA17" s="591"/>
      <c r="BB17" s="591"/>
      <c r="BC17" s="591"/>
      <c r="BD17" s="591"/>
      <c r="BE17" s="591"/>
      <c r="BF17" s="591"/>
      <c r="BG17" s="591"/>
      <c r="BH17" s="591"/>
      <c r="BI17" s="601"/>
      <c r="BJ17" s="601"/>
      <c r="BK17" s="601"/>
      <c r="BL17" s="601"/>
      <c r="BM17" s="590"/>
      <c r="BN17" s="590"/>
      <c r="BO17" s="590"/>
      <c r="BP17" s="590"/>
      <c r="BQ17" s="592">
        <f t="shared" si="4"/>
        <v>0</v>
      </c>
      <c r="BR17" s="592"/>
      <c r="BS17" s="592"/>
      <c r="BT17" s="592"/>
      <c r="BU17" s="594">
        <f>'FICHE DE PAIE'!BE$18</f>
        <v>0.08</v>
      </c>
      <c r="BV17" s="594"/>
      <c r="BW17" s="594"/>
      <c r="BX17" s="592">
        <f t="shared" si="5"/>
        <v>0</v>
      </c>
      <c r="BY17" s="592"/>
      <c r="BZ17" s="592"/>
      <c r="CA17" s="593"/>
    </row>
    <row r="18" spans="1:79" ht="15" customHeight="1">
      <c r="A18" s="334">
        <v>1</v>
      </c>
      <c r="B18" s="328">
        <v>18</v>
      </c>
      <c r="C18" s="328">
        <f t="shared" si="6"/>
        <v>18</v>
      </c>
      <c r="D18" s="360" t="e">
        <f>IF(I18='Jour Férié'!F$14,'Jour Férié'!E$14,""&amp;IF(I18='Jour Férié'!F$15,'Jour Férié'!E$15,""&amp;IF(I18='Jour Férié'!F$3,'Jour Férié'!E$3,""&amp;IF(I18='Jour Férié'!F$4,'Jour Férié'!E$4,""&amp;IF(I18='Jour Férié'!B$3,'Jour Férié'!A$3,""&amp;IF(MOD(MATCH(I18,vacances!$A$3:$A$202,1),2)=1,"vacances",""))))))</f>
        <v>#N/A</v>
      </c>
      <c r="E18" s="490"/>
      <c r="F18" s="490"/>
      <c r="G18" s="490"/>
      <c r="H18" s="633"/>
      <c r="I18" s="361">
        <f t="shared" si="1"/>
        <v>43118</v>
      </c>
      <c r="J18" s="328"/>
      <c r="K18" s="328"/>
      <c r="L18" s="328"/>
      <c r="M18" s="575" t="s">
        <v>320</v>
      </c>
      <c r="N18" s="335">
        <f>SUMPRODUCT((WEEKDAY($I$1:$I$15,2)=6)*($E$1:$E$15&lt;&gt;"")*(WEEKDAY($I$2:$I$16,2)=7)*($E$2:$E$16&lt;&gt;"")*{1})</f>
        <v>1</v>
      </c>
      <c r="O18" s="576">
        <f>SUMPRODUCT((WEEKDAY($I$1:$I$15,2)=6)*($E$1:$E$15&lt;&gt;"")*(WEEKDAY($I$2:$I$16,2)=7)*($E$2:$E$16&lt;&gt;"")*{1})</f>
        <v>1</v>
      </c>
      <c r="P18" s="328"/>
      <c r="Q18" s="376"/>
      <c r="R18" s="376"/>
      <c r="S18" s="376"/>
      <c r="T18" s="376"/>
      <c r="U18" s="376"/>
      <c r="V18" s="376"/>
      <c r="W18" s="376"/>
      <c r="X18" s="376"/>
      <c r="Y18" s="376"/>
      <c r="Z18" s="376"/>
      <c r="AA18" s="377"/>
      <c r="AB18" s="377"/>
      <c r="AC18" s="377"/>
      <c r="AD18" s="378"/>
      <c r="AE18" s="378"/>
      <c r="AF18" s="378"/>
      <c r="AG18" s="376"/>
      <c r="AH18" s="376"/>
      <c r="AI18" s="376"/>
      <c r="AJ18" s="379"/>
      <c r="AK18" s="379"/>
      <c r="AL18" s="379"/>
      <c r="AM18" s="379"/>
      <c r="AN18" s="365"/>
      <c r="AO18" s="365"/>
      <c r="AP18" s="365"/>
      <c r="AQ18" s="365"/>
      <c r="AR18" s="365"/>
      <c r="AS18" s="365"/>
      <c r="AT18" s="365"/>
      <c r="AU18" s="365"/>
      <c r="AV18" s="302"/>
      <c r="AW18" s="591" t="s">
        <v>264</v>
      </c>
      <c r="AX18" s="591"/>
      <c r="AY18" s="591"/>
      <c r="AZ18" s="591"/>
      <c r="BA18" s="591"/>
      <c r="BB18" s="591"/>
      <c r="BC18" s="591"/>
      <c r="BD18" s="591"/>
      <c r="BE18" s="591"/>
      <c r="BF18" s="591"/>
      <c r="BG18" s="591"/>
      <c r="BH18" s="591"/>
      <c r="BI18" s="590">
        <f>$AG$17*98.25%</f>
        <v>1918.3842558749998</v>
      </c>
      <c r="BJ18" s="590"/>
      <c r="BK18" s="590"/>
      <c r="BL18" s="590"/>
      <c r="BM18" s="594">
        <f>'FICHE DE PAIE'!AW$19</f>
        <v>6.8000000000000005E-2</v>
      </c>
      <c r="BN18" s="594"/>
      <c r="BO18" s="594"/>
      <c r="BP18" s="594"/>
      <c r="BQ18" s="592">
        <f t="shared" si="4"/>
        <v>130.45012939949999</v>
      </c>
      <c r="BR18" s="592"/>
      <c r="BS18" s="592"/>
      <c r="BT18" s="592"/>
      <c r="BU18" s="595"/>
      <c r="BV18" s="595"/>
      <c r="BW18" s="595"/>
      <c r="BX18" s="592">
        <f t="shared" si="5"/>
        <v>0</v>
      </c>
      <c r="BY18" s="592"/>
      <c r="BZ18" s="592"/>
      <c r="CA18" s="593"/>
    </row>
    <row r="19" spans="1:79" ht="15" customHeight="1">
      <c r="A19" s="334">
        <v>1</v>
      </c>
      <c r="B19" s="328">
        <v>19</v>
      </c>
      <c r="C19" s="328">
        <f t="shared" si="6"/>
        <v>19</v>
      </c>
      <c r="D19" s="360" t="e">
        <f>IF(I19='Jour Férié'!F$14,'Jour Férié'!E$14,""&amp;IF(I19='Jour Férié'!F$15,'Jour Férié'!E$15,""&amp;IF(I19='Jour Férié'!F$3,'Jour Férié'!E$3,""&amp;IF(I19='Jour Férié'!F$4,'Jour Férié'!E$4,""&amp;IF(I19='Jour Férié'!B$3,'Jour Férié'!A$3,""&amp;IF(MOD(MATCH(I19,vacances!$A$3:$A$202,1),2)=1,"vacances",""))))))</f>
        <v>#N/A</v>
      </c>
      <c r="E19" s="490"/>
      <c r="F19" s="490"/>
      <c r="G19" s="490"/>
      <c r="H19" s="633"/>
      <c r="I19" s="361">
        <f t="shared" si="1"/>
        <v>43119</v>
      </c>
      <c r="J19" s="328"/>
      <c r="K19" s="330"/>
      <c r="L19" s="330"/>
      <c r="M19" s="575"/>
      <c r="N19" s="338"/>
      <c r="O19" s="576"/>
      <c r="P19" s="330"/>
      <c r="Q19" s="550">
        <f>Q1</f>
        <v>43101</v>
      </c>
      <c r="R19" s="550"/>
      <c r="S19" s="550"/>
      <c r="T19" s="550"/>
      <c r="U19" s="550"/>
      <c r="V19" s="550"/>
      <c r="W19" s="550"/>
      <c r="X19" s="550"/>
      <c r="Y19" s="550"/>
      <c r="Z19" s="550"/>
      <c r="AA19" s="550"/>
      <c r="AB19" s="550"/>
      <c r="AC19" s="550"/>
      <c r="AD19" s="550"/>
      <c r="AE19" s="550"/>
      <c r="AF19" s="550"/>
      <c r="AG19" s="550"/>
      <c r="AH19" s="550"/>
      <c r="AI19" s="550"/>
      <c r="AJ19" s="550"/>
      <c r="AK19" s="550"/>
      <c r="AL19" s="550"/>
      <c r="AM19" s="550"/>
      <c r="AN19" s="550"/>
      <c r="AO19" s="550"/>
      <c r="AP19" s="550"/>
      <c r="AQ19" s="550"/>
      <c r="AR19" s="550"/>
      <c r="AS19" s="550"/>
      <c r="AT19" s="550"/>
      <c r="AU19" s="550"/>
      <c r="AV19" s="303"/>
      <c r="AW19" s="591" t="s">
        <v>265</v>
      </c>
      <c r="AX19" s="591"/>
      <c r="AY19" s="591"/>
      <c r="AZ19" s="591"/>
      <c r="BA19" s="591"/>
      <c r="BB19" s="591"/>
      <c r="BC19" s="591"/>
      <c r="BD19" s="591"/>
      <c r="BE19" s="591"/>
      <c r="BF19" s="591"/>
      <c r="BG19" s="591"/>
      <c r="BH19" s="591"/>
      <c r="BI19" s="590">
        <f>$AG$17*98.25%</f>
        <v>1918.3842558749998</v>
      </c>
      <c r="BJ19" s="590"/>
      <c r="BK19" s="590"/>
      <c r="BL19" s="590"/>
      <c r="BM19" s="594">
        <f>'FICHE DE PAIE'!AW$20</f>
        <v>2.4E-2</v>
      </c>
      <c r="BN19" s="594"/>
      <c r="BO19" s="594"/>
      <c r="BP19" s="594"/>
      <c r="BQ19" s="592">
        <f t="shared" si="4"/>
        <v>46.041222140999999</v>
      </c>
      <c r="BR19" s="592"/>
      <c r="BS19" s="592"/>
      <c r="BT19" s="592"/>
      <c r="BU19" s="595"/>
      <c r="BV19" s="595"/>
      <c r="BW19" s="595"/>
      <c r="BX19" s="592">
        <f t="shared" si="5"/>
        <v>0</v>
      </c>
      <c r="BY19" s="592"/>
      <c r="BZ19" s="592"/>
      <c r="CA19" s="593"/>
    </row>
    <row r="20" spans="1:79" ht="15" customHeight="1">
      <c r="A20" s="334">
        <v>1</v>
      </c>
      <c r="B20" s="328">
        <v>20</v>
      </c>
      <c r="C20" s="328">
        <f t="shared" si="6"/>
        <v>20</v>
      </c>
      <c r="D20" s="360" t="e">
        <f>IF(I20='Jour Férié'!F$14,'Jour Férié'!E$14,""&amp;IF(I20='Jour Férié'!F$15,'Jour Férié'!E$15,""&amp;IF(I20='Jour Férié'!F$3,'Jour Férié'!E$3,""&amp;IF(I20='Jour Férié'!F$4,'Jour Férié'!E$4,""&amp;IF(I20='Jour Férié'!B$3,'Jour Férié'!A$3,""&amp;IF(MOD(MATCH(I20,vacances!$A$3:$A$202,1),2)=1,"vacances",""))))))</f>
        <v>#N/A</v>
      </c>
      <c r="E20" s="490"/>
      <c r="F20" s="490"/>
      <c r="G20" s="490"/>
      <c r="H20" s="633"/>
      <c r="I20" s="361">
        <f t="shared" si="1"/>
        <v>43120</v>
      </c>
      <c r="J20" s="328"/>
      <c r="K20" s="330"/>
      <c r="L20" s="330"/>
      <c r="M20" s="575" t="s">
        <v>321</v>
      </c>
      <c r="N20" s="338">
        <f>+(IF(WEEKDAY(I1,2)=5,(COUNTIF(E1,$J$1))))*AND(IF(WEEKDAY(I4,2)=1,(COUNTIF(E4,"*"))))+(IF(WEEKDAY(I2,2)=5,(COUNTIF(E2,$J$1))))*AND(IF(WEEKDAY(I5,2)=1,(COUNTIF(E5,"*"))))+(IF(WEEKDAY(I3,2)=5,(COUNTIF(E3,$J$1))))*AND(IF(WEEKDAY(I6,2)=1,(COUNTIF(E6,"*"))))+(IF(WEEKDAY(I4,2)=5,(COUNTIF(E4,$J$1))))*AND(IF(WEEKDAY(I7,2)=1,(COUNTIF(E7,"*"))))+(IF(WEEKDAY(I5,2)=5,(COUNTIF(E5,$J$1))))*AND(IF(WEEKDAY(I8,2)=1,(COUNTIF(E8,"*"))))+(IF(WEEKDAY(I6,2)=5,(COUNTIF(E6,$J$1))))*AND(IF(WEEKDAY(I9,2)=1,(COUNTIF(E9,"*"))))+(IF(WEEKDAY(I7,2)=5,(COUNTIF(E7,$J$1))))*AND(IF(WEEKDAY(I10,2)=1,(COUNTIF(E10,"*"))))+(IF(WEEKDAY(I8,2)=5,(COUNTIF(E8,$J$1))))*AND(IF(WEEKDAY(I11,2)=1,(COUNTIF(E11,"*"))))+(IF(WEEKDAY(I9,2)=5,(COUNTIF(E9,$J$1))))*AND(IF(WEEKDAY(I12,2)=1,(COUNTIF(E12,"*"))))+(IF(WEEKDAY(I10,2)=5,(COUNTIF(E10,$J$1))))*AND(IF(WEEKDAY(I13,2)=1,(COUNTIF(E13,"*"))))+(IF(WEEKDAY(I11,2)=5,(COUNTIF(E11,$J$1))))*AND(IF(WEEKDAY(I14,2)=1,(COUNTIF(E14,"*"))))+(IF(WEEKDAY(I12,2)=5,(COUNTIF(E12,$J$1))))*AND(IF(WEEKDAY(I15,2)=1,(COUNTIF(E15,"*"))))+(IF(WEEKDAY(I13,2)=5,(COUNTIF(E13,$J$1))))*AND(IF(WEEKDAY(I16,2)=1,(COUNTIF(E16,"*"))))+(IF(WEEKDAY(I14,2)=5,(COUNTIF(E14,$J$1))))*AND(IF(WEEKDAY(I17,2)=1,(COUNTIF(E17,"*"))))+(IF(WEEKDAY(I15,2)=5,(COUNTIF(E15,$J$1))))*AND(IF(WEEKDAY(I18,2)=1,(COUNTIF(E18,"*"))))+(IF(WEEKDAY(I16,2)=5,(COUNTIF(E16,$J$1))))*AND(IF(WEEKDAY(I19,2)=1,(COUNTIF(E19,"*"))))+(IF(WEEKDAY(I17,2)=5,(COUNTIF(E17,$J$1))))*AND(IF(WEEKDAY(I20,2)=1,(COUNTIF(E20,"*"))))</f>
        <v>1</v>
      </c>
      <c r="O20" s="874">
        <f>SUMPRODUCT((WEEKDAY($I$1:$I$15,2)=1)*($E$1:$E$15&lt;&gt;"")*(WEEKDAY($I$5:$I$19,2)=5)*($E$5:$E$19=$J$1)*{1})</f>
        <v>1</v>
      </c>
      <c r="P20" s="875">
        <f>SUMPRODUCT((WEEKDAY($I$1:$I$15,2)=5)*($E$1:$E$15=$J$1)*(WEEKDAY($I$4:$I$18,2)=1)*($E$4:$E$18&lt;&gt;"")*{1})</f>
        <v>1</v>
      </c>
      <c r="Q20" s="281"/>
      <c r="R20" s="281"/>
      <c r="S20" s="281"/>
      <c r="T20" s="281"/>
      <c r="U20" s="281"/>
      <c r="V20" s="281"/>
      <c r="W20" s="281"/>
      <c r="X20" s="304"/>
      <c r="Y20" s="304"/>
      <c r="Z20" s="304"/>
      <c r="AA20" s="305"/>
      <c r="AB20" s="305"/>
      <c r="AC20" s="305"/>
      <c r="AD20" s="306"/>
      <c r="AE20" s="306"/>
      <c r="AF20" s="306"/>
      <c r="AG20" s="304"/>
      <c r="AH20" s="304"/>
      <c r="AI20" s="304"/>
      <c r="AJ20" s="304"/>
      <c r="AK20" s="304"/>
      <c r="AL20" s="304"/>
      <c r="AM20" s="304"/>
      <c r="AN20" s="304"/>
      <c r="AO20" s="304"/>
      <c r="AP20" s="304"/>
      <c r="AQ20" s="304"/>
      <c r="AR20" s="304"/>
      <c r="AS20" s="304"/>
      <c r="AT20" s="304"/>
      <c r="AU20" s="304"/>
      <c r="AV20" s="304"/>
      <c r="AW20" s="499" t="s">
        <v>266</v>
      </c>
      <c r="AX20" s="499"/>
      <c r="AY20" s="499"/>
      <c r="AZ20" s="499"/>
      <c r="BA20" s="499"/>
      <c r="BB20" s="499"/>
      <c r="BC20" s="499"/>
      <c r="BD20" s="499"/>
      <c r="BE20" s="499"/>
      <c r="BF20" s="499"/>
      <c r="BG20" s="499"/>
      <c r="BH20" s="499"/>
      <c r="BI20" s="590">
        <f>$AG$17*98.25%</f>
        <v>1918.3842558749998</v>
      </c>
      <c r="BJ20" s="590"/>
      <c r="BK20" s="590"/>
      <c r="BL20" s="590"/>
      <c r="BM20" s="594">
        <f>'FICHE DE PAIE'!AW$21</f>
        <v>5.0000000000000001E-3</v>
      </c>
      <c r="BN20" s="594"/>
      <c r="BO20" s="594"/>
      <c r="BP20" s="594"/>
      <c r="BQ20" s="592">
        <f t="shared" si="4"/>
        <v>9.5919212793749988</v>
      </c>
      <c r="BR20" s="592"/>
      <c r="BS20" s="592"/>
      <c r="BT20" s="592"/>
      <c r="BU20" s="595"/>
      <c r="BV20" s="595"/>
      <c r="BW20" s="595"/>
      <c r="BX20" s="592">
        <f t="shared" si="5"/>
        <v>0</v>
      </c>
      <c r="BY20" s="592"/>
      <c r="BZ20" s="592"/>
      <c r="CA20" s="593"/>
    </row>
    <row r="21" spans="1:79" ht="15" customHeight="1">
      <c r="A21" s="334">
        <v>1</v>
      </c>
      <c r="B21" s="328">
        <v>21</v>
      </c>
      <c r="C21" s="328">
        <f t="shared" si="6"/>
        <v>21</v>
      </c>
      <c r="D21" s="360" t="e">
        <f>IF(I21='Jour Férié'!F$14,'Jour Férié'!E$14,""&amp;IF(I21='Jour Férié'!F$15,'Jour Férié'!E$15,""&amp;IF(I21='Jour Férié'!F$3,'Jour Férié'!E$3,""&amp;IF(I21='Jour Férié'!F$4,'Jour Férié'!E$4,""&amp;IF(I21='Jour Férié'!B$3,'Jour Férié'!A$3,""&amp;IF(MOD(MATCH(I21,vacances!$A$3:$A$202,1),2)=1,"vacances",""))))))</f>
        <v>#N/A</v>
      </c>
      <c r="E21" s="490"/>
      <c r="F21" s="490"/>
      <c r="G21" s="490"/>
      <c r="H21" s="633"/>
      <c r="I21" s="361">
        <f t="shared" si="1"/>
        <v>43121</v>
      </c>
      <c r="J21" s="328"/>
      <c r="K21" s="330"/>
      <c r="L21" s="330"/>
      <c r="M21" s="575"/>
      <c r="N21" s="338">
        <f>(IF(WEEKDAY(I18,2)=5,(COUNTIF(E18,$J$1))))*AND(IF(WEEKDAY(I21,2)=1,(COUNTIF(E21,"*"))))+(IF(WEEKDAY(I19,2)=5,(COUNTIF(E19,$J$1))))*AND(IF(WEEKDAY(I22,2)=1,(COUNTIF(E22,"*"))))+(IF(WEEKDAY(I20,2)=5,(COUNTIF(E20,$J$1))))*AND(IF(WEEKDAY(I23,2)=1,(COUNTIF(E23,"*"))))+(IF(WEEKDAY(I21,2)=5,(COUNTIF(E21,$J$1))))*AND(IF(WEEKDAY(I24,2)=1,(COUNTIF(E24,"*"))))+(IF(WEEKDAY(I22,2)=5,(COUNTIF(E22,$J$1))))*AND(IF(WEEKDAY(I25,2)=1,(COUNTIF(E25,"*"))))+(IF(WEEKDAY(I23,2)=5,(COUNTIF(E23,$J$1))))*AND(IF(WEEKDAY(I26,2)=1,(COUNTIF(E26,"*"))))+(IF(WEEKDAY(I24,2)=5,(COUNTIF(E24,$J$1))))*AND(IF(WEEKDAY(I27,2)=1,(COUNTIF(E27,"*"))))+(IF(WEEKDAY(I25,2)=5,(COUNTIF(E25,$J$1))))*AND(IF(WEEKDAY(I28,2)=1,(COUNTIF(E28,"*"))))+(IF(WEEKDAY(I26,2)=5,(COUNTIF(E26,$J$1))))*AND(IF(WEEKDAY(I29,2)=1,(COUNTIF(E29,"*"))))+(IF(WEEKDAY(I27,2)=5,(COUNTIF(E27,$J$1))))*AND(IF(WEEKDAY(I30,2)=1,(COUNTIF(E30,"*"))))+(IF(WEEKDAY(I28,2)=5,(COUNTIF(E28,$J$1))))*AND(IF(WEEKDAY(I31,2)=1,(COUNTIF(E31,"*"))))+(IF(WEEKDAY(I29,2)=5,(COUNTIF(E29,$J$1))))*AND(IF(WEEKDAY(I32,2)=1,(COUNTIF(E32,"*"))))+(IF(WEEKDAY(I30,2)=5,(COUNTIF(E30,$J$1))))*AND(IF(WEEKDAY(I33,2)=1,(COUNTIF(E33,"*"))))+(IF(WEEKDAY(I31,2)=5,(COUNTIF(E31,$J$1))))*AND(IF(WEEKDAY(I34,2)=1,(COUNTIF(E34,"*"))))</f>
        <v>0</v>
      </c>
      <c r="O21" s="874"/>
      <c r="P21" s="875"/>
      <c r="Q21" s="281"/>
      <c r="R21" s="281"/>
      <c r="S21" s="281"/>
      <c r="T21" s="281"/>
      <c r="U21" s="281"/>
      <c r="V21" s="281"/>
      <c r="W21" s="281"/>
      <c r="X21" s="307"/>
      <c r="Y21" s="307"/>
      <c r="Z21" s="307"/>
      <c r="AA21" s="308"/>
      <c r="AB21" s="308"/>
      <c r="AC21" s="308"/>
      <c r="AD21" s="309"/>
      <c r="AE21" s="309"/>
      <c r="AF21" s="309"/>
      <c r="AG21" s="307"/>
      <c r="AH21" s="307"/>
      <c r="AI21" s="307"/>
      <c r="AJ21" s="307"/>
      <c r="AK21" s="307"/>
      <c r="AL21" s="307"/>
      <c r="AM21" s="307"/>
      <c r="AN21" s="307"/>
      <c r="AO21" s="307"/>
      <c r="AP21" s="307"/>
      <c r="AQ21" s="307"/>
      <c r="AR21" s="307"/>
      <c r="AS21" s="307"/>
      <c r="AT21" s="307"/>
      <c r="AU21" s="307"/>
      <c r="AV21" s="307"/>
      <c r="AW21" s="499" t="s">
        <v>267</v>
      </c>
      <c r="AX21" s="499"/>
      <c r="AY21" s="499"/>
      <c r="AZ21" s="499"/>
      <c r="BA21" s="499"/>
      <c r="BB21" s="499"/>
      <c r="BC21" s="499"/>
      <c r="BD21" s="499"/>
      <c r="BE21" s="499"/>
      <c r="BF21" s="499"/>
      <c r="BG21" s="499"/>
      <c r="BH21" s="499"/>
      <c r="BI21" s="596">
        <f>BI17</f>
        <v>0</v>
      </c>
      <c r="BJ21" s="596"/>
      <c r="BK21" s="596"/>
      <c r="BL21" s="596"/>
      <c r="BM21" s="594">
        <f>'FICHE DE PAIE'!AW$22</f>
        <v>6.8000000000000005E-2</v>
      </c>
      <c r="BN21" s="594"/>
      <c r="BO21" s="594"/>
      <c r="BP21" s="594"/>
      <c r="BQ21" s="592">
        <f t="shared" si="4"/>
        <v>0</v>
      </c>
      <c r="BR21" s="592"/>
      <c r="BS21" s="592"/>
      <c r="BT21" s="592"/>
      <c r="BU21" s="595"/>
      <c r="BV21" s="595"/>
      <c r="BW21" s="595"/>
      <c r="BX21" s="592">
        <f t="shared" si="5"/>
        <v>0</v>
      </c>
      <c r="BY21" s="592"/>
      <c r="BZ21" s="592"/>
      <c r="CA21" s="593"/>
    </row>
    <row r="22" spans="1:79" ht="15" customHeight="1">
      <c r="A22" s="334">
        <v>1</v>
      </c>
      <c r="B22" s="328">
        <v>22</v>
      </c>
      <c r="C22" s="328">
        <f t="shared" si="6"/>
        <v>22</v>
      </c>
      <c r="D22" s="360" t="e">
        <f>IF(I22='Jour Férié'!F$14,'Jour Férié'!E$14,""&amp;IF(I22='Jour Férié'!F$15,'Jour Férié'!E$15,""&amp;IF(I22='Jour Férié'!F$3,'Jour Férié'!E$3,""&amp;IF(I22='Jour Férié'!F$4,'Jour Férié'!E$4,""&amp;IF(I22='Jour Férié'!B$3,'Jour Férié'!A$3,""&amp;IF(MOD(MATCH(I22,vacances!$A$3:$A$202,1),2)=1,"vacances",""))))))</f>
        <v>#N/A</v>
      </c>
      <c r="E22" s="490"/>
      <c r="F22" s="490"/>
      <c r="G22" s="490"/>
      <c r="H22" s="633"/>
      <c r="I22" s="361">
        <f t="shared" si="1"/>
        <v>43122</v>
      </c>
      <c r="J22" s="328"/>
      <c r="K22" s="330"/>
      <c r="L22" s="330"/>
      <c r="M22" s="575" t="s">
        <v>322</v>
      </c>
      <c r="N22" s="338">
        <f>((IF(WEEKDAY(I1,2)=7,(COUNTIF(E1,"*"))))*AND(IF(WEEKDAY(I2,2)=1,(COUNTIF(E2,"*")))))+((IF(WEEKDAY(I2,2)=7,(COUNTIF(E2,"*"))))*AND(IF(WEEKDAY(I3,2)=1,(COUNTIF(E3,"*"))))*AND(COUNTBLANK(E1)))+((IF(WEEKDAY(I3,2)=7,(COUNTIF(E3,"*"))))*AND(IF(WEEKDAY(I4,2)=1,(COUNTIF(E4,"*"))))*AND(COUNTBLANK(E2)))+((IF(WEEKDAY(I4,2)=7,(COUNTIF(E4,"*"))))*AND(IF(WEEKDAY(I5,2)=1,(COUNTIF(E5,"*"))))*AND(COUNTBLANK(E3)))+((IF(WEEKDAY(I5,2)=7,(COUNTIF(E5,"*"))))*AND(IF(WEEKDAY(I6,2)=1,(COUNTIF(E6,"*"))))*AND(COUNTBLANK(E4)))+((IF(WEEKDAY(I6,2)=7,(COUNTIF(E6,"*"))))*AND(IF(WEEKDAY(I7,2)=1,(COUNTIF(E7,"*"))))*AND(COUNTBLANK(E5)))+((IF(WEEKDAY(I7,2)=7,(COUNTIF(E7,"*"))))*AND(IF(WEEKDAY(I8,2)=1,(COUNTIF(E8,"*"))))*AND(COUNTBLANK(E6)))+((IF(WEEKDAY(I8,2)=7,(COUNTIF(E8,"*"))))*AND(IF(WEEKDAY(I9,2)=1,(COUNTIF(E9,"*"))))*AND(COUNTBLANK(E7)))</f>
        <v>0</v>
      </c>
      <c r="O22" s="874">
        <f>SUMPRODUCT((WEEKDAY($I$1:$I$15,2)=1)*($E$1:$E$15&lt;&gt;"")*(WEEKDAY($I$7:$I$21,2)=7)*($E$7:$E$21&lt;&gt;"")*{1})</f>
        <v>1</v>
      </c>
      <c r="P22" s="875">
        <f>SUMPRODUCT((WEEKDAY($I$1:$I$15,2)=7)*($E$1:$E$15&lt;&gt;"")*(WEEKDAY($I$2:$I$16,2)=1)*($E$2:$E$16&lt;&gt;"")*{1})</f>
        <v>1</v>
      </c>
      <c r="Q22" s="281"/>
      <c r="R22" s="281"/>
      <c r="S22" s="281"/>
      <c r="T22" s="552" t="s">
        <v>272</v>
      </c>
      <c r="U22" s="552"/>
      <c r="V22" s="552"/>
      <c r="W22" s="552"/>
      <c r="X22" s="552"/>
      <c r="Y22" s="552"/>
      <c r="Z22" s="552"/>
      <c r="AA22" s="552"/>
      <c r="AB22" s="552"/>
      <c r="AC22" s="553">
        <f>BV28</f>
        <v>1530.3275809251247</v>
      </c>
      <c r="AD22" s="553"/>
      <c r="AE22" s="553"/>
      <c r="AF22" s="553"/>
      <c r="AG22" s="553"/>
      <c r="AH22" s="553"/>
      <c r="AI22" s="553"/>
      <c r="AJ22" s="553"/>
      <c r="AK22" s="553"/>
      <c r="AL22" s="553"/>
      <c r="AM22" s="553"/>
      <c r="AN22" s="553"/>
      <c r="AO22" s="553"/>
      <c r="AP22" s="553"/>
      <c r="AQ22" s="553"/>
      <c r="AR22" s="290"/>
      <c r="AS22" s="290"/>
      <c r="AT22" s="290"/>
      <c r="AU22" s="290"/>
      <c r="AV22" s="290"/>
      <c r="AW22" s="499" t="s">
        <v>268</v>
      </c>
      <c r="AX22" s="499"/>
      <c r="AY22" s="499"/>
      <c r="AZ22" s="499"/>
      <c r="BA22" s="499"/>
      <c r="BB22" s="499"/>
      <c r="BC22" s="499"/>
      <c r="BD22" s="499"/>
      <c r="BE22" s="499"/>
      <c r="BF22" s="499"/>
      <c r="BG22" s="499"/>
      <c r="BH22" s="499"/>
      <c r="BI22" s="596">
        <f>BI17</f>
        <v>0</v>
      </c>
      <c r="BJ22" s="596"/>
      <c r="BK22" s="596"/>
      <c r="BL22" s="596"/>
      <c r="BM22" s="594">
        <f>'FICHE DE PAIE'!AW$23</f>
        <v>2.9000000000000001E-2</v>
      </c>
      <c r="BN22" s="594"/>
      <c r="BO22" s="594"/>
      <c r="BP22" s="594"/>
      <c r="BQ22" s="592">
        <f t="shared" si="4"/>
        <v>0</v>
      </c>
      <c r="BR22" s="592"/>
      <c r="BS22" s="592"/>
      <c r="BT22" s="592"/>
      <c r="BU22" s="595"/>
      <c r="BV22" s="595"/>
      <c r="BW22" s="595"/>
      <c r="BX22" s="592">
        <f t="shared" si="5"/>
        <v>0</v>
      </c>
      <c r="BY22" s="592"/>
      <c r="BZ22" s="592"/>
      <c r="CA22" s="593"/>
    </row>
    <row r="23" spans="1:79" ht="15" customHeight="1">
      <c r="A23" s="334">
        <v>1</v>
      </c>
      <c r="B23" s="328">
        <v>23</v>
      </c>
      <c r="C23" s="328">
        <f t="shared" si="6"/>
        <v>23</v>
      </c>
      <c r="D23" s="360" t="e">
        <f>IF(I23='Jour Férié'!F$14,'Jour Férié'!E$14,""&amp;IF(I23='Jour Férié'!F$15,'Jour Férié'!E$15,""&amp;IF(I23='Jour Férié'!F$3,'Jour Férié'!E$3,""&amp;IF(I23='Jour Férié'!F$4,'Jour Férié'!E$4,""&amp;IF(I23='Jour Férié'!B$3,'Jour Férié'!A$3,""&amp;IF(MOD(MATCH(I23,vacances!$A$3:$A$202,1),2)=1,"vacances",""))))))</f>
        <v>#N/A</v>
      </c>
      <c r="E23" s="490"/>
      <c r="F23" s="490"/>
      <c r="G23" s="490"/>
      <c r="H23" s="633"/>
      <c r="I23" s="361">
        <f t="shared" si="1"/>
        <v>43123</v>
      </c>
      <c r="J23" s="328"/>
      <c r="K23" s="328"/>
      <c r="L23" s="328"/>
      <c r="M23" s="575"/>
      <c r="N23" s="335">
        <f>((IF(WEEKDAY(I9,2)=7,(COUNTIF(E9,"*"))))*AND(IF(WEEKDAY(I10,2)=1,(COUNTIF(E10,"*"))))*AND(COUNTBLANK(E8)))+((IF(WEEKDAY(I10,2)=7,(COUNTIF(E10,"*"))))*AND(IF(WEEKDAY(I11,2)=1,(COUNTIF(E11,"*"))))*AND(COUNTBLANK(E9)))+((IF(WEEKDAY(I11,2)=7,(COUNTIF(E11,"*"))))*AND(IF(WEEKDAY(I12,2)=1,(COUNTIF(E12,"*"))))*AND(COUNTBLANK(E10)))+((IF(WEEKDAY(I12,2)=7,(COUNTIF(E12,"*"))))*AND(IF(WEEKDAY(I13,2)=1,(COUNTIF(E13,"*"))))*AND(COUNTBLANK(E11)))+((IF(WEEKDAY(I13,2)=7,(COUNTIF(E13,"*"))))*AND(IF(WEEKDAY(I14,2)=1,(COUNTIF(E14,"*"))))*AND(COUNTBLANK(E12)))+((IF(WEEKDAY(I14,2)=7,(COUNTIF(E14,"*"))))*AND(IF(WEEKDAY(I15,2)=1,(COUNTIF(E15,"*"))))*AND(COUNTBLANK(E13)))+((IF(WEEKDAY(I15,2)=7,(COUNTIF(E15,"*"))))*AND(IF(WEEKDAY(I16,2)=1,(COUNTIF(E16,"*"))))*AND(COUNTBLANK(E14)))+((IF(WEEKDAY(I16,2)=7,(COUNTIF(E16,"*"))))*AND(IF(WEEKDAY(I17,2)=1,(COUNTIF(E17,"*"))))*AND(COUNTBLANK(E15)))+((IF(WEEKDAY(I17,2)=7,(COUNTIF(E17,"*"))))*AND(IF(WEEKDAY(I18,2)=1,(COUNTIF(E18,"*"))))*AND(COUNTBLANK(E16)))+((IF(WEEKDAY(I18,2)=7,(COUNTIF(E18,"*"))))*AND(IF(WEEKDAY(I19,2)=1,(COUNTIF(E19,"*"))))*AND(COUNTBLANK(E17)))+((IF(WEEKDAY(I19,2)=7,(COUNTIF(E19,"*"))))*AND(IF(WEEKDAY(I20,2)=1,(COUNTIF(E20,"*"))))*AND(COUNTBLANK(E17)))+((IF(WEEKDAY(I20,2)=7,(COUNTIF(E20,"*"))))*AND(IF(WEEKDAY(I21,2)=1,(COUNTIF(E21,"*"))))*AND(COUNTBLANK(E18)))+((IF(WEEKDAY(I21,2)=7,(COUNTIF(E21,"*"))))*AND(IF(WEEKDAY(I22,2)=1,(COUNTIF(E22,"*"))))*AND(COUNTBLANK(E19)))</f>
        <v>0</v>
      </c>
      <c r="O23" s="874"/>
      <c r="P23" s="875"/>
      <c r="Q23" s="304"/>
      <c r="R23" s="304"/>
      <c r="S23" s="304"/>
      <c r="T23" s="552"/>
      <c r="U23" s="552"/>
      <c r="V23" s="552"/>
      <c r="W23" s="552"/>
      <c r="X23" s="552"/>
      <c r="Y23" s="552"/>
      <c r="Z23" s="552"/>
      <c r="AA23" s="552"/>
      <c r="AB23" s="552"/>
      <c r="AC23" s="553"/>
      <c r="AD23" s="553"/>
      <c r="AE23" s="553"/>
      <c r="AF23" s="553"/>
      <c r="AG23" s="553"/>
      <c r="AH23" s="553"/>
      <c r="AI23" s="553"/>
      <c r="AJ23" s="553"/>
      <c r="AK23" s="553"/>
      <c r="AL23" s="553"/>
      <c r="AM23" s="553"/>
      <c r="AN23" s="553"/>
      <c r="AO23" s="553"/>
      <c r="AP23" s="553"/>
      <c r="AQ23" s="553"/>
      <c r="AR23" s="304"/>
      <c r="AS23" s="304"/>
      <c r="AT23" s="304"/>
      <c r="AU23" s="304"/>
      <c r="AV23" s="304"/>
      <c r="AW23" s="499" t="s">
        <v>269</v>
      </c>
      <c r="AX23" s="499"/>
      <c r="AY23" s="499"/>
      <c r="AZ23" s="499"/>
      <c r="BA23" s="499"/>
      <c r="BB23" s="499"/>
      <c r="BC23" s="499"/>
      <c r="BD23" s="499"/>
      <c r="BE23" s="499"/>
      <c r="BF23" s="499"/>
      <c r="BG23" s="499"/>
      <c r="BH23" s="499"/>
      <c r="BI23" s="596"/>
      <c r="BJ23" s="596"/>
      <c r="BK23" s="596"/>
      <c r="BL23" s="596"/>
      <c r="BM23" s="590"/>
      <c r="BN23" s="590"/>
      <c r="BO23" s="590"/>
      <c r="BP23" s="590"/>
      <c r="BQ23" s="592">
        <v>9.52</v>
      </c>
      <c r="BR23" s="592"/>
      <c r="BS23" s="592"/>
      <c r="BT23" s="592"/>
      <c r="BU23" s="595"/>
      <c r="BV23" s="595"/>
      <c r="BW23" s="595"/>
      <c r="BX23" s="592">
        <f t="shared" si="5"/>
        <v>0</v>
      </c>
      <c r="BY23" s="592"/>
      <c r="BZ23" s="592"/>
      <c r="CA23" s="593"/>
    </row>
    <row r="24" spans="1:79" ht="15" customHeight="1">
      <c r="A24" s="334">
        <v>1</v>
      </c>
      <c r="B24" s="328">
        <v>24</v>
      </c>
      <c r="C24" s="328">
        <f>VLOOKUP(A24,Données,4)+B24-1</f>
        <v>24</v>
      </c>
      <c r="D24" s="360" t="e">
        <f>IF(I24='Jour Férié'!F$14,'Jour Férié'!E$14,""&amp;IF(I24='Jour Férié'!F$15,'Jour Férié'!E$15,""&amp;IF(I24='Jour Férié'!F$3,'Jour Férié'!E$3,""&amp;IF(I24='Jour Férié'!F$4,'Jour Férié'!E$4,""&amp;IF(I24='Jour Férié'!B$3,'Jour Férié'!A$3,""&amp;IF(MOD(MATCH(I24,vacances!$A$3:$A$202,1),2)=1,"vacances",""))))))</f>
        <v>#N/A</v>
      </c>
      <c r="E24" s="490"/>
      <c r="F24" s="490"/>
      <c r="G24" s="490"/>
      <c r="H24" s="633"/>
      <c r="I24" s="361">
        <f t="shared" si="1"/>
        <v>43124</v>
      </c>
      <c r="J24" s="574"/>
      <c r="K24" s="574"/>
      <c r="L24" s="574"/>
      <c r="M24" s="575"/>
      <c r="N24" s="335">
        <f>((IF(WEEKDAY(I22,2)=7,(COUNTIF(E22,"*"))))*AND(IF(WEEKDAY(I23,2)=1,(COUNTIF(E23,"*"))))*AND(COUNTBLANK(E20)))+((IF(WEEKDAY(I23,2)=7,(COUNTIF(E23,"*"))))*AND(IF(WEEKDAY(I24,2)=1,(COUNTIF(E24,"*"))))*AND(COUNTBLANK(E21)))+((IF(WEEKDAY(I24,2)=7,(COUNTIF(E24,"*"))))*AND(IF(WEEKDAY(I25,2)=1,(COUNTIF(E25,"*"))))*AND(COUNTBLANK(E21)))+((IF(WEEKDAY(I25,2)=7,(COUNTIF(E25,"*"))))*AND(IF(WEEKDAY(I26,2)=1,(COUNTIF(E26,"*"))))*AND(COUNTBLANK(E23)))+((IF(WEEKDAY(I26,2)=7,(COUNTIF(E26,"*"))))*AND(IF(WEEKDAY(I27,2)=1,(COUNTIF(E27,"*"))))*AND(COUNTBLANK(E24)))+((IF(WEEKDAY(I27,2)=7,(COUNTIF(E27,"*"))))*AND(IF(WEEKDAY(I28,2)=1,(COUNTIF(E28,"*"))))*AND(COUNTBLANK(E25)))+((IF(WEEKDAY(I28,2)=7,(COUNTIF(E28,"*"))))*AND(IF(WEEKDAY(I29,2)=1,(COUNTIF(E29,"*"))))*AND(COUNTBLANK(E26)))+((IF(WEEKDAY(I29,2)=7,(COUNTIF(E29,"*"))))*AND(IF(WEEKDAY(I30,2)=1,(COUNTIF(E30,"*"))))*AND(COUNTBLANK(E27)))+((IF(WEEKDAY(I30,2)=7,(COUNTIF(E30,"*"))))*AND(IF(WEEKDAY(I31,2)=1,(COUNTIF(E31,"*"))))*AND(COUNTBLANK(E28)))+((IF(WEEKDAY(I31,2)=7,(COUNTIF(E31,"*"))))*AND(IF(WEEKDAY(I32,2)=1,(COUNTIF(E32,"*"))))*AND(COUNTBLANK(E29)))</f>
        <v>0</v>
      </c>
      <c r="O24" s="328"/>
      <c r="P24" s="328"/>
      <c r="Q24" s="307"/>
      <c r="R24" s="307"/>
      <c r="S24" s="307"/>
      <c r="T24" s="552"/>
      <c r="U24" s="552"/>
      <c r="V24" s="552"/>
      <c r="W24" s="552"/>
      <c r="X24" s="552"/>
      <c r="Y24" s="552"/>
      <c r="Z24" s="552"/>
      <c r="AA24" s="552"/>
      <c r="AB24" s="552"/>
      <c r="AC24" s="553"/>
      <c r="AD24" s="553"/>
      <c r="AE24" s="553"/>
      <c r="AF24" s="553"/>
      <c r="AG24" s="553"/>
      <c r="AH24" s="553"/>
      <c r="AI24" s="553"/>
      <c r="AJ24" s="553"/>
      <c r="AK24" s="553"/>
      <c r="AL24" s="553"/>
      <c r="AM24" s="553"/>
      <c r="AN24" s="553"/>
      <c r="AO24" s="553"/>
      <c r="AP24" s="553"/>
      <c r="AQ24" s="553"/>
      <c r="AR24" s="307"/>
      <c r="AS24" s="307"/>
      <c r="AT24" s="307"/>
      <c r="AU24" s="307"/>
      <c r="AV24" s="307"/>
      <c r="AW24" s="591"/>
      <c r="AX24" s="591"/>
      <c r="AY24" s="591"/>
      <c r="AZ24" s="591"/>
      <c r="BA24" s="591"/>
      <c r="BB24" s="591"/>
      <c r="BC24" s="591"/>
      <c r="BD24" s="591"/>
      <c r="BE24" s="591"/>
      <c r="BF24" s="591"/>
      <c r="BG24" s="591"/>
      <c r="BH24" s="591"/>
      <c r="BI24" s="590">
        <f>$Y$28</f>
        <v>0</v>
      </c>
      <c r="BJ24" s="590"/>
      <c r="BK24" s="590"/>
      <c r="BL24" s="590"/>
      <c r="BM24" s="590"/>
      <c r="BN24" s="590"/>
      <c r="BO24" s="590"/>
      <c r="BP24" s="590"/>
      <c r="BQ24" s="592">
        <f t="shared" si="4"/>
        <v>0</v>
      </c>
      <c r="BR24" s="592"/>
      <c r="BS24" s="592"/>
      <c r="BT24" s="592"/>
      <c r="BU24" s="595"/>
      <c r="BV24" s="595"/>
      <c r="BW24" s="595"/>
      <c r="BX24" s="592">
        <f t="shared" si="5"/>
        <v>0</v>
      </c>
      <c r="BY24" s="592"/>
      <c r="BZ24" s="592"/>
      <c r="CA24" s="593"/>
    </row>
    <row r="25" spans="1:79" ht="15" customHeight="1">
      <c r="A25" s="334">
        <v>1</v>
      </c>
      <c r="B25" s="328">
        <v>25</v>
      </c>
      <c r="C25" s="328">
        <f t="shared" si="6"/>
        <v>25</v>
      </c>
      <c r="D25" s="360" t="e">
        <f>IF(I25='Jour Férié'!F$14,'Jour Férié'!E$14,""&amp;IF(I25='Jour Férié'!F$15,'Jour Férié'!E$15,""&amp;IF(I25='Jour Férié'!F$3,'Jour Férié'!E$3,""&amp;IF(I25='Jour Férié'!F$4,'Jour Férié'!E$4,""&amp;IF(I25='Jour Férié'!B$3,'Jour Férié'!A$3,""&amp;IF(MOD(MATCH(I25,vacances!$A$3:$A$202,1),2)=1,"vacances",""))))))</f>
        <v>#N/A</v>
      </c>
      <c r="E25" s="490"/>
      <c r="F25" s="490"/>
      <c r="G25" s="490"/>
      <c r="H25" s="633"/>
      <c r="I25" s="361">
        <f t="shared" si="1"/>
        <v>43125</v>
      </c>
      <c r="J25" s="574"/>
      <c r="K25" s="574"/>
      <c r="L25" s="328"/>
      <c r="M25" s="328"/>
      <c r="N25" s="328"/>
      <c r="O25" s="375"/>
      <c r="P25" s="328"/>
      <c r="Q25" s="290"/>
      <c r="R25" s="290"/>
      <c r="S25" s="290"/>
      <c r="T25" s="290"/>
      <c r="U25" s="290"/>
      <c r="V25" s="290"/>
      <c r="W25" s="290"/>
      <c r="X25" s="290"/>
      <c r="Y25" s="290"/>
      <c r="Z25" s="290"/>
      <c r="AA25" s="310"/>
      <c r="AB25" s="310"/>
      <c r="AC25" s="553"/>
      <c r="AD25" s="553"/>
      <c r="AE25" s="553"/>
      <c r="AF25" s="553"/>
      <c r="AG25" s="553"/>
      <c r="AH25" s="553"/>
      <c r="AI25" s="553"/>
      <c r="AJ25" s="553"/>
      <c r="AK25" s="553"/>
      <c r="AL25" s="553"/>
      <c r="AM25" s="553"/>
      <c r="AN25" s="553"/>
      <c r="AO25" s="553"/>
      <c r="AP25" s="553"/>
      <c r="AQ25" s="553"/>
      <c r="AR25" s="290"/>
      <c r="AS25" s="290"/>
      <c r="AT25" s="290"/>
      <c r="AU25" s="290"/>
      <c r="AV25" s="290"/>
      <c r="AW25" s="562" t="s">
        <v>270</v>
      </c>
      <c r="AX25" s="562"/>
      <c r="AY25" s="562"/>
      <c r="AZ25" s="562"/>
      <c r="BA25" s="562"/>
      <c r="BB25" s="562"/>
      <c r="BC25" s="562"/>
      <c r="BD25" s="562"/>
      <c r="BE25" s="562"/>
      <c r="BF25" s="562"/>
      <c r="BG25" s="562"/>
      <c r="BH25" s="562"/>
      <c r="BI25" s="587"/>
      <c r="BJ25" s="587"/>
      <c r="BK25" s="587"/>
      <c r="BL25" s="587"/>
      <c r="BM25" s="588">
        <f>SUM(BM4:BP24)</f>
        <v>0.32090000000000002</v>
      </c>
      <c r="BN25" s="588"/>
      <c r="BO25" s="588"/>
      <c r="BP25" s="588"/>
      <c r="BQ25" s="586">
        <f>SUM(BQ4:BT24)</f>
        <v>443.38236907487493</v>
      </c>
      <c r="BR25" s="586"/>
      <c r="BS25" s="586"/>
      <c r="BT25" s="586"/>
      <c r="BU25" s="311"/>
      <c r="BV25" s="7"/>
      <c r="BW25" s="7"/>
      <c r="BX25" s="586">
        <f>SUM(BX4:CA24)</f>
        <v>807.69346695699983</v>
      </c>
      <c r="BY25" s="586"/>
      <c r="BZ25" s="586"/>
      <c r="CA25" s="589"/>
    </row>
    <row r="26" spans="1:79" ht="15" customHeight="1">
      <c r="A26" s="334">
        <v>1</v>
      </c>
      <c r="B26" s="328">
        <v>26</v>
      </c>
      <c r="C26" s="328">
        <f t="shared" ref="C26:C31" si="7">VLOOKUP(A26,Données,4)+B26-1</f>
        <v>26</v>
      </c>
      <c r="D26" s="360" t="e">
        <f>IF(I26='Jour Férié'!F$14,'Jour Férié'!E$14,""&amp;IF(I26='Jour Férié'!F$15,'Jour Férié'!E$15,""&amp;IF(I26='Jour Férié'!F$3,'Jour Férié'!E$3,""&amp;IF(I26='Jour Férié'!F$4,'Jour Férié'!E$4,""&amp;IF(I26='Jour Férié'!B$3,'Jour Férié'!A$3,""&amp;IF(MOD(MATCH(I26,vacances!$A$3:$A$202,1),2)=1,"vacances",""))))))</f>
        <v>#N/A</v>
      </c>
      <c r="E26" s="490"/>
      <c r="F26" s="490"/>
      <c r="G26" s="490"/>
      <c r="H26" s="633"/>
      <c r="I26" s="361">
        <f t="shared" si="1"/>
        <v>43126</v>
      </c>
      <c r="J26" s="331"/>
      <c r="K26" s="332"/>
      <c r="L26" s="495"/>
      <c r="M26" s="380" t="s">
        <v>323</v>
      </c>
      <c r="N26" s="574">
        <f>SUM(O18:O24)</f>
        <v>3</v>
      </c>
      <c r="O26" s="574"/>
      <c r="P26" s="328"/>
      <c r="Q26" s="304"/>
      <c r="R26" s="304"/>
      <c r="S26" s="304"/>
      <c r="T26" s="304"/>
      <c r="U26" s="304"/>
      <c r="V26" s="304"/>
      <c r="W26" s="304"/>
      <c r="X26" s="304"/>
      <c r="Y26" s="304"/>
      <c r="Z26" s="304"/>
      <c r="AA26" s="305"/>
      <c r="AB26" s="305"/>
      <c r="AC26" s="553"/>
      <c r="AD26" s="553"/>
      <c r="AE26" s="553"/>
      <c r="AF26" s="553"/>
      <c r="AG26" s="553"/>
      <c r="AH26" s="553"/>
      <c r="AI26" s="553"/>
      <c r="AJ26" s="553"/>
      <c r="AK26" s="553"/>
      <c r="AL26" s="553"/>
      <c r="AM26" s="553"/>
      <c r="AN26" s="553"/>
      <c r="AO26" s="553"/>
      <c r="AP26" s="553"/>
      <c r="AQ26" s="553"/>
      <c r="AR26" s="304"/>
      <c r="AS26" s="304"/>
      <c r="AT26" s="304"/>
      <c r="AU26" s="304"/>
      <c r="AV26" s="304"/>
      <c r="AW26" s="312" t="s">
        <v>271</v>
      </c>
      <c r="AX26" s="312"/>
      <c r="AY26" s="312"/>
      <c r="AZ26" s="312"/>
      <c r="BA26" s="312"/>
      <c r="BB26" s="312"/>
      <c r="BC26" s="312"/>
      <c r="BD26" s="313"/>
      <c r="BE26" s="313"/>
      <c r="BF26" s="313"/>
      <c r="BG26" s="313"/>
      <c r="BH26" s="313"/>
      <c r="BI26" s="569">
        <f>O4</f>
        <v>6</v>
      </c>
      <c r="BJ26" s="569"/>
      <c r="BK26" s="569"/>
      <c r="BL26" s="569"/>
      <c r="BM26" s="590">
        <f>'FICHE DE PAIE'!AW$27</f>
        <v>3.5259999999999998</v>
      </c>
      <c r="BN26" s="590"/>
      <c r="BO26" s="590"/>
      <c r="BP26" s="590"/>
      <c r="BQ26" s="381">
        <f>BI26*BM26</f>
        <v>21.155999999999999</v>
      </c>
      <c r="BR26" s="381"/>
      <c r="BS26" s="381"/>
      <c r="BT26" s="381"/>
      <c r="BU26" s="314"/>
      <c r="BV26" s="7"/>
      <c r="BW26" s="7"/>
      <c r="BX26" s="7"/>
      <c r="BY26" s="7"/>
      <c r="BZ26" s="7"/>
      <c r="CA26" s="315"/>
    </row>
    <row r="27" spans="1:79" ht="15" customHeight="1">
      <c r="A27" s="334">
        <v>1</v>
      </c>
      <c r="B27" s="328">
        <v>27</v>
      </c>
      <c r="C27" s="328">
        <f t="shared" si="7"/>
        <v>27</v>
      </c>
      <c r="D27" s="360" t="e">
        <f>IF(I27='Jour Férié'!F$14,'Jour Férié'!E$14,""&amp;IF(I27='Jour Férié'!F$15,'Jour Férié'!E$15,""&amp;IF(I27='Jour Férié'!F$3,'Jour Férié'!E$3,""&amp;IF(I27='Jour Férié'!F$4,'Jour Férié'!E$4,""&amp;IF(I27='Jour Férié'!B$3,'Jour Férié'!A$3,""&amp;IF(MOD(MATCH(I27,vacances!$A$3:$A$202,1),2)=1,"vacances",""))))))</f>
        <v>#N/A</v>
      </c>
      <c r="E27" s="490"/>
      <c r="F27" s="490"/>
      <c r="G27" s="490"/>
      <c r="H27" s="633"/>
      <c r="I27" s="361">
        <f t="shared" si="1"/>
        <v>43127</v>
      </c>
      <c r="J27" s="332"/>
      <c r="K27" s="332"/>
      <c r="L27" s="333"/>
      <c r="M27" s="328"/>
      <c r="N27" s="328"/>
      <c r="O27" s="375"/>
      <c r="P27" s="328"/>
      <c r="Q27" s="307"/>
      <c r="R27" s="307"/>
      <c r="S27" s="307"/>
      <c r="T27" s="307"/>
      <c r="U27" s="307"/>
      <c r="V27" s="307"/>
      <c r="W27" s="307"/>
      <c r="X27" s="307"/>
      <c r="Y27" s="307"/>
      <c r="Z27" s="307"/>
      <c r="AA27" s="308"/>
      <c r="AB27" s="308"/>
      <c r="AC27" s="553"/>
      <c r="AD27" s="553"/>
      <c r="AE27" s="553"/>
      <c r="AF27" s="553"/>
      <c r="AG27" s="553"/>
      <c r="AH27" s="553"/>
      <c r="AI27" s="553"/>
      <c r="AJ27" s="553"/>
      <c r="AK27" s="553"/>
      <c r="AL27" s="553"/>
      <c r="AM27" s="553"/>
      <c r="AN27" s="553"/>
      <c r="AO27" s="553"/>
      <c r="AP27" s="553"/>
      <c r="AQ27" s="553"/>
      <c r="AR27" s="307"/>
      <c r="AS27" s="307"/>
      <c r="AT27" s="307"/>
      <c r="AU27" s="307"/>
      <c r="AV27" s="307"/>
      <c r="AW27" s="550">
        <f>Q1</f>
        <v>43101</v>
      </c>
      <c r="AX27" s="550"/>
      <c r="AY27" s="550"/>
      <c r="AZ27" s="550"/>
      <c r="BA27" s="550"/>
      <c r="BB27" s="550"/>
      <c r="BC27" s="550"/>
      <c r="BD27" s="550"/>
      <c r="BE27" s="550"/>
      <c r="BF27" s="550"/>
      <c r="BG27" s="550"/>
      <c r="BH27" s="550"/>
      <c r="BI27" s="550"/>
      <c r="BJ27" s="550"/>
      <c r="BK27" s="550"/>
      <c r="BL27" s="550"/>
      <c r="BM27" s="550"/>
      <c r="BN27" s="550"/>
      <c r="BO27" s="550"/>
      <c r="BP27" s="550"/>
      <c r="BQ27" s="550"/>
      <c r="BR27" s="550"/>
      <c r="BS27" s="550"/>
      <c r="BT27" s="550"/>
      <c r="BU27" s="550"/>
      <c r="BV27" s="550"/>
      <c r="BW27" s="550"/>
      <c r="BX27" s="550"/>
      <c r="BY27" s="550"/>
      <c r="BZ27" s="550"/>
      <c r="CA27" s="551"/>
    </row>
    <row r="28" spans="1:79" ht="15" customHeight="1">
      <c r="A28" s="334">
        <v>1</v>
      </c>
      <c r="B28" s="328">
        <v>28</v>
      </c>
      <c r="C28" s="328">
        <f t="shared" si="7"/>
        <v>28</v>
      </c>
      <c r="D28" s="360" t="e">
        <f>IF(I28='Jour Férié'!F$14,'Jour Férié'!E$14,""&amp;IF(I28='Jour Férié'!F$15,'Jour Férié'!E$15,""&amp;IF(I28='Jour Férié'!F$3,'Jour Férié'!E$3,""&amp;IF(I28='Jour Férié'!F$4,'Jour Férié'!E$4,""&amp;IF(I28='Jour Férié'!B$3,'Jour Férié'!A$3,""&amp;IF(MOD(MATCH(I28,vacances!$A$3:$A$202,1),2)=1,"vacances",""))))))</f>
        <v>#N/A</v>
      </c>
      <c r="E28" s="490"/>
      <c r="F28" s="490"/>
      <c r="G28" s="490"/>
      <c r="H28" s="633"/>
      <c r="I28" s="361">
        <f t="shared" si="1"/>
        <v>43128</v>
      </c>
      <c r="J28" s="332"/>
      <c r="K28" s="328"/>
      <c r="L28" s="330"/>
      <c r="M28" s="328"/>
      <c r="N28" s="328"/>
      <c r="O28" s="375"/>
      <c r="P28" s="328"/>
      <c r="Q28" s="290"/>
      <c r="R28" s="290"/>
      <c r="S28" s="290"/>
      <c r="T28" s="290"/>
      <c r="U28" s="290"/>
      <c r="V28" s="290"/>
      <c r="W28" s="290"/>
      <c r="X28" s="290"/>
      <c r="Y28" s="290"/>
      <c r="Z28" s="290"/>
      <c r="AA28" s="310"/>
      <c r="AB28" s="310"/>
      <c r="AC28" s="553"/>
      <c r="AD28" s="553"/>
      <c r="AE28" s="553"/>
      <c r="AF28" s="553"/>
      <c r="AG28" s="553"/>
      <c r="AH28" s="553"/>
      <c r="AI28" s="553"/>
      <c r="AJ28" s="553"/>
      <c r="AK28" s="553"/>
      <c r="AL28" s="553"/>
      <c r="AM28" s="553"/>
      <c r="AN28" s="553"/>
      <c r="AO28" s="553"/>
      <c r="AP28" s="553"/>
      <c r="AQ28" s="553"/>
      <c r="AR28" s="290"/>
      <c r="AS28" s="290"/>
      <c r="AT28" s="290"/>
      <c r="AU28" s="290"/>
      <c r="AV28" s="290"/>
      <c r="AW28" s="313"/>
      <c r="AX28" s="313"/>
      <c r="AY28" s="313"/>
      <c r="AZ28" s="313"/>
      <c r="BA28" s="313"/>
      <c r="BB28" s="313"/>
      <c r="BC28" s="313"/>
      <c r="BD28" s="313"/>
      <c r="BE28" s="313"/>
      <c r="BF28" s="313"/>
      <c r="BG28" s="313"/>
      <c r="BH28" s="313"/>
      <c r="BI28" s="313"/>
      <c r="BJ28" s="313"/>
      <c r="BK28" s="313"/>
      <c r="BL28" s="316"/>
      <c r="BM28" s="316"/>
      <c r="BN28" s="587" t="s">
        <v>272</v>
      </c>
      <c r="BO28" s="587"/>
      <c r="BP28" s="587"/>
      <c r="BQ28" s="587"/>
      <c r="BR28" s="587"/>
      <c r="BS28" s="587"/>
      <c r="BT28" s="587"/>
      <c r="BU28" s="587"/>
      <c r="BV28" s="597">
        <f>AG17-BQ25+BQ26</f>
        <v>1530.3275809251247</v>
      </c>
      <c r="BW28" s="597"/>
      <c r="BX28" s="597"/>
      <c r="BY28" s="597"/>
      <c r="BZ28" s="597"/>
      <c r="CA28" s="598"/>
    </row>
    <row r="29" spans="1:79" ht="15" customHeight="1">
      <c r="A29" s="334">
        <v>1</v>
      </c>
      <c r="B29" s="328">
        <v>29</v>
      </c>
      <c r="C29" s="328">
        <f t="shared" si="7"/>
        <v>29</v>
      </c>
      <c r="D29" s="360" t="e">
        <f>IF(I29='Jour Férié'!F$14,'Jour Férié'!E$14,""&amp;IF(I29='Jour Férié'!F$15,'Jour Férié'!E$15,""&amp;IF(I29='Jour Férié'!F$3,'Jour Férié'!E$3,""&amp;IF(I29='Jour Férié'!F$4,'Jour Férié'!E$4,""&amp;IF(I29='Jour Férié'!B$3,'Jour Férié'!A$3,""&amp;IF(MOD(MATCH(I29,vacances!$A$3:$A$202,1),2)=1,"vacances",""))))))</f>
        <v>#N/A</v>
      </c>
      <c r="E29" s="490"/>
      <c r="F29" s="490"/>
      <c r="G29" s="490"/>
      <c r="H29" s="633"/>
      <c r="I29" s="361">
        <f t="shared" si="1"/>
        <v>43129</v>
      </c>
      <c r="J29" s="332"/>
      <c r="K29" s="328"/>
      <c r="L29" s="330"/>
      <c r="M29" s="328"/>
      <c r="N29" s="328"/>
      <c r="O29" s="375"/>
      <c r="P29" s="328"/>
      <c r="Q29" s="304"/>
      <c r="R29" s="304"/>
      <c r="S29" s="304"/>
      <c r="T29" s="304"/>
      <c r="U29" s="304"/>
      <c r="V29" s="304"/>
      <c r="W29" s="304"/>
      <c r="X29" s="304"/>
      <c r="Y29" s="304"/>
      <c r="Z29" s="304"/>
      <c r="AA29" s="305"/>
      <c r="AB29" s="305"/>
      <c r="AC29" s="553"/>
      <c r="AD29" s="553"/>
      <c r="AE29" s="553"/>
      <c r="AF29" s="553"/>
      <c r="AG29" s="553"/>
      <c r="AH29" s="553"/>
      <c r="AI29" s="553"/>
      <c r="AJ29" s="553"/>
      <c r="AK29" s="553"/>
      <c r="AL29" s="553"/>
      <c r="AM29" s="553"/>
      <c r="AN29" s="553"/>
      <c r="AO29" s="553"/>
      <c r="AP29" s="553"/>
      <c r="AQ29" s="553"/>
      <c r="AR29" s="304"/>
      <c r="AS29" s="304"/>
      <c r="AT29" s="304"/>
      <c r="AU29" s="304"/>
      <c r="AV29" s="304"/>
      <c r="AW29" s="317"/>
      <c r="AX29" s="317"/>
      <c r="AY29" s="317"/>
      <c r="AZ29" s="317"/>
      <c r="BA29" s="317"/>
      <c r="BB29" s="317"/>
      <c r="BC29" s="317"/>
      <c r="BD29" s="317"/>
      <c r="BE29" s="317"/>
      <c r="BF29" s="317"/>
      <c r="BG29" s="317"/>
      <c r="BH29" s="317"/>
      <c r="BI29" s="317"/>
      <c r="BJ29" s="317"/>
      <c r="BK29" s="317"/>
      <c r="BL29" s="585" t="s">
        <v>273</v>
      </c>
      <c r="BM29" s="585"/>
      <c r="BN29" s="585"/>
      <c r="BO29" s="585"/>
      <c r="BP29" s="585"/>
      <c r="BQ29" s="585"/>
      <c r="BR29" s="585"/>
      <c r="BS29" s="585"/>
      <c r="BT29" s="585"/>
      <c r="BU29" s="586">
        <f>BV28-BQ25+BQ26</f>
        <v>1108.1012118502497</v>
      </c>
      <c r="BV29" s="586"/>
      <c r="BW29" s="586"/>
      <c r="BX29" s="586"/>
      <c r="BY29" s="586"/>
      <c r="BZ29" s="586"/>
      <c r="CA29" s="341"/>
    </row>
    <row r="30" spans="1:79" ht="15" customHeight="1">
      <c r="A30" s="334">
        <v>1</v>
      </c>
      <c r="B30" s="328">
        <v>30</v>
      </c>
      <c r="C30" s="328">
        <f t="shared" si="7"/>
        <v>30</v>
      </c>
      <c r="D30" s="360" t="str">
        <f>IF(I30='Jour Férié'!F$14,'Jour Férié'!E$14,""&amp;IF(I30='Jour Férié'!F$15,'Jour Férié'!E$15,""&amp;IF(I30='Jour Férié'!F$3,'Jour Férié'!E$3,""&amp;IF(I30='Jour Férié'!F$4,'Jour Férié'!E$4,""&amp;IF(I30='Jour Férié'!B$3,'Jour Férié'!A$3,""&amp;IF(MOD(MATCH(I30,vacances!$A$3:$A$202,1),2)=1,"vacances",""))))))</f>
        <v>Jérôme</v>
      </c>
      <c r="E30" s="490"/>
      <c r="F30" s="490"/>
      <c r="G30" s="490"/>
      <c r="H30" s="633"/>
      <c r="I30" s="361">
        <f t="shared" si="1"/>
        <v>43130</v>
      </c>
      <c r="J30" s="332"/>
      <c r="K30" s="328"/>
      <c r="L30" s="330"/>
      <c r="M30" s="328"/>
      <c r="N30" s="328"/>
      <c r="O30" s="375"/>
      <c r="P30" s="328"/>
      <c r="Q30" s="307"/>
      <c r="R30" s="307"/>
      <c r="S30" s="307"/>
      <c r="T30" s="307"/>
      <c r="U30" s="307"/>
      <c r="V30" s="307"/>
      <c r="W30" s="307"/>
      <c r="X30" s="307"/>
      <c r="Y30" s="307"/>
      <c r="Z30" s="307"/>
      <c r="AA30" s="308"/>
      <c r="AB30" s="308"/>
      <c r="AC30" s="308"/>
      <c r="AD30" s="309"/>
      <c r="AE30" s="309"/>
      <c r="AF30" s="309"/>
      <c r="AG30" s="307"/>
      <c r="AH30" s="307"/>
      <c r="AI30" s="307"/>
      <c r="AJ30" s="307"/>
      <c r="AK30" s="307"/>
      <c r="AL30" s="307"/>
      <c r="AM30" s="307"/>
      <c r="AN30" s="307"/>
      <c r="AO30" s="307"/>
      <c r="AP30" s="307"/>
      <c r="AQ30" s="307"/>
      <c r="AR30" s="307"/>
      <c r="AS30" s="307"/>
      <c r="AT30" s="307"/>
      <c r="AU30" s="307"/>
      <c r="AV30" s="30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315"/>
    </row>
    <row r="31" spans="1:79" ht="15" customHeight="1" thickBot="1">
      <c r="A31" s="420">
        <v>1</v>
      </c>
      <c r="B31" s="329">
        <v>31</v>
      </c>
      <c r="C31" s="329">
        <f t="shared" si="7"/>
        <v>31</v>
      </c>
      <c r="D31" s="421" t="str">
        <f>IF(I31='Jour Férié'!F$14,'Jour Férié'!E$14,""&amp;IF(I31='Jour Férié'!F$15,'Jour Férié'!E$15,""&amp;IF(I31='Jour Férié'!F$3,'Jour Férié'!E$3,""&amp;IF(I31='Jour Férié'!F$4,'Jour Férié'!E$4,""&amp;IF(I31='Jour Férié'!B$3,'Jour Férié'!A$3,""&amp;IF(MOD(MATCH(I31,vacances!$A$3:$A$202,1),2)=1,"vacances",""))))))</f>
        <v>Jessica</v>
      </c>
      <c r="E31" s="491"/>
      <c r="F31" s="491"/>
      <c r="G31" s="491"/>
      <c r="H31" s="634"/>
      <c r="I31" s="422">
        <f t="shared" si="1"/>
        <v>43131</v>
      </c>
      <c r="J31" s="329"/>
      <c r="K31" s="329"/>
      <c r="L31" s="329"/>
      <c r="M31" s="329"/>
      <c r="N31" s="329"/>
      <c r="O31" s="423"/>
      <c r="P31" s="329"/>
      <c r="Q31" s="345"/>
      <c r="R31" s="345"/>
      <c r="S31" s="345"/>
      <c r="T31" s="345"/>
      <c r="U31" s="345"/>
      <c r="V31" s="345"/>
      <c r="W31" s="345"/>
      <c r="X31" s="345"/>
      <c r="Y31" s="345"/>
      <c r="Z31" s="345"/>
      <c r="AA31" s="346"/>
      <c r="AB31" s="346"/>
      <c r="AC31" s="346"/>
      <c r="AD31" s="352"/>
      <c r="AE31" s="352"/>
      <c r="AF31" s="352"/>
      <c r="AG31" s="345"/>
      <c r="AH31" s="345"/>
      <c r="AI31" s="345"/>
      <c r="AJ31" s="345"/>
      <c r="AK31" s="345"/>
      <c r="AL31" s="345"/>
      <c r="AM31" s="345"/>
      <c r="AN31" s="345"/>
      <c r="AO31" s="345"/>
      <c r="AP31" s="345"/>
      <c r="AQ31" s="345"/>
      <c r="AR31" s="345"/>
      <c r="AS31" s="345"/>
      <c r="AT31" s="345"/>
      <c r="AU31" s="345"/>
      <c r="AV31" s="345"/>
      <c r="AW31" s="345"/>
      <c r="AX31" s="345"/>
      <c r="AY31" s="345"/>
      <c r="AZ31" s="345"/>
      <c r="BA31" s="345"/>
      <c r="BB31" s="345"/>
      <c r="BC31" s="345"/>
      <c r="BD31" s="345"/>
      <c r="BE31" s="345"/>
      <c r="BF31" s="345"/>
      <c r="BG31" s="345"/>
      <c r="BH31" s="345"/>
      <c r="BI31" s="345"/>
      <c r="BJ31" s="345"/>
      <c r="BK31" s="345"/>
      <c r="BL31" s="345"/>
      <c r="BM31" s="345"/>
      <c r="BN31" s="345"/>
      <c r="BO31" s="345"/>
      <c r="BP31" s="345"/>
      <c r="BQ31" s="345"/>
      <c r="BR31" s="345"/>
      <c r="BS31" s="345"/>
      <c r="BT31" s="345"/>
      <c r="BU31" s="345"/>
      <c r="BV31" s="345"/>
      <c r="BW31" s="345"/>
      <c r="BX31" s="345"/>
      <c r="BY31" s="345"/>
      <c r="BZ31" s="345"/>
      <c r="CA31" s="353"/>
    </row>
    <row r="32" spans="1:79" ht="15" customHeight="1">
      <c r="A32" s="519">
        <v>2</v>
      </c>
      <c r="B32" s="520">
        <v>1</v>
      </c>
      <c r="C32" s="520">
        <f t="shared" ref="C32:C37" si="8">VLOOKUP(A32,Données,4)+B32-1</f>
        <v>32</v>
      </c>
      <c r="D32" s="521" t="str">
        <f>IF(I32='Jour Férié'!F$13,'Jour Férié'!E$13,""&amp;IF(I32='Jour Férié'!F$15,'Jour Férié'!E$15,""&amp;IF(I32='Jour Férié'!F$5,'Jour Férié'!E$5,""&amp;IF(MOD(MATCH(I32,vacances!$A$3:$A$202,1),2)=1,"vacances",""))))</f>
        <v>Enzo</v>
      </c>
      <c r="E32" s="489"/>
      <c r="F32" s="489"/>
      <c r="G32" s="489"/>
      <c r="H32" s="620" t="s">
        <v>196</v>
      </c>
      <c r="I32" s="522">
        <f>DATE(annee,2,1)</f>
        <v>43132</v>
      </c>
      <c r="J32" s="523" t="s">
        <v>201</v>
      </c>
      <c r="K32" s="524" t="s">
        <v>202</v>
      </c>
      <c r="L32" s="292"/>
      <c r="M32" s="525" t="s">
        <v>203</v>
      </c>
      <c r="N32" s="525"/>
      <c r="O32" s="526">
        <f>(COUNTIF($E32:$E60,$J32))</f>
        <v>0</v>
      </c>
      <c r="P32" s="527"/>
      <c r="Q32" s="560">
        <f>DATE(annee,2,1)</f>
        <v>43132</v>
      </c>
      <c r="R32" s="560"/>
      <c r="S32" s="560"/>
      <c r="T32" s="560"/>
      <c r="U32" s="560"/>
      <c r="V32" s="560"/>
      <c r="W32" s="560"/>
      <c r="X32" s="560"/>
      <c r="Y32" s="560"/>
      <c r="Z32" s="560"/>
      <c r="AA32" s="560"/>
      <c r="AB32" s="560"/>
      <c r="AC32" s="560"/>
      <c r="AD32" s="560"/>
      <c r="AE32" s="560"/>
      <c r="AF32" s="560"/>
      <c r="AG32" s="560"/>
      <c r="AH32" s="560"/>
      <c r="AI32" s="560"/>
      <c r="AJ32" s="560"/>
      <c r="AK32" s="560"/>
      <c r="AL32" s="560"/>
      <c r="AM32" s="560"/>
      <c r="AN32" s="560"/>
      <c r="AO32" s="560"/>
      <c r="AP32" s="560"/>
      <c r="AQ32" s="560"/>
      <c r="AR32" s="560"/>
      <c r="AS32" s="560"/>
      <c r="AT32" s="560"/>
      <c r="AU32" s="560"/>
      <c r="AV32" s="292"/>
      <c r="AW32" s="560">
        <f>Q32</f>
        <v>43132</v>
      </c>
      <c r="AX32" s="560"/>
      <c r="AY32" s="560"/>
      <c r="AZ32" s="560"/>
      <c r="BA32" s="560"/>
      <c r="BB32" s="560"/>
      <c r="BC32" s="560"/>
      <c r="BD32" s="560"/>
      <c r="BE32" s="560"/>
      <c r="BF32" s="560"/>
      <c r="BG32" s="560"/>
      <c r="BH32" s="560"/>
      <c r="BI32" s="560"/>
      <c r="BJ32" s="560"/>
      <c r="BK32" s="560"/>
      <c r="BL32" s="560"/>
      <c r="BM32" s="560"/>
      <c r="BN32" s="560"/>
      <c r="BO32" s="560"/>
      <c r="BP32" s="560"/>
      <c r="BQ32" s="560"/>
      <c r="BR32" s="560"/>
      <c r="BS32" s="560"/>
      <c r="BT32" s="560"/>
      <c r="BU32" s="560"/>
      <c r="BV32" s="560"/>
      <c r="BW32" s="560"/>
      <c r="BX32" s="560"/>
      <c r="BY32" s="560"/>
      <c r="BZ32" s="560"/>
      <c r="CA32" s="607"/>
    </row>
    <row r="33" spans="1:79" ht="15" customHeight="1">
      <c r="A33" s="424">
        <v>2</v>
      </c>
      <c r="B33" s="382">
        <v>2</v>
      </c>
      <c r="C33" s="382">
        <f t="shared" si="8"/>
        <v>33</v>
      </c>
      <c r="D33" s="383" t="e">
        <f>IF(I33='Jour Férié'!F$13,'Jour Férié'!E$13,""&amp;IF(I33='Jour Férié'!F$15,'Jour Férié'!E$15,""&amp;IF(I33='Jour Férié'!F$5,'Jour Férié'!E$5,""&amp;IF(MOD(MATCH(I33,vacances!$A$3:$A$202,1),2)=1,"vacances",""))))</f>
        <v>#N/A</v>
      </c>
      <c r="E33" s="449"/>
      <c r="F33" s="449"/>
      <c r="G33" s="449"/>
      <c r="H33" s="621"/>
      <c r="I33" s="339">
        <f t="shared" ref="I33:I60" si="9">DATE(annee,2,1)+B32</f>
        <v>43133</v>
      </c>
      <c r="J33" s="384" t="s">
        <v>204</v>
      </c>
      <c r="K33" s="385" t="s">
        <v>205</v>
      </c>
      <c r="L33" s="290"/>
      <c r="M33" s="291" t="s">
        <v>206</v>
      </c>
      <c r="N33" s="291"/>
      <c r="O33" s="386">
        <f>(COUNTIF($E32:$E60,$J33))</f>
        <v>0</v>
      </c>
      <c r="P33" s="316"/>
      <c r="Q33" s="365"/>
      <c r="R33" s="365"/>
      <c r="S33" s="365"/>
      <c r="T33" s="365"/>
      <c r="U33" s="365"/>
      <c r="V33" s="365"/>
      <c r="W33" s="365"/>
      <c r="X33" s="365"/>
      <c r="Y33" s="365"/>
      <c r="Z33" s="365"/>
      <c r="AA33" s="366"/>
      <c r="AB33" s="366"/>
      <c r="AC33" s="366"/>
      <c r="AD33" s="367"/>
      <c r="AE33" s="367"/>
      <c r="AF33" s="367"/>
      <c r="AG33" s="365"/>
      <c r="AH33" s="365"/>
      <c r="AI33" s="365"/>
      <c r="AJ33" s="365"/>
      <c r="AK33" s="365"/>
      <c r="AL33" s="365"/>
      <c r="AM33" s="365"/>
      <c r="AN33" s="365"/>
      <c r="AO33" s="365"/>
      <c r="AP33" s="368"/>
      <c r="AQ33" s="368"/>
      <c r="AR33" s="368"/>
      <c r="AS33" s="368"/>
      <c r="AT33" s="368"/>
      <c r="AU33" s="368"/>
      <c r="AV33" s="290"/>
      <c r="AW33" s="608" t="s">
        <v>229</v>
      </c>
      <c r="AX33" s="608"/>
      <c r="AY33" s="608"/>
      <c r="AZ33" s="608"/>
      <c r="BA33" s="608"/>
      <c r="BB33" s="608"/>
      <c r="BC33" s="608"/>
      <c r="BD33" s="608"/>
      <c r="BE33" s="608"/>
      <c r="BF33" s="608"/>
      <c r="BG33" s="608"/>
      <c r="BH33" s="608"/>
      <c r="BI33" s="293"/>
      <c r="BJ33" s="293"/>
      <c r="BK33" s="293"/>
      <c r="BL33" s="585" t="s">
        <v>230</v>
      </c>
      <c r="BM33" s="585"/>
      <c r="BN33" s="585"/>
      <c r="BO33" s="585"/>
      <c r="BP33" s="585"/>
      <c r="BQ33" s="585"/>
      <c r="BR33" s="585"/>
      <c r="BS33" s="585"/>
      <c r="BT33" s="585"/>
      <c r="BU33" s="585" t="s">
        <v>231</v>
      </c>
      <c r="BV33" s="585"/>
      <c r="BW33" s="585"/>
      <c r="BX33" s="585"/>
      <c r="BY33" s="585"/>
      <c r="BZ33" s="585"/>
      <c r="CA33" s="609"/>
    </row>
    <row r="34" spans="1:79" ht="15" customHeight="1">
      <c r="A34" s="424">
        <v>2</v>
      </c>
      <c r="B34" s="382">
        <v>3</v>
      </c>
      <c r="C34" s="382">
        <f t="shared" si="8"/>
        <v>34</v>
      </c>
      <c r="D34" s="383" t="e">
        <f>IF(I34='Jour Férié'!F$13,'Jour Férié'!E$13,""&amp;IF(I34='Jour Férié'!F$15,'Jour Férié'!E$15,""&amp;IF(I34='Jour Férié'!F$5,'Jour Férié'!E$5,""&amp;IF(MOD(MATCH(I34,vacances!$A$3:$A$202,1),2)=1,"vacances",""))))</f>
        <v>#N/A</v>
      </c>
      <c r="E34" s="449"/>
      <c r="F34" s="449"/>
      <c r="G34" s="449"/>
      <c r="H34" s="621"/>
      <c r="I34" s="339">
        <f t="shared" si="9"/>
        <v>43134</v>
      </c>
      <c r="J34" s="610" t="s">
        <v>207</v>
      </c>
      <c r="K34" s="610"/>
      <c r="L34" s="290"/>
      <c r="M34" s="291" t="s">
        <v>208</v>
      </c>
      <c r="N34" s="291"/>
      <c r="O34" s="386">
        <f>(COUNTIF($E32:$E60,$J34))</f>
        <v>0</v>
      </c>
      <c r="P34" s="316"/>
      <c r="Q34" s="555" t="str">
        <f>'FICHE DE PAIE'!A$4</f>
        <v>Salaire de base</v>
      </c>
      <c r="R34" s="555"/>
      <c r="S34" s="555"/>
      <c r="T34" s="555"/>
      <c r="U34" s="555"/>
      <c r="V34" s="555"/>
      <c r="W34" s="555"/>
      <c r="X34" s="555"/>
      <c r="Y34" s="555"/>
      <c r="Z34" s="494"/>
      <c r="AA34" s="556">
        <f>'FICHE DE PAIE'!$K$4</f>
        <v>151.66999999999999</v>
      </c>
      <c r="AB34" s="556"/>
      <c r="AC34" s="556"/>
      <c r="AD34" s="558">
        <f>'FICHE DE PAIE'!N$4</f>
        <v>12.074</v>
      </c>
      <c r="AE34" s="558"/>
      <c r="AF34" s="558"/>
      <c r="AG34" s="559">
        <f t="shared" ref="AG34:AG39" si="10">AA34*AD34</f>
        <v>1831.2635799999998</v>
      </c>
      <c r="AH34" s="559"/>
      <c r="AI34" s="559"/>
      <c r="AJ34" s="559"/>
      <c r="AK34" s="567" t="s">
        <v>233</v>
      </c>
      <c r="AL34" s="567"/>
      <c r="AM34" s="567"/>
      <c r="AN34" s="567"/>
      <c r="AO34" s="568">
        <v>2946</v>
      </c>
      <c r="AP34" s="568"/>
      <c r="AQ34" s="568"/>
      <c r="AR34" s="500"/>
      <c r="AS34" s="500"/>
      <c r="AT34" s="500"/>
      <c r="AU34" s="297"/>
      <c r="AV34" s="290"/>
      <c r="AW34" s="608"/>
      <c r="AX34" s="608"/>
      <c r="AY34" s="608"/>
      <c r="AZ34" s="608"/>
      <c r="BA34" s="608"/>
      <c r="BB34" s="608"/>
      <c r="BC34" s="608"/>
      <c r="BD34" s="608"/>
      <c r="BE34" s="608"/>
      <c r="BF34" s="608"/>
      <c r="BG34" s="608"/>
      <c r="BH34" s="608"/>
      <c r="BI34" s="611" t="s">
        <v>234</v>
      </c>
      <c r="BJ34" s="611"/>
      <c r="BK34" s="611"/>
      <c r="BL34" s="611"/>
      <c r="BM34" s="611" t="s">
        <v>235</v>
      </c>
      <c r="BN34" s="611"/>
      <c r="BO34" s="611"/>
      <c r="BP34" s="611"/>
      <c r="BQ34" s="611" t="s">
        <v>236</v>
      </c>
      <c r="BR34" s="611"/>
      <c r="BS34" s="611"/>
      <c r="BT34" s="611"/>
      <c r="BU34" s="611" t="s">
        <v>235</v>
      </c>
      <c r="BV34" s="611"/>
      <c r="BW34" s="611"/>
      <c r="BX34" s="611" t="s">
        <v>236</v>
      </c>
      <c r="BY34" s="611"/>
      <c r="BZ34" s="611"/>
      <c r="CA34" s="612"/>
    </row>
    <row r="35" spans="1:79" ht="15" customHeight="1">
      <c r="A35" s="424">
        <v>2</v>
      </c>
      <c r="B35" s="382">
        <v>4</v>
      </c>
      <c r="C35" s="382">
        <f t="shared" si="8"/>
        <v>35</v>
      </c>
      <c r="D35" s="383" t="e">
        <f>IF(I35='Jour Férié'!F$13,'Jour Férié'!E$13,""&amp;IF(I35='Jour Férié'!F$15,'Jour Férié'!E$15,""&amp;IF(I35='Jour Férié'!F$5,'Jour Férié'!E$5,""&amp;IF(MOD(MATCH(I35,vacances!$A$3:$A$202,1),2)=1,"vacances",""))))</f>
        <v>#N/A</v>
      </c>
      <c r="E35" s="449"/>
      <c r="F35" s="449"/>
      <c r="G35" s="449"/>
      <c r="H35" s="621"/>
      <c r="I35" s="339">
        <f t="shared" si="9"/>
        <v>43135</v>
      </c>
      <c r="J35" s="387"/>
      <c r="K35" s="388" t="s">
        <v>209</v>
      </c>
      <c r="L35" s="290"/>
      <c r="M35" s="291" t="s">
        <v>210</v>
      </c>
      <c r="N35" s="291"/>
      <c r="O35" s="386">
        <f>SUM(O32:O34)</f>
        <v>0</v>
      </c>
      <c r="P35" s="316"/>
      <c r="Q35" s="555" t="str">
        <f>'FICHE DE PAIE'!A$5</f>
        <v>HS à 25%</v>
      </c>
      <c r="R35" s="555"/>
      <c r="S35" s="555"/>
      <c r="T35" s="555"/>
      <c r="U35" s="555"/>
      <c r="V35" s="555"/>
      <c r="W35" s="555"/>
      <c r="X35" s="555"/>
      <c r="Y35" s="555"/>
      <c r="Z35" s="494"/>
      <c r="AA35" s="561"/>
      <c r="AB35" s="561"/>
      <c r="AC35" s="561"/>
      <c r="AD35" s="558">
        <f>'FICHE DE PAIE'!N$5</f>
        <v>15.092499999999999</v>
      </c>
      <c r="AE35" s="558"/>
      <c r="AF35" s="558"/>
      <c r="AG35" s="559">
        <f t="shared" si="10"/>
        <v>0</v>
      </c>
      <c r="AH35" s="559"/>
      <c r="AI35" s="559"/>
      <c r="AJ35" s="559"/>
      <c r="AK35" s="294"/>
      <c r="AL35" s="294"/>
      <c r="AM35" s="294"/>
      <c r="AN35" s="295"/>
      <c r="AO35" s="295"/>
      <c r="AP35" s="295"/>
      <c r="AQ35" s="295"/>
      <c r="AR35" s="295"/>
      <c r="AS35" s="295"/>
      <c r="AT35" s="295"/>
      <c r="AU35" s="295"/>
      <c r="AV35" s="290"/>
      <c r="AW35" s="591" t="s">
        <v>238</v>
      </c>
      <c r="AX35" s="591"/>
      <c r="AY35" s="591"/>
      <c r="AZ35" s="591"/>
      <c r="BA35" s="591"/>
      <c r="BB35" s="591"/>
      <c r="BC35" s="591"/>
      <c r="BD35" s="591"/>
      <c r="BE35" s="591"/>
      <c r="BF35" s="591"/>
      <c r="BG35" s="591"/>
      <c r="BH35" s="591"/>
      <c r="BI35" s="590">
        <f>$AG$17</f>
        <v>1952.5539499999998</v>
      </c>
      <c r="BJ35" s="590"/>
      <c r="BK35" s="590"/>
      <c r="BL35" s="590"/>
      <c r="BM35" s="594">
        <f>'FICHE DE PAIE'!AW$5</f>
        <v>4.0000000000000001E-3</v>
      </c>
      <c r="BN35" s="594"/>
      <c r="BO35" s="594"/>
      <c r="BP35" s="594"/>
      <c r="BQ35" s="592">
        <f>BI35*BM35</f>
        <v>7.810215799999999</v>
      </c>
      <c r="BR35" s="592"/>
      <c r="BS35" s="592"/>
      <c r="BT35" s="592"/>
      <c r="BU35" s="594">
        <f>'FICHE DE PAIE'!BE$5</f>
        <v>0.152</v>
      </c>
      <c r="BV35" s="594"/>
      <c r="BW35" s="594"/>
      <c r="BX35" s="592">
        <f>BI35*BU35</f>
        <v>296.78820039999994</v>
      </c>
      <c r="BY35" s="592"/>
      <c r="BZ35" s="592"/>
      <c r="CA35" s="593"/>
    </row>
    <row r="36" spans="1:79" ht="15" customHeight="1">
      <c r="A36" s="424">
        <v>2</v>
      </c>
      <c r="B36" s="382">
        <v>5</v>
      </c>
      <c r="C36" s="382">
        <f t="shared" si="8"/>
        <v>36</v>
      </c>
      <c r="D36" s="383" t="e">
        <f>IF(I36='Jour Férié'!F$13,'Jour Férié'!E$13,""&amp;IF(I36='Jour Férié'!F$15,'Jour Férié'!E$15,""&amp;IF(I36='Jour Férié'!F$5,'Jour Férié'!E$5,""&amp;IF(MOD(MATCH(I36,vacances!$A$3:$A$202,1),2)=1,"vacances",""))))</f>
        <v>#N/A</v>
      </c>
      <c r="E36" s="449"/>
      <c r="F36" s="449"/>
      <c r="G36" s="449"/>
      <c r="H36" s="621"/>
      <c r="I36" s="339">
        <f t="shared" si="9"/>
        <v>43136</v>
      </c>
      <c r="J36" s="7"/>
      <c r="K36" s="7"/>
      <c r="L36" s="290"/>
      <c r="M36" s="291" t="s">
        <v>211</v>
      </c>
      <c r="N36" s="291"/>
      <c r="O36" s="386">
        <f ca="1">(COUNTIF(I32:I40,dimanche(COUNTIF($E32:$E60,$J33))))</f>
        <v>0</v>
      </c>
      <c r="P36" s="316"/>
      <c r="Q36" s="555" t="str">
        <f>'FICHE DE PAIE'!A$6</f>
        <v>HS à 50%</v>
      </c>
      <c r="R36" s="555"/>
      <c r="S36" s="555"/>
      <c r="T36" s="555"/>
      <c r="U36" s="555"/>
      <c r="V36" s="555"/>
      <c r="W36" s="555"/>
      <c r="X36" s="555"/>
      <c r="Y36" s="555"/>
      <c r="Z36" s="494"/>
      <c r="AA36" s="561"/>
      <c r="AB36" s="561"/>
      <c r="AC36" s="561"/>
      <c r="AD36" s="558">
        <f>'FICHE DE PAIE'!N$6</f>
        <v>18.111000000000001</v>
      </c>
      <c r="AE36" s="558"/>
      <c r="AF36" s="558"/>
      <c r="AG36" s="559">
        <f t="shared" si="10"/>
        <v>0</v>
      </c>
      <c r="AH36" s="559"/>
      <c r="AI36" s="559"/>
      <c r="AJ36" s="559"/>
      <c r="AK36" s="294"/>
      <c r="AL36" s="294"/>
      <c r="AM36" s="294"/>
      <c r="AN36" s="295"/>
      <c r="AO36" s="295"/>
      <c r="AP36" s="295"/>
      <c r="AQ36" s="295"/>
      <c r="AR36" s="295"/>
      <c r="AS36" s="295"/>
      <c r="AT36" s="295"/>
      <c r="AU36" s="295"/>
      <c r="AV36" s="290"/>
      <c r="AW36" s="591" t="s">
        <v>240</v>
      </c>
      <c r="AX36" s="591"/>
      <c r="AY36" s="591"/>
      <c r="AZ36" s="591"/>
      <c r="BA36" s="591"/>
      <c r="BB36" s="591"/>
      <c r="BC36" s="591"/>
      <c r="BD36" s="591"/>
      <c r="BE36" s="591"/>
      <c r="BF36" s="591"/>
      <c r="BG36" s="591"/>
      <c r="BH36" s="591"/>
      <c r="BI36" s="590">
        <f t="shared" ref="BI36:BI47" si="11">$AG$17</f>
        <v>1952.5539499999998</v>
      </c>
      <c r="BJ36" s="590"/>
      <c r="BK36" s="590"/>
      <c r="BL36" s="590"/>
      <c r="BM36" s="594">
        <f>'FICHE DE PAIE'!AW$6</f>
        <v>6.9000000000000006E-2</v>
      </c>
      <c r="BN36" s="594"/>
      <c r="BO36" s="594"/>
      <c r="BP36" s="594"/>
      <c r="BQ36" s="592">
        <f t="shared" ref="BQ36:BQ53" si="12">BI36*BM36</f>
        <v>134.72622254999999</v>
      </c>
      <c r="BR36" s="592"/>
      <c r="BS36" s="592"/>
      <c r="BT36" s="592"/>
      <c r="BU36" s="594">
        <f>'FICHE DE PAIE'!BE$6</f>
        <v>8.5500000000000007E-2</v>
      </c>
      <c r="BV36" s="594"/>
      <c r="BW36" s="594"/>
      <c r="BX36" s="592">
        <f t="shared" ref="BX36:BX55" si="13">BI36*BU36</f>
        <v>166.94336272499999</v>
      </c>
      <c r="BY36" s="592"/>
      <c r="BZ36" s="592"/>
      <c r="CA36" s="593"/>
    </row>
    <row r="37" spans="1:79" ht="15" customHeight="1">
      <c r="A37" s="424">
        <v>2</v>
      </c>
      <c r="B37" s="382">
        <v>6</v>
      </c>
      <c r="C37" s="382">
        <f t="shared" si="8"/>
        <v>37</v>
      </c>
      <c r="D37" s="383" t="e">
        <f>IF(I37='Jour Férié'!F$13,'Jour Férié'!E$13,""&amp;IF(I37='Jour Férié'!F$15,'Jour Férié'!E$15,""&amp;IF(I37='Jour Férié'!F$5,'Jour Férié'!E$5,""&amp;IF(MOD(MATCH(I37,vacances!$A$3:$A$202,1),2)=1,"vacances",""))))</f>
        <v>#N/A</v>
      </c>
      <c r="E37" s="449"/>
      <c r="F37" s="449"/>
      <c r="G37" s="449"/>
      <c r="H37" s="621"/>
      <c r="I37" s="339">
        <f t="shared" si="9"/>
        <v>43137</v>
      </c>
      <c r="J37" s="389"/>
      <c r="K37" s="388" t="s">
        <v>212</v>
      </c>
      <c r="L37" s="290"/>
      <c r="M37" s="291" t="s">
        <v>213</v>
      </c>
      <c r="N37" s="291"/>
      <c r="O37" s="386">
        <f>SUM(O32:O33)</f>
        <v>0</v>
      </c>
      <c r="P37" s="316"/>
      <c r="Q37" s="555" t="str">
        <f>'FICHE DE PAIE'!A$7</f>
        <v>MAJORATION DIMANCHE</v>
      </c>
      <c r="R37" s="555"/>
      <c r="S37" s="555"/>
      <c r="T37" s="555"/>
      <c r="U37" s="555"/>
      <c r="V37" s="555"/>
      <c r="W37" s="555"/>
      <c r="X37" s="555"/>
      <c r="Y37" s="555"/>
      <c r="Z37" s="494"/>
      <c r="AA37" s="557">
        <f>O42</f>
        <v>0</v>
      </c>
      <c r="AB37" s="557"/>
      <c r="AC37" s="557"/>
      <c r="AD37" s="558">
        <f>'FICHE DE PAIE'!N$7</f>
        <v>1.2074</v>
      </c>
      <c r="AE37" s="558"/>
      <c r="AF37" s="558"/>
      <c r="AG37" s="559">
        <f t="shared" si="10"/>
        <v>0</v>
      </c>
      <c r="AH37" s="559"/>
      <c r="AI37" s="559"/>
      <c r="AJ37" s="559"/>
      <c r="AK37" s="294"/>
      <c r="AL37" s="294"/>
      <c r="AM37" s="294"/>
      <c r="AN37" s="295"/>
      <c r="AO37" s="295"/>
      <c r="AP37" s="295"/>
      <c r="AQ37" s="295"/>
      <c r="AR37" s="295"/>
      <c r="AS37" s="295"/>
      <c r="AT37" s="295"/>
      <c r="AU37" s="295"/>
      <c r="AV37" s="290"/>
      <c r="AW37" s="591" t="s">
        <v>242</v>
      </c>
      <c r="AX37" s="591"/>
      <c r="AY37" s="591"/>
      <c r="AZ37" s="591"/>
      <c r="BA37" s="591"/>
      <c r="BB37" s="591"/>
      <c r="BC37" s="591"/>
      <c r="BD37" s="591"/>
      <c r="BE37" s="591"/>
      <c r="BF37" s="591"/>
      <c r="BG37" s="591"/>
      <c r="BH37" s="591"/>
      <c r="BI37" s="590">
        <f t="shared" si="11"/>
        <v>1952.5539499999998</v>
      </c>
      <c r="BJ37" s="590"/>
      <c r="BK37" s="590"/>
      <c r="BL37" s="590"/>
      <c r="BM37" s="590"/>
      <c r="BN37" s="590"/>
      <c r="BO37" s="590"/>
      <c r="BP37" s="590"/>
      <c r="BQ37" s="592">
        <f t="shared" si="12"/>
        <v>0</v>
      </c>
      <c r="BR37" s="592"/>
      <c r="BS37" s="592"/>
      <c r="BT37" s="592"/>
      <c r="BU37" s="594">
        <f>'FICHE DE PAIE'!BE$7</f>
        <v>1E-3</v>
      </c>
      <c r="BV37" s="594"/>
      <c r="BW37" s="594"/>
      <c r="BX37" s="592">
        <f t="shared" si="13"/>
        <v>1.9525539499999998</v>
      </c>
      <c r="BY37" s="592"/>
      <c r="BZ37" s="592"/>
      <c r="CA37" s="593"/>
    </row>
    <row r="38" spans="1:79" ht="15" customHeight="1">
      <c r="A38" s="424">
        <v>2</v>
      </c>
      <c r="B38" s="382">
        <v>7</v>
      </c>
      <c r="C38" s="382">
        <f t="shared" ref="C38:C45" si="14">VLOOKUP(A38,Données,4)+B38-1</f>
        <v>38</v>
      </c>
      <c r="D38" s="383" t="e">
        <f>IF(I38='Jour Férié'!F$13,'Jour Férié'!E$13,""&amp;IF(I38='Jour Férié'!F$15,'Jour Férié'!E$15,""&amp;IF(I38='Jour Férié'!F$5,'Jour Férié'!E$5,""&amp;IF(MOD(MATCH(I38,vacances!$A$3:$A$202,1),2)=1,"vacances",""))))</f>
        <v>#N/A</v>
      </c>
      <c r="E38" s="449"/>
      <c r="F38" s="449"/>
      <c r="G38" s="449"/>
      <c r="H38" s="621"/>
      <c r="I38" s="339">
        <f t="shared" si="9"/>
        <v>43138</v>
      </c>
      <c r="J38" s="7"/>
      <c r="K38" s="7"/>
      <c r="L38" s="290"/>
      <c r="M38" s="385" t="s">
        <v>214</v>
      </c>
      <c r="N38" s="385"/>
      <c r="O38" s="390">
        <f>((6*COUNTIF(E31,J32))+(3*COUNTIF(E32,J32))+((6*COUNTIF(E32,J32))+(3*COUNTIF(E33,J32)))+((6*COUNTIF(E33,J32))+(3*COUNTIF(E34,J32)))+((6*COUNTIF(E34,J32))+(3*COUNTIF(E35,J32)))+((6*COUNTIF(E35,J32))+(3*COUNTIF(E36,J32)))+((6*COUNTIF(E36,J32))+(3*COUNTIF(E37,J32)))+((6*COUNTIF(E37,J32))+(3*COUNTIF(E38,J32)))+((6*COUNTIF(E38,J32))+(3*COUNTIF(E39,J32)))+((6*COUNTIF(E39,J32))+(3*COUNTIF(E40,J32)))+((6*COUNTIF(E40,J32))+(3*COUNTIF(E41,J32)))+((6*COUNTIF(E41,J32))+(3*COUNTIF(E42,J32)))+((6*COUNTIF(E42,J32))+(3*COUNTIF(E43,J32)))+((6*COUNTIF(E43,J32))+(3*COUNTIF(E44,J32)))+((6*COUNTIF(E44,J32))+(3*COUNTIF(E45,J32)))+((6*COUNTIF(E45,J32))+(3*COUNTIF(E46,J32)))+((6*COUNTIF(E46,J32))+(3*COUNTIF(E47,J32)))+((6*COUNTIF(E47,J32))+(3*COUNTIF(E48,J32)))+((6*COUNTIF(E48,J32))+(3*COUNTIF(E49,J32)))+((6*COUNTIF(E49,J32))+(3*COUNTIF(E50,J32)))+((6*COUNTIF(E50,J32))+(3*COUNTIF(E51,J32)))+((6*COUNTIF(E51,J32))+(3*COUNTIF(E52,J32)))+((6*COUNTIF(E52,J32))+(3*COUNTIF(E53,J32)))+((6*COUNTIF(E53,J32))+(3*COUNTIF(E54,J32)))+((6*COUNTIF(E54,J32))+(3*COUNTIF(E55,J32)))+((6*COUNTIF(E55,J32))+(3*COUNTIF(E56,J32)))+((6*COUNTIF(E56,J32))+(3*COUNTIF(E57,J32)))+((6*COUNTIF(E57,J32))+(3*COUNTIF(E58,J32)))+((6*COUNTIF(E58,J32))+(3*COUNTIF(E59,J32)))+((6*COUNTIF(E59,J32))+(3*COUNTIF(E60,J32))))</f>
        <v>0</v>
      </c>
      <c r="P38" s="316"/>
      <c r="Q38" s="555" t="str">
        <f>'FICHE DE PAIE'!A$8</f>
        <v>MAJORATION NUIT</v>
      </c>
      <c r="R38" s="555"/>
      <c r="S38" s="555"/>
      <c r="T38" s="555"/>
      <c r="U38" s="555"/>
      <c r="V38" s="555"/>
      <c r="W38" s="555"/>
      <c r="X38" s="555"/>
      <c r="Y38" s="555"/>
      <c r="Z38" s="494"/>
      <c r="AA38" s="557">
        <f>O38</f>
        <v>0</v>
      </c>
      <c r="AB38" s="557"/>
      <c r="AC38" s="557"/>
      <c r="AD38" s="558">
        <f>'FICHE DE PAIE'!N$8</f>
        <v>1.2074</v>
      </c>
      <c r="AE38" s="558"/>
      <c r="AF38" s="558"/>
      <c r="AG38" s="559">
        <f t="shared" si="10"/>
        <v>0</v>
      </c>
      <c r="AH38" s="559"/>
      <c r="AI38" s="559"/>
      <c r="AJ38" s="559"/>
      <c r="AK38" s="294"/>
      <c r="AL38" s="294"/>
      <c r="AM38" s="294"/>
      <c r="AN38" s="295"/>
      <c r="AO38" s="295"/>
      <c r="AP38" s="295"/>
      <c r="AQ38" s="295"/>
      <c r="AR38" s="295"/>
      <c r="AS38" s="295"/>
      <c r="AT38" s="295"/>
      <c r="AU38" s="295"/>
      <c r="AV38" s="290"/>
      <c r="AW38" s="591" t="s">
        <v>244</v>
      </c>
      <c r="AX38" s="591"/>
      <c r="AY38" s="591"/>
      <c r="AZ38" s="591"/>
      <c r="BA38" s="591"/>
      <c r="BB38" s="591"/>
      <c r="BC38" s="591"/>
      <c r="BD38" s="591"/>
      <c r="BE38" s="591"/>
      <c r="BF38" s="591"/>
      <c r="BG38" s="591"/>
      <c r="BH38" s="591"/>
      <c r="BI38" s="590">
        <f t="shared" si="11"/>
        <v>1952.5539499999998</v>
      </c>
      <c r="BJ38" s="590"/>
      <c r="BK38" s="590"/>
      <c r="BL38" s="590"/>
      <c r="BM38" s="590"/>
      <c r="BN38" s="590"/>
      <c r="BO38" s="590"/>
      <c r="BP38" s="590"/>
      <c r="BQ38" s="592">
        <f t="shared" si="12"/>
        <v>0</v>
      </c>
      <c r="BR38" s="592"/>
      <c r="BS38" s="592"/>
      <c r="BT38" s="592"/>
      <c r="BU38" s="594">
        <f>'FICHE DE PAIE'!BE$8</f>
        <v>4.0000000000000001E-3</v>
      </c>
      <c r="BV38" s="594"/>
      <c r="BW38" s="594"/>
      <c r="BX38" s="592">
        <f t="shared" si="13"/>
        <v>7.810215799999999</v>
      </c>
      <c r="BY38" s="592"/>
      <c r="BZ38" s="592"/>
      <c r="CA38" s="593"/>
    </row>
    <row r="39" spans="1:79" ht="15" customHeight="1">
      <c r="A39" s="424">
        <v>2</v>
      </c>
      <c r="B39" s="382">
        <v>8</v>
      </c>
      <c r="C39" s="382">
        <f t="shared" si="14"/>
        <v>39</v>
      </c>
      <c r="D39" s="383" t="e">
        <f>IF(I39='Jour Férié'!F$13,'Jour Férié'!E$13,""&amp;IF(I39='Jour Férié'!F$15,'Jour Férié'!E$15,""&amp;IF(I39='Jour Férié'!F$5,'Jour Férié'!E$5,""&amp;IF(MOD(MATCH(I39,vacances!$A$3:$A$202,1),2)=1,"vacances",""))))</f>
        <v>#N/A</v>
      </c>
      <c r="E39" s="449"/>
      <c r="F39" s="449"/>
      <c r="G39" s="449"/>
      <c r="H39" s="621"/>
      <c r="I39" s="339">
        <f t="shared" si="9"/>
        <v>43139</v>
      </c>
      <c r="J39" s="391" t="s">
        <v>215</v>
      </c>
      <c r="K39" s="388" t="s">
        <v>216</v>
      </c>
      <c r="L39" s="290"/>
      <c r="M39" s="291" t="s">
        <v>217</v>
      </c>
      <c r="N39" s="291"/>
      <c r="O39" s="386">
        <f>O33*12</f>
        <v>0</v>
      </c>
      <c r="P39" s="316"/>
      <c r="Q39" s="555" t="str">
        <f>'FICHE DE PAIE'!A$9</f>
        <v>MAJORATION JOUR FERIE</v>
      </c>
      <c r="R39" s="555"/>
      <c r="S39" s="555"/>
      <c r="T39" s="555"/>
      <c r="U39" s="555"/>
      <c r="V39" s="555"/>
      <c r="W39" s="555"/>
      <c r="X39" s="555"/>
      <c r="Y39" s="555"/>
      <c r="Z39" s="494"/>
      <c r="AA39" s="557">
        <f>O44</f>
        <v>0</v>
      </c>
      <c r="AB39" s="557"/>
      <c r="AC39" s="557"/>
      <c r="AD39" s="558">
        <f>'FICHE DE PAIE'!N$9</f>
        <v>12.074</v>
      </c>
      <c r="AE39" s="558"/>
      <c r="AF39" s="558"/>
      <c r="AG39" s="559">
        <f t="shared" si="10"/>
        <v>0</v>
      </c>
      <c r="AH39" s="559"/>
      <c r="AI39" s="559"/>
      <c r="AJ39" s="559"/>
      <c r="AK39" s="294"/>
      <c r="AL39" s="294"/>
      <c r="AM39" s="294"/>
      <c r="AN39" s="295"/>
      <c r="AO39" s="295"/>
      <c r="AP39" s="295"/>
      <c r="AQ39" s="295"/>
      <c r="AR39" s="295"/>
      <c r="AS39" s="295"/>
      <c r="AT39" s="295"/>
      <c r="AU39" s="295"/>
      <c r="AV39" s="290"/>
      <c r="AW39" s="591" t="s">
        <v>246</v>
      </c>
      <c r="AX39" s="591"/>
      <c r="AY39" s="591"/>
      <c r="AZ39" s="591"/>
      <c r="BA39" s="591"/>
      <c r="BB39" s="591"/>
      <c r="BC39" s="591"/>
      <c r="BD39" s="591"/>
      <c r="BE39" s="591"/>
      <c r="BF39" s="591"/>
      <c r="BG39" s="591"/>
      <c r="BH39" s="591"/>
      <c r="BI39" s="590">
        <f t="shared" si="11"/>
        <v>1952.5539499999998</v>
      </c>
      <c r="BJ39" s="590"/>
      <c r="BK39" s="590"/>
      <c r="BL39" s="590"/>
      <c r="BM39" s="590"/>
      <c r="BN39" s="590"/>
      <c r="BO39" s="590"/>
      <c r="BP39" s="590"/>
      <c r="BQ39" s="592">
        <f t="shared" si="12"/>
        <v>0</v>
      </c>
      <c r="BR39" s="592"/>
      <c r="BS39" s="592"/>
      <c r="BT39" s="592"/>
      <c r="BU39" s="594">
        <f>'FICHE DE PAIE'!BE$9</f>
        <v>1.2999999999999999E-2</v>
      </c>
      <c r="BV39" s="594"/>
      <c r="BW39" s="594"/>
      <c r="BX39" s="592">
        <f t="shared" si="13"/>
        <v>25.383201349999997</v>
      </c>
      <c r="BY39" s="592"/>
      <c r="BZ39" s="592"/>
      <c r="CA39" s="593"/>
    </row>
    <row r="40" spans="1:79" ht="15" customHeight="1">
      <c r="A40" s="424">
        <v>2</v>
      </c>
      <c r="B40" s="382">
        <v>9</v>
      </c>
      <c r="C40" s="382">
        <f t="shared" si="14"/>
        <v>40</v>
      </c>
      <c r="D40" s="383" t="e">
        <f>IF(I40='Jour Férié'!F$13,'Jour Férié'!E$13,""&amp;IF(I40='Jour Férié'!F$15,'Jour Férié'!E$15,""&amp;IF(I40='Jour Férié'!F$5,'Jour Férié'!E$5,""&amp;IF(MOD(MATCH(I40,vacances!$A$3:$A$202,1),2)=1,"vacances",""))))</f>
        <v>#N/A</v>
      </c>
      <c r="E40" s="449"/>
      <c r="F40" s="449"/>
      <c r="G40" s="449"/>
      <c r="H40" s="621"/>
      <c r="I40" s="339">
        <f t="shared" si="9"/>
        <v>43140</v>
      </c>
      <c r="J40" s="391" t="s">
        <v>218</v>
      </c>
      <c r="K40" s="281" t="s">
        <v>219</v>
      </c>
      <c r="L40" s="290"/>
      <c r="M40" s="291" t="s">
        <v>220</v>
      </c>
      <c r="N40" s="291"/>
      <c r="O40" s="386">
        <f>O34*7</f>
        <v>0</v>
      </c>
      <c r="P40" s="316"/>
      <c r="Q40" s="555" t="str">
        <f>'FICHE DE PAIE'!A$10</f>
        <v xml:space="preserve">PRIME ANCIENNETE </v>
      </c>
      <c r="R40" s="555"/>
      <c r="S40" s="555"/>
      <c r="T40" s="555"/>
      <c r="U40" s="555"/>
      <c r="V40" s="555"/>
      <c r="W40" s="555"/>
      <c r="X40" s="555"/>
      <c r="Y40" s="555"/>
      <c r="Z40" s="494"/>
      <c r="AA40" s="556">
        <v>1</v>
      </c>
      <c r="AB40" s="556"/>
      <c r="AC40" s="556"/>
      <c r="AD40" s="558">
        <f>'FICHE DE PAIE'!N$10</f>
        <v>36.630000000000003</v>
      </c>
      <c r="AE40" s="558"/>
      <c r="AF40" s="558"/>
      <c r="AG40" s="606"/>
      <c r="AH40" s="606"/>
      <c r="AI40" s="606"/>
      <c r="AJ40" s="606"/>
      <c r="AK40" s="294"/>
      <c r="AL40" s="294"/>
      <c r="AM40" s="294"/>
      <c r="AN40" s="295"/>
      <c r="AO40" s="295"/>
      <c r="AP40" s="295"/>
      <c r="AQ40" s="295"/>
      <c r="AR40" s="295"/>
      <c r="AS40" s="295"/>
      <c r="AT40" s="295"/>
      <c r="AU40" s="295"/>
      <c r="AV40" s="290"/>
      <c r="AW40" s="591" t="s">
        <v>248</v>
      </c>
      <c r="AX40" s="591"/>
      <c r="AY40" s="591"/>
      <c r="AZ40" s="591"/>
      <c r="BA40" s="591"/>
      <c r="BB40" s="591"/>
      <c r="BC40" s="591"/>
      <c r="BD40" s="591"/>
      <c r="BE40" s="591"/>
      <c r="BF40" s="591"/>
      <c r="BG40" s="591"/>
      <c r="BH40" s="591"/>
      <c r="BI40" s="590">
        <f t="shared" si="11"/>
        <v>1952.5539499999998</v>
      </c>
      <c r="BJ40" s="590"/>
      <c r="BK40" s="590"/>
      <c r="BL40" s="590"/>
      <c r="BM40" s="590"/>
      <c r="BN40" s="590"/>
      <c r="BO40" s="590"/>
      <c r="BP40" s="590"/>
      <c r="BQ40" s="592">
        <f t="shared" si="12"/>
        <v>0</v>
      </c>
      <c r="BR40" s="592"/>
      <c r="BS40" s="592"/>
      <c r="BT40" s="592"/>
      <c r="BU40" s="594">
        <f>'FICHE DE PAIE'!BE$10</f>
        <v>1.7600000000000001E-2</v>
      </c>
      <c r="BV40" s="594"/>
      <c r="BW40" s="594"/>
      <c r="BX40" s="592">
        <f t="shared" si="13"/>
        <v>34.364949519999996</v>
      </c>
      <c r="BY40" s="592"/>
      <c r="BZ40" s="592"/>
      <c r="CA40" s="593"/>
    </row>
    <row r="41" spans="1:79" ht="15" customHeight="1">
      <c r="A41" s="424">
        <v>2</v>
      </c>
      <c r="B41" s="382">
        <v>10</v>
      </c>
      <c r="C41" s="382">
        <f>VLOOKUP(A41,Données,4)+B41-1</f>
        <v>41</v>
      </c>
      <c r="D41" s="383" t="e">
        <f>IF(I41='Jour Férié'!F$13,'Jour Férié'!E$13,""&amp;IF(I41='Jour Férié'!F$15,'Jour Férié'!E$15,""&amp;IF(I41='Jour Férié'!F$5,'Jour Férié'!E$5,""&amp;IF(MOD(MATCH(I41,vacances!$A$3:$A$202,1),2)=1,"vacances",""))))</f>
        <v>#N/A</v>
      </c>
      <c r="E41" s="449"/>
      <c r="F41" s="449"/>
      <c r="G41" s="449"/>
      <c r="H41" s="621"/>
      <c r="I41" s="339">
        <f t="shared" si="9"/>
        <v>43141</v>
      </c>
      <c r="J41" s="392" t="s">
        <v>221</v>
      </c>
      <c r="K41" s="281" t="s">
        <v>222</v>
      </c>
      <c r="L41" s="290"/>
      <c r="M41" s="385" t="s">
        <v>223</v>
      </c>
      <c r="N41" s="385"/>
      <c r="O41" s="390">
        <f>(O32+O33)*12</f>
        <v>0</v>
      </c>
      <c r="P41" s="316"/>
      <c r="Q41" s="555" t="str">
        <f>'FICHE DE PAIE'!A$11</f>
        <v>PRIME HABILLAGE</v>
      </c>
      <c r="R41" s="555"/>
      <c r="S41" s="555"/>
      <c r="T41" s="555"/>
      <c r="U41" s="555"/>
      <c r="V41" s="555"/>
      <c r="W41" s="555"/>
      <c r="X41" s="555"/>
      <c r="Y41" s="555"/>
      <c r="Z41" s="494"/>
      <c r="AA41" s="556">
        <f>AA34</f>
        <v>151.66999999999999</v>
      </c>
      <c r="AB41" s="556"/>
      <c r="AC41" s="556"/>
      <c r="AD41" s="558">
        <f>'FICHE DE PAIE'!N$11</f>
        <v>0.13100000000000001</v>
      </c>
      <c r="AE41" s="558"/>
      <c r="AF41" s="558"/>
      <c r="AG41" s="559">
        <f>AA41*AD41</f>
        <v>19.868769999999998</v>
      </c>
      <c r="AH41" s="559"/>
      <c r="AI41" s="559"/>
      <c r="AJ41" s="559"/>
      <c r="AK41" s="294"/>
      <c r="AL41" s="294"/>
      <c r="AM41" s="294"/>
      <c r="AN41" s="295"/>
      <c r="AO41" s="295"/>
      <c r="AP41" s="295"/>
      <c r="AQ41" s="295"/>
      <c r="AR41" s="295"/>
      <c r="AS41" s="295"/>
      <c r="AT41" s="295"/>
      <c r="AU41" s="295"/>
      <c r="AV41" s="290"/>
      <c r="AW41" s="591" t="s">
        <v>250</v>
      </c>
      <c r="AX41" s="591"/>
      <c r="AY41" s="591"/>
      <c r="AZ41" s="591"/>
      <c r="BA41" s="591"/>
      <c r="BB41" s="591"/>
      <c r="BC41" s="591"/>
      <c r="BD41" s="591"/>
      <c r="BE41" s="591"/>
      <c r="BF41" s="591"/>
      <c r="BG41" s="591"/>
      <c r="BH41" s="591"/>
      <c r="BI41" s="590">
        <f t="shared" si="11"/>
        <v>1952.5539499999998</v>
      </c>
      <c r="BJ41" s="590"/>
      <c r="BK41" s="590"/>
      <c r="BL41" s="590"/>
      <c r="BM41" s="590"/>
      <c r="BN41" s="590"/>
      <c r="BO41" s="590"/>
      <c r="BP41" s="590"/>
      <c r="BQ41" s="592">
        <f t="shared" si="12"/>
        <v>0</v>
      </c>
      <c r="BR41" s="592"/>
      <c r="BS41" s="592"/>
      <c r="BT41" s="592"/>
      <c r="BU41" s="594">
        <f>'FICHE DE PAIE'!BE$11</f>
        <v>3.4500000000000003E-2</v>
      </c>
      <c r="BV41" s="594"/>
      <c r="BW41" s="594"/>
      <c r="BX41" s="592">
        <f t="shared" si="13"/>
        <v>67.363111274999994</v>
      </c>
      <c r="BY41" s="592"/>
      <c r="BZ41" s="592"/>
      <c r="CA41" s="593"/>
    </row>
    <row r="42" spans="1:79" ht="15" customHeight="1">
      <c r="A42" s="424">
        <v>2</v>
      </c>
      <c r="B42" s="382">
        <v>11</v>
      </c>
      <c r="C42" s="382">
        <f t="shared" si="14"/>
        <v>42</v>
      </c>
      <c r="D42" s="383" t="e">
        <f>IF(I42='Jour Férié'!F$13,'Jour Férié'!E$13,""&amp;IF(I42='Jour Férié'!F$15,'Jour Férié'!E$15,""&amp;IF(I42='Jour Férié'!F$5,'Jour Férié'!E$5,""&amp;IF(MOD(MATCH(I42,vacances!$A$3:$A$202,1),2)=1,"vacances",""))))</f>
        <v>#N/A</v>
      </c>
      <c r="E42" s="449"/>
      <c r="F42" s="449"/>
      <c r="G42" s="449"/>
      <c r="H42" s="621"/>
      <c r="I42" s="339">
        <f t="shared" si="9"/>
        <v>43142</v>
      </c>
      <c r="J42" s="290"/>
      <c r="K42" s="290"/>
      <c r="L42" s="290"/>
      <c r="M42" s="578" t="s">
        <v>224</v>
      </c>
      <c r="N42" s="393">
        <f>(IF(WEEKDAY(I32,2)=7,(12*COUNTIF(E32,J33))+(5*COUNTIF(E32,J32))))+(IF(WEEKDAY(I33,2)=7,(7*COUNTIF(E32,J32))+(12*COUNTIF(E33,J33))+(5*COUNTIF(E33,J32))))+(IF(WEEKDAY(I34,2)=7,(7*COUNTIF(E33,J32))+(12*COUNTIF(E34,J33))+(5*COUNTIF(E34,J32))))+(IF(WEEKDAY(I35,2)=7,(7*COUNTIF(E34,J32))+(12*COUNTIF(E35,J33))+(5*COUNTIF(E35,J32))))+(IF(WEEKDAY(I36,2)=7,(7*COUNTIF(E35,J32))+(12*COUNTIF(E36,J33))+(5*COUNTIF(E36,J32))))+(IF(WEEKDAY(I37,2)=7,(7*COUNTIF(E36,J32))+(12*COUNTIF(E37,J33))+(5*COUNTIF(E37,J32))))+(IF(WEEKDAY(I38,2)=7,(7*COUNTIF(E37,J32))+(12*COUNTIF(E38,J33))+(5*COUNTIF(E38,J32))))+(IF(WEEKDAY(I39,2)=7,(7*COUNTIF(E38,J32))+(12*COUNTIF(E39,J33))+(5*COUNTIF(E39,J32))))+(IF(WEEKDAY(I40,2)=7,(7*COUNTIF(E39,J32))+(12*COUNTIF(E40,J33))+(5*COUNTIF(E40,J32))))+(IF(WEEKDAY(I41,2)=7,(7*COUNTIF(E40,J32))+(12*COUNTIF(E41,J33))+(5*COUNTIF(E41,J32))))+(IF(WEEKDAY(I42,2)=7,(7*COUNTIF(E41,J32))+(12*COUNTIF(E42,J33))+(5*COUNTIF(E42,J32))))+(IF(WEEKDAY(I43,2)=7,(7*COUNTIF(E42,J32))+(12*COUNTIF(E43,J33))+(5*COUNTIF(E43,J32))))+(IF(WEEKDAY(I44,2)=7,(7*COUNTIF(E43,J32))+(12*COUNTIF(E44,J33))+(5*COUNTIF(E44,J32))))+(IF(WEEKDAY(I45,2)=7,(7*COUNTIF(E44,J32))+(12*COUNTIF(E45,J33))+(5*COUNTIF(E45,J32))))</f>
        <v>0</v>
      </c>
      <c r="O42" s="603">
        <f>SUM(N42:N43)</f>
        <v>0</v>
      </c>
      <c r="P42" s="316"/>
      <c r="Q42" s="555" t="str">
        <f>'FICHE DE PAIE'!A$12</f>
        <v>PRIME ASTREINTE</v>
      </c>
      <c r="R42" s="555"/>
      <c r="S42" s="555"/>
      <c r="T42" s="555"/>
      <c r="U42" s="555"/>
      <c r="V42" s="555"/>
      <c r="W42" s="555"/>
      <c r="X42" s="555"/>
      <c r="Y42" s="555"/>
      <c r="Z42" s="494"/>
      <c r="AA42" s="561"/>
      <c r="AB42" s="561"/>
      <c r="AC42" s="561"/>
      <c r="AD42" s="558">
        <f>'FICHE DE PAIE'!N$12</f>
        <v>90</v>
      </c>
      <c r="AE42" s="558"/>
      <c r="AF42" s="558"/>
      <c r="AG42" s="559">
        <f>AA42*AD42</f>
        <v>0</v>
      </c>
      <c r="AH42" s="559"/>
      <c r="AI42" s="559"/>
      <c r="AJ42" s="559"/>
      <c r="AK42" s="294"/>
      <c r="AL42" s="294"/>
      <c r="AM42" s="294"/>
      <c r="AN42" s="295"/>
      <c r="AO42" s="295"/>
      <c r="AP42" s="295"/>
      <c r="AQ42" s="295"/>
      <c r="AR42" s="295"/>
      <c r="AS42" s="295"/>
      <c r="AT42" s="295"/>
      <c r="AU42" s="295"/>
      <c r="AV42" s="290"/>
      <c r="AW42" s="591" t="s">
        <v>252</v>
      </c>
      <c r="AX42" s="591"/>
      <c r="AY42" s="591"/>
      <c r="AZ42" s="591"/>
      <c r="BA42" s="591"/>
      <c r="BB42" s="591"/>
      <c r="BC42" s="591"/>
      <c r="BD42" s="591"/>
      <c r="BE42" s="591"/>
      <c r="BF42" s="591"/>
      <c r="BG42" s="591"/>
      <c r="BH42" s="591"/>
      <c r="BI42" s="590">
        <f t="shared" si="11"/>
        <v>1952.5539499999998</v>
      </c>
      <c r="BJ42" s="590"/>
      <c r="BK42" s="590"/>
      <c r="BL42" s="590"/>
      <c r="BM42" s="590"/>
      <c r="BN42" s="590"/>
      <c r="BO42" s="590"/>
      <c r="BP42" s="590"/>
      <c r="BQ42" s="592">
        <f t="shared" si="12"/>
        <v>0</v>
      </c>
      <c r="BR42" s="592"/>
      <c r="BS42" s="592"/>
      <c r="BT42" s="592"/>
      <c r="BU42" s="594">
        <f>'FICHE DE PAIE'!BE$12</f>
        <v>1.6000000000000001E-4</v>
      </c>
      <c r="BV42" s="594"/>
      <c r="BW42" s="594"/>
      <c r="BX42" s="592">
        <f t="shared" si="13"/>
        <v>0.31240863199999996</v>
      </c>
      <c r="BY42" s="592"/>
      <c r="BZ42" s="592"/>
      <c r="CA42" s="593"/>
    </row>
    <row r="43" spans="1:79" ht="15" customHeight="1">
      <c r="A43" s="424">
        <v>2</v>
      </c>
      <c r="B43" s="382">
        <v>12</v>
      </c>
      <c r="C43" s="382">
        <f t="shared" si="14"/>
        <v>43</v>
      </c>
      <c r="D43" s="383" t="e">
        <f>IF(I43='Jour Férié'!F$13,'Jour Férié'!E$13,""&amp;IF(I43='Jour Férié'!F$15,'Jour Férié'!E$15,""&amp;IF(I43='Jour Férié'!F$5,'Jour Férié'!E$5,""&amp;IF(MOD(MATCH(I43,vacances!$A$3:$A$202,1),2)=1,"vacances",""))))</f>
        <v>#N/A</v>
      </c>
      <c r="E43" s="449"/>
      <c r="F43" s="449"/>
      <c r="G43" s="449"/>
      <c r="H43" s="621"/>
      <c r="I43" s="339">
        <f t="shared" si="9"/>
        <v>43143</v>
      </c>
      <c r="J43" s="7"/>
      <c r="K43" s="7"/>
      <c r="L43" s="7"/>
      <c r="M43" s="578"/>
      <c r="N43" s="394">
        <f>(IF(WEEKDAY(I46,2)=7,(7*COUNTIF(E45,J32))+(12*COUNTIF(E46,J33))+(5*COUNTIF(E46,J32))))+(IF(WEEKDAY(I47,2)=7,(7*COUNTIF(E46,J32))+(12*COUNTIF(E47,J33))+(5*COUNTIF(E47,J32))))+(IF(WEEKDAY(I48,2)=7,(7*COUNTIF(E47,J32))+(12*COUNTIF(E48,J33))+(5*COUNTIF(E48,J32))))+(IF(WEEKDAY(I49,2)=7,(7*COUNTIF(E48,J32))+(12*COUNTIF(E49,J33))+(5*COUNTIF(E49,J32))))+(IF(WEEKDAY(I50,2)=7,(7*COUNTIF(E49,J32))+(12*COUNTIF(E50,J33))+(5*COUNTIF(E50,J32))))+(IF(WEEKDAY(I51,2)=7,(7*COUNTIF(E50,J32))+(12*COUNTIF(E51,J33))+(5*COUNTIF(E51,J32))))+(IF(WEEKDAY(I52,2)=7,(7*COUNTIF(E51,J32))+(12*COUNTIF(E52,J33))+(5*COUNTIF(E52,J32))))+(IF(WEEKDAY(I53,2)=7,(7*COUNTIF(E52,J32))+(12*COUNTIF(E53,J33))+(5*COUNTIF(E53,J32))))+(IF(WEEKDAY(I54,2)=7,(7*COUNTIF(E53,J32))+(12*COUNTIF(E54,J33))+(5*COUNTIF(E54,J32))))+(IF(WEEKDAY(I55,2)=7,(7*COUNTIF(E54,J32))+(12*COUNTIF(E55,J33))+(5*COUNTIF(E55,J32))))+(IF(WEEKDAY(I56,2)=7,(7*COUNTIF(E55,J32))+(12*COUNTIF(E56,J33))+(5*COUNTIF(E56,J32))))+(IF(WEEKDAY(I57,2)=7,(7*COUNTIF(E56,J32))+(12*COUNTIF(E57,J33))+(5*COUNTIF(E57,J32))))+(IF(WEEKDAY(I58,2)=7,(7*COUNTIF(E57,J32))+(12*COUNTIF(E58,J33))+(5*COUNTIF(E58,J32))))+(IF(WEEKDAY(I59,2)=7,(7*COUNTIF(E58,J32))+(12*COUNTIF(E59,J33))+(5*COUNTIF(E59,J32))))+(IF(WEEKDAY(I60,2)=7,(7*COUNTIF(E59,J32))+(12*COUNTIF(E60,J33))+(5*COUNTIF(E60,J32))))</f>
        <v>0</v>
      </c>
      <c r="O43" s="603"/>
      <c r="P43" s="316"/>
      <c r="Q43" s="555" t="str">
        <f>'FICHE DE PAIE'!A$13</f>
        <v>AUTRE PRIME</v>
      </c>
      <c r="R43" s="555"/>
      <c r="S43" s="555"/>
      <c r="T43" s="555"/>
      <c r="U43" s="555"/>
      <c r="V43" s="555"/>
      <c r="W43" s="555"/>
      <c r="X43" s="555"/>
      <c r="Y43" s="555"/>
      <c r="Z43" s="494"/>
      <c r="AA43" s="561"/>
      <c r="AB43" s="561"/>
      <c r="AC43" s="561"/>
      <c r="AD43" s="605"/>
      <c r="AE43" s="605"/>
      <c r="AF43" s="605"/>
      <c r="AG43" s="559">
        <f>AA43*AD43</f>
        <v>0</v>
      </c>
      <c r="AH43" s="559"/>
      <c r="AI43" s="559"/>
      <c r="AJ43" s="559"/>
      <c r="AK43" s="294"/>
      <c r="AL43" s="294"/>
      <c r="AM43" s="294"/>
      <c r="AN43" s="295"/>
      <c r="AO43" s="296"/>
      <c r="AP43" s="296"/>
      <c r="AQ43" s="295"/>
      <c r="AR43" s="295"/>
      <c r="AS43" s="295"/>
      <c r="AT43" s="295"/>
      <c r="AU43" s="295"/>
      <c r="AV43" s="290"/>
      <c r="AW43" s="591" t="s">
        <v>254</v>
      </c>
      <c r="AX43" s="591"/>
      <c r="AY43" s="591"/>
      <c r="AZ43" s="591"/>
      <c r="BA43" s="591"/>
      <c r="BB43" s="591"/>
      <c r="BC43" s="591"/>
      <c r="BD43" s="591"/>
      <c r="BE43" s="591"/>
      <c r="BF43" s="591"/>
      <c r="BG43" s="591"/>
      <c r="BH43" s="591"/>
      <c r="BI43" s="590">
        <f t="shared" si="11"/>
        <v>1952.5539499999998</v>
      </c>
      <c r="BJ43" s="590"/>
      <c r="BK43" s="590"/>
      <c r="BL43" s="590"/>
      <c r="BM43" s="594">
        <f>'FICHE DE PAIE'!AW$13</f>
        <v>9.4999999999999998E-3</v>
      </c>
      <c r="BN43" s="594"/>
      <c r="BO43" s="594"/>
      <c r="BP43" s="594"/>
      <c r="BQ43" s="592">
        <f t="shared" si="12"/>
        <v>18.549262524999996</v>
      </c>
      <c r="BR43" s="592"/>
      <c r="BS43" s="592"/>
      <c r="BT43" s="592"/>
      <c r="BU43" s="594">
        <f>'FICHE DE PAIE'!BE$13</f>
        <v>4.0500000000000001E-2</v>
      </c>
      <c r="BV43" s="594"/>
      <c r="BW43" s="594"/>
      <c r="BX43" s="592">
        <f t="shared" si="13"/>
        <v>79.078434974999993</v>
      </c>
      <c r="BY43" s="592"/>
      <c r="BZ43" s="592"/>
      <c r="CA43" s="593"/>
    </row>
    <row r="44" spans="1:79" ht="15" customHeight="1">
      <c r="A44" s="424">
        <v>2</v>
      </c>
      <c r="B44" s="382">
        <v>13</v>
      </c>
      <c r="C44" s="382">
        <f t="shared" si="14"/>
        <v>44</v>
      </c>
      <c r="D44" s="383" t="e">
        <f>IF(I44='Jour Férié'!F$13,'Jour Férié'!E$13,""&amp;IF(I44='Jour Férié'!F$15,'Jour Férié'!E$15,""&amp;IF(I44='Jour Férié'!F$5,'Jour Férié'!E$5,""&amp;IF(MOD(MATCH(I44,vacances!$A$3:$A$202,1),2)=1,"vacances",""))))</f>
        <v>#N/A</v>
      </c>
      <c r="E44" s="449"/>
      <c r="F44" s="449"/>
      <c r="G44" s="449"/>
      <c r="H44" s="621"/>
      <c r="I44" s="339">
        <f t="shared" si="9"/>
        <v>43144</v>
      </c>
      <c r="J44" s="7"/>
      <c r="K44" s="7"/>
      <c r="L44" s="7"/>
      <c r="M44" s="385" t="s">
        <v>225</v>
      </c>
      <c r="N44" s="385"/>
      <c r="O44" s="390"/>
      <c r="P44" s="316"/>
      <c r="Q44" s="555" t="str">
        <f>'FICHE DE PAIE'!A$14</f>
        <v>Absence congé payé</v>
      </c>
      <c r="R44" s="555"/>
      <c r="S44" s="555"/>
      <c r="T44" s="555"/>
      <c r="U44" s="555"/>
      <c r="V44" s="555"/>
      <c r="W44" s="555"/>
      <c r="X44" s="555"/>
      <c r="Y44" s="555"/>
      <c r="Z44" s="494"/>
      <c r="AA44" s="557">
        <f>O46*35/6</f>
        <v>0</v>
      </c>
      <c r="AB44" s="557"/>
      <c r="AC44" s="557"/>
      <c r="AD44" s="558">
        <f>'FICHE DE PAIE'!N$14</f>
        <v>12.074</v>
      </c>
      <c r="AE44" s="558"/>
      <c r="AF44" s="558"/>
      <c r="AG44" s="559"/>
      <c r="AH44" s="559"/>
      <c r="AI44" s="559"/>
      <c r="AJ44" s="559"/>
      <c r="AK44" s="602">
        <f>AA44*AD44</f>
        <v>0</v>
      </c>
      <c r="AL44" s="602"/>
      <c r="AM44" s="602"/>
      <c r="AN44" s="602"/>
      <c r="AO44" s="294"/>
      <c r="AP44" s="296"/>
      <c r="AQ44" s="295"/>
      <c r="AR44" s="295"/>
      <c r="AS44" s="295"/>
      <c r="AT44" s="295"/>
      <c r="AU44" s="295"/>
      <c r="AV44" s="290"/>
      <c r="AW44" s="591" t="s">
        <v>256</v>
      </c>
      <c r="AX44" s="591"/>
      <c r="AY44" s="591"/>
      <c r="AZ44" s="591"/>
      <c r="BA44" s="591"/>
      <c r="BB44" s="591"/>
      <c r="BC44" s="591"/>
      <c r="BD44" s="591"/>
      <c r="BE44" s="591"/>
      <c r="BF44" s="591"/>
      <c r="BG44" s="591"/>
      <c r="BH44" s="591"/>
      <c r="BI44" s="590">
        <f t="shared" si="11"/>
        <v>1952.5539499999998</v>
      </c>
      <c r="BJ44" s="590"/>
      <c r="BK44" s="590"/>
      <c r="BL44" s="590"/>
      <c r="BM44" s="590"/>
      <c r="BN44" s="590"/>
      <c r="BO44" s="590"/>
      <c r="BP44" s="590"/>
      <c r="BQ44" s="592">
        <f t="shared" si="12"/>
        <v>0</v>
      </c>
      <c r="BR44" s="592"/>
      <c r="BS44" s="592"/>
      <c r="BT44" s="592"/>
      <c r="BU44" s="594">
        <f>'FICHE DE PAIE'!BE$14</f>
        <v>1.5E-3</v>
      </c>
      <c r="BV44" s="594"/>
      <c r="BW44" s="594"/>
      <c r="BX44" s="592">
        <f t="shared" si="13"/>
        <v>2.9288309249999998</v>
      </c>
      <c r="BY44" s="592"/>
      <c r="BZ44" s="592"/>
      <c r="CA44" s="593"/>
    </row>
    <row r="45" spans="1:79" ht="15" customHeight="1">
      <c r="A45" s="424">
        <v>2</v>
      </c>
      <c r="B45" s="382">
        <v>14</v>
      </c>
      <c r="C45" s="382">
        <f t="shared" si="14"/>
        <v>45</v>
      </c>
      <c r="D45" s="383" t="e">
        <f>IF(I45='Jour Férié'!F$13,'Jour Férié'!E$13,""&amp;IF(I45='Jour Férié'!F$15,'Jour Férié'!E$15,""&amp;IF(I45='Jour Férié'!F$5,'Jour Férié'!E$5,""&amp;IF(MOD(MATCH(I45,vacances!$A$3:$A$202,1),2)=1,"vacances",""))))</f>
        <v>#N/A</v>
      </c>
      <c r="E45" s="449"/>
      <c r="F45" s="449"/>
      <c r="G45" s="449"/>
      <c r="H45" s="621"/>
      <c r="I45" s="339">
        <f t="shared" si="9"/>
        <v>43145</v>
      </c>
      <c r="J45" s="7"/>
      <c r="K45" s="7"/>
      <c r="L45" s="7"/>
      <c r="M45" s="395" t="s">
        <v>226</v>
      </c>
      <c r="N45" s="395"/>
      <c r="O45" s="386">
        <f>(COUNTIF($E32:$E60,$J41))</f>
        <v>0</v>
      </c>
      <c r="P45" s="316"/>
      <c r="Q45" s="555" t="str">
        <f>'FICHE DE PAIE'!A$15</f>
        <v>paiement congé payé</v>
      </c>
      <c r="R45" s="555"/>
      <c r="S45" s="555"/>
      <c r="T45" s="555"/>
      <c r="U45" s="555"/>
      <c r="V45" s="555"/>
      <c r="W45" s="555"/>
      <c r="X45" s="555"/>
      <c r="Y45" s="555"/>
      <c r="Z45" s="494"/>
      <c r="AA45" s="556"/>
      <c r="AB45" s="556"/>
      <c r="AC45" s="556"/>
      <c r="AD45" s="566"/>
      <c r="AE45" s="566"/>
      <c r="AF45" s="566"/>
      <c r="AG45" s="604"/>
      <c r="AH45" s="604"/>
      <c r="AI45" s="604"/>
      <c r="AJ45" s="604"/>
      <c r="AK45" s="297"/>
      <c r="AL45" s="297"/>
      <c r="AM45" s="297"/>
      <c r="AN45" s="298"/>
      <c r="AO45" s="299"/>
      <c r="AP45" s="296"/>
      <c r="AQ45" s="295"/>
      <c r="AR45" s="295"/>
      <c r="AS45" s="295"/>
      <c r="AT45" s="295"/>
      <c r="AU45" s="295"/>
      <c r="AV45" s="290"/>
      <c r="AW45" s="591" t="s">
        <v>258</v>
      </c>
      <c r="AX45" s="591"/>
      <c r="AY45" s="591"/>
      <c r="AZ45" s="591"/>
      <c r="BA45" s="591"/>
      <c r="BB45" s="591"/>
      <c r="BC45" s="591"/>
      <c r="BD45" s="591"/>
      <c r="BE45" s="591"/>
      <c r="BF45" s="591"/>
      <c r="BG45" s="591"/>
      <c r="BH45" s="591"/>
      <c r="BI45" s="590">
        <f t="shared" si="11"/>
        <v>1952.5539499999998</v>
      </c>
      <c r="BJ45" s="590"/>
      <c r="BK45" s="590"/>
      <c r="BL45" s="590"/>
      <c r="BM45" s="594">
        <f>'FICHE DE PAIE'!AW$15</f>
        <v>3.1E-2</v>
      </c>
      <c r="BN45" s="594"/>
      <c r="BO45" s="594"/>
      <c r="BP45" s="594"/>
      <c r="BQ45" s="592">
        <f t="shared" si="12"/>
        <v>60.52917244999999</v>
      </c>
      <c r="BR45" s="592"/>
      <c r="BS45" s="592"/>
      <c r="BT45" s="592"/>
      <c r="BU45" s="594">
        <f>'FICHE DE PAIE'!BE$15</f>
        <v>4.65E-2</v>
      </c>
      <c r="BV45" s="594"/>
      <c r="BW45" s="594"/>
      <c r="BX45" s="592">
        <f t="shared" si="13"/>
        <v>90.793758674999992</v>
      </c>
      <c r="BY45" s="592"/>
      <c r="BZ45" s="592"/>
      <c r="CA45" s="593"/>
    </row>
    <row r="46" spans="1:79" ht="15" customHeight="1">
      <c r="A46" s="424">
        <v>2</v>
      </c>
      <c r="B46" s="382">
        <v>15</v>
      </c>
      <c r="C46" s="382">
        <f>VLOOKUP(A46,Données,4)+B46-1</f>
        <v>46</v>
      </c>
      <c r="D46" s="383" t="e">
        <f>IF(I46='Jour Férié'!F$13,'Jour Férié'!E$13,""&amp;IF(I46='Jour Férié'!F$15,'Jour Férié'!E$15,""&amp;IF(I46='Jour Férié'!F$5,'Jour Férié'!E$5,""&amp;IF(MOD(MATCH(I46,vacances!$A$3:$A$202,1),2)=1,"vacances",""))))</f>
        <v>#N/A</v>
      </c>
      <c r="E46" s="449"/>
      <c r="F46" s="449"/>
      <c r="G46" s="449"/>
      <c r="H46" s="621"/>
      <c r="I46" s="339">
        <f t="shared" si="9"/>
        <v>43146</v>
      </c>
      <c r="J46" s="7"/>
      <c r="K46" s="7"/>
      <c r="L46" s="7"/>
      <c r="M46" s="395" t="s">
        <v>227</v>
      </c>
      <c r="N46" s="395"/>
      <c r="O46" s="386">
        <f>(COUNTIF($E32:$E60,$J39))</f>
        <v>0</v>
      </c>
      <c r="P46" s="7"/>
      <c r="Q46" s="555" t="str">
        <f>'FICHE DE PAIE'!A$16</f>
        <v>Absence maladie</v>
      </c>
      <c r="R46" s="555"/>
      <c r="S46" s="555"/>
      <c r="T46" s="555"/>
      <c r="U46" s="555"/>
      <c r="V46" s="555"/>
      <c r="W46" s="555"/>
      <c r="X46" s="555"/>
      <c r="Y46" s="555"/>
      <c r="Z46" s="494"/>
      <c r="AA46" s="556"/>
      <c r="AB46" s="556"/>
      <c r="AC46" s="556"/>
      <c r="AD46" s="566"/>
      <c r="AE46" s="566"/>
      <c r="AF46" s="566"/>
      <c r="AG46" s="559"/>
      <c r="AH46" s="559"/>
      <c r="AI46" s="559"/>
      <c r="AJ46" s="559"/>
      <c r="AK46" s="599"/>
      <c r="AL46" s="599"/>
      <c r="AM46" s="599"/>
      <c r="AN46" s="599"/>
      <c r="AO46" s="294"/>
      <c r="AP46" s="296"/>
      <c r="AQ46" s="295"/>
      <c r="AR46" s="295"/>
      <c r="AS46" s="295"/>
      <c r="AT46" s="295"/>
      <c r="AU46" s="295"/>
      <c r="AV46" s="290"/>
      <c r="AW46" s="591" t="s">
        <v>260</v>
      </c>
      <c r="AX46" s="591"/>
      <c r="AY46" s="591"/>
      <c r="AZ46" s="591"/>
      <c r="BA46" s="591"/>
      <c r="BB46" s="591"/>
      <c r="BC46" s="591"/>
      <c r="BD46" s="591"/>
      <c r="BE46" s="591"/>
      <c r="BF46" s="591"/>
      <c r="BG46" s="591"/>
      <c r="BH46" s="591"/>
      <c r="BI46" s="590">
        <f t="shared" si="11"/>
        <v>1952.5539499999998</v>
      </c>
      <c r="BJ46" s="590"/>
      <c r="BK46" s="590"/>
      <c r="BL46" s="590"/>
      <c r="BM46" s="594">
        <f>'FICHE DE PAIE'!AW$16</f>
        <v>8.0000000000000002E-3</v>
      </c>
      <c r="BN46" s="594"/>
      <c r="BO46" s="594"/>
      <c r="BP46" s="594"/>
      <c r="BQ46" s="592">
        <f t="shared" si="12"/>
        <v>15.620431599999998</v>
      </c>
      <c r="BR46" s="592"/>
      <c r="BS46" s="592"/>
      <c r="BT46" s="592"/>
      <c r="BU46" s="594">
        <f>'FICHE DE PAIE'!BE$16</f>
        <v>1.2E-2</v>
      </c>
      <c r="BV46" s="594"/>
      <c r="BW46" s="594"/>
      <c r="BX46" s="592">
        <f t="shared" si="13"/>
        <v>23.430647399999998</v>
      </c>
      <c r="BY46" s="592"/>
      <c r="BZ46" s="592"/>
      <c r="CA46" s="593"/>
    </row>
    <row r="47" spans="1:79" ht="15" customHeight="1">
      <c r="A47" s="424">
        <v>2</v>
      </c>
      <c r="B47" s="382">
        <v>16</v>
      </c>
      <c r="C47" s="382">
        <f>VLOOKUP(A47,Données,4)+B47-1</f>
        <v>47</v>
      </c>
      <c r="D47" s="383" t="e">
        <f>IF(I47='Jour Férié'!F$13,'Jour Férié'!E$13,""&amp;IF(I47='Jour Férié'!F$15,'Jour Férié'!E$15,""&amp;IF(I47='Jour Férié'!F$5,'Jour Férié'!E$5,""&amp;IF(MOD(MATCH(I47,vacances!$A$3:$A$202,1),2)=1,"vacances",""))))</f>
        <v>#N/A</v>
      </c>
      <c r="E47" s="449"/>
      <c r="F47" s="449"/>
      <c r="G47" s="449"/>
      <c r="H47" s="621"/>
      <c r="I47" s="339">
        <f t="shared" si="9"/>
        <v>43147</v>
      </c>
      <c r="J47" s="7"/>
      <c r="K47" s="7"/>
      <c r="L47" s="7"/>
      <c r="M47" s="395" t="s">
        <v>228</v>
      </c>
      <c r="N47" s="395"/>
      <c r="O47" s="386">
        <f>(COUNTIF($E32:$E60,$J40))</f>
        <v>0</v>
      </c>
      <c r="P47" s="7"/>
      <c r="Q47" s="555"/>
      <c r="R47" s="555"/>
      <c r="S47" s="555"/>
      <c r="T47" s="555"/>
      <c r="U47" s="555"/>
      <c r="V47" s="555"/>
      <c r="W47" s="555"/>
      <c r="X47" s="555"/>
      <c r="Y47" s="555"/>
      <c r="Z47" s="494"/>
      <c r="AA47" s="556"/>
      <c r="AB47" s="556"/>
      <c r="AC47" s="556"/>
      <c r="AD47" s="600"/>
      <c r="AE47" s="600"/>
      <c r="AF47" s="600"/>
      <c r="AG47" s="559"/>
      <c r="AH47" s="559"/>
      <c r="AI47" s="559"/>
      <c r="AJ47" s="559"/>
      <c r="AK47" s="297"/>
      <c r="AL47" s="297"/>
      <c r="AM47" s="297"/>
      <c r="AN47" s="298"/>
      <c r="AO47" s="299"/>
      <c r="AP47" s="296"/>
      <c r="AQ47" s="295"/>
      <c r="AR47" s="295"/>
      <c r="AS47" s="295"/>
      <c r="AT47" s="295"/>
      <c r="AU47" s="295"/>
      <c r="AV47" s="290"/>
      <c r="AW47" s="499" t="s">
        <v>261</v>
      </c>
      <c r="AX47" s="499"/>
      <c r="AY47" s="499"/>
      <c r="AZ47" s="499"/>
      <c r="BA47" s="499"/>
      <c r="BB47" s="499"/>
      <c r="BC47" s="499"/>
      <c r="BD47" s="499"/>
      <c r="BE47" s="499"/>
      <c r="BF47" s="499"/>
      <c r="BG47" s="499"/>
      <c r="BH47" s="499"/>
      <c r="BI47" s="590">
        <f t="shared" si="11"/>
        <v>1952.5539499999998</v>
      </c>
      <c r="BJ47" s="590"/>
      <c r="BK47" s="590"/>
      <c r="BL47" s="590"/>
      <c r="BM47" s="594">
        <f>'FICHE DE PAIE'!AW$17</f>
        <v>5.4000000000000003E-3</v>
      </c>
      <c r="BN47" s="594"/>
      <c r="BO47" s="594"/>
      <c r="BP47" s="594"/>
      <c r="BQ47" s="592">
        <f t="shared" si="12"/>
        <v>10.543791329999999</v>
      </c>
      <c r="BR47" s="592"/>
      <c r="BS47" s="592"/>
      <c r="BT47" s="592"/>
      <c r="BU47" s="594">
        <f>'FICHE DE PAIE'!BE$17</f>
        <v>5.4000000000000003E-3</v>
      </c>
      <c r="BV47" s="594"/>
      <c r="BW47" s="594"/>
      <c r="BX47" s="592">
        <f t="shared" si="13"/>
        <v>10.543791329999999</v>
      </c>
      <c r="BY47" s="592"/>
      <c r="BZ47" s="592"/>
      <c r="CA47" s="593"/>
    </row>
    <row r="48" spans="1:79" ht="15" customHeight="1">
      <c r="A48" s="424">
        <v>2</v>
      </c>
      <c r="B48" s="382">
        <v>17</v>
      </c>
      <c r="C48" s="382">
        <f t="shared" ref="C48:C63" si="15">VLOOKUP(A48,Données,4)+B48-1</f>
        <v>48</v>
      </c>
      <c r="D48" s="383" t="e">
        <f>IF(I48='Jour Férié'!F$13,'Jour Férié'!E$13,""&amp;IF(I48='Jour Férié'!F$15,'Jour Férié'!E$15,""&amp;IF(I48='Jour Férié'!F$5,'Jour Férié'!E$5,""&amp;IF(MOD(MATCH(I48,vacances!$A$3:$A$202,1),2)=1,"vacances",""))))</f>
        <v>#N/A</v>
      </c>
      <c r="E48" s="449"/>
      <c r="F48" s="449"/>
      <c r="G48" s="449"/>
      <c r="H48" s="621"/>
      <c r="I48" s="339">
        <f t="shared" si="9"/>
        <v>43148</v>
      </c>
      <c r="J48" s="7"/>
      <c r="K48" s="7"/>
      <c r="L48" s="7"/>
      <c r="M48" s="7"/>
      <c r="N48" s="7"/>
      <c r="O48" s="340"/>
      <c r="P48" s="7"/>
      <c r="Q48" s="562" t="s">
        <v>262</v>
      </c>
      <c r="R48" s="562"/>
      <c r="S48" s="562"/>
      <c r="T48" s="562"/>
      <c r="U48" s="562"/>
      <c r="V48" s="562"/>
      <c r="W48" s="562"/>
      <c r="X48" s="563"/>
      <c r="Y48" s="563"/>
      <c r="Z48" s="563"/>
      <c r="AA48" s="563"/>
      <c r="AB48" s="563"/>
      <c r="AC48" s="563"/>
      <c r="AD48" s="563"/>
      <c r="AE48" s="563"/>
      <c r="AF48" s="563"/>
      <c r="AG48" s="564">
        <f>SUM(AG34:AJ43)+AG45-AK44-AK46</f>
        <v>1851.1323499999999</v>
      </c>
      <c r="AH48" s="564"/>
      <c r="AI48" s="564"/>
      <c r="AJ48" s="564"/>
      <c r="AK48" s="300"/>
      <c r="AL48" s="300"/>
      <c r="AM48" s="300"/>
      <c r="AN48" s="295"/>
      <c r="AO48" s="565">
        <f>AG48-AO34</f>
        <v>-1094.8676500000001</v>
      </c>
      <c r="AP48" s="565"/>
      <c r="AQ48" s="565"/>
      <c r="AR48" s="498"/>
      <c r="AS48" s="498"/>
      <c r="AT48" s="498"/>
      <c r="AU48" s="295"/>
      <c r="AV48" s="301"/>
      <c r="AW48" s="591" t="s">
        <v>263</v>
      </c>
      <c r="AX48" s="591"/>
      <c r="AY48" s="591"/>
      <c r="AZ48" s="591"/>
      <c r="BA48" s="591"/>
      <c r="BB48" s="591"/>
      <c r="BC48" s="591"/>
      <c r="BD48" s="591"/>
      <c r="BE48" s="591"/>
      <c r="BF48" s="591"/>
      <c r="BG48" s="591"/>
      <c r="BH48" s="591"/>
      <c r="BI48" s="601"/>
      <c r="BJ48" s="601"/>
      <c r="BK48" s="601"/>
      <c r="BL48" s="601"/>
      <c r="BM48" s="590"/>
      <c r="BN48" s="590"/>
      <c r="BO48" s="590"/>
      <c r="BP48" s="590"/>
      <c r="BQ48" s="592">
        <f t="shared" si="12"/>
        <v>0</v>
      </c>
      <c r="BR48" s="592"/>
      <c r="BS48" s="592"/>
      <c r="BT48" s="592"/>
      <c r="BU48" s="594">
        <f>'FICHE DE PAIE'!BE$18</f>
        <v>0.08</v>
      </c>
      <c r="BV48" s="594"/>
      <c r="BW48" s="594"/>
      <c r="BX48" s="592">
        <f t="shared" si="13"/>
        <v>0</v>
      </c>
      <c r="BY48" s="592"/>
      <c r="BZ48" s="592"/>
      <c r="CA48" s="593"/>
    </row>
    <row r="49" spans="1:79" ht="15" customHeight="1">
      <c r="A49" s="424">
        <v>2</v>
      </c>
      <c r="B49" s="382">
        <v>18</v>
      </c>
      <c r="C49" s="382">
        <f t="shared" si="15"/>
        <v>49</v>
      </c>
      <c r="D49" s="383" t="e">
        <f>IF(I49='Jour Férié'!F$13,'Jour Férié'!E$13,""&amp;IF(I49='Jour Férié'!F$15,'Jour Férié'!E$15,""&amp;IF(I49='Jour Férié'!F$5,'Jour Férié'!E$5,""&amp;IF(MOD(MATCH(I49,vacances!$A$3:$A$202,1),2)=1,"vacances",""))))</f>
        <v>#N/A</v>
      </c>
      <c r="E49" s="449"/>
      <c r="F49" s="449"/>
      <c r="G49" s="449"/>
      <c r="H49" s="621"/>
      <c r="I49" s="339">
        <f t="shared" si="9"/>
        <v>43149</v>
      </c>
      <c r="J49" s="7"/>
      <c r="K49" s="7"/>
      <c r="L49" s="7"/>
      <c r="M49" s="572" t="s">
        <v>320</v>
      </c>
      <c r="N49" s="321">
        <f>(IF(WEEKDAY(I31,2)=6,(COUNTIF(E31,"*"))))*AND(IF(WEEKDAY(I32,2)=7,(COUNTIF(E32,"*"))))+(IF(WEEKDAY(I32,2)=6,(COUNTIF(E32,"*"))))*AND(IF(WEEKDAY(I33,2)=7,(COUNTIF(E33,"*"))))+(IF(WEEKDAY(I33,2)=6,(COUNTIF(E33,"*"))))*AND(IF(WEEKDAY(I34,2)=7,(COUNTIF(E34,"*"))))+(IF(WEEKDAY(I34,2)=6,(COUNTIF(E34,"*"))))*AND(IF(WEEKDAY(I35,2)=7,(COUNTIF(E35,"*"))))+(IF(WEEKDAY(I35,2)=6,(COUNTIF(E35,"*"))))*AND(IF(WEEKDAY(I36,2)=7,(COUNTIF(E36,"*"))))+(IF(WEEKDAY(I36,2)=6,(COUNTIF(E36,"*"))))*AND(IF(WEEKDAY(I37,2)=7,(COUNTIF(E37,"*"))))+(IF(WEEKDAY(I37,2)=6,(COUNTIF(E37,"*"))))*AND(IF(WEEKDAY(I38,2)=7,(COUNTIF(E38,"*"))))+(IF(WEEKDAY(I38,2)=6,(COUNTIF(E38,"*"))))*AND(IF(WEEKDAY(I39,2)=7,(COUNTIF(E39,"*"))))+(IF(WEEKDAY(I39,2)=6,(COUNTIF(E39,"*"))))*AND(IF(WEEKDAY(I40,2)=7,(COUNTIF(E40,"*"))))+(IF(WEEKDAY(I40,2)=6,(COUNTIF(E40,"*"))))*AND(IF(WEEKDAY(I41,2)=7,(COUNTIF(E41,"*"))))+(IF(WEEKDAY(I41,2)=6,(COUNTIF(E41,"*"))))*AND(IF(WEEKDAY(I42,2)=7,(COUNTIF(E42,"*"))))+(IF(WEEKDAY(I42,2)=6,(COUNTIF(E42,"*"))))*AND(IF(WEEKDAY(I43,2)=7,(COUNTIF(E43,"*"))))+(IF(WEEKDAY(I43,2)=6,(COUNTIF(E43,"*"))))*AND(IF(WEEKDAY(I44,2)=7,(COUNTIF(E44,"*"))))+(IF(WEEKDAY(I44,2)=6,(COUNTIF(E44,"*"))))*AND(IF(WEEKDAY(I45,2)=7,(COUNTIF(E45,"*"))))+(IF(WEEKDAY(I45,2)=6,(COUNTIF(E45,"*"))))*AND(IF(WEEKDAY(I46,2)=7,(COUNTIF(E46,"*"))))+(IF(WEEKDAY(I46,2)=6,(COUNTIF(E46,"*"))))*AND(IF(WEEKDAY(I47,2)=7,(COUNTIF(E47,"*"))))</f>
        <v>0</v>
      </c>
      <c r="O49" s="573">
        <f>SUM(N49:N50)</f>
        <v>0</v>
      </c>
      <c r="P49" s="7"/>
      <c r="Q49" s="376"/>
      <c r="R49" s="376"/>
      <c r="S49" s="376"/>
      <c r="T49" s="376"/>
      <c r="U49" s="376"/>
      <c r="V49" s="376"/>
      <c r="W49" s="376"/>
      <c r="X49" s="376"/>
      <c r="Y49" s="376"/>
      <c r="Z49" s="376"/>
      <c r="AA49" s="377"/>
      <c r="AB49" s="377"/>
      <c r="AC49" s="377"/>
      <c r="AD49" s="378"/>
      <c r="AE49" s="378"/>
      <c r="AF49" s="378"/>
      <c r="AG49" s="376"/>
      <c r="AH49" s="376"/>
      <c r="AI49" s="376"/>
      <c r="AJ49" s="379"/>
      <c r="AK49" s="379"/>
      <c r="AL49" s="379"/>
      <c r="AM49" s="379"/>
      <c r="AN49" s="365"/>
      <c r="AO49" s="365"/>
      <c r="AP49" s="365"/>
      <c r="AQ49" s="365"/>
      <c r="AR49" s="365"/>
      <c r="AS49" s="365"/>
      <c r="AT49" s="365"/>
      <c r="AU49" s="365"/>
      <c r="AV49" s="302"/>
      <c r="AW49" s="591" t="s">
        <v>264</v>
      </c>
      <c r="AX49" s="591"/>
      <c r="AY49" s="591"/>
      <c r="AZ49" s="591"/>
      <c r="BA49" s="591"/>
      <c r="BB49" s="591"/>
      <c r="BC49" s="591"/>
      <c r="BD49" s="591"/>
      <c r="BE49" s="591"/>
      <c r="BF49" s="591"/>
      <c r="BG49" s="591"/>
      <c r="BH49" s="591"/>
      <c r="BI49" s="590">
        <f>$AG$17*98.25%</f>
        <v>1918.3842558749998</v>
      </c>
      <c r="BJ49" s="590"/>
      <c r="BK49" s="590"/>
      <c r="BL49" s="590"/>
      <c r="BM49" s="594">
        <f>'FICHE DE PAIE'!AW$19</f>
        <v>6.8000000000000005E-2</v>
      </c>
      <c r="BN49" s="594"/>
      <c r="BO49" s="594"/>
      <c r="BP49" s="594"/>
      <c r="BQ49" s="592">
        <f t="shared" si="12"/>
        <v>130.45012939949999</v>
      </c>
      <c r="BR49" s="592"/>
      <c r="BS49" s="592"/>
      <c r="BT49" s="592"/>
      <c r="BU49" s="595"/>
      <c r="BV49" s="595"/>
      <c r="BW49" s="595"/>
      <c r="BX49" s="592">
        <f t="shared" si="13"/>
        <v>0</v>
      </c>
      <c r="BY49" s="592"/>
      <c r="BZ49" s="592"/>
      <c r="CA49" s="593"/>
    </row>
    <row r="50" spans="1:79" ht="15" customHeight="1">
      <c r="A50" s="424">
        <v>2</v>
      </c>
      <c r="B50" s="382">
        <v>19</v>
      </c>
      <c r="C50" s="382">
        <f t="shared" si="15"/>
        <v>50</v>
      </c>
      <c r="D50" s="383" t="e">
        <f>IF(I50='Jour Férié'!F$13,'Jour Férié'!E$13,""&amp;IF(I50='Jour Férié'!F$15,'Jour Férié'!E$15,""&amp;IF(I50='Jour Férié'!F$5,'Jour Férié'!E$5,""&amp;IF(MOD(MATCH(I50,vacances!$A$3:$A$202,1),2)=1,"vacances",""))))</f>
        <v>#N/A</v>
      </c>
      <c r="E50" s="449"/>
      <c r="F50" s="449"/>
      <c r="G50" s="449"/>
      <c r="H50" s="621"/>
      <c r="I50" s="339">
        <f t="shared" si="9"/>
        <v>43150</v>
      </c>
      <c r="J50" s="7"/>
      <c r="K50" s="7"/>
      <c r="L50" s="7"/>
      <c r="M50" s="572"/>
      <c r="N50" s="323">
        <f>(IF(WEEKDAY(I47,2)=6,(COUNTIF(E47,"*"))))*AND(IF(WEEKDAY(I48,2)=7,(COUNTIF(E48,"*"))))+(IF(WEEKDAY(I48,2)=6,(COUNTIF(E48,"*"))))*AND(IF(WEEKDAY(I49,2)=7,(COUNTIF(E49,"*"))))+(IF(WEEKDAY(I49,2)=6,(COUNTIF(E49,"*"))))*AND(IF(WEEKDAY(I50,2)=7,(COUNTIF(E50,"*"))))+(IF(WEEKDAY(I50,2)=6,(COUNTIF(E50,"*"))))*AND(IF(WEEKDAY(I51,2)=7,(COUNTIF(E51,"*"))))+(IF(WEEKDAY(I51,2)=6,(COUNTIF(E51,"*"))))*AND(IF(WEEKDAY(I52,2)=7,(COUNTIF(E52,"*"))))+(IF(WEEKDAY(I52,2)=6,(COUNTIF(E52,"*"))))*AND(IF(WEEKDAY(I53,2)=7,(COUNTIF(E53,"*"))))+(IF(WEEKDAY(I53,2)=6,(COUNTIF(E53,"*"))))*AND(IF(WEEKDAY(I54,2)=7,(COUNTIF(E54,"*"))))+(IF(WEEKDAY(I54,2)=6,(COUNTIF(E54,"*"))))*AND(IF(WEEKDAY(I55,2)=7,(COUNTIF(E55,"*"))))+(IF(WEEKDAY(I55,2)=6,(COUNTIF(E55,"*"))))*AND(IF(WEEKDAY(I56,2)=7,(COUNTIF(E56,"*"))))+(IF(WEEKDAY(I56,2)=6,(COUNTIF(E56,"*"))))*AND(IF(WEEKDAY(I57,2)=7,(COUNTIF(E57,"*"))))+(IF(WEEKDAY(I57,2)=6,(COUNTIF(E57,"*"))))*AND(IF(WEEKDAY(I58,2)=7,(COUNTIF(E58,"*"))))+(IF(WEEKDAY(I58,2)=6,(COUNTIF(E58,"*"))))*AND(IF(WEEKDAY(I59,2)=7,(COUNTIF(E59,"*"))))+(IF(WEEKDAY(I59,2)=6,(COUNTIF(E59,"*"))))*AND(IF(WEEKDAY(I60,2)=7,(COUNTIF(E60,"*"))))+(IF(WEEKDAY(I60,2)=6,(COUNTIF(E60,"*"))))*AND(IF(WEEKDAY(I61,2)=7,(COUNTIF(E61,"*"))))</f>
        <v>0</v>
      </c>
      <c r="O50" s="573"/>
      <c r="P50" s="7"/>
      <c r="Q50" s="550">
        <f>Q32</f>
        <v>43132</v>
      </c>
      <c r="R50" s="550"/>
      <c r="S50" s="550"/>
      <c r="T50" s="550"/>
      <c r="U50" s="550"/>
      <c r="V50" s="550"/>
      <c r="W50" s="550"/>
      <c r="X50" s="550"/>
      <c r="Y50" s="550"/>
      <c r="Z50" s="550"/>
      <c r="AA50" s="550"/>
      <c r="AB50" s="550"/>
      <c r="AC50" s="550"/>
      <c r="AD50" s="550"/>
      <c r="AE50" s="550"/>
      <c r="AF50" s="550"/>
      <c r="AG50" s="550"/>
      <c r="AH50" s="550"/>
      <c r="AI50" s="550"/>
      <c r="AJ50" s="550"/>
      <c r="AK50" s="550"/>
      <c r="AL50" s="550"/>
      <c r="AM50" s="550"/>
      <c r="AN50" s="550"/>
      <c r="AO50" s="550"/>
      <c r="AP50" s="550"/>
      <c r="AQ50" s="550"/>
      <c r="AR50" s="550"/>
      <c r="AS50" s="550"/>
      <c r="AT50" s="550"/>
      <c r="AU50" s="550"/>
      <c r="AV50" s="303"/>
      <c r="AW50" s="591" t="s">
        <v>265</v>
      </c>
      <c r="AX50" s="591"/>
      <c r="AY50" s="591"/>
      <c r="AZ50" s="591"/>
      <c r="BA50" s="591"/>
      <c r="BB50" s="591"/>
      <c r="BC50" s="591"/>
      <c r="BD50" s="591"/>
      <c r="BE50" s="591"/>
      <c r="BF50" s="591"/>
      <c r="BG50" s="591"/>
      <c r="BH50" s="591"/>
      <c r="BI50" s="590">
        <f>$AG$17*98.25%</f>
        <v>1918.3842558749998</v>
      </c>
      <c r="BJ50" s="590"/>
      <c r="BK50" s="590"/>
      <c r="BL50" s="590"/>
      <c r="BM50" s="594">
        <f>'FICHE DE PAIE'!AW$20</f>
        <v>2.4E-2</v>
      </c>
      <c r="BN50" s="594"/>
      <c r="BO50" s="594"/>
      <c r="BP50" s="594"/>
      <c r="BQ50" s="592">
        <f t="shared" si="12"/>
        <v>46.041222140999999</v>
      </c>
      <c r="BR50" s="592"/>
      <c r="BS50" s="592"/>
      <c r="BT50" s="592"/>
      <c r="BU50" s="595"/>
      <c r="BV50" s="595"/>
      <c r="BW50" s="595"/>
      <c r="BX50" s="592">
        <f t="shared" si="13"/>
        <v>0</v>
      </c>
      <c r="BY50" s="592"/>
      <c r="BZ50" s="592"/>
      <c r="CA50" s="593"/>
    </row>
    <row r="51" spans="1:79" ht="15" customHeight="1">
      <c r="A51" s="424">
        <v>2</v>
      </c>
      <c r="B51" s="382">
        <v>20</v>
      </c>
      <c r="C51" s="382">
        <f t="shared" si="15"/>
        <v>51</v>
      </c>
      <c r="D51" s="383" t="str">
        <f>IF(I51='Jour Férié'!F$13,'Jour Férié'!E$13,""&amp;IF(I51='Jour Férié'!F$15,'Jour Férié'!E$15,""&amp;IF(I51='Jour Férié'!F$5,'Jour Férié'!E$5,""&amp;IF(MOD(MATCH(I51,vacances!$A$3:$A$202,1),2)=1,"vacances",""))))</f>
        <v>Lucie</v>
      </c>
      <c r="E51" s="449"/>
      <c r="F51" s="449"/>
      <c r="G51" s="449"/>
      <c r="H51" s="621"/>
      <c r="I51" s="339">
        <f t="shared" si="9"/>
        <v>43151</v>
      </c>
      <c r="J51" s="7"/>
      <c r="K51" s="7"/>
      <c r="L51" s="7"/>
      <c r="M51" s="572" t="s">
        <v>321</v>
      </c>
      <c r="N51" s="323">
        <f>(IF(WEEKDAY(I31,2)=5,(COUNTIF(E31,$J$1))))*AND(IF(WEEKDAY(I34,2)=1,(COUNTIF(E34,"*"))))+(IF(WEEKDAY(I32,2)=5,(COUNTIF(E32,$J$1))))*AND(IF(WEEKDAY(I35,2)=1,(COUNTIF(E35,"*"))))+(IF(WEEKDAY(I33,2)=5,(COUNTIF(E33,$J$1))))*AND(IF(WEEKDAY(I36,2)=1,(COUNTIF(E36,"*"))))+(IF(WEEKDAY(I34,2)=5,(COUNTIF(E34,$J$1))))*AND(IF(WEEKDAY(I37,2)=1,(COUNTIF(E37,"*"))))+(IF(WEEKDAY(I35,2)=5,(COUNTIF(E35,$J$1))))*AND(IF(WEEKDAY(I38,2)=1,(COUNTIF(E38,"*"))))+(IF(WEEKDAY(I36,2)=5,(COUNTIF(E36,$J$1))))*AND(IF(WEEKDAY(I39,2)=1,(COUNTIF(E39,"*"))))+(IF(WEEKDAY(I37,2)=5,(COUNTIF(E37,$J$1))))*AND(IF(WEEKDAY(I40,2)=1,(COUNTIF(E40,"*"))))+(IF(WEEKDAY(I38,2)=5,(COUNTIF(E38,$J$1))))*AND(IF(WEEKDAY(I41,2)=1,(COUNTIF(E41,"*"))))+(IF(WEEKDAY(I39,2)=5,(COUNTIF(E39,$J$1))))*AND(IF(WEEKDAY(I42,2)=1,(COUNTIF(E42,"*"))))+(IF(WEEKDAY(I40,2)=5,(COUNTIF(E40,$J$1))))*AND(IF(WEEKDAY(I43,2)=1,(COUNTIF(E43,"*"))))+(IF(WEEKDAY(I41,2)=5,(COUNTIF(E41,$J$1))))*AND(IF(WEEKDAY(I44,2)=1,(COUNTIF(E44,"*"))))+(IF(WEEKDAY(I42,2)=5,(COUNTIF(E42,$J$1))))*AND(IF(WEEKDAY(I45,2)=1,(COUNTIF(E45,"*"))))+(IF(WEEKDAY(I43,2)=5,(COUNTIF(E43,$J$1))))*AND(IF(WEEKDAY(I46,2)=1,(COUNTIF(E46,"*"))))+(IF(WEEKDAY(I44,2)=5,(COUNTIF(E44,$J$1))))*AND(IF(WEEKDAY(I47,2)=1,(COUNTIF(E47,"*"))))+(IF(WEEKDAY(I45,2)=5,(COUNTIF(E45,$J$1))))*AND(IF(WEEKDAY(I48,2)=1,(COUNTIF(E48,"*"))))+(IF(WEEKDAY(I46,2)=5,(COUNTIF(E46,$J$1))))*AND(IF(WEEKDAY(I49,2)=1,(COUNTIF(E49,"*"))))+(IF(WEEKDAY(I47,2)=5,(COUNTIF(E47,$J$1))))*AND(IF(WEEKDAY(I50,2)=1,(COUNTIF(E50,"*"))))+(IF(WEEKDAY(I48,2)=5,(COUNTIF(E48,$J$1))))*AND(IF(WEEKDAY(I51,2)=1,(COUNTIF(E51,"*"))))</f>
        <v>0</v>
      </c>
      <c r="O51" s="573">
        <f>SUM(N51:N52)</f>
        <v>0</v>
      </c>
      <c r="P51" s="7"/>
      <c r="Q51" s="281"/>
      <c r="R51" s="281"/>
      <c r="S51" s="281"/>
      <c r="T51" s="281"/>
      <c r="U51" s="281"/>
      <c r="V51" s="281"/>
      <c r="W51" s="281"/>
      <c r="X51" s="304"/>
      <c r="Y51" s="304"/>
      <c r="Z51" s="304"/>
      <c r="AA51" s="305"/>
      <c r="AB51" s="305"/>
      <c r="AC51" s="305"/>
      <c r="AD51" s="306"/>
      <c r="AE51" s="306"/>
      <c r="AF51" s="306"/>
      <c r="AG51" s="304"/>
      <c r="AH51" s="304"/>
      <c r="AI51" s="304"/>
      <c r="AJ51" s="304"/>
      <c r="AK51" s="304"/>
      <c r="AL51" s="304"/>
      <c r="AM51" s="304"/>
      <c r="AN51" s="304"/>
      <c r="AO51" s="304"/>
      <c r="AP51" s="304"/>
      <c r="AQ51" s="304"/>
      <c r="AR51" s="304"/>
      <c r="AS51" s="304"/>
      <c r="AT51" s="304"/>
      <c r="AU51" s="304"/>
      <c r="AV51" s="304"/>
      <c r="AW51" s="499" t="s">
        <v>266</v>
      </c>
      <c r="AX51" s="499"/>
      <c r="AY51" s="499"/>
      <c r="AZ51" s="499"/>
      <c r="BA51" s="499"/>
      <c r="BB51" s="499"/>
      <c r="BC51" s="499"/>
      <c r="BD51" s="499"/>
      <c r="BE51" s="499"/>
      <c r="BF51" s="499"/>
      <c r="BG51" s="499"/>
      <c r="BH51" s="499"/>
      <c r="BI51" s="590">
        <f>$AG$17*98.25%</f>
        <v>1918.3842558749998</v>
      </c>
      <c r="BJ51" s="590"/>
      <c r="BK51" s="590"/>
      <c r="BL51" s="590"/>
      <c r="BM51" s="594">
        <f>'FICHE DE PAIE'!AW$21</f>
        <v>5.0000000000000001E-3</v>
      </c>
      <c r="BN51" s="594"/>
      <c r="BO51" s="594"/>
      <c r="BP51" s="594"/>
      <c r="BQ51" s="592">
        <f t="shared" si="12"/>
        <v>9.5919212793749988</v>
      </c>
      <c r="BR51" s="592"/>
      <c r="BS51" s="592"/>
      <c r="BT51" s="592"/>
      <c r="BU51" s="595"/>
      <c r="BV51" s="595"/>
      <c r="BW51" s="595"/>
      <c r="BX51" s="592">
        <f t="shared" si="13"/>
        <v>0</v>
      </c>
      <c r="BY51" s="592"/>
      <c r="BZ51" s="592"/>
      <c r="CA51" s="593"/>
    </row>
    <row r="52" spans="1:79" ht="15" customHeight="1">
      <c r="A52" s="424">
        <v>2</v>
      </c>
      <c r="B52" s="382">
        <v>21</v>
      </c>
      <c r="C52" s="382">
        <f t="shared" si="15"/>
        <v>52</v>
      </c>
      <c r="D52" s="383" t="e">
        <f>IF(I52='Jour Férié'!F$13,'Jour Férié'!E$13,""&amp;IF(I52='Jour Férié'!F$15,'Jour Férié'!E$15,""&amp;IF(I52='Jour Férié'!F$5,'Jour Férié'!E$5,""&amp;IF(MOD(MATCH(I52,vacances!$A$3:$A$202,1),2)=1,"vacances",""))))</f>
        <v>#N/A</v>
      </c>
      <c r="E52" s="449"/>
      <c r="F52" s="449"/>
      <c r="G52" s="449"/>
      <c r="H52" s="621"/>
      <c r="I52" s="339">
        <f t="shared" si="9"/>
        <v>43152</v>
      </c>
      <c r="J52" s="7"/>
      <c r="K52" s="7"/>
      <c r="L52" s="7"/>
      <c r="M52" s="572"/>
      <c r="N52" s="323">
        <f>(IF(WEEKDAY(I49,2)=5,(COUNTIF(E49,$J$1))))*AND(IF(WEEKDAY(I52,2)=1,(COUNTIF(E52,"*"))))+(IF(WEEKDAY(I50,2)=5,(COUNTIF(E50,$J$1))))*AND(IF(WEEKDAY(I53,2)=1,(COUNTIF(E53,"*"))))+(IF(WEEKDAY(I51,2)=5,(COUNTIF(E51,$J$1))))*AND(IF(WEEKDAY(I54,2)=1,(COUNTIF(E54,"*"))))+(IF(WEEKDAY(I52,2)=5,(COUNTIF(E52,$J$1))))*AND(IF(WEEKDAY(I55,2)=1,(COUNTIF(E55,"*"))))+(IF(WEEKDAY(I53,2)=5,(COUNTIF(E53,$J$1))))*AND(IF(WEEKDAY(I56,2)=1,(COUNTIF(E56,"*"))))+(IF(WEEKDAY(I54,2)=5,(COUNTIF(E54,$J$1))))*AND(IF(WEEKDAY(I57,2)=1,(COUNTIF(E57,"*"))))+(IF(WEEKDAY(I55,2)=5,(COUNTIF(E55,$J$1))))*AND(IF(WEEKDAY(I58,2)=1,(COUNTIF(E58,"*"))))+(IF(WEEKDAY(I56,2)=5,(COUNTIF(E56,$J$1))))*AND(IF(WEEKDAY(I59,2)=1,(COUNTIF(E59,"*"))))+(IF(WEEKDAY(I57,2)=5,(COUNTIF(E57,$J$1))))*AND(IF(WEEKDAY(I60,2)=1,(COUNTIF(E60,"*"))))+(IF(WEEKDAY(I58,2)=5,(COUNTIF(E58,$J$1))))*AND(IF(WEEKDAY(I61,2)=1,(COUNTIF(E61,"*"))))+(IF(WEEKDAY(I59,2)=5,(COUNTIF(E59,$J$1))))*AND(IF(WEEKDAY(I62,2)=1,(COUNTIF(E62,"*"))))+(IF(WEEKDAY(I60,2)=5,(COUNTIF(E60,$J$1))))*AND(IF(WEEKDAY(I63,2)=1,(COUNTIF(E63,"*"))))</f>
        <v>0</v>
      </c>
      <c r="O52" s="573"/>
      <c r="P52" s="7"/>
      <c r="Q52" s="281"/>
      <c r="R52" s="281"/>
      <c r="S52" s="281"/>
      <c r="T52" s="281"/>
      <c r="U52" s="281"/>
      <c r="V52" s="281"/>
      <c r="W52" s="281"/>
      <c r="X52" s="307"/>
      <c r="Y52" s="307"/>
      <c r="Z52" s="307"/>
      <c r="AA52" s="308"/>
      <c r="AB52" s="308"/>
      <c r="AC52" s="308"/>
      <c r="AD52" s="309"/>
      <c r="AE52" s="309"/>
      <c r="AF52" s="309"/>
      <c r="AG52" s="307"/>
      <c r="AH52" s="307"/>
      <c r="AI52" s="307"/>
      <c r="AJ52" s="307"/>
      <c r="AK52" s="307"/>
      <c r="AL52" s="307"/>
      <c r="AM52" s="307"/>
      <c r="AN52" s="307"/>
      <c r="AO52" s="307"/>
      <c r="AP52" s="307"/>
      <c r="AQ52" s="307"/>
      <c r="AR52" s="307"/>
      <c r="AS52" s="307"/>
      <c r="AT52" s="307"/>
      <c r="AU52" s="307"/>
      <c r="AV52" s="307"/>
      <c r="AW52" s="499" t="s">
        <v>267</v>
      </c>
      <c r="AX52" s="499"/>
      <c r="AY52" s="499"/>
      <c r="AZ52" s="499"/>
      <c r="BA52" s="499"/>
      <c r="BB52" s="499"/>
      <c r="BC52" s="499"/>
      <c r="BD52" s="499"/>
      <c r="BE52" s="499"/>
      <c r="BF52" s="499"/>
      <c r="BG52" s="499"/>
      <c r="BH52" s="499"/>
      <c r="BI52" s="596">
        <f>BI48</f>
        <v>0</v>
      </c>
      <c r="BJ52" s="596"/>
      <c r="BK52" s="596"/>
      <c r="BL52" s="596"/>
      <c r="BM52" s="594">
        <f>'FICHE DE PAIE'!AW$22</f>
        <v>6.8000000000000005E-2</v>
      </c>
      <c r="BN52" s="594"/>
      <c r="BO52" s="594"/>
      <c r="BP52" s="594"/>
      <c r="BQ52" s="592">
        <f t="shared" si="12"/>
        <v>0</v>
      </c>
      <c r="BR52" s="592"/>
      <c r="BS52" s="592"/>
      <c r="BT52" s="592"/>
      <c r="BU52" s="595"/>
      <c r="BV52" s="595"/>
      <c r="BW52" s="595"/>
      <c r="BX52" s="592">
        <f t="shared" si="13"/>
        <v>0</v>
      </c>
      <c r="BY52" s="592"/>
      <c r="BZ52" s="592"/>
      <c r="CA52" s="593"/>
    </row>
    <row r="53" spans="1:79" ht="15" customHeight="1">
      <c r="A53" s="424">
        <v>2</v>
      </c>
      <c r="B53" s="382">
        <v>22</v>
      </c>
      <c r="C53" s="382">
        <f t="shared" si="15"/>
        <v>53</v>
      </c>
      <c r="D53" s="383" t="e">
        <f>IF(I53='Jour Férié'!F$13,'Jour Férié'!E$13,""&amp;IF(I53='Jour Férié'!F$15,'Jour Férié'!E$15,""&amp;IF(I53='Jour Férié'!F$5,'Jour Férié'!E$5,""&amp;IF(MOD(MATCH(I53,vacances!$A$3:$A$202,1),2)=1,"vacances",""))))</f>
        <v>#N/A</v>
      </c>
      <c r="E53" s="449"/>
      <c r="F53" s="449"/>
      <c r="G53" s="449"/>
      <c r="H53" s="621"/>
      <c r="I53" s="339">
        <f t="shared" si="9"/>
        <v>43153</v>
      </c>
      <c r="J53" s="617"/>
      <c r="K53" s="617"/>
      <c r="L53" s="617"/>
      <c r="M53" s="572" t="s">
        <v>322</v>
      </c>
      <c r="N53" s="323">
        <f>((IF(WEEKDAY(I31,2)=7,(COUNTIF(E31,"*"))))*AND(IF(WEEKDAY(I32,2)=1,(COUNTIF(E32,"*")))))*AND(COUNTBLANK(E30))+((IF(WEEKDAY(I32,2)=7,(COUNTIF(E32,"*"))))*AND(IF(WEEKDAY(I33,2)=1,(COUNTIF(E33,"*")))))*AND(COUNTBLANK(E31))+((IF(WEEKDAY(I33,2)=7,(COUNTIF(E33,"*"))))*AND(IF(WEEKDAY(I34,2)=1,(COUNTIF(E34,"*"))))*AND(COUNTBLANK(E32)))+((IF(WEEKDAY(I34,2)=7,(COUNTIF(E34,"*"))))*AND(IF(WEEKDAY(I35,2)=1,(COUNTIF(E35,"*"))))*AND(COUNTBLANK(E33)))+((IF(WEEKDAY(I35,2)=7,(COUNTIF(E35,"*"))))*AND(IF(WEEKDAY(I36,2)=1,(COUNTIF(E36,"*"))))*AND(COUNTBLANK(E34)))+((IF(WEEKDAY(I36,2)=7,(COUNTIF(E36,"*"))))*AND(IF(WEEKDAY(I37,2)=1,(COUNTIF(E37,"*"))))*AND(COUNTBLANK(E35)))+((IF(WEEKDAY(I37,2)=7,(COUNTIF(E37,"*"))))*AND(IF(WEEKDAY(I38,2)=1,(COUNTIF(E38,"*"))))*AND(COUNTBLANK(E36)))+((IF(WEEKDAY(I38,2)=7,(COUNTIF(E38,"*"))))*AND(IF(WEEKDAY(I39,2)=1,(COUNTIF(E39,"*"))))*AND(COUNTBLANK(E37)))+((IF(WEEKDAY(I39,2)=7,(COUNTIF(E39,"*"))))*AND(IF(WEEKDAY(I40,2)=1,(COUNTIF(E40,"*"))))*AND(COUNTBLANK(E38)))</f>
        <v>0</v>
      </c>
      <c r="O53" s="573">
        <f>SUM(N53:N55)</f>
        <v>0</v>
      </c>
      <c r="P53" s="7"/>
      <c r="Q53" s="281"/>
      <c r="R53" s="281"/>
      <c r="S53" s="281"/>
      <c r="T53" s="552" t="s">
        <v>272</v>
      </c>
      <c r="U53" s="552"/>
      <c r="V53" s="552"/>
      <c r="W53" s="552"/>
      <c r="X53" s="552"/>
      <c r="Y53" s="552"/>
      <c r="Z53" s="552"/>
      <c r="AA53" s="552"/>
      <c r="AB53" s="552"/>
      <c r="AC53" s="554">
        <f>BV59</f>
        <v>1407.7499809251249</v>
      </c>
      <c r="AD53" s="554"/>
      <c r="AE53" s="554"/>
      <c r="AF53" s="554"/>
      <c r="AG53" s="554"/>
      <c r="AH53" s="554"/>
      <c r="AI53" s="554"/>
      <c r="AJ53" s="554"/>
      <c r="AK53" s="554"/>
      <c r="AL53" s="554"/>
      <c r="AM53" s="554"/>
      <c r="AN53" s="554"/>
      <c r="AO53" s="554"/>
      <c r="AP53" s="554"/>
      <c r="AQ53" s="554"/>
      <c r="AR53" s="290"/>
      <c r="AS53" s="290"/>
      <c r="AT53" s="290"/>
      <c r="AU53" s="290"/>
      <c r="AV53" s="290"/>
      <c r="AW53" s="499" t="s">
        <v>268</v>
      </c>
      <c r="AX53" s="499"/>
      <c r="AY53" s="499"/>
      <c r="AZ53" s="499"/>
      <c r="BA53" s="499"/>
      <c r="BB53" s="499"/>
      <c r="BC53" s="499"/>
      <c r="BD53" s="499"/>
      <c r="BE53" s="499"/>
      <c r="BF53" s="499"/>
      <c r="BG53" s="499"/>
      <c r="BH53" s="499"/>
      <c r="BI53" s="596">
        <f>BI48</f>
        <v>0</v>
      </c>
      <c r="BJ53" s="596"/>
      <c r="BK53" s="596"/>
      <c r="BL53" s="596"/>
      <c r="BM53" s="594">
        <f>'FICHE DE PAIE'!AW$23</f>
        <v>2.9000000000000001E-2</v>
      </c>
      <c r="BN53" s="594"/>
      <c r="BO53" s="594"/>
      <c r="BP53" s="594"/>
      <c r="BQ53" s="592">
        <f t="shared" si="12"/>
        <v>0</v>
      </c>
      <c r="BR53" s="592"/>
      <c r="BS53" s="592"/>
      <c r="BT53" s="592"/>
      <c r="BU53" s="595"/>
      <c r="BV53" s="595"/>
      <c r="BW53" s="595"/>
      <c r="BX53" s="592">
        <f t="shared" si="13"/>
        <v>0</v>
      </c>
      <c r="BY53" s="592"/>
      <c r="BZ53" s="592"/>
      <c r="CA53" s="593"/>
    </row>
    <row r="54" spans="1:79" ht="15" customHeight="1">
      <c r="A54" s="424">
        <v>2</v>
      </c>
      <c r="B54" s="382">
        <v>23</v>
      </c>
      <c r="C54" s="382">
        <f t="shared" si="15"/>
        <v>54</v>
      </c>
      <c r="D54" s="383" t="e">
        <f>IF(I54='Jour Férié'!F$13,'Jour Férié'!E$13,""&amp;IF(I54='Jour Férié'!F$15,'Jour Férié'!E$15,""&amp;IF(I54='Jour Férié'!F$5,'Jour Férié'!E$5,""&amp;IF(MOD(MATCH(I54,vacances!$A$3:$A$202,1),2)=1,"vacances",""))))</f>
        <v>#N/A</v>
      </c>
      <c r="E54" s="449"/>
      <c r="F54" s="449"/>
      <c r="G54" s="449"/>
      <c r="H54" s="621"/>
      <c r="I54" s="339">
        <f t="shared" si="9"/>
        <v>43154</v>
      </c>
      <c r="J54" s="617"/>
      <c r="K54" s="617"/>
      <c r="L54" s="318"/>
      <c r="M54" s="572"/>
      <c r="N54" s="321">
        <f>((IF(WEEKDAY(I40,2)=7,(COUNTIF(E40,"*"))))*AND(IF(WEEKDAY(I41,2)=1,(COUNTIF(E41,"*"))))*AND(COUNTBLANK(E39)))+((IF(WEEKDAY(I41,2)=7,(COUNTIF(E41,"*"))))*AND(IF(WEEKDAY(I42,2)=1,(COUNTIF(E42,"*"))))*AND(COUNTBLANK(E40)))+((IF(WEEKDAY(I42,2)=7,(COUNTIF(E42,"*"))))*AND(IF(WEEKDAY(I43,2)=1,(COUNTIF(E43,"*"))))*AND(COUNTBLANK(E41)))+((IF(WEEKDAY(I43,2)=7,(COUNTIF(E43,"*"))))*AND(IF(WEEKDAY(I44,2)=1,(COUNTIF(E44,"*"))))*AND(COUNTBLANK(E42)))+((IF(WEEKDAY(I44,2)=7,(COUNTIF(E44,"*"))))*AND(IF(WEEKDAY(I45,2)=1,(COUNTIF(E45,"*"))))*AND(COUNTBLANK(E43)))+((IF(WEEKDAY(I45,2)=7,(COUNTIF(E45,"*"))))*AND(IF(WEEKDAY(I46,2)=1,(COUNTIF(E46,"*"))))*AND(COUNTBLANK(E44)))+((IF(WEEKDAY(I46,2)=7,(COUNTIF(E46,"*"))))*AND(IF(WEEKDAY(I47,2)=1,(COUNTIF(E47,"*"))))*AND(COUNTBLANK(E45)))+((IF(WEEKDAY(I47,2)=7,(COUNTIF(E47,"*"))))*AND(IF(WEEKDAY(I48,2)=1,(COUNTIF(E48,"*"))))*AND(COUNTBLANK(E46)))+((IF(WEEKDAY(I48,2)=7,(COUNTIF(E48,"*"))))*AND(IF(WEEKDAY(I49,2)=1,(COUNTIF(E49,"*"))))*AND(COUNTBLANK(E47)))+((IF(WEEKDAY(I49,2)=7,(COUNTIF(E49,"*"))))*AND(IF(WEEKDAY(I50,2)=1,(COUNTIF(E50,"*"))))*AND(COUNTBLANK(E48)))+((IF(WEEKDAY(I50,2)=7,(COUNTIF(E50,"*"))))*AND(IF(WEEKDAY(I51,2)=1,(COUNTIF(E51,"*"))))*AND(COUNTBLANK(E48)))+((IF(WEEKDAY(I51,2)=7,(COUNTIF(E51,"*"))))*AND(IF(WEEKDAY(I52,2)=1,(COUNTIF(E52,"*"))))*AND(COUNTBLANK(E49)))+((IF(WEEKDAY(I52,2)=7,(COUNTIF(E52,"*"))))*AND(IF(WEEKDAY(I53,2)=1,(COUNTIF(E53,"*"))))*AND(COUNTBLANK(E50)))</f>
        <v>0</v>
      </c>
      <c r="O54" s="573"/>
      <c r="P54" s="7"/>
      <c r="Q54" s="304"/>
      <c r="R54" s="304"/>
      <c r="S54" s="304"/>
      <c r="T54" s="552"/>
      <c r="U54" s="552"/>
      <c r="V54" s="552"/>
      <c r="W54" s="552"/>
      <c r="X54" s="552"/>
      <c r="Y54" s="552"/>
      <c r="Z54" s="552"/>
      <c r="AA54" s="552"/>
      <c r="AB54" s="552"/>
      <c r="AC54" s="554"/>
      <c r="AD54" s="554"/>
      <c r="AE54" s="554"/>
      <c r="AF54" s="554"/>
      <c r="AG54" s="554"/>
      <c r="AH54" s="554"/>
      <c r="AI54" s="554"/>
      <c r="AJ54" s="554"/>
      <c r="AK54" s="554"/>
      <c r="AL54" s="554"/>
      <c r="AM54" s="554"/>
      <c r="AN54" s="554"/>
      <c r="AO54" s="554"/>
      <c r="AP54" s="554"/>
      <c r="AQ54" s="554"/>
      <c r="AR54" s="304"/>
      <c r="AS54" s="304"/>
      <c r="AT54" s="304"/>
      <c r="AU54" s="304"/>
      <c r="AV54" s="304"/>
      <c r="AW54" s="499" t="s">
        <v>269</v>
      </c>
      <c r="AX54" s="499"/>
      <c r="AY54" s="499"/>
      <c r="AZ54" s="499"/>
      <c r="BA54" s="499"/>
      <c r="BB54" s="499"/>
      <c r="BC54" s="499"/>
      <c r="BD54" s="499"/>
      <c r="BE54" s="499"/>
      <c r="BF54" s="499"/>
      <c r="BG54" s="499"/>
      <c r="BH54" s="499"/>
      <c r="BI54" s="596"/>
      <c r="BJ54" s="596"/>
      <c r="BK54" s="596"/>
      <c r="BL54" s="596"/>
      <c r="BM54" s="590"/>
      <c r="BN54" s="590"/>
      <c r="BO54" s="590"/>
      <c r="BP54" s="590"/>
      <c r="BQ54" s="592">
        <v>9.52</v>
      </c>
      <c r="BR54" s="592"/>
      <c r="BS54" s="592"/>
      <c r="BT54" s="592"/>
      <c r="BU54" s="595"/>
      <c r="BV54" s="595"/>
      <c r="BW54" s="595"/>
      <c r="BX54" s="592">
        <f t="shared" si="13"/>
        <v>0</v>
      </c>
      <c r="BY54" s="592"/>
      <c r="BZ54" s="592"/>
      <c r="CA54" s="593"/>
    </row>
    <row r="55" spans="1:79" ht="15" customHeight="1">
      <c r="A55" s="424">
        <v>2</v>
      </c>
      <c r="B55" s="382">
        <v>24</v>
      </c>
      <c r="C55" s="382">
        <f t="shared" si="15"/>
        <v>55</v>
      </c>
      <c r="D55" s="383" t="e">
        <f>IF(I55='Jour Férié'!F$13,'Jour Férié'!E$13,""&amp;IF(I55='Jour Férié'!F$15,'Jour Férié'!E$15,""&amp;IF(I55='Jour Férié'!F$5,'Jour Férié'!E$5,""&amp;IF(MOD(MATCH(I55,vacances!$A$3:$A$202,1),2)=1,"vacances",""))))</f>
        <v>#N/A</v>
      </c>
      <c r="E55" s="449"/>
      <c r="F55" s="449"/>
      <c r="G55" s="449"/>
      <c r="H55" s="621"/>
      <c r="I55" s="339">
        <f t="shared" si="9"/>
        <v>43155</v>
      </c>
      <c r="J55" s="286"/>
      <c r="K55" s="286"/>
      <c r="L55" s="503"/>
      <c r="M55" s="572"/>
      <c r="N55" s="321">
        <f>((IF(WEEKDAY(I53,2)=7,(COUNTIF(E53,"*"))))*AND(IF(WEEKDAY(I54,2)=1,(COUNTIF(E54,"*"))))*AND(COUNTBLANK(E51)))+((IF(WEEKDAY(I54,2)=7,(COUNTIF(E54,"*"))))*AND(IF(WEEKDAY(I55,2)=1,(COUNTIF(E55,"*"))))*AND(COUNTBLANK(E52)))+((IF(WEEKDAY(I55,2)=7,(COUNTIF(E55,"*"))))*AND(IF(WEEKDAY(I56,2)=1,(COUNTIF(E56,"*"))))*AND(COUNTBLANK(E52)))+((IF(WEEKDAY(I56,2)=7,(COUNTIF(E56,"*"))))*AND(IF(WEEKDAY(I57,2)=1,(COUNTIF(E57,"*"))))*AND(COUNTBLANK(E54)))+((IF(WEEKDAY(I57,2)=7,(COUNTIF(E57,"*"))))*AND(IF(WEEKDAY(I58,2)=1,(COUNTIF(E58,"*"))))*AND(COUNTBLANK(E55)))+((IF(WEEKDAY(I58,2)=7,(COUNTIF(E58,"*"))))*AND(IF(WEEKDAY(I59,2)=1,(COUNTIF(E59,"*"))))*AND(COUNTBLANK(E56)))+((IF(WEEKDAY(I59,2)=7,(COUNTIF(E59,"*"))))*AND(IF(WEEKDAY(I60,2)=1,(COUNTIF(E60,"*"))))*AND(COUNTBLANK(E57)))+((IF(WEEKDAY(I60,2)=7,(COUNTIF(E60,"*"))))*AND(IF(WEEKDAY(I61,2)=1,(COUNTIF(E61,"*"))))*AND(COUNTBLANK(E58)))</f>
        <v>0</v>
      </c>
      <c r="O55" s="573"/>
      <c r="P55" s="7"/>
      <c r="Q55" s="307"/>
      <c r="R55" s="307"/>
      <c r="S55" s="307"/>
      <c r="T55" s="552"/>
      <c r="U55" s="552"/>
      <c r="V55" s="552"/>
      <c r="W55" s="552"/>
      <c r="X55" s="552"/>
      <c r="Y55" s="552"/>
      <c r="Z55" s="552"/>
      <c r="AA55" s="552"/>
      <c r="AB55" s="552"/>
      <c r="AC55" s="554"/>
      <c r="AD55" s="554"/>
      <c r="AE55" s="554"/>
      <c r="AF55" s="554"/>
      <c r="AG55" s="554"/>
      <c r="AH55" s="554"/>
      <c r="AI55" s="554"/>
      <c r="AJ55" s="554"/>
      <c r="AK55" s="554"/>
      <c r="AL55" s="554"/>
      <c r="AM55" s="554"/>
      <c r="AN55" s="554"/>
      <c r="AO55" s="554"/>
      <c r="AP55" s="554"/>
      <c r="AQ55" s="554"/>
      <c r="AR55" s="307"/>
      <c r="AS55" s="307"/>
      <c r="AT55" s="307"/>
      <c r="AU55" s="307"/>
      <c r="AV55" s="307"/>
      <c r="AW55" s="591"/>
      <c r="AX55" s="591"/>
      <c r="AY55" s="591"/>
      <c r="AZ55" s="591"/>
      <c r="BA55" s="591"/>
      <c r="BB55" s="591"/>
      <c r="BC55" s="591"/>
      <c r="BD55" s="591"/>
      <c r="BE55" s="591"/>
      <c r="BF55" s="591"/>
      <c r="BG55" s="591"/>
      <c r="BH55" s="591"/>
      <c r="BI55" s="590">
        <f>$Y$28</f>
        <v>0</v>
      </c>
      <c r="BJ55" s="590"/>
      <c r="BK55" s="590"/>
      <c r="BL55" s="590"/>
      <c r="BM55" s="590"/>
      <c r="BN55" s="590"/>
      <c r="BO55" s="590"/>
      <c r="BP55" s="590"/>
      <c r="BQ55" s="592">
        <f>BI55*BM55</f>
        <v>0</v>
      </c>
      <c r="BR55" s="592"/>
      <c r="BS55" s="592"/>
      <c r="BT55" s="592"/>
      <c r="BU55" s="595"/>
      <c r="BV55" s="595"/>
      <c r="BW55" s="595"/>
      <c r="BX55" s="592">
        <f t="shared" si="13"/>
        <v>0</v>
      </c>
      <c r="BY55" s="592"/>
      <c r="BZ55" s="592"/>
      <c r="CA55" s="593"/>
    </row>
    <row r="56" spans="1:79" ht="15" customHeight="1">
      <c r="A56" s="424">
        <v>2</v>
      </c>
      <c r="B56" s="382">
        <v>25</v>
      </c>
      <c r="C56" s="382">
        <f t="shared" si="15"/>
        <v>56</v>
      </c>
      <c r="D56" s="383" t="e">
        <f>IF(I56='Jour Férié'!F$13,'Jour Férié'!E$13,""&amp;IF(I56='Jour Férié'!F$15,'Jour Férié'!E$15,""&amp;IF(I56='Jour Férié'!F$5,'Jour Férié'!E$5,""&amp;IF(MOD(MATCH(I56,vacances!$A$3:$A$202,1),2)=1,"vacances",""))))</f>
        <v>#N/A</v>
      </c>
      <c r="E56" s="449"/>
      <c r="F56" s="449"/>
      <c r="G56" s="449"/>
      <c r="H56" s="621"/>
      <c r="I56" s="339">
        <f t="shared" si="9"/>
        <v>43156</v>
      </c>
      <c r="J56" s="286"/>
      <c r="K56" s="286"/>
      <c r="L56" s="319"/>
      <c r="M56" s="7"/>
      <c r="N56" s="7"/>
      <c r="O56" s="340"/>
      <c r="P56" s="7"/>
      <c r="Q56" s="290"/>
      <c r="R56" s="290"/>
      <c r="S56" s="290"/>
      <c r="T56" s="290"/>
      <c r="U56" s="290"/>
      <c r="V56" s="290"/>
      <c r="W56" s="290"/>
      <c r="X56" s="290"/>
      <c r="Y56" s="290"/>
      <c r="Z56" s="290"/>
      <c r="AA56" s="310"/>
      <c r="AB56" s="310"/>
      <c r="AC56" s="554"/>
      <c r="AD56" s="554"/>
      <c r="AE56" s="554"/>
      <c r="AF56" s="554"/>
      <c r="AG56" s="554"/>
      <c r="AH56" s="554"/>
      <c r="AI56" s="554"/>
      <c r="AJ56" s="554"/>
      <c r="AK56" s="554"/>
      <c r="AL56" s="554"/>
      <c r="AM56" s="554"/>
      <c r="AN56" s="554"/>
      <c r="AO56" s="554"/>
      <c r="AP56" s="554"/>
      <c r="AQ56" s="554"/>
      <c r="AR56" s="290"/>
      <c r="AS56" s="290"/>
      <c r="AT56" s="290"/>
      <c r="AU56" s="290"/>
      <c r="AV56" s="290"/>
      <c r="AW56" s="562" t="s">
        <v>270</v>
      </c>
      <c r="AX56" s="562"/>
      <c r="AY56" s="562"/>
      <c r="AZ56" s="562"/>
      <c r="BA56" s="562"/>
      <c r="BB56" s="562"/>
      <c r="BC56" s="562"/>
      <c r="BD56" s="562"/>
      <c r="BE56" s="562"/>
      <c r="BF56" s="562"/>
      <c r="BG56" s="562"/>
      <c r="BH56" s="562"/>
      <c r="BI56" s="587"/>
      <c r="BJ56" s="587"/>
      <c r="BK56" s="587"/>
      <c r="BL56" s="587"/>
      <c r="BM56" s="588">
        <f>SUM(BM35:BP55)</f>
        <v>0.32090000000000002</v>
      </c>
      <c r="BN56" s="588"/>
      <c r="BO56" s="588"/>
      <c r="BP56" s="588"/>
      <c r="BQ56" s="586">
        <f>SUM(BQ35:BT55)</f>
        <v>443.38236907487493</v>
      </c>
      <c r="BR56" s="586"/>
      <c r="BS56" s="586"/>
      <c r="BT56" s="586"/>
      <c r="BU56" s="311"/>
      <c r="BV56" s="7"/>
      <c r="BW56" s="7"/>
      <c r="BX56" s="586">
        <f>SUM(BX35:CA55)</f>
        <v>807.69346695699983</v>
      </c>
      <c r="BY56" s="586"/>
      <c r="BZ56" s="586"/>
      <c r="CA56" s="589"/>
    </row>
    <row r="57" spans="1:79" ht="15" customHeight="1">
      <c r="A57" s="424">
        <v>2</v>
      </c>
      <c r="B57" s="382">
        <v>26</v>
      </c>
      <c r="C57" s="382">
        <f t="shared" si="15"/>
        <v>57</v>
      </c>
      <c r="D57" s="383" t="e">
        <f>IF(I57='Jour Férié'!F$13,'Jour Férié'!E$13,""&amp;IF(I57='Jour Férié'!F$15,'Jour Férié'!E$15,""&amp;IF(I57='Jour Férié'!F$5,'Jour Férié'!E$5,""&amp;IF(MOD(MATCH(I57,vacances!$A$3:$A$202,1),2)=1,"vacances",""))))</f>
        <v>#N/A</v>
      </c>
      <c r="E57" s="449"/>
      <c r="F57" s="449"/>
      <c r="G57" s="449"/>
      <c r="H57" s="621"/>
      <c r="I57" s="339">
        <f t="shared" si="9"/>
        <v>43157</v>
      </c>
      <c r="J57" s="286"/>
      <c r="K57" s="318"/>
      <c r="L57" s="320"/>
      <c r="M57" s="398" t="s">
        <v>323</v>
      </c>
      <c r="N57" s="569">
        <f>SUM(O49:O55)</f>
        <v>0</v>
      </c>
      <c r="O57" s="569"/>
      <c r="P57" s="7"/>
      <c r="Q57" s="304"/>
      <c r="R57" s="304"/>
      <c r="S57" s="304"/>
      <c r="T57" s="304"/>
      <c r="U57" s="304"/>
      <c r="V57" s="304"/>
      <c r="W57" s="304"/>
      <c r="X57" s="304"/>
      <c r="Y57" s="304"/>
      <c r="Z57" s="304"/>
      <c r="AA57" s="305"/>
      <c r="AB57" s="305"/>
      <c r="AC57" s="554"/>
      <c r="AD57" s="554"/>
      <c r="AE57" s="554"/>
      <c r="AF57" s="554"/>
      <c r="AG57" s="554"/>
      <c r="AH57" s="554"/>
      <c r="AI57" s="554"/>
      <c r="AJ57" s="554"/>
      <c r="AK57" s="554"/>
      <c r="AL57" s="554"/>
      <c r="AM57" s="554"/>
      <c r="AN57" s="554"/>
      <c r="AO57" s="554"/>
      <c r="AP57" s="554"/>
      <c r="AQ57" s="554"/>
      <c r="AR57" s="304"/>
      <c r="AS57" s="304"/>
      <c r="AT57" s="304"/>
      <c r="AU57" s="304"/>
      <c r="AV57" s="304"/>
      <c r="AW57" s="312" t="s">
        <v>271</v>
      </c>
      <c r="AX57" s="312"/>
      <c r="AY57" s="312"/>
      <c r="AZ57" s="312"/>
      <c r="BA57" s="312"/>
      <c r="BB57" s="312"/>
      <c r="BC57" s="312"/>
      <c r="BD57" s="313"/>
      <c r="BE57" s="313"/>
      <c r="BF57" s="313"/>
      <c r="BG57" s="313"/>
      <c r="BH57" s="313"/>
      <c r="BI57" s="569">
        <f>O35</f>
        <v>0</v>
      </c>
      <c r="BJ57" s="569"/>
      <c r="BK57" s="569"/>
      <c r="BL57" s="569"/>
      <c r="BM57" s="590">
        <f>'FICHE DE PAIE'!AW$27</f>
        <v>3.5259999999999998</v>
      </c>
      <c r="BN57" s="590"/>
      <c r="BO57" s="590"/>
      <c r="BP57" s="590"/>
      <c r="BQ57" s="381">
        <f>BI57*BM57</f>
        <v>0</v>
      </c>
      <c r="BR57" s="381"/>
      <c r="BS57" s="381"/>
      <c r="BT57" s="381"/>
      <c r="BU57" s="314"/>
      <c r="BV57" s="7"/>
      <c r="BW57" s="7"/>
      <c r="BX57" s="7"/>
      <c r="BY57" s="7"/>
      <c r="BZ57" s="7"/>
      <c r="CA57" s="315"/>
    </row>
    <row r="58" spans="1:79" ht="15" customHeight="1">
      <c r="A58" s="424">
        <v>2</v>
      </c>
      <c r="B58" s="382">
        <v>27</v>
      </c>
      <c r="C58" s="382">
        <f t="shared" si="15"/>
        <v>58</v>
      </c>
      <c r="D58" s="383" t="e">
        <f>IF(I58='Jour Férié'!F$13,'Jour Férié'!E$13,""&amp;IF(I58='Jour Férié'!F$15,'Jour Férié'!E$15,""&amp;IF(I58='Jour Férié'!F$5,'Jour Férié'!E$5,""&amp;IF(MOD(MATCH(I58,vacances!$A$3:$A$202,1),2)=1,"vacances",""))))</f>
        <v>#N/A</v>
      </c>
      <c r="E58" s="449"/>
      <c r="F58" s="449"/>
      <c r="G58" s="449"/>
      <c r="H58" s="621"/>
      <c r="I58" s="339">
        <f t="shared" si="9"/>
        <v>43158</v>
      </c>
      <c r="J58" s="286"/>
      <c r="K58" s="318"/>
      <c r="L58" s="320"/>
      <c r="M58" s="7"/>
      <c r="N58" s="7"/>
      <c r="O58" s="340"/>
      <c r="P58" s="7"/>
      <c r="Q58" s="307"/>
      <c r="R58" s="307"/>
      <c r="S58" s="307"/>
      <c r="T58" s="307"/>
      <c r="U58" s="307"/>
      <c r="V58" s="307"/>
      <c r="W58" s="307"/>
      <c r="X58" s="307"/>
      <c r="Y58" s="307"/>
      <c r="Z58" s="307"/>
      <c r="AA58" s="308"/>
      <c r="AB58" s="308"/>
      <c r="AC58" s="554"/>
      <c r="AD58" s="554"/>
      <c r="AE58" s="554"/>
      <c r="AF58" s="554"/>
      <c r="AG58" s="554"/>
      <c r="AH58" s="554"/>
      <c r="AI58" s="554"/>
      <c r="AJ58" s="554"/>
      <c r="AK58" s="554"/>
      <c r="AL58" s="554"/>
      <c r="AM58" s="554"/>
      <c r="AN58" s="554"/>
      <c r="AO58" s="554"/>
      <c r="AP58" s="554"/>
      <c r="AQ58" s="554"/>
      <c r="AR58" s="307"/>
      <c r="AS58" s="307"/>
      <c r="AT58" s="307"/>
      <c r="AU58" s="307"/>
      <c r="AV58" s="307"/>
      <c r="AW58" s="550">
        <f>Q32</f>
        <v>43132</v>
      </c>
      <c r="AX58" s="550"/>
      <c r="AY58" s="550"/>
      <c r="AZ58" s="550"/>
      <c r="BA58" s="550"/>
      <c r="BB58" s="550"/>
      <c r="BC58" s="550"/>
      <c r="BD58" s="550"/>
      <c r="BE58" s="550"/>
      <c r="BF58" s="550"/>
      <c r="BG58" s="550"/>
      <c r="BH58" s="550"/>
      <c r="BI58" s="550"/>
      <c r="BJ58" s="550"/>
      <c r="BK58" s="550"/>
      <c r="BL58" s="550"/>
      <c r="BM58" s="550"/>
      <c r="BN58" s="550"/>
      <c r="BO58" s="550"/>
      <c r="BP58" s="550"/>
      <c r="BQ58" s="550"/>
      <c r="BR58" s="550"/>
      <c r="BS58" s="550"/>
      <c r="BT58" s="550"/>
      <c r="BU58" s="550"/>
      <c r="BV58" s="550"/>
      <c r="BW58" s="550"/>
      <c r="BX58" s="550"/>
      <c r="BY58" s="550"/>
      <c r="BZ58" s="550"/>
      <c r="CA58" s="551"/>
    </row>
    <row r="59" spans="1:79" ht="15" customHeight="1">
      <c r="A59" s="424">
        <v>2</v>
      </c>
      <c r="B59" s="382">
        <v>28</v>
      </c>
      <c r="C59" s="382">
        <f t="shared" si="15"/>
        <v>59</v>
      </c>
      <c r="D59" s="383" t="e">
        <f>IF(I59='Jour Férié'!F$13,'Jour Férié'!E$13,""&amp;IF(I59='Jour Férié'!F$15,'Jour Férié'!E$15,""&amp;IF(I59='Jour Férié'!F$5,'Jour Férié'!E$5,""&amp;IF(MOD(MATCH(I59,vacances!$A$3:$A$202,1),2)=1,"vacances",""))))</f>
        <v>#N/A</v>
      </c>
      <c r="E59" s="449"/>
      <c r="F59" s="449"/>
      <c r="G59" s="449"/>
      <c r="H59" s="621"/>
      <c r="I59" s="339">
        <f t="shared" si="9"/>
        <v>43159</v>
      </c>
      <c r="J59" s="286"/>
      <c r="K59" s="318"/>
      <c r="L59" s="320"/>
      <c r="M59" s="7"/>
      <c r="N59" s="7"/>
      <c r="O59" s="340"/>
      <c r="P59" s="7"/>
      <c r="Q59" s="290"/>
      <c r="R59" s="290"/>
      <c r="S59" s="290"/>
      <c r="T59" s="290"/>
      <c r="U59" s="290"/>
      <c r="V59" s="290"/>
      <c r="W59" s="290"/>
      <c r="X59" s="290"/>
      <c r="Y59" s="290"/>
      <c r="Z59" s="290"/>
      <c r="AA59" s="310"/>
      <c r="AB59" s="310"/>
      <c r="AC59" s="554"/>
      <c r="AD59" s="554"/>
      <c r="AE59" s="554"/>
      <c r="AF59" s="554"/>
      <c r="AG59" s="554"/>
      <c r="AH59" s="554"/>
      <c r="AI59" s="554"/>
      <c r="AJ59" s="554"/>
      <c r="AK59" s="554"/>
      <c r="AL59" s="554"/>
      <c r="AM59" s="554"/>
      <c r="AN59" s="554"/>
      <c r="AO59" s="554"/>
      <c r="AP59" s="554"/>
      <c r="AQ59" s="554"/>
      <c r="AR59" s="290"/>
      <c r="AS59" s="290"/>
      <c r="AT59" s="290"/>
      <c r="AU59" s="290"/>
      <c r="AV59" s="290"/>
      <c r="AW59" s="313"/>
      <c r="AX59" s="313"/>
      <c r="AY59" s="313"/>
      <c r="AZ59" s="313"/>
      <c r="BA59" s="313"/>
      <c r="BB59" s="313"/>
      <c r="BC59" s="313"/>
      <c r="BD59" s="313"/>
      <c r="BE59" s="313"/>
      <c r="BF59" s="313"/>
      <c r="BG59" s="313"/>
      <c r="BH59" s="313"/>
      <c r="BI59" s="313"/>
      <c r="BJ59" s="313"/>
      <c r="BK59" s="313"/>
      <c r="BL59" s="316"/>
      <c r="BM59" s="316"/>
      <c r="BN59" s="587" t="s">
        <v>272</v>
      </c>
      <c r="BO59" s="587"/>
      <c r="BP59" s="587"/>
      <c r="BQ59" s="587"/>
      <c r="BR59" s="587"/>
      <c r="BS59" s="587"/>
      <c r="BT59" s="587"/>
      <c r="BU59" s="587"/>
      <c r="BV59" s="597">
        <f>AG48-BQ56+BQ57</f>
        <v>1407.7499809251249</v>
      </c>
      <c r="BW59" s="597"/>
      <c r="BX59" s="597"/>
      <c r="BY59" s="597"/>
      <c r="BZ59" s="597"/>
      <c r="CA59" s="598"/>
    </row>
    <row r="60" spans="1:79" ht="15" customHeight="1" thickBot="1">
      <c r="A60" s="426">
        <v>2</v>
      </c>
      <c r="B60" s="427">
        <v>29</v>
      </c>
      <c r="C60" s="427">
        <f t="shared" si="15"/>
        <v>60</v>
      </c>
      <c r="D60" s="428" t="e">
        <f>IF(I60='Jour Férié'!F$13,'Jour Férié'!E$13,""&amp;IF(I60='Jour Férié'!F$15,'Jour Férié'!E$15,""&amp;IF(I60='Jour Férié'!F$5,'Jour Férié'!E$5,""&amp;IF(MOD(MATCH(I60,vacances!$A$3:$A$202,1),2)=1,"vacances",""))))</f>
        <v>#N/A</v>
      </c>
      <c r="E60" s="493"/>
      <c r="F60" s="493"/>
      <c r="G60" s="493"/>
      <c r="H60" s="622"/>
      <c r="I60" s="344">
        <f t="shared" si="9"/>
        <v>43160</v>
      </c>
      <c r="J60" s="345"/>
      <c r="K60" s="345"/>
      <c r="L60" s="345"/>
      <c r="M60" s="345"/>
      <c r="N60" s="345"/>
      <c r="O60" s="346"/>
      <c r="P60" s="345"/>
      <c r="Q60" s="544"/>
      <c r="R60" s="544"/>
      <c r="S60" s="544"/>
      <c r="T60" s="544"/>
      <c r="U60" s="544"/>
      <c r="V60" s="544"/>
      <c r="W60" s="544"/>
      <c r="X60" s="544"/>
      <c r="Y60" s="544"/>
      <c r="Z60" s="544"/>
      <c r="AA60" s="545"/>
      <c r="AB60" s="545"/>
      <c r="AC60" s="546"/>
      <c r="AD60" s="546"/>
      <c r="AE60" s="546"/>
      <c r="AF60" s="546"/>
      <c r="AG60" s="546"/>
      <c r="AH60" s="546"/>
      <c r="AI60" s="546"/>
      <c r="AJ60" s="546"/>
      <c r="AK60" s="546"/>
      <c r="AL60" s="546"/>
      <c r="AM60" s="546"/>
      <c r="AN60" s="546"/>
      <c r="AO60" s="546"/>
      <c r="AP60" s="546"/>
      <c r="AQ60" s="546"/>
      <c r="AR60" s="544"/>
      <c r="AS60" s="544"/>
      <c r="AT60" s="544"/>
      <c r="AU60" s="544"/>
      <c r="AV60" s="544"/>
      <c r="AW60" s="547"/>
      <c r="AX60" s="547"/>
      <c r="AY60" s="547"/>
      <c r="AZ60" s="547"/>
      <c r="BA60" s="547"/>
      <c r="BB60" s="547"/>
      <c r="BC60" s="547"/>
      <c r="BD60" s="547"/>
      <c r="BE60" s="547"/>
      <c r="BF60" s="547"/>
      <c r="BG60" s="547"/>
      <c r="BH60" s="547"/>
      <c r="BI60" s="547"/>
      <c r="BJ60" s="547"/>
      <c r="BK60" s="547"/>
      <c r="BL60" s="618" t="s">
        <v>273</v>
      </c>
      <c r="BM60" s="618"/>
      <c r="BN60" s="618"/>
      <c r="BO60" s="618"/>
      <c r="BP60" s="618"/>
      <c r="BQ60" s="618"/>
      <c r="BR60" s="618"/>
      <c r="BS60" s="618"/>
      <c r="BT60" s="618"/>
      <c r="BU60" s="619">
        <f>BV59-BQ56+BQ57</f>
        <v>964.36761185024989</v>
      </c>
      <c r="BV60" s="619"/>
      <c r="BW60" s="619"/>
      <c r="BX60" s="619"/>
      <c r="BY60" s="619"/>
      <c r="BZ60" s="619"/>
      <c r="CA60" s="548"/>
    </row>
    <row r="61" spans="1:79" ht="15" customHeight="1">
      <c r="A61" s="326">
        <v>3</v>
      </c>
      <c r="B61" s="327">
        <v>1</v>
      </c>
      <c r="C61" s="327">
        <f>VLOOKUP(A61,Données,4)+B61-1</f>
        <v>60</v>
      </c>
      <c r="D61" s="413" t="e">
        <f>IF(I61='Jour Férié'!F$13,'Jour Férié'!E$13,""&amp;IF(I61='Jour Férié'!F$14,'Jour Férié'!E$14,""&amp;IF(I61='Jour Férié'!F$15,'Jour Férié'!E$15,""&amp;IF(I61='Jour Férié'!B$5,'Jour Férié'!A$5,""&amp;IF(MOD(MATCH(I22,vacances!$A$3:$A$202,1),2)=1,"vacances","")))))</f>
        <v>#N/A</v>
      </c>
      <c r="E61" s="489"/>
      <c r="F61" s="489"/>
      <c r="G61" s="489"/>
      <c r="H61" s="623" t="s">
        <v>40</v>
      </c>
      <c r="I61" s="414">
        <f>DATE(annee,3,1)</f>
        <v>43160</v>
      </c>
      <c r="J61" s="415" t="s">
        <v>201</v>
      </c>
      <c r="K61" s="416" t="s">
        <v>202</v>
      </c>
      <c r="L61" s="325"/>
      <c r="M61" s="417" t="s">
        <v>203</v>
      </c>
      <c r="N61" s="417"/>
      <c r="O61" s="418">
        <f>(COUNTIF($E61:$E91,$J61))</f>
        <v>0</v>
      </c>
      <c r="P61" s="327"/>
      <c r="Q61" s="560">
        <f>DATE(annee,3,1)</f>
        <v>43160</v>
      </c>
      <c r="R61" s="560"/>
      <c r="S61" s="560"/>
      <c r="T61" s="560"/>
      <c r="U61" s="560"/>
      <c r="V61" s="560"/>
      <c r="W61" s="560"/>
      <c r="X61" s="560"/>
      <c r="Y61" s="560"/>
      <c r="Z61" s="560"/>
      <c r="AA61" s="560"/>
      <c r="AB61" s="560"/>
      <c r="AC61" s="560"/>
      <c r="AD61" s="560"/>
      <c r="AE61" s="560"/>
      <c r="AF61" s="560"/>
      <c r="AG61" s="560"/>
      <c r="AH61" s="560"/>
      <c r="AI61" s="560"/>
      <c r="AJ61" s="560"/>
      <c r="AK61" s="560"/>
      <c r="AL61" s="560"/>
      <c r="AM61" s="560"/>
      <c r="AN61" s="560"/>
      <c r="AO61" s="560"/>
      <c r="AP61" s="560"/>
      <c r="AQ61" s="560"/>
      <c r="AR61" s="560"/>
      <c r="AS61" s="560"/>
      <c r="AT61" s="560"/>
      <c r="AU61" s="560"/>
      <c r="AV61" s="292"/>
      <c r="AW61" s="560">
        <f>Q61</f>
        <v>43160</v>
      </c>
      <c r="AX61" s="560"/>
      <c r="AY61" s="560"/>
      <c r="AZ61" s="560"/>
      <c r="BA61" s="560"/>
      <c r="BB61" s="560"/>
      <c r="BC61" s="560"/>
      <c r="BD61" s="560"/>
      <c r="BE61" s="560"/>
      <c r="BF61" s="560"/>
      <c r="BG61" s="560"/>
      <c r="BH61" s="560"/>
      <c r="BI61" s="560"/>
      <c r="BJ61" s="560"/>
      <c r="BK61" s="560"/>
      <c r="BL61" s="560"/>
      <c r="BM61" s="560"/>
      <c r="BN61" s="560"/>
      <c r="BO61" s="560"/>
      <c r="BP61" s="560"/>
      <c r="BQ61" s="560"/>
      <c r="BR61" s="560"/>
      <c r="BS61" s="560"/>
      <c r="BT61" s="560"/>
      <c r="BU61" s="560"/>
      <c r="BV61" s="560"/>
      <c r="BW61" s="560"/>
      <c r="BX61" s="560"/>
      <c r="BY61" s="560"/>
      <c r="BZ61" s="560"/>
      <c r="CA61" s="607"/>
    </row>
    <row r="62" spans="1:79" ht="15" customHeight="1">
      <c r="A62" s="334">
        <v>3</v>
      </c>
      <c r="B62" s="328">
        <v>2</v>
      </c>
      <c r="C62" s="328">
        <f t="shared" si="15"/>
        <v>61</v>
      </c>
      <c r="D62" s="360" t="e">
        <f>IF(I62='Jour Férié'!F$13,'Jour Férié'!E$13,""&amp;IF(I62='Jour Férié'!F$14,'Jour Férié'!E$14,""&amp;IF(I62='Jour Férié'!F$15,'Jour Férié'!E$15,""&amp;IF(I62='Jour Férié'!B$5,'Jour Férié'!A$5,""&amp;IF(MOD(MATCH(I23,vacances!$A$3:$A$202,1),2)=1,"vacances","")))))</f>
        <v>#N/A</v>
      </c>
      <c r="E62" s="490"/>
      <c r="F62" s="490"/>
      <c r="G62" s="490"/>
      <c r="H62" s="624"/>
      <c r="I62" s="361">
        <f t="shared" ref="I62:I91" si="16">DATE(annee,3,1)+B61</f>
        <v>43161</v>
      </c>
      <c r="J62" s="362" t="s">
        <v>204</v>
      </c>
      <c r="K62" s="363" t="s">
        <v>205</v>
      </c>
      <c r="L62" s="324"/>
      <c r="M62" s="333" t="s">
        <v>206</v>
      </c>
      <c r="N62" s="333"/>
      <c r="O62" s="364">
        <f>(COUNTIF($E61:$E91,$J62))</f>
        <v>0</v>
      </c>
      <c r="P62" s="328"/>
      <c r="Q62" s="365"/>
      <c r="R62" s="365"/>
      <c r="S62" s="365"/>
      <c r="T62" s="365"/>
      <c r="U62" s="365"/>
      <c r="V62" s="365"/>
      <c r="W62" s="365"/>
      <c r="X62" s="365"/>
      <c r="Y62" s="365"/>
      <c r="Z62" s="365"/>
      <c r="AA62" s="366"/>
      <c r="AB62" s="366"/>
      <c r="AC62" s="366"/>
      <c r="AD62" s="367"/>
      <c r="AE62" s="367"/>
      <c r="AF62" s="367"/>
      <c r="AG62" s="365"/>
      <c r="AH62" s="365"/>
      <c r="AI62" s="365"/>
      <c r="AJ62" s="365"/>
      <c r="AK62" s="365"/>
      <c r="AL62" s="365"/>
      <c r="AM62" s="365"/>
      <c r="AN62" s="365"/>
      <c r="AO62" s="365"/>
      <c r="AP62" s="368"/>
      <c r="AQ62" s="368"/>
      <c r="AR62" s="368"/>
      <c r="AS62" s="368"/>
      <c r="AT62" s="368"/>
      <c r="AU62" s="368"/>
      <c r="AV62" s="290"/>
      <c r="AW62" s="608" t="s">
        <v>229</v>
      </c>
      <c r="AX62" s="608"/>
      <c r="AY62" s="608"/>
      <c r="AZ62" s="608"/>
      <c r="BA62" s="608"/>
      <c r="BB62" s="608"/>
      <c r="BC62" s="608"/>
      <c r="BD62" s="608"/>
      <c r="BE62" s="608"/>
      <c r="BF62" s="608"/>
      <c r="BG62" s="608"/>
      <c r="BH62" s="608"/>
      <c r="BI62" s="293"/>
      <c r="BJ62" s="293"/>
      <c r="BK62" s="293"/>
      <c r="BL62" s="585" t="s">
        <v>230</v>
      </c>
      <c r="BM62" s="585"/>
      <c r="BN62" s="585"/>
      <c r="BO62" s="585"/>
      <c r="BP62" s="585"/>
      <c r="BQ62" s="585"/>
      <c r="BR62" s="585"/>
      <c r="BS62" s="585"/>
      <c r="BT62" s="585"/>
      <c r="BU62" s="585" t="s">
        <v>231</v>
      </c>
      <c r="BV62" s="585"/>
      <c r="BW62" s="585"/>
      <c r="BX62" s="585"/>
      <c r="BY62" s="585"/>
      <c r="BZ62" s="585"/>
      <c r="CA62" s="609"/>
    </row>
    <row r="63" spans="1:79" ht="15" customHeight="1">
      <c r="A63" s="334">
        <v>3</v>
      </c>
      <c r="B63" s="328">
        <v>3</v>
      </c>
      <c r="C63" s="328">
        <f t="shared" si="15"/>
        <v>62</v>
      </c>
      <c r="D63" s="360" t="e">
        <f>IF(I63='Jour Férié'!F$13,'Jour Férié'!E$13,""&amp;IF(I63='Jour Férié'!F$14,'Jour Férié'!E$14,""&amp;IF(I63='Jour Férié'!F$15,'Jour Férié'!E$15,""&amp;IF(I63='Jour Férié'!B$5,'Jour Férié'!A$5,""&amp;IF(MOD(MATCH(I24,vacances!$A$3:$A$202,1),2)=1,"vacances","")))))</f>
        <v>#N/A</v>
      </c>
      <c r="E63" s="490"/>
      <c r="F63" s="490"/>
      <c r="G63" s="490"/>
      <c r="H63" s="624"/>
      <c r="I63" s="361">
        <f t="shared" si="16"/>
        <v>43162</v>
      </c>
      <c r="J63" s="613" t="s">
        <v>207</v>
      </c>
      <c r="K63" s="613"/>
      <c r="L63" s="324"/>
      <c r="M63" s="333" t="s">
        <v>208</v>
      </c>
      <c r="N63" s="333"/>
      <c r="O63" s="364">
        <f>(COUNTIF($E61:$E91,$J63))</f>
        <v>0</v>
      </c>
      <c r="P63" s="328"/>
      <c r="Q63" s="555" t="str">
        <f>'FICHE DE PAIE'!A$4</f>
        <v>Salaire de base</v>
      </c>
      <c r="R63" s="555"/>
      <c r="S63" s="555"/>
      <c r="T63" s="555"/>
      <c r="U63" s="555"/>
      <c r="V63" s="555"/>
      <c r="W63" s="555"/>
      <c r="X63" s="555"/>
      <c r="Y63" s="555"/>
      <c r="Z63" s="494"/>
      <c r="AA63" s="556">
        <f>'FICHE DE PAIE'!$K$4</f>
        <v>151.66999999999999</v>
      </c>
      <c r="AB63" s="556"/>
      <c r="AC63" s="556"/>
      <c r="AD63" s="558">
        <f>'FICHE DE PAIE'!N$4</f>
        <v>12.074</v>
      </c>
      <c r="AE63" s="558"/>
      <c r="AF63" s="558"/>
      <c r="AG63" s="559">
        <f t="shared" ref="AG63:AG68" si="17">AA63*AD63</f>
        <v>1831.2635799999998</v>
      </c>
      <c r="AH63" s="559"/>
      <c r="AI63" s="559"/>
      <c r="AJ63" s="559"/>
      <c r="AK63" s="567" t="s">
        <v>233</v>
      </c>
      <c r="AL63" s="567"/>
      <c r="AM63" s="567"/>
      <c r="AN63" s="567"/>
      <c r="AO63" s="568">
        <v>2946</v>
      </c>
      <c r="AP63" s="568"/>
      <c r="AQ63" s="568"/>
      <c r="AR63" s="500"/>
      <c r="AS63" s="500"/>
      <c r="AT63" s="500"/>
      <c r="AU63" s="297"/>
      <c r="AV63" s="290"/>
      <c r="AW63" s="608"/>
      <c r="AX63" s="608"/>
      <c r="AY63" s="608"/>
      <c r="AZ63" s="608"/>
      <c r="BA63" s="608"/>
      <c r="BB63" s="608"/>
      <c r="BC63" s="608"/>
      <c r="BD63" s="608"/>
      <c r="BE63" s="608"/>
      <c r="BF63" s="608"/>
      <c r="BG63" s="608"/>
      <c r="BH63" s="608"/>
      <c r="BI63" s="611" t="s">
        <v>234</v>
      </c>
      <c r="BJ63" s="611"/>
      <c r="BK63" s="611"/>
      <c r="BL63" s="611"/>
      <c r="BM63" s="611" t="s">
        <v>235</v>
      </c>
      <c r="BN63" s="611"/>
      <c r="BO63" s="611"/>
      <c r="BP63" s="611"/>
      <c r="BQ63" s="611" t="s">
        <v>236</v>
      </c>
      <c r="BR63" s="611"/>
      <c r="BS63" s="611"/>
      <c r="BT63" s="611"/>
      <c r="BU63" s="611" t="s">
        <v>235</v>
      </c>
      <c r="BV63" s="611"/>
      <c r="BW63" s="611"/>
      <c r="BX63" s="611" t="s">
        <v>236</v>
      </c>
      <c r="BY63" s="611"/>
      <c r="BZ63" s="611"/>
      <c r="CA63" s="612"/>
    </row>
    <row r="64" spans="1:79" ht="15" customHeight="1">
      <c r="A64" s="334">
        <v>3</v>
      </c>
      <c r="B64" s="328">
        <v>4</v>
      </c>
      <c r="C64" s="328">
        <f t="shared" ref="C64:C79" si="18">VLOOKUP(A64,Données,4)+B64-1</f>
        <v>63</v>
      </c>
      <c r="D64" s="360" t="e">
        <f>IF(I64='Jour Férié'!F$13,'Jour Férié'!E$13,""&amp;IF(I64='Jour Férié'!F$14,'Jour Férié'!E$14,""&amp;IF(I64='Jour Férié'!F$15,'Jour Férié'!E$15,""&amp;IF(I64='Jour Férié'!B$5,'Jour Férié'!A$5,""&amp;IF(MOD(MATCH(I25,vacances!$A$3:$A$202,1),2)=1,"vacances","")))))</f>
        <v>#N/A</v>
      </c>
      <c r="E64" s="490"/>
      <c r="F64" s="490"/>
      <c r="G64" s="490"/>
      <c r="H64" s="624"/>
      <c r="I64" s="361">
        <f t="shared" si="16"/>
        <v>43163</v>
      </c>
      <c r="J64" s="328"/>
      <c r="K64" s="369" t="s">
        <v>209</v>
      </c>
      <c r="L64" s="324"/>
      <c r="M64" s="333" t="s">
        <v>210</v>
      </c>
      <c r="N64" s="333"/>
      <c r="O64" s="364">
        <f>SUM(O61:O63)</f>
        <v>0</v>
      </c>
      <c r="P64" s="328"/>
      <c r="Q64" s="555" t="str">
        <f>'FICHE DE PAIE'!A$5</f>
        <v>HS à 25%</v>
      </c>
      <c r="R64" s="555"/>
      <c r="S64" s="555"/>
      <c r="T64" s="555"/>
      <c r="U64" s="555"/>
      <c r="V64" s="555"/>
      <c r="W64" s="555"/>
      <c r="X64" s="555"/>
      <c r="Y64" s="555"/>
      <c r="Z64" s="494"/>
      <c r="AA64" s="561"/>
      <c r="AB64" s="561"/>
      <c r="AC64" s="561"/>
      <c r="AD64" s="558">
        <f>'FICHE DE PAIE'!N$5</f>
        <v>15.092499999999999</v>
      </c>
      <c r="AE64" s="558"/>
      <c r="AF64" s="558"/>
      <c r="AG64" s="559">
        <f t="shared" si="17"/>
        <v>0</v>
      </c>
      <c r="AH64" s="559"/>
      <c r="AI64" s="559"/>
      <c r="AJ64" s="559"/>
      <c r="AK64" s="294"/>
      <c r="AL64" s="294"/>
      <c r="AM64" s="294"/>
      <c r="AN64" s="295"/>
      <c r="AO64" s="295"/>
      <c r="AP64" s="295"/>
      <c r="AQ64" s="295"/>
      <c r="AR64" s="295"/>
      <c r="AS64" s="295"/>
      <c r="AT64" s="295"/>
      <c r="AU64" s="295"/>
      <c r="AV64" s="290"/>
      <c r="AW64" s="591" t="s">
        <v>238</v>
      </c>
      <c r="AX64" s="591"/>
      <c r="AY64" s="591"/>
      <c r="AZ64" s="591"/>
      <c r="BA64" s="591"/>
      <c r="BB64" s="591"/>
      <c r="BC64" s="591"/>
      <c r="BD64" s="591"/>
      <c r="BE64" s="591"/>
      <c r="BF64" s="591"/>
      <c r="BG64" s="591"/>
      <c r="BH64" s="591"/>
      <c r="BI64" s="590">
        <f>$AG$17</f>
        <v>1952.5539499999998</v>
      </c>
      <c r="BJ64" s="590"/>
      <c r="BK64" s="590"/>
      <c r="BL64" s="590"/>
      <c r="BM64" s="594">
        <f>'FICHE DE PAIE'!AW$5</f>
        <v>4.0000000000000001E-3</v>
      </c>
      <c r="BN64" s="594"/>
      <c r="BO64" s="594"/>
      <c r="BP64" s="594"/>
      <c r="BQ64" s="592">
        <f>BI64*BM64</f>
        <v>7.810215799999999</v>
      </c>
      <c r="BR64" s="592"/>
      <c r="BS64" s="592"/>
      <c r="BT64" s="592"/>
      <c r="BU64" s="594">
        <f>'FICHE DE PAIE'!BE$5</f>
        <v>0.152</v>
      </c>
      <c r="BV64" s="594"/>
      <c r="BW64" s="594"/>
      <c r="BX64" s="592">
        <f>BI64*BU64</f>
        <v>296.78820039999994</v>
      </c>
      <c r="BY64" s="592"/>
      <c r="BZ64" s="592"/>
      <c r="CA64" s="593"/>
    </row>
    <row r="65" spans="1:79" ht="15" customHeight="1">
      <c r="A65" s="334">
        <v>3</v>
      </c>
      <c r="B65" s="328">
        <v>5</v>
      </c>
      <c r="C65" s="328">
        <f t="shared" si="18"/>
        <v>64</v>
      </c>
      <c r="D65" s="360" t="e">
        <f>IF(I65='Jour Férié'!F$13,'Jour Férié'!E$13,""&amp;IF(I65='Jour Férié'!F$14,'Jour Férié'!E$14,""&amp;IF(I65='Jour Férié'!F$15,'Jour Férié'!E$15,""&amp;IF(I65='Jour Férié'!B$5,'Jour Férié'!A$5,""&amp;IF(MOD(MATCH(I26,vacances!$A$3:$A$202,1),2)=1,"vacances","")))))</f>
        <v>#N/A</v>
      </c>
      <c r="E65" s="490"/>
      <c r="F65" s="490"/>
      <c r="G65" s="490"/>
      <c r="H65" s="624"/>
      <c r="I65" s="361">
        <f t="shared" si="16"/>
        <v>43164</v>
      </c>
      <c r="J65" s="328"/>
      <c r="K65" s="328"/>
      <c r="L65" s="324"/>
      <c r="M65" s="333" t="s">
        <v>211</v>
      </c>
      <c r="N65" s="333"/>
      <c r="O65" s="364">
        <f ca="1">(COUNTIF(I61:I69,dimanche(COUNTIF($E61:$E91,$J62))))</f>
        <v>0</v>
      </c>
      <c r="P65" s="328"/>
      <c r="Q65" s="555" t="str">
        <f>'FICHE DE PAIE'!A$6</f>
        <v>HS à 50%</v>
      </c>
      <c r="R65" s="555"/>
      <c r="S65" s="555"/>
      <c r="T65" s="555"/>
      <c r="U65" s="555"/>
      <c r="V65" s="555"/>
      <c r="W65" s="555"/>
      <c r="X65" s="555"/>
      <c r="Y65" s="555"/>
      <c r="Z65" s="494"/>
      <c r="AA65" s="561"/>
      <c r="AB65" s="561"/>
      <c r="AC65" s="561"/>
      <c r="AD65" s="558">
        <f>'FICHE DE PAIE'!N$6</f>
        <v>18.111000000000001</v>
      </c>
      <c r="AE65" s="558"/>
      <c r="AF65" s="558"/>
      <c r="AG65" s="559">
        <f t="shared" si="17"/>
        <v>0</v>
      </c>
      <c r="AH65" s="559"/>
      <c r="AI65" s="559"/>
      <c r="AJ65" s="559"/>
      <c r="AK65" s="294"/>
      <c r="AL65" s="294"/>
      <c r="AM65" s="294"/>
      <c r="AN65" s="295"/>
      <c r="AO65" s="295"/>
      <c r="AP65" s="295"/>
      <c r="AQ65" s="295"/>
      <c r="AR65" s="295"/>
      <c r="AS65" s="295"/>
      <c r="AT65" s="295"/>
      <c r="AU65" s="295"/>
      <c r="AV65" s="290"/>
      <c r="AW65" s="591" t="s">
        <v>240</v>
      </c>
      <c r="AX65" s="591"/>
      <c r="AY65" s="591"/>
      <c r="AZ65" s="591"/>
      <c r="BA65" s="591"/>
      <c r="BB65" s="591"/>
      <c r="BC65" s="591"/>
      <c r="BD65" s="591"/>
      <c r="BE65" s="591"/>
      <c r="BF65" s="591"/>
      <c r="BG65" s="591"/>
      <c r="BH65" s="591"/>
      <c r="BI65" s="590">
        <f t="shared" ref="BI65:BI76" si="19">$AG$17</f>
        <v>1952.5539499999998</v>
      </c>
      <c r="BJ65" s="590"/>
      <c r="BK65" s="590"/>
      <c r="BL65" s="590"/>
      <c r="BM65" s="594">
        <f>'FICHE DE PAIE'!AW$6</f>
        <v>6.9000000000000006E-2</v>
      </c>
      <c r="BN65" s="594"/>
      <c r="BO65" s="594"/>
      <c r="BP65" s="594"/>
      <c r="BQ65" s="592">
        <f t="shared" ref="BQ65:BQ82" si="20">BI65*BM65</f>
        <v>134.72622254999999</v>
      </c>
      <c r="BR65" s="592"/>
      <c r="BS65" s="592"/>
      <c r="BT65" s="592"/>
      <c r="BU65" s="594">
        <f>'FICHE DE PAIE'!BE$6</f>
        <v>8.5500000000000007E-2</v>
      </c>
      <c r="BV65" s="594"/>
      <c r="BW65" s="594"/>
      <c r="BX65" s="592">
        <f t="shared" ref="BX65:BX84" si="21">BI65*BU65</f>
        <v>166.94336272499999</v>
      </c>
      <c r="BY65" s="592"/>
      <c r="BZ65" s="592"/>
      <c r="CA65" s="593"/>
    </row>
    <row r="66" spans="1:79" ht="15" customHeight="1">
      <c r="A66" s="334">
        <v>3</v>
      </c>
      <c r="B66" s="328">
        <v>6</v>
      </c>
      <c r="C66" s="328">
        <f t="shared" si="18"/>
        <v>65</v>
      </c>
      <c r="D66" s="360" t="e">
        <f>IF(I66='Jour Férié'!F$13,'Jour Férié'!E$13,""&amp;IF(I66='Jour Férié'!F$14,'Jour Férié'!E$14,""&amp;IF(I66='Jour Férié'!F$15,'Jour Férié'!E$15,""&amp;IF(I66='Jour Férié'!B$5,'Jour Férié'!A$5,""&amp;IF(MOD(MATCH(I27,vacances!$A$3:$A$202,1),2)=1,"vacances","")))))</f>
        <v>#N/A</v>
      </c>
      <c r="E66" s="490"/>
      <c r="F66" s="490"/>
      <c r="G66" s="490"/>
      <c r="H66" s="624"/>
      <c r="I66" s="361">
        <f t="shared" si="16"/>
        <v>43165</v>
      </c>
      <c r="J66" s="328"/>
      <c r="K66" s="369" t="s">
        <v>212</v>
      </c>
      <c r="L66" s="324"/>
      <c r="M66" s="333" t="s">
        <v>213</v>
      </c>
      <c r="N66" s="333"/>
      <c r="O66" s="364">
        <f>SUM(O61:O62)</f>
        <v>0</v>
      </c>
      <c r="P66" s="328"/>
      <c r="Q66" s="555" t="str">
        <f>'FICHE DE PAIE'!A$7</f>
        <v>MAJORATION DIMANCHE</v>
      </c>
      <c r="R66" s="555"/>
      <c r="S66" s="555"/>
      <c r="T66" s="555"/>
      <c r="U66" s="555"/>
      <c r="V66" s="555"/>
      <c r="W66" s="555"/>
      <c r="X66" s="555"/>
      <c r="Y66" s="555"/>
      <c r="Z66" s="494"/>
      <c r="AA66" s="557">
        <f>O71</f>
        <v>0</v>
      </c>
      <c r="AB66" s="557"/>
      <c r="AC66" s="557"/>
      <c r="AD66" s="558">
        <f>'FICHE DE PAIE'!N$7</f>
        <v>1.2074</v>
      </c>
      <c r="AE66" s="558"/>
      <c r="AF66" s="558"/>
      <c r="AG66" s="559">
        <f t="shared" si="17"/>
        <v>0</v>
      </c>
      <c r="AH66" s="559"/>
      <c r="AI66" s="559"/>
      <c r="AJ66" s="559"/>
      <c r="AK66" s="294"/>
      <c r="AL66" s="294"/>
      <c r="AM66" s="294"/>
      <c r="AN66" s="295"/>
      <c r="AO66" s="295"/>
      <c r="AP66" s="295"/>
      <c r="AQ66" s="295"/>
      <c r="AR66" s="295"/>
      <c r="AS66" s="295"/>
      <c r="AT66" s="295"/>
      <c r="AU66" s="295"/>
      <c r="AV66" s="290"/>
      <c r="AW66" s="591" t="s">
        <v>242</v>
      </c>
      <c r="AX66" s="591"/>
      <c r="AY66" s="591"/>
      <c r="AZ66" s="591"/>
      <c r="BA66" s="591"/>
      <c r="BB66" s="591"/>
      <c r="BC66" s="591"/>
      <c r="BD66" s="591"/>
      <c r="BE66" s="591"/>
      <c r="BF66" s="591"/>
      <c r="BG66" s="591"/>
      <c r="BH66" s="591"/>
      <c r="BI66" s="590">
        <f t="shared" si="19"/>
        <v>1952.5539499999998</v>
      </c>
      <c r="BJ66" s="590"/>
      <c r="BK66" s="590"/>
      <c r="BL66" s="590"/>
      <c r="BM66" s="590"/>
      <c r="BN66" s="590"/>
      <c r="BO66" s="590"/>
      <c r="BP66" s="590"/>
      <c r="BQ66" s="592">
        <f t="shared" si="20"/>
        <v>0</v>
      </c>
      <c r="BR66" s="592"/>
      <c r="BS66" s="592"/>
      <c r="BT66" s="592"/>
      <c r="BU66" s="594">
        <f>'FICHE DE PAIE'!BE$7</f>
        <v>1E-3</v>
      </c>
      <c r="BV66" s="594"/>
      <c r="BW66" s="594"/>
      <c r="BX66" s="592">
        <f t="shared" si="21"/>
        <v>1.9525539499999998</v>
      </c>
      <c r="BY66" s="592"/>
      <c r="BZ66" s="592"/>
      <c r="CA66" s="593"/>
    </row>
    <row r="67" spans="1:79" ht="15" customHeight="1">
      <c r="A67" s="334">
        <v>3</v>
      </c>
      <c r="B67" s="328">
        <v>7</v>
      </c>
      <c r="C67" s="328">
        <f t="shared" si="18"/>
        <v>66</v>
      </c>
      <c r="D67" s="360" t="e">
        <f>IF(I67='Jour Férié'!F$13,'Jour Férié'!E$13,""&amp;IF(I67='Jour Férié'!F$14,'Jour Férié'!E$14,""&amp;IF(I67='Jour Férié'!F$15,'Jour Férié'!E$15,""&amp;IF(I67='Jour Férié'!B$5,'Jour Férié'!A$5,""&amp;IF(MOD(MATCH(I28,vacances!$A$3:$A$202,1),2)=1,"vacances","")))))</f>
        <v>#N/A</v>
      </c>
      <c r="E67" s="490"/>
      <c r="F67" s="490"/>
      <c r="G67" s="490"/>
      <c r="H67" s="624"/>
      <c r="I67" s="361">
        <f t="shared" si="16"/>
        <v>43166</v>
      </c>
      <c r="J67" s="328"/>
      <c r="K67" s="328"/>
      <c r="L67" s="324"/>
      <c r="M67" s="363" t="s">
        <v>214</v>
      </c>
      <c r="N67" s="363"/>
      <c r="O67" s="370">
        <f>((6*COUNTIF(E60,J61))+(3*COUNTIF(E61,J61))+((6*COUNTIF(E61,J61))+(3*COUNTIF(E62,J61)))+((6*COUNTIF(E62,J61))+(3*COUNTIF(E63,J61)))+((6*COUNTIF(E63,J61))+(3*COUNTIF(E64,J61)))+((6*COUNTIF(E64,J61))+(3*COUNTIF(E65,J61)))+((6*COUNTIF(E65,J61))+(3*COUNTIF(E66,J61)))+((6*COUNTIF(E66,J61))+(3*COUNTIF(E67,J61)))+((6*COUNTIF(E67,J61))+(3*COUNTIF(E68,J61)))+((6*COUNTIF(E68,J61))+(3*COUNTIF(E69,J61)))+((6*COUNTIF(E69,J61))+(3*COUNTIF(E70,J61)))+((6*COUNTIF(E70,J61))+(3*COUNTIF(E71,J61)))+((6*COUNTIF(E71,J61))+(3*COUNTIF(E72,J61)))+((6*COUNTIF(E72,J61))+(3*COUNTIF(E73,J61)))+((6*COUNTIF(E73,J61))+(3*COUNTIF(E74,J61)))+((6*COUNTIF(E74,J61))+(3*COUNTIF(E75,J61)))+((6*COUNTIF(E75,J61))+(3*COUNTIF(E76,J61)))+((6*COUNTIF(E76,J61))+(3*COUNTIF(E77,J61)))+((6*COUNTIF(E77,J61))+(3*COUNTIF(E78,J61)))+((6*COUNTIF(E78,J61))+(3*COUNTIF(E79,J61)))+((6*COUNTIF(E79,J61))+(3*COUNTIF(E80,J61)))+((6*COUNTIF(E80,J61))+(3*COUNTIF(E81,J61)))+((6*COUNTIF(E81,J61))+(3*COUNTIF(E82,J61)))+((6*COUNTIF(E82,J61))+(3*COUNTIF(E83,J61)))+((6*COUNTIF(E83,J61))+(3*COUNTIF(E84,J61)))+((6*COUNTIF(E84,J61))+(3*COUNTIF(E85,J61)))+((6*COUNTIF(E85,J61))+(3*COUNTIF(E86,J61)))+((6*COUNTIF(E86,J61))+(3*COUNTIF(E87,J61)))+((6*COUNTIF(E87,J61))+(3*COUNTIF(E88,J61)))+((6*COUNTIF(E88,J61))+(3*COUNTIF(E89,J61)))+((6*COUNTIF(E89,J61))+(3*COUNTIF(E90,J61)))+((6*COUNTIF(E90,J61))+(3*COUNTIF(E91,J61)))+((6*COUNTIF(E91,J61))))</f>
        <v>0</v>
      </c>
      <c r="P67" s="328"/>
      <c r="Q67" s="555" t="str">
        <f>'FICHE DE PAIE'!A$8</f>
        <v>MAJORATION NUIT</v>
      </c>
      <c r="R67" s="555"/>
      <c r="S67" s="555"/>
      <c r="T67" s="555"/>
      <c r="U67" s="555"/>
      <c r="V67" s="555"/>
      <c r="W67" s="555"/>
      <c r="X67" s="555"/>
      <c r="Y67" s="555"/>
      <c r="Z67" s="494"/>
      <c r="AA67" s="557">
        <f>O67</f>
        <v>0</v>
      </c>
      <c r="AB67" s="557"/>
      <c r="AC67" s="557"/>
      <c r="AD67" s="558">
        <f>'FICHE DE PAIE'!N$8</f>
        <v>1.2074</v>
      </c>
      <c r="AE67" s="558"/>
      <c r="AF67" s="558"/>
      <c r="AG67" s="559">
        <f t="shared" si="17"/>
        <v>0</v>
      </c>
      <c r="AH67" s="559"/>
      <c r="AI67" s="559"/>
      <c r="AJ67" s="559"/>
      <c r="AK67" s="294"/>
      <c r="AL67" s="294"/>
      <c r="AM67" s="294"/>
      <c r="AN67" s="295"/>
      <c r="AO67" s="295"/>
      <c r="AP67" s="295"/>
      <c r="AQ67" s="295"/>
      <c r="AR67" s="295"/>
      <c r="AS67" s="295"/>
      <c r="AT67" s="295"/>
      <c r="AU67" s="295"/>
      <c r="AV67" s="290"/>
      <c r="AW67" s="591" t="s">
        <v>244</v>
      </c>
      <c r="AX67" s="591"/>
      <c r="AY67" s="591"/>
      <c r="AZ67" s="591"/>
      <c r="BA67" s="591"/>
      <c r="BB67" s="591"/>
      <c r="BC67" s="591"/>
      <c r="BD67" s="591"/>
      <c r="BE67" s="591"/>
      <c r="BF67" s="591"/>
      <c r="BG67" s="591"/>
      <c r="BH67" s="591"/>
      <c r="BI67" s="590">
        <f t="shared" si="19"/>
        <v>1952.5539499999998</v>
      </c>
      <c r="BJ67" s="590"/>
      <c r="BK67" s="590"/>
      <c r="BL67" s="590"/>
      <c r="BM67" s="590"/>
      <c r="BN67" s="590"/>
      <c r="BO67" s="590"/>
      <c r="BP67" s="590"/>
      <c r="BQ67" s="592">
        <f t="shared" si="20"/>
        <v>0</v>
      </c>
      <c r="BR67" s="592"/>
      <c r="BS67" s="592"/>
      <c r="BT67" s="592"/>
      <c r="BU67" s="594">
        <f>'FICHE DE PAIE'!BE$8</f>
        <v>4.0000000000000001E-3</v>
      </c>
      <c r="BV67" s="594"/>
      <c r="BW67" s="594"/>
      <c r="BX67" s="592">
        <f t="shared" si="21"/>
        <v>7.810215799999999</v>
      </c>
      <c r="BY67" s="592"/>
      <c r="BZ67" s="592"/>
      <c r="CA67" s="593"/>
    </row>
    <row r="68" spans="1:79" ht="15" customHeight="1">
      <c r="A68" s="334">
        <v>3</v>
      </c>
      <c r="B68" s="328">
        <v>8</v>
      </c>
      <c r="C68" s="328">
        <f t="shared" si="18"/>
        <v>67</v>
      </c>
      <c r="D68" s="360" t="e">
        <f>IF(I68='Jour Férié'!F$13,'Jour Férié'!E$13,""&amp;IF(I68='Jour Férié'!F$14,'Jour Férié'!E$14,""&amp;IF(I68='Jour Férié'!F$15,'Jour Férié'!E$15,""&amp;IF(I68='Jour Férié'!B$5,'Jour Férié'!A$5,""&amp;IF(MOD(MATCH(I29,vacances!$A$3:$A$202,1),2)=1,"vacances","")))))</f>
        <v>#N/A</v>
      </c>
      <c r="E68" s="490"/>
      <c r="F68" s="490"/>
      <c r="G68" s="490"/>
      <c r="H68" s="624"/>
      <c r="I68" s="361">
        <f t="shared" si="16"/>
        <v>43167</v>
      </c>
      <c r="J68" s="371" t="s">
        <v>215</v>
      </c>
      <c r="K68" s="369" t="s">
        <v>216</v>
      </c>
      <c r="L68" s="324"/>
      <c r="M68" s="333" t="s">
        <v>217</v>
      </c>
      <c r="N68" s="333"/>
      <c r="O68" s="364">
        <f>O62*12</f>
        <v>0</v>
      </c>
      <c r="P68" s="328"/>
      <c r="Q68" s="555" t="str">
        <f>'FICHE DE PAIE'!A$9</f>
        <v>MAJORATION JOUR FERIE</v>
      </c>
      <c r="R68" s="555"/>
      <c r="S68" s="555"/>
      <c r="T68" s="555"/>
      <c r="U68" s="555"/>
      <c r="V68" s="555"/>
      <c r="W68" s="555"/>
      <c r="X68" s="555"/>
      <c r="Y68" s="555"/>
      <c r="Z68" s="494"/>
      <c r="AA68" s="557">
        <f>O73</f>
        <v>0</v>
      </c>
      <c r="AB68" s="557"/>
      <c r="AC68" s="557"/>
      <c r="AD68" s="558">
        <f>'FICHE DE PAIE'!N$9</f>
        <v>12.074</v>
      </c>
      <c r="AE68" s="558"/>
      <c r="AF68" s="558"/>
      <c r="AG68" s="559">
        <f t="shared" si="17"/>
        <v>0</v>
      </c>
      <c r="AH68" s="559"/>
      <c r="AI68" s="559"/>
      <c r="AJ68" s="559"/>
      <c r="AK68" s="294"/>
      <c r="AL68" s="294"/>
      <c r="AM68" s="294"/>
      <c r="AN68" s="295"/>
      <c r="AO68" s="295"/>
      <c r="AP68" s="295"/>
      <c r="AQ68" s="295"/>
      <c r="AR68" s="295"/>
      <c r="AS68" s="295"/>
      <c r="AT68" s="295"/>
      <c r="AU68" s="295"/>
      <c r="AV68" s="290"/>
      <c r="AW68" s="591" t="s">
        <v>246</v>
      </c>
      <c r="AX68" s="591"/>
      <c r="AY68" s="591"/>
      <c r="AZ68" s="591"/>
      <c r="BA68" s="591"/>
      <c r="BB68" s="591"/>
      <c r="BC68" s="591"/>
      <c r="BD68" s="591"/>
      <c r="BE68" s="591"/>
      <c r="BF68" s="591"/>
      <c r="BG68" s="591"/>
      <c r="BH68" s="591"/>
      <c r="BI68" s="590">
        <f t="shared" si="19"/>
        <v>1952.5539499999998</v>
      </c>
      <c r="BJ68" s="590"/>
      <c r="BK68" s="590"/>
      <c r="BL68" s="590"/>
      <c r="BM68" s="590"/>
      <c r="BN68" s="590"/>
      <c r="BO68" s="590"/>
      <c r="BP68" s="590"/>
      <c r="BQ68" s="592">
        <f t="shared" si="20"/>
        <v>0</v>
      </c>
      <c r="BR68" s="592"/>
      <c r="BS68" s="592"/>
      <c r="BT68" s="592"/>
      <c r="BU68" s="594">
        <f>'FICHE DE PAIE'!BE$9</f>
        <v>1.2999999999999999E-2</v>
      </c>
      <c r="BV68" s="594"/>
      <c r="BW68" s="594"/>
      <c r="BX68" s="592">
        <f t="shared" si="21"/>
        <v>25.383201349999997</v>
      </c>
      <c r="BY68" s="592"/>
      <c r="BZ68" s="592"/>
      <c r="CA68" s="593"/>
    </row>
    <row r="69" spans="1:79" ht="15" customHeight="1">
      <c r="A69" s="334">
        <v>3</v>
      </c>
      <c r="B69" s="328">
        <v>9</v>
      </c>
      <c r="C69" s="328">
        <f t="shared" si="18"/>
        <v>68</v>
      </c>
      <c r="D69" s="360" t="e">
        <f>IF(I69='Jour Férié'!F$13,'Jour Férié'!E$13,""&amp;IF(I69='Jour Férié'!F$14,'Jour Férié'!E$14,""&amp;IF(I69='Jour Férié'!F$15,'Jour Férié'!E$15,""&amp;IF(I69='Jour Férié'!B$5,'Jour Férié'!A$5,""&amp;IF(MOD(MATCH(I30,vacances!$A$3:$A$202,1),2)=1,"vacances","")))))</f>
        <v>#N/A</v>
      </c>
      <c r="E69" s="490"/>
      <c r="F69" s="490"/>
      <c r="G69" s="490"/>
      <c r="H69" s="624"/>
      <c r="I69" s="361">
        <f t="shared" si="16"/>
        <v>43168</v>
      </c>
      <c r="J69" s="371" t="s">
        <v>218</v>
      </c>
      <c r="K69" s="330" t="s">
        <v>219</v>
      </c>
      <c r="L69" s="324"/>
      <c r="M69" s="333" t="s">
        <v>220</v>
      </c>
      <c r="N69" s="333"/>
      <c r="O69" s="364">
        <f>O63*7</f>
        <v>0</v>
      </c>
      <c r="P69" s="328"/>
      <c r="Q69" s="555" t="str">
        <f>'FICHE DE PAIE'!A$10</f>
        <v xml:space="preserve">PRIME ANCIENNETE </v>
      </c>
      <c r="R69" s="555"/>
      <c r="S69" s="555"/>
      <c r="T69" s="555"/>
      <c r="U69" s="555"/>
      <c r="V69" s="555"/>
      <c r="W69" s="555"/>
      <c r="X69" s="555"/>
      <c r="Y69" s="555"/>
      <c r="Z69" s="494"/>
      <c r="AA69" s="556">
        <v>1</v>
      </c>
      <c r="AB69" s="556"/>
      <c r="AC69" s="556"/>
      <c r="AD69" s="558">
        <f>'FICHE DE PAIE'!N$10</f>
        <v>36.630000000000003</v>
      </c>
      <c r="AE69" s="558"/>
      <c r="AF69" s="558"/>
      <c r="AG69" s="606"/>
      <c r="AH69" s="606"/>
      <c r="AI69" s="606"/>
      <c r="AJ69" s="606"/>
      <c r="AK69" s="294"/>
      <c r="AL69" s="294"/>
      <c r="AM69" s="294"/>
      <c r="AN69" s="295"/>
      <c r="AO69" s="295"/>
      <c r="AP69" s="295"/>
      <c r="AQ69" s="295"/>
      <c r="AR69" s="295"/>
      <c r="AS69" s="295"/>
      <c r="AT69" s="295"/>
      <c r="AU69" s="295"/>
      <c r="AV69" s="290"/>
      <c r="AW69" s="591" t="s">
        <v>248</v>
      </c>
      <c r="AX69" s="591"/>
      <c r="AY69" s="591"/>
      <c r="AZ69" s="591"/>
      <c r="BA69" s="591"/>
      <c r="BB69" s="591"/>
      <c r="BC69" s="591"/>
      <c r="BD69" s="591"/>
      <c r="BE69" s="591"/>
      <c r="BF69" s="591"/>
      <c r="BG69" s="591"/>
      <c r="BH69" s="591"/>
      <c r="BI69" s="590">
        <f t="shared" si="19"/>
        <v>1952.5539499999998</v>
      </c>
      <c r="BJ69" s="590"/>
      <c r="BK69" s="590"/>
      <c r="BL69" s="590"/>
      <c r="BM69" s="590"/>
      <c r="BN69" s="590"/>
      <c r="BO69" s="590"/>
      <c r="BP69" s="590"/>
      <c r="BQ69" s="592">
        <f t="shared" si="20"/>
        <v>0</v>
      </c>
      <c r="BR69" s="592"/>
      <c r="BS69" s="592"/>
      <c r="BT69" s="592"/>
      <c r="BU69" s="594">
        <f>'FICHE DE PAIE'!BE$10</f>
        <v>1.7600000000000001E-2</v>
      </c>
      <c r="BV69" s="594"/>
      <c r="BW69" s="594"/>
      <c r="BX69" s="592">
        <f t="shared" si="21"/>
        <v>34.364949519999996</v>
      </c>
      <c r="BY69" s="592"/>
      <c r="BZ69" s="592"/>
      <c r="CA69" s="593"/>
    </row>
    <row r="70" spans="1:79" ht="15" customHeight="1">
      <c r="A70" s="334">
        <v>3</v>
      </c>
      <c r="B70" s="328">
        <v>10</v>
      </c>
      <c r="C70" s="328">
        <f t="shared" si="18"/>
        <v>69</v>
      </c>
      <c r="D70" s="360" t="e">
        <f>IF(I70='Jour Férié'!F$13,'Jour Férié'!E$13,""&amp;IF(I70='Jour Férié'!F$14,'Jour Férié'!E$14,""&amp;IF(I70='Jour Férié'!F$15,'Jour Férié'!E$15,""&amp;IF(I70='Jour Férié'!B$5,'Jour Férié'!A$5,""&amp;IF(MOD(MATCH(I31,vacances!$A$3:$A$202,1),2)=1,"vacances","")))))</f>
        <v>#N/A</v>
      </c>
      <c r="E70" s="490"/>
      <c r="F70" s="490"/>
      <c r="G70" s="490"/>
      <c r="H70" s="624"/>
      <c r="I70" s="361">
        <f t="shared" si="16"/>
        <v>43169</v>
      </c>
      <c r="J70" s="328" t="s">
        <v>221</v>
      </c>
      <c r="K70" s="330" t="s">
        <v>222</v>
      </c>
      <c r="L70" s="324"/>
      <c r="M70" s="363" t="s">
        <v>223</v>
      </c>
      <c r="N70" s="363"/>
      <c r="O70" s="370">
        <f>(O61+O62)*12</f>
        <v>0</v>
      </c>
      <c r="P70" s="328"/>
      <c r="Q70" s="555" t="str">
        <f>'FICHE DE PAIE'!A$11</f>
        <v>PRIME HABILLAGE</v>
      </c>
      <c r="R70" s="555"/>
      <c r="S70" s="555"/>
      <c r="T70" s="555"/>
      <c r="U70" s="555"/>
      <c r="V70" s="555"/>
      <c r="W70" s="555"/>
      <c r="X70" s="555"/>
      <c r="Y70" s="555"/>
      <c r="Z70" s="494"/>
      <c r="AA70" s="556">
        <f>AA63</f>
        <v>151.66999999999999</v>
      </c>
      <c r="AB70" s="556"/>
      <c r="AC70" s="556"/>
      <c r="AD70" s="558">
        <f>'FICHE DE PAIE'!N$11</f>
        <v>0.13100000000000001</v>
      </c>
      <c r="AE70" s="558"/>
      <c r="AF70" s="558"/>
      <c r="AG70" s="559">
        <f>AA70*AD70</f>
        <v>19.868769999999998</v>
      </c>
      <c r="AH70" s="559"/>
      <c r="AI70" s="559"/>
      <c r="AJ70" s="559"/>
      <c r="AK70" s="294"/>
      <c r="AL70" s="294"/>
      <c r="AM70" s="294"/>
      <c r="AN70" s="295"/>
      <c r="AO70" s="295"/>
      <c r="AP70" s="295"/>
      <c r="AQ70" s="295"/>
      <c r="AR70" s="295"/>
      <c r="AS70" s="295"/>
      <c r="AT70" s="295"/>
      <c r="AU70" s="295"/>
      <c r="AV70" s="290"/>
      <c r="AW70" s="591" t="s">
        <v>250</v>
      </c>
      <c r="AX70" s="591"/>
      <c r="AY70" s="591"/>
      <c r="AZ70" s="591"/>
      <c r="BA70" s="591"/>
      <c r="BB70" s="591"/>
      <c r="BC70" s="591"/>
      <c r="BD70" s="591"/>
      <c r="BE70" s="591"/>
      <c r="BF70" s="591"/>
      <c r="BG70" s="591"/>
      <c r="BH70" s="591"/>
      <c r="BI70" s="590">
        <f t="shared" si="19"/>
        <v>1952.5539499999998</v>
      </c>
      <c r="BJ70" s="590"/>
      <c r="BK70" s="590"/>
      <c r="BL70" s="590"/>
      <c r="BM70" s="590"/>
      <c r="BN70" s="590"/>
      <c r="BO70" s="590"/>
      <c r="BP70" s="590"/>
      <c r="BQ70" s="592">
        <f t="shared" si="20"/>
        <v>0</v>
      </c>
      <c r="BR70" s="592"/>
      <c r="BS70" s="592"/>
      <c r="BT70" s="592"/>
      <c r="BU70" s="594">
        <f>'FICHE DE PAIE'!BE$11</f>
        <v>3.4500000000000003E-2</v>
      </c>
      <c r="BV70" s="594"/>
      <c r="BW70" s="594"/>
      <c r="BX70" s="592">
        <f t="shared" si="21"/>
        <v>67.363111274999994</v>
      </c>
      <c r="BY70" s="592"/>
      <c r="BZ70" s="592"/>
      <c r="CA70" s="593"/>
    </row>
    <row r="71" spans="1:79" ht="15" customHeight="1">
      <c r="A71" s="334">
        <v>3</v>
      </c>
      <c r="B71" s="328">
        <v>11</v>
      </c>
      <c r="C71" s="328">
        <f t="shared" si="18"/>
        <v>70</v>
      </c>
      <c r="D71" s="360" t="e">
        <f>IF(I71='Jour Férié'!F$13,'Jour Férié'!E$13,""&amp;IF(I71='Jour Férié'!F$14,'Jour Férié'!E$14,""&amp;IF(I71='Jour Férié'!F$15,'Jour Férié'!E$15,""&amp;IF(I71='Jour Férié'!B$5,'Jour Férié'!A$5,""&amp;IF(MOD(MATCH(I32,vacances!$A$3:$A$202,1),2)=1,"vacances","")))))</f>
        <v>#N/A</v>
      </c>
      <c r="E71" s="490"/>
      <c r="F71" s="490"/>
      <c r="G71" s="490"/>
      <c r="H71" s="624"/>
      <c r="I71" s="361">
        <f t="shared" si="16"/>
        <v>43170</v>
      </c>
      <c r="J71" s="324"/>
      <c r="K71" s="324"/>
      <c r="L71" s="324"/>
      <c r="M71" s="577" t="s">
        <v>224</v>
      </c>
      <c r="N71" s="372">
        <f>(IF(WEEKDAY(I61,2)=7,(7*COUNTIF(E60,J61))+(12*COUNTIF(E61,J62))+(5*COUNTIF(E61,J61))))+(IF(WEEKDAY(I62,2)=7,(7*COUNTIF(E61,J61))+(12*COUNTIF(E62,J62))+(5*COUNTIF(E62,J61))))+(IF(WEEKDAY(I63,2)=7,(7*COUNTIF(E62,J61))+(12*COUNTIF(E63,J62))+(5*COUNTIF(E63,J61))))+(IF(WEEKDAY(I64,2)=7,(7*COUNTIF(E63,J61))+(12*COUNTIF(E64,J62))+(5*COUNTIF(E64,J61))))+(IF(WEEKDAY(I65,2)=7,(7*COUNTIF(E64,J61))+(12*COUNTIF(E65,J62))+(5*COUNTIF(E65,J61))))+(IF(WEEKDAY(I66,2)=7,(7*COUNTIF(E65,J61))+(12*COUNTIF(E66,J62))+(5*COUNTIF(E66,J61))))+(IF(WEEKDAY(I67,2)=7,(7*COUNTIF(E66,J61))+(12*COUNTIF(E67,J62))+(5*COUNTIF(E67,J61))))+(IF(WEEKDAY(I68,2)=7,(7*COUNTIF(E67,J61))+(12*COUNTIF(E68,J62))+(5*COUNTIF(E68,J61))))+(IF(WEEKDAY(I69,2)=7,(7*COUNTIF(E68,J61))+(12*COUNTIF(E69,J62))+(5*COUNTIF(E69,J61))))+(IF(WEEKDAY(I70,2)=7,(7*COUNTIF(E69,J61))+(12*COUNTIF(E70,J62))+(5*COUNTIF(E70,J61))))+(IF(WEEKDAY(I71,2)=7,(7*COUNTIF(E70,J61))+(12*COUNTIF(E71,J62))+(5*COUNTIF(E71,J61))))+(IF(WEEKDAY(I72,2)=7,(7*COUNTIF(E71,J61))+(12*COUNTIF(E72,J62))+(5*COUNTIF(E72,J61))))+(IF(WEEKDAY(I73,2)=7,(7*COUNTIF(E72,J61))+(12*COUNTIF(E73,J62))+(5*COUNTIF(E73,J61))))+(IF(WEEKDAY(I74,2)=7,(7*COUNTIF(E73,J61))+(12*COUNTIF(E74,J62))+(5*COUNTIF(E74,J61))))</f>
        <v>0</v>
      </c>
      <c r="O71" s="584">
        <f>SUM(N71:N72)</f>
        <v>0</v>
      </c>
      <c r="P71" s="328"/>
      <c r="Q71" s="555" t="str">
        <f>'FICHE DE PAIE'!A$12</f>
        <v>PRIME ASTREINTE</v>
      </c>
      <c r="R71" s="555"/>
      <c r="S71" s="555"/>
      <c r="T71" s="555"/>
      <c r="U71" s="555"/>
      <c r="V71" s="555"/>
      <c r="W71" s="555"/>
      <c r="X71" s="555"/>
      <c r="Y71" s="555"/>
      <c r="Z71" s="494"/>
      <c r="AA71" s="561"/>
      <c r="AB71" s="561"/>
      <c r="AC71" s="561"/>
      <c r="AD71" s="558">
        <f>'FICHE DE PAIE'!N$12</f>
        <v>90</v>
      </c>
      <c r="AE71" s="558"/>
      <c r="AF71" s="558"/>
      <c r="AG71" s="559">
        <f>AA71*AD71</f>
        <v>0</v>
      </c>
      <c r="AH71" s="559"/>
      <c r="AI71" s="559"/>
      <c r="AJ71" s="559"/>
      <c r="AK71" s="294"/>
      <c r="AL71" s="294"/>
      <c r="AM71" s="294"/>
      <c r="AN71" s="295"/>
      <c r="AO71" s="295"/>
      <c r="AP71" s="295"/>
      <c r="AQ71" s="295"/>
      <c r="AR71" s="295"/>
      <c r="AS71" s="295"/>
      <c r="AT71" s="295"/>
      <c r="AU71" s="295"/>
      <c r="AV71" s="290"/>
      <c r="AW71" s="591" t="s">
        <v>252</v>
      </c>
      <c r="AX71" s="591"/>
      <c r="AY71" s="591"/>
      <c r="AZ71" s="591"/>
      <c r="BA71" s="591"/>
      <c r="BB71" s="591"/>
      <c r="BC71" s="591"/>
      <c r="BD71" s="591"/>
      <c r="BE71" s="591"/>
      <c r="BF71" s="591"/>
      <c r="BG71" s="591"/>
      <c r="BH71" s="591"/>
      <c r="BI71" s="590">
        <f t="shared" si="19"/>
        <v>1952.5539499999998</v>
      </c>
      <c r="BJ71" s="590"/>
      <c r="BK71" s="590"/>
      <c r="BL71" s="590"/>
      <c r="BM71" s="590"/>
      <c r="BN71" s="590"/>
      <c r="BO71" s="590"/>
      <c r="BP71" s="590"/>
      <c r="BQ71" s="592">
        <f t="shared" si="20"/>
        <v>0</v>
      </c>
      <c r="BR71" s="592"/>
      <c r="BS71" s="592"/>
      <c r="BT71" s="592"/>
      <c r="BU71" s="594">
        <f>'FICHE DE PAIE'!BE$12</f>
        <v>1.6000000000000001E-4</v>
      </c>
      <c r="BV71" s="594"/>
      <c r="BW71" s="594"/>
      <c r="BX71" s="592">
        <f t="shared" si="21"/>
        <v>0.31240863199999996</v>
      </c>
      <c r="BY71" s="592"/>
      <c r="BZ71" s="592"/>
      <c r="CA71" s="593"/>
    </row>
    <row r="72" spans="1:79" ht="15" customHeight="1">
      <c r="A72" s="334">
        <v>3</v>
      </c>
      <c r="B72" s="328">
        <v>12</v>
      </c>
      <c r="C72" s="328">
        <f t="shared" si="18"/>
        <v>71</v>
      </c>
      <c r="D72" s="360" t="e">
        <f>IF(I72='Jour Férié'!F$13,'Jour Férié'!E$13,""&amp;IF(I72='Jour Férié'!F$14,'Jour Férié'!E$14,""&amp;IF(I72='Jour Férié'!F$15,'Jour Férié'!E$15,""&amp;IF(I72='Jour Férié'!B$5,'Jour Férié'!A$5,""&amp;IF(MOD(MATCH(I33,vacances!$A$3:$A$202,1),2)=1,"vacances","")))))</f>
        <v>#N/A</v>
      </c>
      <c r="E72" s="490"/>
      <c r="F72" s="490"/>
      <c r="G72" s="490"/>
      <c r="H72" s="624"/>
      <c r="I72" s="361">
        <f t="shared" si="16"/>
        <v>43171</v>
      </c>
      <c r="J72" s="328"/>
      <c r="K72" s="328"/>
      <c r="L72" s="328"/>
      <c r="M72" s="577"/>
      <c r="N72" s="373">
        <f>(IF(WEEKDAY(I75,2)=7,(7*COUNTIF(E74,J61))+(12*COUNTIF(E75,J62))+(5*COUNTIF(E75,J61))))+(IF(WEEKDAY(I76,2)=7,(7*COUNTIF(E75,J61))+(12*COUNTIF(E76,J62))+(5*COUNTIF(E76,J61))))+(IF(WEEKDAY(I77,2)=7,(7*COUNTIF(E76,J61))+(12*COUNTIF(E77,J62))+(5*COUNTIF(E77,J61))))+(IF(WEEKDAY(I78,2)=7,(7*COUNTIF(E77,J61))+(12*COUNTIF(E78,J62))+(5*COUNTIF(E78,J61))))+(IF(WEEKDAY(I79,2)=7,(7*COUNTIF(E78,J61))+(12*COUNTIF(E79,J62))+(5*COUNTIF(E79,J61))))+(IF(WEEKDAY(I80,2)=7,(7*COUNTIF(E79,J61))+(12*COUNTIF(E80,J62))+(5*COUNTIF(E80,J61))))+(IF(WEEKDAY(I81,2)=7,(7*COUNTIF(E80,J61))+(12*COUNTIF(E81,J62))+(5*COUNTIF(E81,J61))))+(IF(WEEKDAY(I82,2)=7,(7*COUNTIF(E81,J61))+(12*COUNTIF(E82,J62))+(5*COUNTIF(E82,J61))))+(IF(WEEKDAY(I83,2)=7,(7*COUNTIF(E82,J61))+(12*COUNTIF(E83,J62))+(5*COUNTIF(E83,J61))))+(IF(WEEKDAY(I84,2)=7,(7*COUNTIF(E83,J61))+(12*COUNTIF(E84,J62))+(5*COUNTIF(E84,J61))))+(IF(WEEKDAY(I85,2)=7,(7*COUNTIF(E84,J61))+(12*COUNTIF(E85,J62))+(5*COUNTIF(E85,J61))))+(IF(WEEKDAY(I86,2)=7,(7*COUNTIF(E85,J61))+(12*COUNTIF(E86,J62))+(5*COUNTIF(E86,J61))))+(IF(WEEKDAY(I87,2)=7,(7*COUNTIF(E86,J61))+(12*COUNTIF(E87,J62))+(5*COUNTIF(E87,J61))))+(IF(WEEKDAY(I88,2)=7,(7*COUNTIF(E87,J61))+(12*COUNTIF(E88,J62))+(5*COUNTIF(E88,J61))))+(IF(WEEKDAY(I89,2)=7,(7*COUNTIF(E88,J61))+(12*COUNTIF(E89,J62))+(5*COUNTIF(E89,J61))))+(IF(WEEKDAY(I90,2)=7,(7*COUNTIF(E89,J61))+(12*COUNTIF(E90,J62))+(5*COUNTIF(E90,J61))))+(IF(WEEKDAY(I91,2)=7,(7*COUNTIF(E90,J61))+(12*COUNTIF(E91,J62))+(5*COUNTIF(E91,J61))))</f>
        <v>0</v>
      </c>
      <c r="O72" s="584"/>
      <c r="P72" s="328"/>
      <c r="Q72" s="555" t="str">
        <f>'FICHE DE PAIE'!A$13</f>
        <v>AUTRE PRIME</v>
      </c>
      <c r="R72" s="555"/>
      <c r="S72" s="555"/>
      <c r="T72" s="555"/>
      <c r="U72" s="555"/>
      <c r="V72" s="555"/>
      <c r="W72" s="555"/>
      <c r="X72" s="555"/>
      <c r="Y72" s="555"/>
      <c r="Z72" s="494"/>
      <c r="AA72" s="561"/>
      <c r="AB72" s="561"/>
      <c r="AC72" s="561"/>
      <c r="AD72" s="605"/>
      <c r="AE72" s="605"/>
      <c r="AF72" s="605"/>
      <c r="AG72" s="559">
        <f>AA72*AD72</f>
        <v>0</v>
      </c>
      <c r="AH72" s="559"/>
      <c r="AI72" s="559"/>
      <c r="AJ72" s="559"/>
      <c r="AK72" s="294"/>
      <c r="AL72" s="294"/>
      <c r="AM72" s="294"/>
      <c r="AN72" s="295"/>
      <c r="AO72" s="296"/>
      <c r="AP72" s="296"/>
      <c r="AQ72" s="295"/>
      <c r="AR72" s="295"/>
      <c r="AS72" s="295"/>
      <c r="AT72" s="295"/>
      <c r="AU72" s="295"/>
      <c r="AV72" s="290"/>
      <c r="AW72" s="591" t="s">
        <v>254</v>
      </c>
      <c r="AX72" s="591"/>
      <c r="AY72" s="591"/>
      <c r="AZ72" s="591"/>
      <c r="BA72" s="591"/>
      <c r="BB72" s="591"/>
      <c r="BC72" s="591"/>
      <c r="BD72" s="591"/>
      <c r="BE72" s="591"/>
      <c r="BF72" s="591"/>
      <c r="BG72" s="591"/>
      <c r="BH72" s="591"/>
      <c r="BI72" s="590">
        <f t="shared" si="19"/>
        <v>1952.5539499999998</v>
      </c>
      <c r="BJ72" s="590"/>
      <c r="BK72" s="590"/>
      <c r="BL72" s="590"/>
      <c r="BM72" s="594">
        <f>'FICHE DE PAIE'!AW$13</f>
        <v>9.4999999999999998E-3</v>
      </c>
      <c r="BN72" s="594"/>
      <c r="BO72" s="594"/>
      <c r="BP72" s="594"/>
      <c r="BQ72" s="592">
        <f t="shared" si="20"/>
        <v>18.549262524999996</v>
      </c>
      <c r="BR72" s="592"/>
      <c r="BS72" s="592"/>
      <c r="BT72" s="592"/>
      <c r="BU72" s="594">
        <f>'FICHE DE PAIE'!BE$13</f>
        <v>4.0500000000000001E-2</v>
      </c>
      <c r="BV72" s="594"/>
      <c r="BW72" s="594"/>
      <c r="BX72" s="592">
        <f t="shared" si="21"/>
        <v>79.078434974999993</v>
      </c>
      <c r="BY72" s="592"/>
      <c r="BZ72" s="592"/>
      <c r="CA72" s="593"/>
    </row>
    <row r="73" spans="1:79" ht="15" customHeight="1">
      <c r="A73" s="334">
        <v>3</v>
      </c>
      <c r="B73" s="328">
        <v>13</v>
      </c>
      <c r="C73" s="328">
        <f t="shared" si="18"/>
        <v>72</v>
      </c>
      <c r="D73" s="360" t="e">
        <f>IF(I73='Jour Férié'!F$13,'Jour Férié'!E$13,""&amp;IF(I73='Jour Férié'!F$14,'Jour Férié'!E$14,""&amp;IF(I73='Jour Férié'!F$15,'Jour Férié'!E$15,""&amp;IF(I73='Jour Férié'!B$5,'Jour Férié'!A$5,""&amp;IF(MOD(MATCH(I34,vacances!$A$3:$A$202,1),2)=1,"vacances","")))))</f>
        <v>#N/A</v>
      </c>
      <c r="E73" s="490"/>
      <c r="F73" s="490"/>
      <c r="G73" s="490"/>
      <c r="H73" s="624"/>
      <c r="I73" s="361">
        <f t="shared" si="16"/>
        <v>43172</v>
      </c>
      <c r="J73" s="328"/>
      <c r="K73" s="328"/>
      <c r="L73" s="328"/>
      <c r="M73" s="363" t="s">
        <v>225</v>
      </c>
      <c r="N73" s="363"/>
      <c r="O73" s="370">
        <f>(IF((I82)='Jour Férié'!B3,(7*COUNTIF(E81,J1))+(12*COUNTIF(E82,J2))+(5*COUNTIF(E82,J1))))+(IF((I83)='Jour Férié'!B3,(7*COUNTIF(E82,J1))+(12*COUNTIF(E83,J2))+(5*COUNTIF(E83,J1))))+(IF((I84)='Jour Férié'!B3,(7*COUNTIF(E83,J1))+(12*COUNTIF(E84,J2))+(5*COUNTIF(E84,J1))))+(IF((I85)='Jour Férié'!B3,(7*COUNTIF(E84,J1))+(12*COUNTIF(E85,J2))+(5*COUNTIF(E85,J1))))+(IF((I86)='Jour Férié'!B3,(7*COUNTIF(E85,J1))+(12*COUNTIF(E86,J2))+(5*COUNTIF(E86,J1))))+(IF((I87)='Jour Férié'!B3,(7*COUNTIF(E86,J1))+(12*COUNTIF(E87,J2))+(5*COUNTIF(E87,J1))))+(IF((I88)='Jour Férié'!B3,(7*COUNTIF(E87,J1))+(12*COUNTIF(E88,J2))+(5*COUNTIF(E88,J1))))+(IF((I89)='Jour Férié'!B3,(7*COUNTIF(E88,J1))+(12*COUNTIF(E89,J2))+(5*COUNTIF(E89,J1))))+(IF((I90)='Jour Férié'!B3,(7*COUNTIF(E89,J1))+(12*COUNTIF(E90,J2))+(5*COUNTIF(E90,J1))))+(IF((I91)='Jour Férié'!B3,(7*COUNTIF(E90,J1))+(12*COUNTIF(E91,J2))+(5*COUNTIF(E91,J1))))</f>
        <v>0</v>
      </c>
      <c r="P73" s="328"/>
      <c r="Q73" s="555" t="str">
        <f>'FICHE DE PAIE'!A$14</f>
        <v>Absence congé payé</v>
      </c>
      <c r="R73" s="555"/>
      <c r="S73" s="555"/>
      <c r="T73" s="555"/>
      <c r="U73" s="555"/>
      <c r="V73" s="555"/>
      <c r="W73" s="555"/>
      <c r="X73" s="555"/>
      <c r="Y73" s="555"/>
      <c r="Z73" s="494"/>
      <c r="AA73" s="557">
        <f>O75*35/6</f>
        <v>0</v>
      </c>
      <c r="AB73" s="557"/>
      <c r="AC73" s="557"/>
      <c r="AD73" s="558">
        <f>'FICHE DE PAIE'!N$14</f>
        <v>12.074</v>
      </c>
      <c r="AE73" s="558"/>
      <c r="AF73" s="558"/>
      <c r="AG73" s="559"/>
      <c r="AH73" s="559"/>
      <c r="AI73" s="559"/>
      <c r="AJ73" s="559"/>
      <c r="AK73" s="602">
        <f>AA73*AD73</f>
        <v>0</v>
      </c>
      <c r="AL73" s="602"/>
      <c r="AM73" s="602"/>
      <c r="AN73" s="602"/>
      <c r="AO73" s="294"/>
      <c r="AP73" s="296"/>
      <c r="AQ73" s="295"/>
      <c r="AR73" s="295"/>
      <c r="AS73" s="295"/>
      <c r="AT73" s="295"/>
      <c r="AU73" s="295"/>
      <c r="AV73" s="290"/>
      <c r="AW73" s="591" t="s">
        <v>256</v>
      </c>
      <c r="AX73" s="591"/>
      <c r="AY73" s="591"/>
      <c r="AZ73" s="591"/>
      <c r="BA73" s="591"/>
      <c r="BB73" s="591"/>
      <c r="BC73" s="591"/>
      <c r="BD73" s="591"/>
      <c r="BE73" s="591"/>
      <c r="BF73" s="591"/>
      <c r="BG73" s="591"/>
      <c r="BH73" s="591"/>
      <c r="BI73" s="590">
        <f t="shared" si="19"/>
        <v>1952.5539499999998</v>
      </c>
      <c r="BJ73" s="590"/>
      <c r="BK73" s="590"/>
      <c r="BL73" s="590"/>
      <c r="BM73" s="590"/>
      <c r="BN73" s="590"/>
      <c r="BO73" s="590"/>
      <c r="BP73" s="590"/>
      <c r="BQ73" s="592">
        <f t="shared" si="20"/>
        <v>0</v>
      </c>
      <c r="BR73" s="592"/>
      <c r="BS73" s="592"/>
      <c r="BT73" s="592"/>
      <c r="BU73" s="594">
        <f>'FICHE DE PAIE'!BE$14</f>
        <v>1.5E-3</v>
      </c>
      <c r="BV73" s="594"/>
      <c r="BW73" s="594"/>
      <c r="BX73" s="592">
        <f t="shared" si="21"/>
        <v>2.9288309249999998</v>
      </c>
      <c r="BY73" s="592"/>
      <c r="BZ73" s="592"/>
      <c r="CA73" s="593"/>
    </row>
    <row r="74" spans="1:79" ht="15" customHeight="1">
      <c r="A74" s="334">
        <v>3</v>
      </c>
      <c r="B74" s="328">
        <v>14</v>
      </c>
      <c r="C74" s="328">
        <f t="shared" si="18"/>
        <v>73</v>
      </c>
      <c r="D74" s="360" t="e">
        <f>IF(I74='Jour Férié'!F$13,'Jour Férié'!E$13,""&amp;IF(I74='Jour Férié'!F$14,'Jour Férié'!E$14,""&amp;IF(I74='Jour Férié'!F$15,'Jour Férié'!E$15,""&amp;IF(I74='Jour Férié'!B$5,'Jour Férié'!A$5,""&amp;IF(MOD(MATCH(I35,vacances!$A$3:$A$202,1),2)=1,"vacances","")))))</f>
        <v>#N/A</v>
      </c>
      <c r="E74" s="490"/>
      <c r="F74" s="490"/>
      <c r="G74" s="490"/>
      <c r="H74" s="624"/>
      <c r="I74" s="361">
        <f t="shared" si="16"/>
        <v>43173</v>
      </c>
      <c r="J74" s="328"/>
      <c r="K74" s="328"/>
      <c r="L74" s="328"/>
      <c r="M74" s="374" t="s">
        <v>226</v>
      </c>
      <c r="N74" s="374"/>
      <c r="O74" s="364">
        <f>(COUNTIF($E61:$E89,$J70))</f>
        <v>0</v>
      </c>
      <c r="P74" s="328"/>
      <c r="Q74" s="555" t="str">
        <f>'FICHE DE PAIE'!A$15</f>
        <v>paiement congé payé</v>
      </c>
      <c r="R74" s="555"/>
      <c r="S74" s="555"/>
      <c r="T74" s="555"/>
      <c r="U74" s="555"/>
      <c r="V74" s="555"/>
      <c r="W74" s="555"/>
      <c r="X74" s="555"/>
      <c r="Y74" s="555"/>
      <c r="Z74" s="494"/>
      <c r="AA74" s="556"/>
      <c r="AB74" s="556"/>
      <c r="AC74" s="556"/>
      <c r="AD74" s="566"/>
      <c r="AE74" s="566"/>
      <c r="AF74" s="566"/>
      <c r="AG74" s="604"/>
      <c r="AH74" s="604"/>
      <c r="AI74" s="604"/>
      <c r="AJ74" s="604"/>
      <c r="AK74" s="297"/>
      <c r="AL74" s="297"/>
      <c r="AM74" s="297"/>
      <c r="AN74" s="298"/>
      <c r="AO74" s="299"/>
      <c r="AP74" s="296"/>
      <c r="AQ74" s="295"/>
      <c r="AR74" s="295"/>
      <c r="AS74" s="295"/>
      <c r="AT74" s="295"/>
      <c r="AU74" s="295"/>
      <c r="AV74" s="290"/>
      <c r="AW74" s="591" t="s">
        <v>258</v>
      </c>
      <c r="AX74" s="591"/>
      <c r="AY74" s="591"/>
      <c r="AZ74" s="591"/>
      <c r="BA74" s="591"/>
      <c r="BB74" s="591"/>
      <c r="BC74" s="591"/>
      <c r="BD74" s="591"/>
      <c r="BE74" s="591"/>
      <c r="BF74" s="591"/>
      <c r="BG74" s="591"/>
      <c r="BH74" s="591"/>
      <c r="BI74" s="590">
        <f t="shared" si="19"/>
        <v>1952.5539499999998</v>
      </c>
      <c r="BJ74" s="590"/>
      <c r="BK74" s="590"/>
      <c r="BL74" s="590"/>
      <c r="BM74" s="594">
        <f>'FICHE DE PAIE'!AW$15</f>
        <v>3.1E-2</v>
      </c>
      <c r="BN74" s="594"/>
      <c r="BO74" s="594"/>
      <c r="BP74" s="594"/>
      <c r="BQ74" s="592">
        <f t="shared" si="20"/>
        <v>60.52917244999999</v>
      </c>
      <c r="BR74" s="592"/>
      <c r="BS74" s="592"/>
      <c r="BT74" s="592"/>
      <c r="BU74" s="594">
        <f>'FICHE DE PAIE'!BE$15</f>
        <v>4.65E-2</v>
      </c>
      <c r="BV74" s="594"/>
      <c r="BW74" s="594"/>
      <c r="BX74" s="592">
        <f t="shared" si="21"/>
        <v>90.793758674999992</v>
      </c>
      <c r="BY74" s="592"/>
      <c r="BZ74" s="592"/>
      <c r="CA74" s="593"/>
    </row>
    <row r="75" spans="1:79" ht="15" customHeight="1">
      <c r="A75" s="334">
        <v>3</v>
      </c>
      <c r="B75" s="328">
        <v>15</v>
      </c>
      <c r="C75" s="328">
        <f t="shared" si="18"/>
        <v>74</v>
      </c>
      <c r="D75" s="360" t="str">
        <f>IF(I75='Jour Férié'!F$13,'Jour Férié'!E$13,""&amp;IF(I75='Jour Férié'!F$14,'Jour Férié'!E$14,""&amp;IF(I75='Jour Férié'!F$15,'Jour Férié'!E$15,""&amp;IF(I75='Jour Férié'!B$5,'Jour Férié'!A$5,""&amp;IF(MOD(MATCH(I36,vacances!$A$3:$A$202,1),2)=1,"vacances","")))))</f>
        <v>Mamie Annie</v>
      </c>
      <c r="E75" s="490"/>
      <c r="F75" s="490"/>
      <c r="G75" s="490"/>
      <c r="H75" s="624"/>
      <c r="I75" s="361">
        <f t="shared" si="16"/>
        <v>43174</v>
      </c>
      <c r="J75" s="328"/>
      <c r="K75" s="328"/>
      <c r="L75" s="328"/>
      <c r="M75" s="374" t="s">
        <v>227</v>
      </c>
      <c r="N75" s="374"/>
      <c r="O75" s="364">
        <f>(COUNTIF($E61:$E89,$J68))</f>
        <v>0</v>
      </c>
      <c r="P75" s="328"/>
      <c r="Q75" s="555" t="str">
        <f>'FICHE DE PAIE'!A$16</f>
        <v>Absence maladie</v>
      </c>
      <c r="R75" s="555"/>
      <c r="S75" s="555"/>
      <c r="T75" s="555"/>
      <c r="U75" s="555"/>
      <c r="V75" s="555"/>
      <c r="W75" s="555"/>
      <c r="X75" s="555"/>
      <c r="Y75" s="555"/>
      <c r="Z75" s="494"/>
      <c r="AA75" s="556"/>
      <c r="AB75" s="556"/>
      <c r="AC75" s="556"/>
      <c r="AD75" s="566"/>
      <c r="AE75" s="566"/>
      <c r="AF75" s="566"/>
      <c r="AG75" s="559"/>
      <c r="AH75" s="559"/>
      <c r="AI75" s="559"/>
      <c r="AJ75" s="559"/>
      <c r="AK75" s="599"/>
      <c r="AL75" s="599"/>
      <c r="AM75" s="599"/>
      <c r="AN75" s="599"/>
      <c r="AO75" s="294"/>
      <c r="AP75" s="296"/>
      <c r="AQ75" s="295"/>
      <c r="AR75" s="295"/>
      <c r="AS75" s="295"/>
      <c r="AT75" s="295"/>
      <c r="AU75" s="295"/>
      <c r="AV75" s="290"/>
      <c r="AW75" s="591" t="s">
        <v>260</v>
      </c>
      <c r="AX75" s="591"/>
      <c r="AY75" s="591"/>
      <c r="AZ75" s="591"/>
      <c r="BA75" s="591"/>
      <c r="BB75" s="591"/>
      <c r="BC75" s="591"/>
      <c r="BD75" s="591"/>
      <c r="BE75" s="591"/>
      <c r="BF75" s="591"/>
      <c r="BG75" s="591"/>
      <c r="BH75" s="591"/>
      <c r="BI75" s="590">
        <f t="shared" si="19"/>
        <v>1952.5539499999998</v>
      </c>
      <c r="BJ75" s="590"/>
      <c r="BK75" s="590"/>
      <c r="BL75" s="590"/>
      <c r="BM75" s="594">
        <f>'FICHE DE PAIE'!AW$16</f>
        <v>8.0000000000000002E-3</v>
      </c>
      <c r="BN75" s="594"/>
      <c r="BO75" s="594"/>
      <c r="BP75" s="594"/>
      <c r="BQ75" s="592">
        <f t="shared" si="20"/>
        <v>15.620431599999998</v>
      </c>
      <c r="BR75" s="592"/>
      <c r="BS75" s="592"/>
      <c r="BT75" s="592"/>
      <c r="BU75" s="594">
        <f>'FICHE DE PAIE'!BE$16</f>
        <v>1.2E-2</v>
      </c>
      <c r="BV75" s="594"/>
      <c r="BW75" s="594"/>
      <c r="BX75" s="592">
        <f t="shared" si="21"/>
        <v>23.430647399999998</v>
      </c>
      <c r="BY75" s="592"/>
      <c r="BZ75" s="592"/>
      <c r="CA75" s="593"/>
    </row>
    <row r="76" spans="1:79" ht="15" customHeight="1">
      <c r="A76" s="334">
        <v>3</v>
      </c>
      <c r="B76" s="328">
        <v>16</v>
      </c>
      <c r="C76" s="328">
        <f t="shared" si="18"/>
        <v>75</v>
      </c>
      <c r="D76" s="360" t="e">
        <f>IF(I76='Jour Férié'!F$13,'Jour Férié'!E$13,""&amp;IF(I76='Jour Férié'!F$14,'Jour Férié'!E$14,""&amp;IF(I76='Jour Férié'!F$15,'Jour Férié'!E$15,""&amp;IF(I76='Jour Férié'!B$5,'Jour Férié'!A$5,""&amp;IF(MOD(MATCH(I37,vacances!$A$3:$A$202,1),2)=1,"vacances","")))))</f>
        <v>#N/A</v>
      </c>
      <c r="E76" s="490"/>
      <c r="F76" s="490"/>
      <c r="G76" s="490"/>
      <c r="H76" s="624"/>
      <c r="I76" s="361">
        <f t="shared" si="16"/>
        <v>43175</v>
      </c>
      <c r="J76" s="328"/>
      <c r="K76" s="328"/>
      <c r="L76" s="328"/>
      <c r="M76" s="374" t="s">
        <v>228</v>
      </c>
      <c r="N76" s="374"/>
      <c r="O76" s="364">
        <f>(COUNTIF($E61:$E89,$J69))</f>
        <v>0</v>
      </c>
      <c r="P76" s="328"/>
      <c r="Q76" s="555"/>
      <c r="R76" s="555"/>
      <c r="S76" s="555"/>
      <c r="T76" s="555"/>
      <c r="U76" s="555"/>
      <c r="V76" s="555"/>
      <c r="W76" s="555"/>
      <c r="X76" s="555"/>
      <c r="Y76" s="555"/>
      <c r="Z76" s="494"/>
      <c r="AA76" s="556"/>
      <c r="AB76" s="556"/>
      <c r="AC76" s="556"/>
      <c r="AD76" s="600"/>
      <c r="AE76" s="600"/>
      <c r="AF76" s="600"/>
      <c r="AG76" s="559"/>
      <c r="AH76" s="559"/>
      <c r="AI76" s="559"/>
      <c r="AJ76" s="559"/>
      <c r="AK76" s="297"/>
      <c r="AL76" s="297"/>
      <c r="AM76" s="297"/>
      <c r="AN76" s="298"/>
      <c r="AO76" s="299"/>
      <c r="AP76" s="296"/>
      <c r="AQ76" s="295"/>
      <c r="AR76" s="295"/>
      <c r="AS76" s="295"/>
      <c r="AT76" s="295"/>
      <c r="AU76" s="295"/>
      <c r="AV76" s="290"/>
      <c r="AW76" s="499" t="s">
        <v>261</v>
      </c>
      <c r="AX76" s="499"/>
      <c r="AY76" s="499"/>
      <c r="AZ76" s="499"/>
      <c r="BA76" s="499"/>
      <c r="BB76" s="499"/>
      <c r="BC76" s="499"/>
      <c r="BD76" s="499"/>
      <c r="BE76" s="499"/>
      <c r="BF76" s="499"/>
      <c r="BG76" s="499"/>
      <c r="BH76" s="499"/>
      <c r="BI76" s="590">
        <f t="shared" si="19"/>
        <v>1952.5539499999998</v>
      </c>
      <c r="BJ76" s="590"/>
      <c r="BK76" s="590"/>
      <c r="BL76" s="590"/>
      <c r="BM76" s="594">
        <f>'FICHE DE PAIE'!AW$17</f>
        <v>5.4000000000000003E-3</v>
      </c>
      <c r="BN76" s="594"/>
      <c r="BO76" s="594"/>
      <c r="BP76" s="594"/>
      <c r="BQ76" s="592">
        <f t="shared" si="20"/>
        <v>10.543791329999999</v>
      </c>
      <c r="BR76" s="592"/>
      <c r="BS76" s="592"/>
      <c r="BT76" s="592"/>
      <c r="BU76" s="594">
        <f>'FICHE DE PAIE'!BE$17</f>
        <v>5.4000000000000003E-3</v>
      </c>
      <c r="BV76" s="594"/>
      <c r="BW76" s="594"/>
      <c r="BX76" s="592">
        <f t="shared" si="21"/>
        <v>10.543791329999999</v>
      </c>
      <c r="BY76" s="592"/>
      <c r="BZ76" s="592"/>
      <c r="CA76" s="593"/>
    </row>
    <row r="77" spans="1:79" ht="15" customHeight="1">
      <c r="A77" s="334">
        <v>3</v>
      </c>
      <c r="B77" s="328">
        <v>17</v>
      </c>
      <c r="C77" s="328">
        <f t="shared" si="18"/>
        <v>76</v>
      </c>
      <c r="D77" s="360" t="e">
        <f>IF(I77='Jour Férié'!F$13,'Jour Férié'!E$13,""&amp;IF(I77='Jour Férié'!F$14,'Jour Férié'!E$14,""&amp;IF(I77='Jour Férié'!F$15,'Jour Férié'!E$15,""&amp;IF(I77='Jour Férié'!B$5,'Jour Férié'!A$5,""&amp;IF(MOD(MATCH(I38,vacances!$A$3:$A$202,1),2)=1,"vacances","")))))</f>
        <v>#N/A</v>
      </c>
      <c r="E77" s="490"/>
      <c r="F77" s="490"/>
      <c r="G77" s="490"/>
      <c r="H77" s="624"/>
      <c r="I77" s="361">
        <f t="shared" si="16"/>
        <v>43176</v>
      </c>
      <c r="J77" s="328"/>
      <c r="K77" s="328"/>
      <c r="L77" s="328"/>
      <c r="M77" s="328"/>
      <c r="N77" s="328"/>
      <c r="O77" s="375"/>
      <c r="P77" s="328"/>
      <c r="Q77" s="562" t="s">
        <v>262</v>
      </c>
      <c r="R77" s="562"/>
      <c r="S77" s="562"/>
      <c r="T77" s="562"/>
      <c r="U77" s="562"/>
      <c r="V77" s="562"/>
      <c r="W77" s="562"/>
      <c r="X77" s="563"/>
      <c r="Y77" s="563"/>
      <c r="Z77" s="563"/>
      <c r="AA77" s="563"/>
      <c r="AB77" s="563"/>
      <c r="AC77" s="563"/>
      <c r="AD77" s="563"/>
      <c r="AE77" s="563"/>
      <c r="AF77" s="563"/>
      <c r="AG77" s="564">
        <f>SUM(AG63:AJ72)+AG74-AK73-AK75</f>
        <v>1851.1323499999999</v>
      </c>
      <c r="AH77" s="564"/>
      <c r="AI77" s="564"/>
      <c r="AJ77" s="564"/>
      <c r="AK77" s="300"/>
      <c r="AL77" s="300"/>
      <c r="AM77" s="300"/>
      <c r="AN77" s="295"/>
      <c r="AO77" s="565">
        <f>AG77-AO63</f>
        <v>-1094.8676500000001</v>
      </c>
      <c r="AP77" s="565"/>
      <c r="AQ77" s="565"/>
      <c r="AR77" s="498"/>
      <c r="AS77" s="498"/>
      <c r="AT77" s="498"/>
      <c r="AU77" s="295"/>
      <c r="AV77" s="301"/>
      <c r="AW77" s="591" t="s">
        <v>263</v>
      </c>
      <c r="AX77" s="591"/>
      <c r="AY77" s="591"/>
      <c r="AZ77" s="591"/>
      <c r="BA77" s="591"/>
      <c r="BB77" s="591"/>
      <c r="BC77" s="591"/>
      <c r="BD77" s="591"/>
      <c r="BE77" s="591"/>
      <c r="BF77" s="591"/>
      <c r="BG77" s="591"/>
      <c r="BH77" s="591"/>
      <c r="BI77" s="601"/>
      <c r="BJ77" s="601"/>
      <c r="BK77" s="601"/>
      <c r="BL77" s="601"/>
      <c r="BM77" s="590"/>
      <c r="BN77" s="590"/>
      <c r="BO77" s="590"/>
      <c r="BP77" s="590"/>
      <c r="BQ77" s="592">
        <f t="shared" si="20"/>
        <v>0</v>
      </c>
      <c r="BR77" s="592"/>
      <c r="BS77" s="592"/>
      <c r="BT77" s="592"/>
      <c r="BU77" s="594">
        <f>'FICHE DE PAIE'!BE$18</f>
        <v>0.08</v>
      </c>
      <c r="BV77" s="594"/>
      <c r="BW77" s="594"/>
      <c r="BX77" s="592">
        <f t="shared" si="21"/>
        <v>0</v>
      </c>
      <c r="BY77" s="592"/>
      <c r="BZ77" s="592"/>
      <c r="CA77" s="593"/>
    </row>
    <row r="78" spans="1:79" ht="15" customHeight="1">
      <c r="A78" s="334">
        <v>3</v>
      </c>
      <c r="B78" s="328">
        <v>18</v>
      </c>
      <c r="C78" s="328">
        <f t="shared" si="18"/>
        <v>77</v>
      </c>
      <c r="D78" s="360" t="e">
        <f>IF(I78='Jour Férié'!F$13,'Jour Férié'!E$13,""&amp;IF(I78='Jour Férié'!F$14,'Jour Férié'!E$14,""&amp;IF(I78='Jour Férié'!F$15,'Jour Férié'!E$15,""&amp;IF(I78='Jour Férié'!B$5,'Jour Férié'!A$5,""&amp;IF(MOD(MATCH(I39,vacances!$A$3:$A$202,1),2)=1,"vacances","")))))</f>
        <v>#N/A</v>
      </c>
      <c r="E78" s="490"/>
      <c r="F78" s="490"/>
      <c r="G78" s="490"/>
      <c r="H78" s="624"/>
      <c r="I78" s="361">
        <f t="shared" si="16"/>
        <v>43177</v>
      </c>
      <c r="J78" s="502"/>
      <c r="K78" s="502"/>
      <c r="L78" s="502"/>
      <c r="M78" s="575" t="s">
        <v>320</v>
      </c>
      <c r="N78" s="335">
        <f>(IF(WEEKDAY(I60,2)=6,(COUNTIF(E60,"*"))))*AND(IF(WEEKDAY(I61,2)=7,(COUNTIF(E61,"*"))))+(IF(WEEKDAY(I61,2)=6,(COUNTIF(E61,"*"))))*AND(IF(WEEKDAY(I62,2)=7,(COUNTIF(E62,"*"))))+(IF(WEEKDAY(I62,2)=6,(COUNTIF(E62,"*"))))*AND(IF(WEEKDAY(I63,2)=7,(COUNTIF(E63,"*"))))+(IF(WEEKDAY(I63,2)=6,(COUNTIF(E63,"*"))))*AND(IF(WEEKDAY(I64,2)=7,(COUNTIF(E64,"*"))))+(IF(WEEKDAY(I64,2)=6,(COUNTIF(E64,"*"))))*AND(IF(WEEKDAY(I65,2)=7,(COUNTIF(E65,"*"))))+(IF(WEEKDAY(I65,2)=6,(COUNTIF(E65,"*"))))*AND(IF(WEEKDAY(I66,2)=7,(COUNTIF(E66,"*"))))+(IF(WEEKDAY(I66,2)=6,(COUNTIF(E66,"*"))))*AND(IF(WEEKDAY(I67,2)=7,(COUNTIF(E67,"*"))))+(IF(WEEKDAY(I67,2)=6,(COUNTIF(E67,"*"))))*AND(IF(WEEKDAY(I68,2)=7,(COUNTIF(E68,"*"))))+(IF(WEEKDAY(I68,2)=6,(COUNTIF(E68,"*"))))*AND(IF(WEEKDAY(I69,2)=7,(COUNTIF(E69,"*"))))+(IF(WEEKDAY(I69,2)=6,(COUNTIF(E69,"*"))))*AND(IF(WEEKDAY(I70,2)=7,(COUNTIF(E70,"*"))))+(IF(WEEKDAY(I70,2)=6,(COUNTIF(E70,"*"))))*AND(IF(WEEKDAY(I71,2)=7,(COUNTIF(E71,"*"))))+(IF(WEEKDAY(I71,2)=6,(COUNTIF(E71,"*"))))*AND(IF(WEEKDAY(I72,2)=7,(COUNTIF(E72,"*"))))+(IF(WEEKDAY(I72,2)=6,(COUNTIF(E72,"*"))))*AND(IF(WEEKDAY(I73,2)=7,(COUNTIF(E73,"*"))))+(IF(WEEKDAY(I73,2)=6,(COUNTIF(E73,"*"))))*AND(IF(WEEKDAY(I74,2)=7,(COUNTIF(E74,"*"))))+(IF(WEEKDAY(I74,2)=6,(COUNTIF(E74,"*"))))*AND(IF(WEEKDAY(I75,2)=7,(COUNTIF(E75,"*"))))+(IF(WEEKDAY(I75,2)=6,(COUNTIF(E75,"*"))))*AND(IF(WEEKDAY(I76,2)=7,(COUNTIF(E76,"*"))))</f>
        <v>0</v>
      </c>
      <c r="O78" s="576">
        <f>SUM(N78:N79)</f>
        <v>0</v>
      </c>
      <c r="P78" s="328"/>
      <c r="Q78" s="376"/>
      <c r="R78" s="376"/>
      <c r="S78" s="376"/>
      <c r="T78" s="376"/>
      <c r="U78" s="376"/>
      <c r="V78" s="376"/>
      <c r="W78" s="376"/>
      <c r="X78" s="376"/>
      <c r="Y78" s="376"/>
      <c r="Z78" s="376"/>
      <c r="AA78" s="377"/>
      <c r="AB78" s="377"/>
      <c r="AC78" s="377"/>
      <c r="AD78" s="378"/>
      <c r="AE78" s="378"/>
      <c r="AF78" s="378"/>
      <c r="AG78" s="376"/>
      <c r="AH78" s="376"/>
      <c r="AI78" s="376"/>
      <c r="AJ78" s="379"/>
      <c r="AK78" s="379"/>
      <c r="AL78" s="379"/>
      <c r="AM78" s="379"/>
      <c r="AN78" s="365"/>
      <c r="AO78" s="365"/>
      <c r="AP78" s="365"/>
      <c r="AQ78" s="365"/>
      <c r="AR78" s="365"/>
      <c r="AS78" s="365"/>
      <c r="AT78" s="365"/>
      <c r="AU78" s="365"/>
      <c r="AV78" s="302"/>
      <c r="AW78" s="591" t="s">
        <v>264</v>
      </c>
      <c r="AX78" s="591"/>
      <c r="AY78" s="591"/>
      <c r="AZ78" s="591"/>
      <c r="BA78" s="591"/>
      <c r="BB78" s="591"/>
      <c r="BC78" s="591"/>
      <c r="BD78" s="591"/>
      <c r="BE78" s="591"/>
      <c r="BF78" s="591"/>
      <c r="BG78" s="591"/>
      <c r="BH78" s="591"/>
      <c r="BI78" s="590">
        <f>$AG$17*98.25%</f>
        <v>1918.3842558749998</v>
      </c>
      <c r="BJ78" s="590"/>
      <c r="BK78" s="590"/>
      <c r="BL78" s="590"/>
      <c r="BM78" s="594">
        <f>'FICHE DE PAIE'!AW$19</f>
        <v>6.8000000000000005E-2</v>
      </c>
      <c r="BN78" s="594"/>
      <c r="BO78" s="594"/>
      <c r="BP78" s="594"/>
      <c r="BQ78" s="592">
        <f t="shared" si="20"/>
        <v>130.45012939949999</v>
      </c>
      <c r="BR78" s="592"/>
      <c r="BS78" s="592"/>
      <c r="BT78" s="592"/>
      <c r="BU78" s="595"/>
      <c r="BV78" s="595"/>
      <c r="BW78" s="595"/>
      <c r="BX78" s="592">
        <f t="shared" si="21"/>
        <v>0</v>
      </c>
      <c r="BY78" s="592"/>
      <c r="BZ78" s="592"/>
      <c r="CA78" s="593"/>
    </row>
    <row r="79" spans="1:79" ht="15" customHeight="1">
      <c r="A79" s="334">
        <v>3</v>
      </c>
      <c r="B79" s="328">
        <v>19</v>
      </c>
      <c r="C79" s="328">
        <f t="shared" si="18"/>
        <v>78</v>
      </c>
      <c r="D79" s="360" t="str">
        <f>IF(I79='Jour Férié'!F$13,'Jour Férié'!E$13,""&amp;IF(I79='Jour Férié'!F$14,'Jour Férié'!E$14,""&amp;IF(I79='Jour Férié'!F$15,'Jour Férié'!E$15,""&amp;IF(I79='Jour Férié'!B$5,'Jour Férié'!A$5,""&amp;IF(MOD(MATCH(I40,vacances!$A$3:$A$202,1),2)=1,"vacances","")))))</f>
        <v>Tonton Yannick</v>
      </c>
      <c r="E79" s="490"/>
      <c r="F79" s="490"/>
      <c r="G79" s="490"/>
      <c r="H79" s="624"/>
      <c r="I79" s="361">
        <f t="shared" si="16"/>
        <v>43178</v>
      </c>
      <c r="J79" s="502"/>
      <c r="K79" s="502"/>
      <c r="L79" s="502"/>
      <c r="M79" s="575"/>
      <c r="N79" s="338">
        <f>(IF(WEEKDAY(I76,2)=6,(COUNTIF(E76,"*"))))*AND(IF(WEEKDAY(I77,2)=7,(COUNTIF(E77,"*"))))+(IF(WEEKDAY(I77,2)=6,(COUNTIF(E77,"*"))))*AND(IF(WEEKDAY(I78,2)=7,(COUNTIF(E78,"*"))))+(IF(WEEKDAY(I78,2)=6,(COUNTIF(E78,"*"))))*AND(IF(WEEKDAY(I79,2)=7,(COUNTIF(E79,"*"))))+(IF(WEEKDAY(I79,2)=6,(COUNTIF(E79,"*"))))*AND(IF(WEEKDAY(I80,2)=7,(COUNTIF(E80,"*"))))+(IF(WEEKDAY(I80,2)=6,(COUNTIF(E80,"*"))))*AND(IF(WEEKDAY(I81,2)=7,(COUNTIF(E81,"*"))))+(IF(WEEKDAY(I81,2)=6,(COUNTIF(E81,"*"))))*AND(IF(WEEKDAY(I82,2)=7,(COUNTIF(E82,"*"))))+(IF(WEEKDAY(I82,2)=6,(COUNTIF(E82,"*"))))*AND(IF(WEEKDAY(I83,2)=7,(COUNTIF(E83,"*"))))+(IF(WEEKDAY(I83,2)=6,(COUNTIF(E83,"*"))))*AND(IF(WEEKDAY(I84,2)=7,(COUNTIF(E84,"*"))))+(IF(WEEKDAY(I84,2)=6,(COUNTIF(E84,"*"))))*AND(IF(WEEKDAY(I85,2)=7,(COUNTIF(E85,"*"))))+(IF(WEEKDAY(I85,2)=6,(COUNTIF(E85,"*"))))*AND(IF(WEEKDAY(I86,2)=7,(COUNTIF(E86,"*"))))+(IF(WEEKDAY(I86,2)=6,(COUNTIF(E86,"*"))))*AND(IF(WEEKDAY(I87,2)=7,(COUNTIF(E87,"*"))))+(IF(WEEKDAY(I87,2)=6,(COUNTIF(E87,"*"))))*AND(IF(WEEKDAY(I88,2)=7,(COUNTIF(E88,"*"))))+(IF(WEEKDAY(I88,2)=6,(COUNTIF(E88,"*"))))*AND(IF(WEEKDAY(I89,2)=7,(COUNTIF(E89,"*"))))+(IF(WEEKDAY(I89,2)=6,(COUNTIF(E89,"*"))))*AND(IF(WEEKDAY(I90,2)=7,(COUNTIF(E90,"*"))))+(IF(WEEKDAY(I90,2)=6,(COUNTIF(E90,"*"))))*AND(IF(WEEKDAY(I91,2)=7,(COUNTIF(E91,"*"))))+(IF(WEEKDAY(I91,2)=6,(COUNTIF(E91,"*"))))*AND(IF(WEEKDAY(I92,2)=7,(COUNTIF(E92,"*"))))</f>
        <v>0</v>
      </c>
      <c r="O79" s="576"/>
      <c r="P79" s="328"/>
      <c r="Q79" s="550">
        <f>Q61</f>
        <v>43160</v>
      </c>
      <c r="R79" s="550"/>
      <c r="S79" s="550"/>
      <c r="T79" s="550"/>
      <c r="U79" s="550"/>
      <c r="V79" s="550"/>
      <c r="W79" s="550"/>
      <c r="X79" s="550"/>
      <c r="Y79" s="550"/>
      <c r="Z79" s="550"/>
      <c r="AA79" s="550"/>
      <c r="AB79" s="550"/>
      <c r="AC79" s="550"/>
      <c r="AD79" s="550"/>
      <c r="AE79" s="550"/>
      <c r="AF79" s="550"/>
      <c r="AG79" s="550"/>
      <c r="AH79" s="550"/>
      <c r="AI79" s="550"/>
      <c r="AJ79" s="550"/>
      <c r="AK79" s="550"/>
      <c r="AL79" s="550"/>
      <c r="AM79" s="550"/>
      <c r="AN79" s="550"/>
      <c r="AO79" s="550"/>
      <c r="AP79" s="550"/>
      <c r="AQ79" s="550"/>
      <c r="AR79" s="550"/>
      <c r="AS79" s="550"/>
      <c r="AT79" s="550"/>
      <c r="AU79" s="550"/>
      <c r="AV79" s="303"/>
      <c r="AW79" s="591" t="s">
        <v>265</v>
      </c>
      <c r="AX79" s="591"/>
      <c r="AY79" s="591"/>
      <c r="AZ79" s="591"/>
      <c r="BA79" s="591"/>
      <c r="BB79" s="591"/>
      <c r="BC79" s="591"/>
      <c r="BD79" s="591"/>
      <c r="BE79" s="591"/>
      <c r="BF79" s="591"/>
      <c r="BG79" s="591"/>
      <c r="BH79" s="591"/>
      <c r="BI79" s="590">
        <f>$AG$17*98.25%</f>
        <v>1918.3842558749998</v>
      </c>
      <c r="BJ79" s="590"/>
      <c r="BK79" s="590"/>
      <c r="BL79" s="590"/>
      <c r="BM79" s="594">
        <f>'FICHE DE PAIE'!AW$20</f>
        <v>2.4E-2</v>
      </c>
      <c r="BN79" s="594"/>
      <c r="BO79" s="594"/>
      <c r="BP79" s="594"/>
      <c r="BQ79" s="592">
        <f t="shared" si="20"/>
        <v>46.041222140999999</v>
      </c>
      <c r="BR79" s="592"/>
      <c r="BS79" s="592"/>
      <c r="BT79" s="592"/>
      <c r="BU79" s="595"/>
      <c r="BV79" s="595"/>
      <c r="BW79" s="595"/>
      <c r="BX79" s="592">
        <f t="shared" si="21"/>
        <v>0</v>
      </c>
      <c r="BY79" s="592"/>
      <c r="BZ79" s="592"/>
      <c r="CA79" s="593"/>
    </row>
    <row r="80" spans="1:79" ht="15" customHeight="1">
      <c r="A80" s="334">
        <v>3</v>
      </c>
      <c r="B80" s="328">
        <v>20</v>
      </c>
      <c r="C80" s="328">
        <f t="shared" ref="C80:C95" si="22">VLOOKUP(A80,Données,4)+B80-1</f>
        <v>79</v>
      </c>
      <c r="D80" s="360" t="e">
        <f>IF(I80='Jour Férié'!F$13,'Jour Férié'!E$13,""&amp;IF(I80='Jour Férié'!F$14,'Jour Férié'!E$14,""&amp;IF(I80='Jour Férié'!F$15,'Jour Férié'!E$15,""&amp;IF(I80='Jour Férié'!B$5,'Jour Férié'!A$5,""&amp;IF(MOD(MATCH(I41,vacances!$A$3:$A$202,1),2)=1,"vacances","")))))</f>
        <v>#N/A</v>
      </c>
      <c r="E80" s="490"/>
      <c r="F80" s="490"/>
      <c r="G80" s="490"/>
      <c r="H80" s="624"/>
      <c r="I80" s="361">
        <f t="shared" si="16"/>
        <v>43179</v>
      </c>
      <c r="J80" s="502"/>
      <c r="K80" s="502"/>
      <c r="L80" s="335"/>
      <c r="M80" s="575" t="s">
        <v>321</v>
      </c>
      <c r="N80" s="338">
        <f>(IF(WEEKDAY(I60,2)=5,(COUNTIF(E60,$J$1))))*AND(IF(WEEKDAY(I63,2)=1,(COUNTIF(E63,"*"))))+(IF(WEEKDAY(I61,2)=5,(COUNTIF(E61,$J$1))))*AND(IF(WEEKDAY(I64,2)=1,(COUNTIF(E64,"*"))))+(IF(WEEKDAY(I62,2)=5,(COUNTIF(E62,$J$1))))*AND(IF(WEEKDAY(I65,2)=1,(COUNTIF(E65,"*"))))+(IF(WEEKDAY(I63,2)=5,(COUNTIF(E63,$J$1))))*AND(IF(WEEKDAY(I66,2)=1,(COUNTIF(E66,"*"))))+(IF(WEEKDAY(I64,2)=5,(COUNTIF(E64,$J$1))))*AND(IF(WEEKDAY(I67,2)=1,(COUNTIF(E67,"*"))))+(IF(WEEKDAY(I65,2)=5,(COUNTIF(E65,$J$1))))*AND(IF(WEEKDAY(I68,2)=1,(COUNTIF(E68,"*"))))+(IF(WEEKDAY(I66,2)=5,(COUNTIF(E66,$J$1))))*AND(IF(WEEKDAY(I69,2)=1,(COUNTIF(E69,"*"))))+(IF(WEEKDAY(I67,2)=5,(COUNTIF(E67,$J$1))))*AND(IF(WEEKDAY(I70,2)=1,(COUNTIF(E70,"*"))))+(IF(WEEKDAY(I68,2)=5,(COUNTIF(E68,$J$1))))*AND(IF(WEEKDAY(I71,2)=1,(COUNTIF(E71,"*"))))+(IF(WEEKDAY(I69,2)=5,(COUNTIF(E69,$J$1))))*AND(IF(WEEKDAY(I72,2)=1,(COUNTIF(E72,"*"))))+(IF(WEEKDAY(I70,2)=5,(COUNTIF(E70,$J$1))))*AND(IF(WEEKDAY(I73,2)=1,(COUNTIF(E73,"*"))))+(IF(WEEKDAY(I71,2)=5,(COUNTIF(E71,$J$1))))*AND(IF(WEEKDAY(I74,2)=1,(COUNTIF(E74,"*"))))+(IF(WEEKDAY(I72,2)=5,(COUNTIF(E72,$J$1))))*AND(IF(WEEKDAY(I75,2)=1,(COUNTIF(E75,"*"))))+(IF(WEEKDAY(I73,2)=5,(COUNTIF(E73,$J$1))))*AND(IF(WEEKDAY(I76,2)=1,(COUNTIF(E76,"*"))))+(IF(WEEKDAY(I74,2)=5,(COUNTIF(E74,$J$1))))*AND(IF(WEEKDAY(I77,2)=1,(COUNTIF(E77,"*"))))+(IF(WEEKDAY(I75,2)=5,(COUNTIF(E75,$J$1))))*AND(IF(WEEKDAY(I78,2)=1,(COUNTIF(E78,"*"))))+(IF(WEEKDAY(I76,2)=5,(COUNTIF(E76,$J$1))))*AND(IF(WEEKDAY(I79,2)=1,(COUNTIF(E79,"*"))))+(IF(WEEKDAY(I77,2)=5,(COUNTIF(E77,$J$1))))*AND(IF(WEEKDAY(I80,2)=1,(COUNTIF(E80,"*"))))</f>
        <v>0</v>
      </c>
      <c r="O80" s="576">
        <f>SUM(N80:N81)</f>
        <v>0</v>
      </c>
      <c r="P80" s="328"/>
      <c r="Q80" s="281"/>
      <c r="R80" s="281"/>
      <c r="S80" s="281"/>
      <c r="T80" s="281"/>
      <c r="U80" s="281"/>
      <c r="V80" s="281"/>
      <c r="W80" s="281"/>
      <c r="X80" s="304"/>
      <c r="Y80" s="304"/>
      <c r="Z80" s="304"/>
      <c r="AA80" s="305"/>
      <c r="AB80" s="305"/>
      <c r="AC80" s="305"/>
      <c r="AD80" s="306"/>
      <c r="AE80" s="306"/>
      <c r="AF80" s="306"/>
      <c r="AG80" s="304"/>
      <c r="AH80" s="304"/>
      <c r="AI80" s="304"/>
      <c r="AJ80" s="304"/>
      <c r="AK80" s="304"/>
      <c r="AL80" s="304"/>
      <c r="AM80" s="304"/>
      <c r="AN80" s="304"/>
      <c r="AO80" s="304"/>
      <c r="AP80" s="304"/>
      <c r="AQ80" s="304"/>
      <c r="AR80" s="304"/>
      <c r="AS80" s="304"/>
      <c r="AT80" s="304"/>
      <c r="AU80" s="304"/>
      <c r="AV80" s="304"/>
      <c r="AW80" s="499" t="s">
        <v>266</v>
      </c>
      <c r="AX80" s="499"/>
      <c r="AY80" s="499"/>
      <c r="AZ80" s="499"/>
      <c r="BA80" s="499"/>
      <c r="BB80" s="499"/>
      <c r="BC80" s="499"/>
      <c r="BD80" s="499"/>
      <c r="BE80" s="499"/>
      <c r="BF80" s="499"/>
      <c r="BG80" s="499"/>
      <c r="BH80" s="499"/>
      <c r="BI80" s="590">
        <f>$AG$17*98.25%</f>
        <v>1918.3842558749998</v>
      </c>
      <c r="BJ80" s="590"/>
      <c r="BK80" s="590"/>
      <c r="BL80" s="590"/>
      <c r="BM80" s="594">
        <f>'FICHE DE PAIE'!AW$21</f>
        <v>5.0000000000000001E-3</v>
      </c>
      <c r="BN80" s="594"/>
      <c r="BO80" s="594"/>
      <c r="BP80" s="594"/>
      <c r="BQ80" s="592">
        <f t="shared" si="20"/>
        <v>9.5919212793749988</v>
      </c>
      <c r="BR80" s="592"/>
      <c r="BS80" s="592"/>
      <c r="BT80" s="592"/>
      <c r="BU80" s="595"/>
      <c r="BV80" s="595"/>
      <c r="BW80" s="595"/>
      <c r="BX80" s="592">
        <f t="shared" si="21"/>
        <v>0</v>
      </c>
      <c r="BY80" s="592"/>
      <c r="BZ80" s="592"/>
      <c r="CA80" s="593"/>
    </row>
    <row r="81" spans="1:79" ht="15" customHeight="1">
      <c r="A81" s="334">
        <v>3</v>
      </c>
      <c r="B81" s="328">
        <v>21</v>
      </c>
      <c r="C81" s="328">
        <f t="shared" si="22"/>
        <v>80</v>
      </c>
      <c r="D81" s="360" t="e">
        <f>IF(I81='Jour Férié'!F$13,'Jour Férié'!E$13,""&amp;IF(I81='Jour Férié'!F$14,'Jour Férié'!E$14,""&amp;IF(I81='Jour Férié'!F$15,'Jour Férié'!E$15,""&amp;IF(I81='Jour Férié'!B$5,'Jour Férié'!A$5,""&amp;IF(MOD(MATCH(I42,vacances!$A$3:$A$202,1),2)=1,"vacances","")))))</f>
        <v>#N/A</v>
      </c>
      <c r="E81" s="490"/>
      <c r="F81" s="490"/>
      <c r="G81" s="490"/>
      <c r="H81" s="624"/>
      <c r="I81" s="361">
        <f t="shared" si="16"/>
        <v>43180</v>
      </c>
      <c r="J81" s="336"/>
      <c r="K81" s="336"/>
      <c r="L81" s="502"/>
      <c r="M81" s="575"/>
      <c r="N81" s="338">
        <f>(IF(WEEKDAY(I78,2)=5,(COUNTIF(E78,$J$1))))*AND(IF(WEEKDAY(I81,2)=1,(COUNTIF(E81,"*"))))+(IF(WEEKDAY(I79,2)=5,(COUNTIF(E79,$J$1))))*AND(IF(WEEKDAY(I82,2)=1,(COUNTIF(E82,"*"))))+(IF(WEEKDAY(I80,2)=5,(COUNTIF(E80,$J$1))))*AND(IF(WEEKDAY(I83,2)=1,(COUNTIF(E83,"*"))))+(IF(WEEKDAY(I81,2)=5,(COUNTIF(E81,$J$1))))*AND(IF(WEEKDAY(I84,2)=1,(COUNTIF(E84,"*"))))+(IF(WEEKDAY(I82,2)=5,(COUNTIF(E82,$J$1))))*AND(IF(WEEKDAY(I85,2)=1,(COUNTIF(E85,"*"))))+(IF(WEEKDAY(I83,2)=5,(COUNTIF(E83,$J$1))))*AND(IF(WEEKDAY(I86,2)=1,(COUNTIF(E86,"*"))))+(IF(WEEKDAY(I84,2)=5,(COUNTIF(E84,$J$1))))*AND(IF(WEEKDAY(I87,2)=1,(COUNTIF(E87,"*"))))+(IF(WEEKDAY(I85,2)=5,(COUNTIF(E85,$J$1))))*AND(IF(WEEKDAY(I88,2)=1,(COUNTIF(E88,"*"))))+(IF(WEEKDAY(I86,2)=5,(COUNTIF(E86,$J$1))))*AND(IF(WEEKDAY(I89,2)=1,(COUNTIF(E89,"*"))))+(IF(WEEKDAY(I87,2)=5,(COUNTIF(E87,$J$1))))*AND(IF(WEEKDAY(I90,2)=1,(COUNTIF(E90,"*"))))+(IF(WEEKDAY(I88,2)=5,(COUNTIF(E88,$J$1))))*AND(IF(WEEKDAY(I91,2)=1,(COUNTIF(E91,"*"))))+(IF(WEEKDAY(I89,2)=5,(COUNTIF(E89,$J$1))))*AND(IF(WEEKDAY(I92,2)=1,(COUNTIF(E92,"*"))))+(IF(WEEKDAY(I90,2)=5,(COUNTIF(E90,$J$1))))*AND(IF(WEEKDAY(I93,2)=1,(COUNTIF(E93,"*"))))+(IF(WEEKDAY(I91,2)=5,(COUNTIF(E91,$J$1))))*AND(IF(WEEKDAY(I94,2)=1,(COUNTIF(E94,"*"))))</f>
        <v>0</v>
      </c>
      <c r="O81" s="576"/>
      <c r="P81" s="328"/>
      <c r="Q81" s="281"/>
      <c r="R81" s="281"/>
      <c r="S81" s="281"/>
      <c r="T81" s="281"/>
      <c r="U81" s="281"/>
      <c r="V81" s="281"/>
      <c r="W81" s="281"/>
      <c r="X81" s="307"/>
      <c r="Y81" s="307"/>
      <c r="Z81" s="307"/>
      <c r="AA81" s="308"/>
      <c r="AB81" s="308"/>
      <c r="AC81" s="308"/>
      <c r="AD81" s="309"/>
      <c r="AE81" s="309"/>
      <c r="AF81" s="309"/>
      <c r="AG81" s="307"/>
      <c r="AH81" s="307"/>
      <c r="AI81" s="307"/>
      <c r="AJ81" s="307"/>
      <c r="AK81" s="307"/>
      <c r="AL81" s="307"/>
      <c r="AM81" s="307"/>
      <c r="AN81" s="307"/>
      <c r="AO81" s="307"/>
      <c r="AP81" s="307"/>
      <c r="AQ81" s="307"/>
      <c r="AR81" s="307"/>
      <c r="AS81" s="307"/>
      <c r="AT81" s="307"/>
      <c r="AU81" s="307"/>
      <c r="AV81" s="307"/>
      <c r="AW81" s="499" t="s">
        <v>267</v>
      </c>
      <c r="AX81" s="499"/>
      <c r="AY81" s="499"/>
      <c r="AZ81" s="499"/>
      <c r="BA81" s="499"/>
      <c r="BB81" s="499"/>
      <c r="BC81" s="499"/>
      <c r="BD81" s="499"/>
      <c r="BE81" s="499"/>
      <c r="BF81" s="499"/>
      <c r="BG81" s="499"/>
      <c r="BH81" s="499"/>
      <c r="BI81" s="596">
        <f>BI77</f>
        <v>0</v>
      </c>
      <c r="BJ81" s="596"/>
      <c r="BK81" s="596"/>
      <c r="BL81" s="596"/>
      <c r="BM81" s="594">
        <f>'FICHE DE PAIE'!AW$22</f>
        <v>6.8000000000000005E-2</v>
      </c>
      <c r="BN81" s="594"/>
      <c r="BO81" s="594"/>
      <c r="BP81" s="594"/>
      <c r="BQ81" s="592">
        <f t="shared" si="20"/>
        <v>0</v>
      </c>
      <c r="BR81" s="592"/>
      <c r="BS81" s="592"/>
      <c r="BT81" s="592"/>
      <c r="BU81" s="595"/>
      <c r="BV81" s="595"/>
      <c r="BW81" s="595"/>
      <c r="BX81" s="592">
        <f t="shared" si="21"/>
        <v>0</v>
      </c>
      <c r="BY81" s="592"/>
      <c r="BZ81" s="592"/>
      <c r="CA81" s="593"/>
    </row>
    <row r="82" spans="1:79" ht="15" customHeight="1">
      <c r="A82" s="334">
        <v>3</v>
      </c>
      <c r="B82" s="328">
        <v>22</v>
      </c>
      <c r="C82" s="328">
        <f t="shared" si="22"/>
        <v>81</v>
      </c>
      <c r="D82" s="360" t="e">
        <f>IF(I82='Jour Férié'!F$13,'Jour Férié'!E$13,""&amp;IF(I82='Jour Férié'!F$14,'Jour Férié'!E$14,""&amp;IF(I82='Jour Férié'!F$15,'Jour Férié'!E$15,""&amp;IF(I82='Jour Férié'!B$5,'Jour Férié'!A$5,""&amp;IF(MOD(MATCH(I43,vacances!$A$3:$A$202,1),2)=1,"vacances","")))))</f>
        <v>#N/A</v>
      </c>
      <c r="E82" s="490"/>
      <c r="F82" s="490"/>
      <c r="G82" s="490"/>
      <c r="H82" s="624"/>
      <c r="I82" s="361">
        <f t="shared" si="16"/>
        <v>43181</v>
      </c>
      <c r="J82" s="336"/>
      <c r="K82" s="336"/>
      <c r="L82" s="337"/>
      <c r="M82" s="575" t="s">
        <v>322</v>
      </c>
      <c r="N82" s="338">
        <f>((IF(WEEKDAY(I60,2)=7,(COUNTIF(E60,"*"))))*AND(IF(WEEKDAY(I61,2)=1,(COUNTIF(E61,"*")))))*AND(COUNTBLANK(E59))+((IF(WEEKDAY(I61,2)=7,(COUNTIF(E61,"*"))))*AND(IF(WEEKDAY(I62,2)=1,(COUNTIF(E62,"*")))))*AND(COUNTBLANK(E60))+((IF(WEEKDAY(I62,2)=7,(COUNTIF(E62,"*"))))*AND(IF(WEEKDAY(I63,2)=1,(COUNTIF(E63,"*"))))*AND(COUNTBLANK(E61)))+((IF(WEEKDAY(I63,2)=7,(COUNTIF(E63,"*"))))*AND(IF(WEEKDAY(I64,2)=1,(COUNTIF(E64,"*"))))*AND(COUNTBLANK(E62)))+((IF(WEEKDAY(I64,2)=7,(COUNTIF(E64,"*"))))*AND(IF(WEEKDAY(I65,2)=1,(COUNTIF(E65,"*"))))*AND(COUNTBLANK(E63)))+((IF(WEEKDAY(I65,2)=7,(COUNTIF(E65,"*"))))*AND(IF(WEEKDAY(I66,2)=1,(COUNTIF(E66,"*"))))*AND(COUNTBLANK(E64)))+((IF(WEEKDAY(I66,2)=7,(COUNTIF(E66,"*"))))*AND(IF(WEEKDAY(I67,2)=1,(COUNTIF(E67,"*"))))*AND(COUNTBLANK(E65)))+((IF(WEEKDAY(I67,2)=7,(COUNTIF(E67,"*"))))*AND(IF(WEEKDAY(I68,2)=1,(COUNTIF(E68,"*"))))*AND(COUNTBLANK(E66)))+((IF(WEEKDAY(I68,2)=7,(COUNTIF(E68,"*"))))*AND(IF(WEEKDAY(I69,2)=1,(COUNTIF(E69,"*"))))*AND(COUNTBLANK(E67)))</f>
        <v>0</v>
      </c>
      <c r="O82" s="576">
        <f>SUM(N82:N84)</f>
        <v>0</v>
      </c>
      <c r="P82" s="328"/>
      <c r="Q82" s="281"/>
      <c r="R82" s="281"/>
      <c r="S82" s="281"/>
      <c r="T82" s="552" t="s">
        <v>272</v>
      </c>
      <c r="U82" s="552"/>
      <c r="V82" s="552"/>
      <c r="W82" s="552"/>
      <c r="X82" s="552"/>
      <c r="Y82" s="552"/>
      <c r="Z82" s="552"/>
      <c r="AA82" s="552"/>
      <c r="AB82" s="552"/>
      <c r="AC82" s="553">
        <f>BV88</f>
        <v>1407.7499809251249</v>
      </c>
      <c r="AD82" s="553"/>
      <c r="AE82" s="553"/>
      <c r="AF82" s="553"/>
      <c r="AG82" s="553"/>
      <c r="AH82" s="553"/>
      <c r="AI82" s="553"/>
      <c r="AJ82" s="553"/>
      <c r="AK82" s="553"/>
      <c r="AL82" s="553"/>
      <c r="AM82" s="553"/>
      <c r="AN82" s="553"/>
      <c r="AO82" s="553"/>
      <c r="AP82" s="553"/>
      <c r="AQ82" s="553"/>
      <c r="AR82" s="290"/>
      <c r="AS82" s="290"/>
      <c r="AT82" s="290"/>
      <c r="AU82" s="290"/>
      <c r="AV82" s="290"/>
      <c r="AW82" s="499" t="s">
        <v>268</v>
      </c>
      <c r="AX82" s="499"/>
      <c r="AY82" s="499"/>
      <c r="AZ82" s="499"/>
      <c r="BA82" s="499"/>
      <c r="BB82" s="499"/>
      <c r="BC82" s="499"/>
      <c r="BD82" s="499"/>
      <c r="BE82" s="499"/>
      <c r="BF82" s="499"/>
      <c r="BG82" s="499"/>
      <c r="BH82" s="499"/>
      <c r="BI82" s="596">
        <f>BI77</f>
        <v>0</v>
      </c>
      <c r="BJ82" s="596"/>
      <c r="BK82" s="596"/>
      <c r="BL82" s="596"/>
      <c r="BM82" s="594">
        <f>'FICHE DE PAIE'!AW$23</f>
        <v>2.9000000000000001E-2</v>
      </c>
      <c r="BN82" s="594"/>
      <c r="BO82" s="594"/>
      <c r="BP82" s="594"/>
      <c r="BQ82" s="592">
        <f t="shared" si="20"/>
        <v>0</v>
      </c>
      <c r="BR82" s="592"/>
      <c r="BS82" s="592"/>
      <c r="BT82" s="592"/>
      <c r="BU82" s="595"/>
      <c r="BV82" s="595"/>
      <c r="BW82" s="595"/>
      <c r="BX82" s="592">
        <f t="shared" si="21"/>
        <v>0</v>
      </c>
      <c r="BY82" s="592"/>
      <c r="BZ82" s="592"/>
      <c r="CA82" s="593"/>
    </row>
    <row r="83" spans="1:79" ht="15" customHeight="1">
      <c r="A83" s="334">
        <v>3</v>
      </c>
      <c r="B83" s="328">
        <v>23</v>
      </c>
      <c r="C83" s="328">
        <f t="shared" si="22"/>
        <v>82</v>
      </c>
      <c r="D83" s="360" t="e">
        <f>IF(I83='Jour Férié'!F$13,'Jour Férié'!E$13,""&amp;IF(I83='Jour Férié'!F$14,'Jour Férié'!E$14,""&amp;IF(I83='Jour Férié'!F$15,'Jour Férié'!E$15,""&amp;IF(I83='Jour Férié'!B$5,'Jour Férié'!A$5,""&amp;IF(MOD(MATCH(I44,vacances!$A$3:$A$202,1),2)=1,"vacances","")))))</f>
        <v>#N/A</v>
      </c>
      <c r="E83" s="490"/>
      <c r="F83" s="490"/>
      <c r="G83" s="490"/>
      <c r="H83" s="624"/>
      <c r="I83" s="361">
        <f t="shared" si="16"/>
        <v>43182</v>
      </c>
      <c r="J83" s="336"/>
      <c r="K83" s="335"/>
      <c r="L83" s="338"/>
      <c r="M83" s="575"/>
      <c r="N83" s="335">
        <f>((IF(WEEKDAY(I69,2)=7,(COUNTIF(E69,"*"))))*AND(IF(WEEKDAY(I70,2)=1,(COUNTIF(E70,"*"))))*AND(COUNTBLANK(E68)))+((IF(WEEKDAY(I70,2)=7,(COUNTIF(E70,"*"))))*AND(IF(WEEKDAY(I71,2)=1,(COUNTIF(E71,"*"))))*AND(COUNTBLANK(E69)))+((IF(WEEKDAY(I71,2)=7,(COUNTIF(E71,"*"))))*AND(IF(WEEKDAY(I72,2)=1,(COUNTIF(E72,"*"))))*AND(COUNTBLANK(E70)))+((IF(WEEKDAY(I72,2)=7,(COUNTIF(E72,"*"))))*AND(IF(WEEKDAY(I73,2)=1,(COUNTIF(E73,"*"))))*AND(COUNTBLANK(E71)))+((IF(WEEKDAY(I73,2)=7,(COUNTIF(E73,"*"))))*AND(IF(WEEKDAY(I74,2)=1,(COUNTIF(E74,"*"))))*AND(COUNTBLANK(E72)))+((IF(WEEKDAY(I74,2)=7,(COUNTIF(E74,"*"))))*AND(IF(WEEKDAY(I75,2)=1,(COUNTIF(E75,"*"))))*AND(COUNTBLANK(E73)))+((IF(WEEKDAY(I75,2)=7,(COUNTIF(E75,"*"))))*AND(IF(WEEKDAY(I76,2)=1,(COUNTIF(E76,"*"))))*AND(COUNTBLANK(E74)))+((IF(WEEKDAY(I76,2)=7,(COUNTIF(E76,"*"))))*AND(IF(WEEKDAY(I77,2)=1,(COUNTIF(E77,"*"))))*AND(COUNTBLANK(E75)))+((IF(WEEKDAY(I77,2)=7,(COUNTIF(E77,"*"))))*AND(IF(WEEKDAY(I78,2)=1,(COUNTIF(E78,"*"))))*AND(COUNTBLANK(E76)))+((IF(WEEKDAY(I78,2)=7,(COUNTIF(E78,"*"))))*AND(IF(WEEKDAY(I79,2)=1,(COUNTIF(E79,"*"))))*AND(COUNTBLANK(E77)))+((IF(WEEKDAY(I79,2)=7,(COUNTIF(E79,"*"))))*AND(IF(WEEKDAY(I80,2)=1,(COUNTIF(E80,"*"))))*AND(COUNTBLANK(E77)))+((IF(WEEKDAY(I80,2)=7,(COUNTIF(E80,"*"))))*AND(IF(WEEKDAY(I81,2)=1,(COUNTIF(E81,"*"))))*AND(COUNTBLANK(E78)))+((IF(WEEKDAY(I81,2)=7,(COUNTIF(E81,"*"))))*AND(IF(WEEKDAY(I82,2)=1,(COUNTIF(E82,"*"))))*AND(COUNTBLANK(E79)))</f>
        <v>0</v>
      </c>
      <c r="O83" s="576"/>
      <c r="P83" s="328"/>
      <c r="Q83" s="304"/>
      <c r="R83" s="304"/>
      <c r="S83" s="304"/>
      <c r="T83" s="552"/>
      <c r="U83" s="552"/>
      <c r="V83" s="552"/>
      <c r="W83" s="552"/>
      <c r="X83" s="552"/>
      <c r="Y83" s="552"/>
      <c r="Z83" s="552"/>
      <c r="AA83" s="552"/>
      <c r="AB83" s="552"/>
      <c r="AC83" s="553"/>
      <c r="AD83" s="553"/>
      <c r="AE83" s="553"/>
      <c r="AF83" s="553"/>
      <c r="AG83" s="553"/>
      <c r="AH83" s="553"/>
      <c r="AI83" s="553"/>
      <c r="AJ83" s="553"/>
      <c r="AK83" s="553"/>
      <c r="AL83" s="553"/>
      <c r="AM83" s="553"/>
      <c r="AN83" s="553"/>
      <c r="AO83" s="553"/>
      <c r="AP83" s="553"/>
      <c r="AQ83" s="553"/>
      <c r="AR83" s="304"/>
      <c r="AS83" s="304"/>
      <c r="AT83" s="304"/>
      <c r="AU83" s="304"/>
      <c r="AV83" s="304"/>
      <c r="AW83" s="499" t="s">
        <v>269</v>
      </c>
      <c r="AX83" s="499"/>
      <c r="AY83" s="499"/>
      <c r="AZ83" s="499"/>
      <c r="BA83" s="499"/>
      <c r="BB83" s="499"/>
      <c r="BC83" s="499"/>
      <c r="BD83" s="499"/>
      <c r="BE83" s="499"/>
      <c r="BF83" s="499"/>
      <c r="BG83" s="499"/>
      <c r="BH83" s="499"/>
      <c r="BI83" s="596"/>
      <c r="BJ83" s="596"/>
      <c r="BK83" s="596"/>
      <c r="BL83" s="596"/>
      <c r="BM83" s="590"/>
      <c r="BN83" s="590"/>
      <c r="BO83" s="590"/>
      <c r="BP83" s="590"/>
      <c r="BQ83" s="592">
        <v>9.52</v>
      </c>
      <c r="BR83" s="592"/>
      <c r="BS83" s="592"/>
      <c r="BT83" s="592"/>
      <c r="BU83" s="595"/>
      <c r="BV83" s="595"/>
      <c r="BW83" s="595"/>
      <c r="BX83" s="592">
        <f t="shared" si="21"/>
        <v>0</v>
      </c>
      <c r="BY83" s="592"/>
      <c r="BZ83" s="592"/>
      <c r="CA83" s="593"/>
    </row>
    <row r="84" spans="1:79" ht="15" customHeight="1">
      <c r="A84" s="334">
        <v>3</v>
      </c>
      <c r="B84" s="328">
        <v>24</v>
      </c>
      <c r="C84" s="328">
        <f t="shared" si="22"/>
        <v>83</v>
      </c>
      <c r="D84" s="360" t="e">
        <f>IF(I84='Jour Férié'!F$13,'Jour Férié'!E$13,""&amp;IF(I84='Jour Férié'!F$14,'Jour Férié'!E$14,""&amp;IF(I84='Jour Férié'!F$15,'Jour Férié'!E$15,""&amp;IF(I84='Jour Férié'!B$5,'Jour Férié'!A$5,""&amp;IF(MOD(MATCH(I45,vacances!$A$3:$A$202,1),2)=1,"vacances","")))))</f>
        <v>#N/A</v>
      </c>
      <c r="E84" s="490"/>
      <c r="F84" s="490"/>
      <c r="G84" s="490"/>
      <c r="H84" s="624"/>
      <c r="I84" s="361">
        <f t="shared" si="16"/>
        <v>43183</v>
      </c>
      <c r="J84" s="336"/>
      <c r="K84" s="335"/>
      <c r="L84" s="338"/>
      <c r="M84" s="575"/>
      <c r="N84" s="335">
        <f>((IF(WEEKDAY(I82,2)=7,(COUNTIF(E82,"*"))))*AND(IF(WEEKDAY(I83,2)=1,(COUNTIF(E83,"*"))))*AND(COUNTBLANK(E80)))+((IF(WEEKDAY(I83,2)=7,(COUNTIF(E83,"*"))))*AND(IF(WEEKDAY(I84,2)=1,(COUNTIF(E84,"*"))))*AND(COUNTBLANK(E81)))+((IF(WEEKDAY(I84,2)=7,(COUNTIF(E84,"*"))))*AND(IF(WEEKDAY(I85,2)=1,(COUNTIF(E85,"*"))))*AND(COUNTBLANK(E81)))+((IF(WEEKDAY(I85,2)=7,(COUNTIF(E85,"*"))))*AND(IF(WEEKDAY(I86,2)=1,(COUNTIF(E86,"*"))))*AND(COUNTBLANK(E83)))+((IF(WEEKDAY(I86,2)=7,(COUNTIF(E86,"*"))))*AND(IF(WEEKDAY(I87,2)=1,(COUNTIF(E87,"*"))))*AND(COUNTBLANK(E84)))+((IF(WEEKDAY(I87,2)=7,(COUNTIF(E87,"*"))))*AND(IF(WEEKDAY(I88,2)=1,(COUNTIF(E88,"*"))))*AND(COUNTBLANK(E85)))+((IF(WEEKDAY(I88,2)=7,(COUNTIF(E88,"*"))))*AND(IF(WEEKDAY(I89,2)=1,(COUNTIF(E89,"*"))))*AND(COUNTBLANK(E86)))+((IF(WEEKDAY(I89,2)=7,(COUNTIF(E89,"*"))))*AND(IF(WEEKDAY(I90,2)=1,(COUNTIF(E90,"*"))))*AND(COUNTBLANK(E87)))+((IF(WEEKDAY(I90,2)=7,(COUNTIF(E90,"*"))))*AND(IF(WEEKDAY(I91,2)=1,(COUNTIF(E91,"*"))))*AND(COUNTBLANK(E88)))+((IF(WEEKDAY(I91,2)=7,(COUNTIF(E91,"*"))))*AND(IF(WEEKDAY(I92,2)=1,(COUNTIF(E92,"*"))))*AND(COUNTBLANK(E89)))</f>
        <v>0</v>
      </c>
      <c r="O84" s="576"/>
      <c r="P84" s="328"/>
      <c r="Q84" s="307"/>
      <c r="R84" s="307"/>
      <c r="S84" s="307"/>
      <c r="T84" s="552"/>
      <c r="U84" s="552"/>
      <c r="V84" s="552"/>
      <c r="W84" s="552"/>
      <c r="X84" s="552"/>
      <c r="Y84" s="552"/>
      <c r="Z84" s="552"/>
      <c r="AA84" s="552"/>
      <c r="AB84" s="552"/>
      <c r="AC84" s="553"/>
      <c r="AD84" s="553"/>
      <c r="AE84" s="553"/>
      <c r="AF84" s="553"/>
      <c r="AG84" s="553"/>
      <c r="AH84" s="553"/>
      <c r="AI84" s="553"/>
      <c r="AJ84" s="553"/>
      <c r="AK84" s="553"/>
      <c r="AL84" s="553"/>
      <c r="AM84" s="553"/>
      <c r="AN84" s="553"/>
      <c r="AO84" s="553"/>
      <c r="AP84" s="553"/>
      <c r="AQ84" s="553"/>
      <c r="AR84" s="307"/>
      <c r="AS84" s="307"/>
      <c r="AT84" s="307"/>
      <c r="AU84" s="307"/>
      <c r="AV84" s="307"/>
      <c r="AW84" s="591"/>
      <c r="AX84" s="591"/>
      <c r="AY84" s="591"/>
      <c r="AZ84" s="591"/>
      <c r="BA84" s="591"/>
      <c r="BB84" s="591"/>
      <c r="BC84" s="591"/>
      <c r="BD84" s="591"/>
      <c r="BE84" s="591"/>
      <c r="BF84" s="591"/>
      <c r="BG84" s="591"/>
      <c r="BH84" s="591"/>
      <c r="BI84" s="590">
        <f>$Y$28</f>
        <v>0</v>
      </c>
      <c r="BJ84" s="590"/>
      <c r="BK84" s="590"/>
      <c r="BL84" s="590"/>
      <c r="BM84" s="590"/>
      <c r="BN84" s="590"/>
      <c r="BO84" s="590"/>
      <c r="BP84" s="590"/>
      <c r="BQ84" s="592">
        <f>BI84*BM84</f>
        <v>0</v>
      </c>
      <c r="BR84" s="592"/>
      <c r="BS84" s="592"/>
      <c r="BT84" s="592"/>
      <c r="BU84" s="595"/>
      <c r="BV84" s="595"/>
      <c r="BW84" s="595"/>
      <c r="BX84" s="592">
        <f t="shared" si="21"/>
        <v>0</v>
      </c>
      <c r="BY84" s="592"/>
      <c r="BZ84" s="592"/>
      <c r="CA84" s="593"/>
    </row>
    <row r="85" spans="1:79" ht="15" customHeight="1">
      <c r="A85" s="334">
        <v>3</v>
      </c>
      <c r="B85" s="328">
        <v>25</v>
      </c>
      <c r="C85" s="328">
        <f t="shared" si="22"/>
        <v>84</v>
      </c>
      <c r="D85" s="360" t="e">
        <f>IF(I85='Jour Férié'!F$13,'Jour Férié'!E$13,""&amp;IF(I85='Jour Férié'!F$14,'Jour Férié'!E$14,""&amp;IF(I85='Jour Férié'!F$15,'Jour Férié'!E$15,""&amp;IF(I85='Jour Férié'!B$5,'Jour Férié'!A$5,""&amp;IF(MOD(MATCH(I46,vacances!$A$3:$A$202,1),2)=1,"vacances","")))))</f>
        <v>#N/A</v>
      </c>
      <c r="E85" s="490"/>
      <c r="F85" s="490"/>
      <c r="G85" s="490"/>
      <c r="H85" s="624"/>
      <c r="I85" s="361">
        <f t="shared" si="16"/>
        <v>43184</v>
      </c>
      <c r="J85" s="336"/>
      <c r="K85" s="335"/>
      <c r="L85" s="338"/>
      <c r="M85" s="328"/>
      <c r="N85" s="328"/>
      <c r="O85" s="375"/>
      <c r="P85" s="328"/>
      <c r="Q85" s="290"/>
      <c r="R85" s="290"/>
      <c r="S85" s="290"/>
      <c r="T85" s="290"/>
      <c r="U85" s="290"/>
      <c r="V85" s="290"/>
      <c r="W85" s="290"/>
      <c r="X85" s="290"/>
      <c r="Y85" s="290"/>
      <c r="Z85" s="290"/>
      <c r="AA85" s="310"/>
      <c r="AB85" s="310"/>
      <c r="AC85" s="553"/>
      <c r="AD85" s="553"/>
      <c r="AE85" s="553"/>
      <c r="AF85" s="553"/>
      <c r="AG85" s="553"/>
      <c r="AH85" s="553"/>
      <c r="AI85" s="553"/>
      <c r="AJ85" s="553"/>
      <c r="AK85" s="553"/>
      <c r="AL85" s="553"/>
      <c r="AM85" s="553"/>
      <c r="AN85" s="553"/>
      <c r="AO85" s="553"/>
      <c r="AP85" s="553"/>
      <c r="AQ85" s="553"/>
      <c r="AR85" s="290"/>
      <c r="AS85" s="290"/>
      <c r="AT85" s="290"/>
      <c r="AU85" s="290"/>
      <c r="AV85" s="290"/>
      <c r="AW85" s="562" t="s">
        <v>270</v>
      </c>
      <c r="AX85" s="562"/>
      <c r="AY85" s="562"/>
      <c r="AZ85" s="562"/>
      <c r="BA85" s="562"/>
      <c r="BB85" s="562"/>
      <c r="BC85" s="562"/>
      <c r="BD85" s="562"/>
      <c r="BE85" s="562"/>
      <c r="BF85" s="562"/>
      <c r="BG85" s="562"/>
      <c r="BH85" s="562"/>
      <c r="BI85" s="587"/>
      <c r="BJ85" s="587"/>
      <c r="BK85" s="587"/>
      <c r="BL85" s="587"/>
      <c r="BM85" s="588">
        <f>SUM(BM64:BP84)</f>
        <v>0.32090000000000002</v>
      </c>
      <c r="BN85" s="588"/>
      <c r="BO85" s="588"/>
      <c r="BP85" s="588"/>
      <c r="BQ85" s="586">
        <f>SUM(BQ64:BT84)</f>
        <v>443.38236907487493</v>
      </c>
      <c r="BR85" s="586"/>
      <c r="BS85" s="586"/>
      <c r="BT85" s="586"/>
      <c r="BU85" s="311"/>
      <c r="BV85" s="7"/>
      <c r="BW85" s="7"/>
      <c r="BX85" s="586">
        <f>SUM(BX64:CA84)</f>
        <v>807.69346695699983</v>
      </c>
      <c r="BY85" s="586"/>
      <c r="BZ85" s="586"/>
      <c r="CA85" s="589"/>
    </row>
    <row r="86" spans="1:79" ht="15" customHeight="1">
      <c r="A86" s="334">
        <v>3</v>
      </c>
      <c r="B86" s="328">
        <v>26</v>
      </c>
      <c r="C86" s="328">
        <f t="shared" si="22"/>
        <v>85</v>
      </c>
      <c r="D86" s="360" t="e">
        <f>IF(I86='Jour Férié'!F$13,'Jour Férié'!E$13,""&amp;IF(I86='Jour Férié'!F$14,'Jour Férié'!E$14,""&amp;IF(I86='Jour Férié'!F$15,'Jour Férié'!E$15,""&amp;IF(I86='Jour Férié'!B$5,'Jour Férié'!A$5,""&amp;IF(MOD(MATCH(I47,vacances!$A$3:$A$202,1),2)=1,"vacances","")))))</f>
        <v>#N/A</v>
      </c>
      <c r="E86" s="490"/>
      <c r="F86" s="490"/>
      <c r="G86" s="490"/>
      <c r="H86" s="624"/>
      <c r="I86" s="361">
        <f t="shared" si="16"/>
        <v>43185</v>
      </c>
      <c r="J86" s="328"/>
      <c r="K86" s="328"/>
      <c r="L86" s="328"/>
      <c r="M86" s="380" t="s">
        <v>323</v>
      </c>
      <c r="N86" s="574">
        <f>SUM(O78:O84)</f>
        <v>0</v>
      </c>
      <c r="O86" s="574"/>
      <c r="P86" s="328"/>
      <c r="Q86" s="304"/>
      <c r="R86" s="304"/>
      <c r="S86" s="304"/>
      <c r="T86" s="304"/>
      <c r="U86" s="304"/>
      <c r="V86" s="304"/>
      <c r="W86" s="304"/>
      <c r="X86" s="304"/>
      <c r="Y86" s="304"/>
      <c r="Z86" s="304"/>
      <c r="AA86" s="305"/>
      <c r="AB86" s="305"/>
      <c r="AC86" s="553"/>
      <c r="AD86" s="553"/>
      <c r="AE86" s="553"/>
      <c r="AF86" s="553"/>
      <c r="AG86" s="553"/>
      <c r="AH86" s="553"/>
      <c r="AI86" s="553"/>
      <c r="AJ86" s="553"/>
      <c r="AK86" s="553"/>
      <c r="AL86" s="553"/>
      <c r="AM86" s="553"/>
      <c r="AN86" s="553"/>
      <c r="AO86" s="553"/>
      <c r="AP86" s="553"/>
      <c r="AQ86" s="553"/>
      <c r="AR86" s="304"/>
      <c r="AS86" s="304"/>
      <c r="AT86" s="304"/>
      <c r="AU86" s="304"/>
      <c r="AV86" s="304"/>
      <c r="AW86" s="312" t="s">
        <v>271</v>
      </c>
      <c r="AX86" s="312"/>
      <c r="AY86" s="312"/>
      <c r="AZ86" s="312"/>
      <c r="BA86" s="312"/>
      <c r="BB86" s="312"/>
      <c r="BC86" s="312"/>
      <c r="BD86" s="313"/>
      <c r="BE86" s="313"/>
      <c r="BF86" s="313"/>
      <c r="BG86" s="313"/>
      <c r="BH86" s="313"/>
      <c r="BI86" s="569">
        <f>O64</f>
        <v>0</v>
      </c>
      <c r="BJ86" s="569"/>
      <c r="BK86" s="569"/>
      <c r="BL86" s="569"/>
      <c r="BM86" s="590">
        <f>'FICHE DE PAIE'!AW$27</f>
        <v>3.5259999999999998</v>
      </c>
      <c r="BN86" s="590"/>
      <c r="BO86" s="590"/>
      <c r="BP86" s="590"/>
      <c r="BQ86" s="381">
        <f>BI86*BM86</f>
        <v>0</v>
      </c>
      <c r="BR86" s="381"/>
      <c r="BS86" s="381"/>
      <c r="BT86" s="381"/>
      <c r="BU86" s="314"/>
      <c r="BV86" s="7"/>
      <c r="BW86" s="7"/>
      <c r="BX86" s="7"/>
      <c r="BY86" s="7"/>
      <c r="BZ86" s="7"/>
      <c r="CA86" s="315"/>
    </row>
    <row r="87" spans="1:79" ht="15" customHeight="1">
      <c r="A87" s="334">
        <v>3</v>
      </c>
      <c r="B87" s="328">
        <v>27</v>
      </c>
      <c r="C87" s="328">
        <f t="shared" si="22"/>
        <v>86</v>
      </c>
      <c r="D87" s="360" t="e">
        <f>IF(I87='Jour Férié'!F$13,'Jour Férié'!E$13,""&amp;IF(I87='Jour Férié'!F$14,'Jour Férié'!E$14,""&amp;IF(I87='Jour Férié'!F$15,'Jour Férié'!E$15,""&amp;IF(I87='Jour Férié'!B$5,'Jour Férié'!A$5,""&amp;IF(MOD(MATCH(I48,vacances!$A$3:$A$202,1),2)=1,"vacances","")))))</f>
        <v>#N/A</v>
      </c>
      <c r="E87" s="490"/>
      <c r="F87" s="490"/>
      <c r="G87" s="490"/>
      <c r="H87" s="624"/>
      <c r="I87" s="361">
        <f t="shared" si="16"/>
        <v>43186</v>
      </c>
      <c r="J87" s="328"/>
      <c r="K87" s="328"/>
      <c r="L87" s="328"/>
      <c r="M87" s="328"/>
      <c r="N87" s="328"/>
      <c r="O87" s="375"/>
      <c r="P87" s="328"/>
      <c r="Q87" s="307"/>
      <c r="R87" s="307"/>
      <c r="S87" s="307"/>
      <c r="T87" s="307"/>
      <c r="U87" s="307"/>
      <c r="V87" s="307"/>
      <c r="W87" s="307"/>
      <c r="X87" s="307"/>
      <c r="Y87" s="307"/>
      <c r="Z87" s="307"/>
      <c r="AA87" s="308"/>
      <c r="AB87" s="308"/>
      <c r="AC87" s="553"/>
      <c r="AD87" s="553"/>
      <c r="AE87" s="553"/>
      <c r="AF87" s="553"/>
      <c r="AG87" s="553"/>
      <c r="AH87" s="553"/>
      <c r="AI87" s="553"/>
      <c r="AJ87" s="553"/>
      <c r="AK87" s="553"/>
      <c r="AL87" s="553"/>
      <c r="AM87" s="553"/>
      <c r="AN87" s="553"/>
      <c r="AO87" s="553"/>
      <c r="AP87" s="553"/>
      <c r="AQ87" s="553"/>
      <c r="AR87" s="307"/>
      <c r="AS87" s="307"/>
      <c r="AT87" s="307"/>
      <c r="AU87" s="307"/>
      <c r="AV87" s="307"/>
      <c r="AW87" s="550">
        <f>Q61</f>
        <v>43160</v>
      </c>
      <c r="AX87" s="550"/>
      <c r="AY87" s="550"/>
      <c r="AZ87" s="550"/>
      <c r="BA87" s="550"/>
      <c r="BB87" s="550"/>
      <c r="BC87" s="550"/>
      <c r="BD87" s="550"/>
      <c r="BE87" s="550"/>
      <c r="BF87" s="550"/>
      <c r="BG87" s="550"/>
      <c r="BH87" s="550"/>
      <c r="BI87" s="550"/>
      <c r="BJ87" s="550"/>
      <c r="BK87" s="550"/>
      <c r="BL87" s="550"/>
      <c r="BM87" s="550"/>
      <c r="BN87" s="550"/>
      <c r="BO87" s="550"/>
      <c r="BP87" s="550"/>
      <c r="BQ87" s="550"/>
      <c r="BR87" s="550"/>
      <c r="BS87" s="550"/>
      <c r="BT87" s="550"/>
      <c r="BU87" s="550"/>
      <c r="BV87" s="550"/>
      <c r="BW87" s="550"/>
      <c r="BX87" s="550"/>
      <c r="BY87" s="550"/>
      <c r="BZ87" s="550"/>
      <c r="CA87" s="551"/>
    </row>
    <row r="88" spans="1:79" ht="15" customHeight="1">
      <c r="A88" s="334">
        <v>3</v>
      </c>
      <c r="B88" s="328">
        <v>28</v>
      </c>
      <c r="C88" s="328">
        <f t="shared" si="22"/>
        <v>87</v>
      </c>
      <c r="D88" s="360" t="e">
        <f>IF(I88='Jour Férié'!F$13,'Jour Férié'!E$13,""&amp;IF(I88='Jour Férié'!F$14,'Jour Férié'!E$14,""&amp;IF(I88='Jour Férié'!F$15,'Jour Férié'!E$15,""&amp;IF(I88='Jour Férié'!B$5,'Jour Férié'!A$5,""&amp;IF(MOD(MATCH(I49,vacances!$A$3:$A$202,1),2)=1,"vacances","")))))</f>
        <v>#N/A</v>
      </c>
      <c r="E88" s="490"/>
      <c r="F88" s="490"/>
      <c r="G88" s="490"/>
      <c r="H88" s="624"/>
      <c r="I88" s="361">
        <f t="shared" si="16"/>
        <v>43187</v>
      </c>
      <c r="J88" s="328"/>
      <c r="K88" s="328"/>
      <c r="L88" s="328"/>
      <c r="M88" s="328"/>
      <c r="N88" s="328"/>
      <c r="O88" s="375"/>
      <c r="P88" s="328"/>
      <c r="Q88" s="290"/>
      <c r="R88" s="290"/>
      <c r="S88" s="290"/>
      <c r="T88" s="290"/>
      <c r="U88" s="290"/>
      <c r="V88" s="290"/>
      <c r="W88" s="290"/>
      <c r="X88" s="290"/>
      <c r="Y88" s="290"/>
      <c r="Z88" s="290"/>
      <c r="AA88" s="310"/>
      <c r="AB88" s="310"/>
      <c r="AC88" s="553"/>
      <c r="AD88" s="553"/>
      <c r="AE88" s="553"/>
      <c r="AF88" s="553"/>
      <c r="AG88" s="553"/>
      <c r="AH88" s="553"/>
      <c r="AI88" s="553"/>
      <c r="AJ88" s="553"/>
      <c r="AK88" s="553"/>
      <c r="AL88" s="553"/>
      <c r="AM88" s="553"/>
      <c r="AN88" s="553"/>
      <c r="AO88" s="553"/>
      <c r="AP88" s="553"/>
      <c r="AQ88" s="553"/>
      <c r="AR88" s="290"/>
      <c r="AS88" s="290"/>
      <c r="AT88" s="290"/>
      <c r="AU88" s="290"/>
      <c r="AV88" s="290"/>
      <c r="AW88" s="313"/>
      <c r="AX88" s="313"/>
      <c r="AY88" s="313"/>
      <c r="AZ88" s="313"/>
      <c r="BA88" s="313"/>
      <c r="BB88" s="313"/>
      <c r="BC88" s="313"/>
      <c r="BD88" s="313"/>
      <c r="BE88" s="313"/>
      <c r="BF88" s="313"/>
      <c r="BG88" s="313"/>
      <c r="BH88" s="313"/>
      <c r="BI88" s="313"/>
      <c r="BJ88" s="313"/>
      <c r="BK88" s="313"/>
      <c r="BL88" s="316"/>
      <c r="BM88" s="316"/>
      <c r="BN88" s="587" t="s">
        <v>272</v>
      </c>
      <c r="BO88" s="587"/>
      <c r="BP88" s="587"/>
      <c r="BQ88" s="587"/>
      <c r="BR88" s="587"/>
      <c r="BS88" s="587"/>
      <c r="BT88" s="587"/>
      <c r="BU88" s="587"/>
      <c r="BV88" s="597">
        <f>AG77-BQ85+BQ86</f>
        <v>1407.7499809251249</v>
      </c>
      <c r="BW88" s="597"/>
      <c r="BX88" s="597"/>
      <c r="BY88" s="597"/>
      <c r="BZ88" s="597"/>
      <c r="CA88" s="598"/>
    </row>
    <row r="89" spans="1:79" ht="15" customHeight="1">
      <c r="A89" s="334">
        <v>3</v>
      </c>
      <c r="B89" s="328">
        <v>29</v>
      </c>
      <c r="C89" s="328">
        <f t="shared" si="22"/>
        <v>88</v>
      </c>
      <c r="D89" s="360" t="e">
        <f>IF(I89='Jour Férié'!F$13,'Jour Férié'!E$13,""&amp;IF(I89='Jour Férié'!F$14,'Jour Férié'!E$14,""&amp;IF(I89='Jour Férié'!F$15,'Jour Férié'!E$15,""&amp;IF(I89='Jour Férié'!B$5,'Jour Férié'!A$5,""&amp;IF(MOD(MATCH(I50,vacances!$A$3:$A$202,1),2)=1,"vacances","")))))</f>
        <v>#N/A</v>
      </c>
      <c r="E89" s="490"/>
      <c r="F89" s="490"/>
      <c r="G89" s="490"/>
      <c r="H89" s="624"/>
      <c r="I89" s="361">
        <f t="shared" si="16"/>
        <v>43188</v>
      </c>
      <c r="J89" s="328"/>
      <c r="K89" s="328"/>
      <c r="L89" s="328"/>
      <c r="M89" s="328"/>
      <c r="N89" s="328"/>
      <c r="O89" s="375"/>
      <c r="P89" s="328"/>
      <c r="Q89" s="304"/>
      <c r="R89" s="304"/>
      <c r="S89" s="304"/>
      <c r="T89" s="304"/>
      <c r="U89" s="304"/>
      <c r="V89" s="304"/>
      <c r="W89" s="304"/>
      <c r="X89" s="304"/>
      <c r="Y89" s="304"/>
      <c r="Z89" s="304"/>
      <c r="AA89" s="305"/>
      <c r="AB89" s="305"/>
      <c r="AC89" s="553"/>
      <c r="AD89" s="553"/>
      <c r="AE89" s="553"/>
      <c r="AF89" s="553"/>
      <c r="AG89" s="553"/>
      <c r="AH89" s="553"/>
      <c r="AI89" s="553"/>
      <c r="AJ89" s="553"/>
      <c r="AK89" s="553"/>
      <c r="AL89" s="553"/>
      <c r="AM89" s="553"/>
      <c r="AN89" s="553"/>
      <c r="AO89" s="553"/>
      <c r="AP89" s="553"/>
      <c r="AQ89" s="553"/>
      <c r="AR89" s="304"/>
      <c r="AS89" s="304"/>
      <c r="AT89" s="304"/>
      <c r="AU89" s="304"/>
      <c r="AV89" s="304"/>
      <c r="AW89" s="317"/>
      <c r="AX89" s="317"/>
      <c r="AY89" s="317"/>
      <c r="AZ89" s="317"/>
      <c r="BA89" s="317"/>
      <c r="BB89" s="317"/>
      <c r="BC89" s="317"/>
      <c r="BD89" s="317"/>
      <c r="BE89" s="317"/>
      <c r="BF89" s="317"/>
      <c r="BG89" s="317"/>
      <c r="BH89" s="317"/>
      <c r="BI89" s="317"/>
      <c r="BJ89" s="317"/>
      <c r="BK89" s="317"/>
      <c r="BL89" s="585" t="s">
        <v>273</v>
      </c>
      <c r="BM89" s="585"/>
      <c r="BN89" s="585"/>
      <c r="BO89" s="585"/>
      <c r="BP89" s="585"/>
      <c r="BQ89" s="585"/>
      <c r="BR89" s="585"/>
      <c r="BS89" s="585"/>
      <c r="BT89" s="585"/>
      <c r="BU89" s="586">
        <f>BV88-BQ85+BQ86</f>
        <v>964.36761185024989</v>
      </c>
      <c r="BV89" s="586"/>
      <c r="BW89" s="586"/>
      <c r="BX89" s="586"/>
      <c r="BY89" s="586"/>
      <c r="BZ89" s="586"/>
      <c r="CA89" s="341"/>
    </row>
    <row r="90" spans="1:79" ht="15" customHeight="1">
      <c r="A90" s="334">
        <v>3</v>
      </c>
      <c r="B90" s="328">
        <v>30</v>
      </c>
      <c r="C90" s="328">
        <f t="shared" si="22"/>
        <v>89</v>
      </c>
      <c r="D90" s="360" t="e">
        <f>IF(I90='Jour Férié'!F$13,'Jour Férié'!E$13,""&amp;IF(I90='Jour Férié'!F$14,'Jour Férié'!E$14,""&amp;IF(I90='Jour Férié'!F$15,'Jour Férié'!E$15,""&amp;IF(I90='Jour Férié'!B$5,'Jour Férié'!A$5,""&amp;IF(MOD(MATCH(I51,vacances!$A$3:$A$202,1),2)=1,"vacances","")))))</f>
        <v>#N/A</v>
      </c>
      <c r="E90" s="490"/>
      <c r="F90" s="490"/>
      <c r="G90" s="490"/>
      <c r="H90" s="624"/>
      <c r="I90" s="361">
        <f t="shared" si="16"/>
        <v>43189</v>
      </c>
      <c r="J90" s="328"/>
      <c r="K90" s="328"/>
      <c r="L90" s="328"/>
      <c r="M90" s="328"/>
      <c r="N90" s="328"/>
      <c r="O90" s="375"/>
      <c r="P90" s="328"/>
      <c r="Q90" s="307"/>
      <c r="R90" s="307"/>
      <c r="S90" s="307"/>
      <c r="T90" s="307"/>
      <c r="U90" s="307"/>
      <c r="V90" s="307"/>
      <c r="W90" s="307"/>
      <c r="X90" s="307"/>
      <c r="Y90" s="307"/>
      <c r="Z90" s="307"/>
      <c r="AA90" s="308"/>
      <c r="AB90" s="308"/>
      <c r="AC90" s="308"/>
      <c r="AD90" s="309"/>
      <c r="AE90" s="309"/>
      <c r="AF90" s="309"/>
      <c r="AG90" s="307"/>
      <c r="AH90" s="307"/>
      <c r="AI90" s="307"/>
      <c r="AJ90" s="307"/>
      <c r="AK90" s="307"/>
      <c r="AL90" s="307"/>
      <c r="AM90" s="307"/>
      <c r="AN90" s="307"/>
      <c r="AO90" s="307"/>
      <c r="AP90" s="307"/>
      <c r="AQ90" s="307"/>
      <c r="AR90" s="307"/>
      <c r="AS90" s="307"/>
      <c r="AT90" s="307"/>
      <c r="AU90" s="307"/>
      <c r="AV90" s="30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315"/>
    </row>
    <row r="91" spans="1:79" ht="15" customHeight="1" thickBot="1">
      <c r="A91" s="420">
        <v>3</v>
      </c>
      <c r="B91" s="329">
        <v>31</v>
      </c>
      <c r="C91" s="329">
        <f t="shared" si="22"/>
        <v>90</v>
      </c>
      <c r="D91" s="421" t="e">
        <f>IF(I91='Jour Férié'!F$13,'Jour Férié'!E$13,""&amp;IF(I91='Jour Férié'!F$14,'Jour Férié'!E$14,""&amp;IF(I91='Jour Férié'!F$15,'Jour Férié'!E$15,""&amp;IF(I91='Jour Férié'!B$5,'Jour Férié'!A$5,""&amp;IF(MOD(MATCH(I52,vacances!$A$3:$A$202,1),2)=1,"vacances","")))))</f>
        <v>#N/A</v>
      </c>
      <c r="E91" s="491"/>
      <c r="F91" s="491"/>
      <c r="G91" s="491"/>
      <c r="H91" s="625"/>
      <c r="I91" s="422">
        <f t="shared" si="16"/>
        <v>43190</v>
      </c>
      <c r="J91" s="329"/>
      <c r="K91" s="329"/>
      <c r="L91" s="329"/>
      <c r="M91" s="329"/>
      <c r="N91" s="329"/>
      <c r="O91" s="423"/>
      <c r="P91" s="329"/>
      <c r="Q91" s="345"/>
      <c r="R91" s="345"/>
      <c r="S91" s="345"/>
      <c r="T91" s="345"/>
      <c r="U91" s="345"/>
      <c r="V91" s="345"/>
      <c r="W91" s="345"/>
      <c r="X91" s="345"/>
      <c r="Y91" s="345"/>
      <c r="Z91" s="345"/>
      <c r="AA91" s="346"/>
      <c r="AB91" s="346"/>
      <c r="AC91" s="346"/>
      <c r="AD91" s="352"/>
      <c r="AE91" s="352"/>
      <c r="AF91" s="352"/>
      <c r="AG91" s="345"/>
      <c r="AH91" s="345"/>
      <c r="AI91" s="345"/>
      <c r="AJ91" s="345"/>
      <c r="AK91" s="345"/>
      <c r="AL91" s="345"/>
      <c r="AM91" s="345"/>
      <c r="AN91" s="345"/>
      <c r="AO91" s="345"/>
      <c r="AP91" s="345"/>
      <c r="AQ91" s="345"/>
      <c r="AR91" s="345"/>
      <c r="AS91" s="345"/>
      <c r="AT91" s="345"/>
      <c r="AU91" s="345"/>
      <c r="AV91" s="345"/>
      <c r="AW91" s="345"/>
      <c r="AX91" s="345"/>
      <c r="AY91" s="345"/>
      <c r="AZ91" s="345"/>
      <c r="BA91" s="345"/>
      <c r="BB91" s="345"/>
      <c r="BC91" s="345"/>
      <c r="BD91" s="345"/>
      <c r="BE91" s="345"/>
      <c r="BF91" s="345"/>
      <c r="BG91" s="345"/>
      <c r="BH91" s="345"/>
      <c r="BI91" s="345"/>
      <c r="BJ91" s="345"/>
      <c r="BK91" s="345"/>
      <c r="BL91" s="345"/>
      <c r="BM91" s="345"/>
      <c r="BN91" s="345"/>
      <c r="BO91" s="345"/>
      <c r="BP91" s="345"/>
      <c r="BQ91" s="345"/>
      <c r="BR91" s="345"/>
      <c r="BS91" s="345"/>
      <c r="BT91" s="345"/>
      <c r="BU91" s="345"/>
      <c r="BV91" s="345"/>
      <c r="BW91" s="345"/>
      <c r="BX91" s="345"/>
      <c r="BY91" s="345"/>
      <c r="BZ91" s="345"/>
      <c r="CA91" s="353"/>
    </row>
    <row r="92" spans="1:79" ht="15" customHeight="1">
      <c r="A92" s="519">
        <v>4</v>
      </c>
      <c r="B92" s="520">
        <v>1</v>
      </c>
      <c r="C92" s="520">
        <f t="shared" si="22"/>
        <v>91</v>
      </c>
      <c r="D92" s="521" t="e">
        <f>IF(I92='Jour Férié'!F$13,'Jour Férié'!E$13,""&amp;IF(I92='Jour Férié'!F$15,'Jour Férié'!E$15,""&amp;IF(I92='Jour Férié'!B$5,'Jour Férié'!A$5,""&amp;IF(I92='Jour Férié'!B$8,'Jour Férié'!A$8,""&amp;IF(MOD(MATCH(I92,vacances!$A$3:$A$202,1),2)=1,"vacances",""&amp;IF(MOD(MATCH(I92,vacances!$A$3:$A$202,1),2)=1,"vacances",""))))))</f>
        <v>#N/A</v>
      </c>
      <c r="E92" s="489"/>
      <c r="F92" s="489"/>
      <c r="G92" s="489"/>
      <c r="H92" s="620" t="s">
        <v>43</v>
      </c>
      <c r="I92" s="522">
        <f>DATE(annee,4,1)</f>
        <v>43191</v>
      </c>
      <c r="J92" s="523" t="s">
        <v>201</v>
      </c>
      <c r="K92" s="524" t="s">
        <v>202</v>
      </c>
      <c r="L92" s="292"/>
      <c r="M92" s="525" t="s">
        <v>203</v>
      </c>
      <c r="N92" s="525"/>
      <c r="O92" s="526">
        <f>(COUNTIF($E92:$E121,$J92))</f>
        <v>0</v>
      </c>
      <c r="P92" s="527"/>
      <c r="Q92" s="560">
        <f>DATE(annee,4,1)</f>
        <v>43191</v>
      </c>
      <c r="R92" s="560"/>
      <c r="S92" s="560"/>
      <c r="T92" s="560"/>
      <c r="U92" s="560"/>
      <c r="V92" s="560"/>
      <c r="W92" s="560"/>
      <c r="X92" s="560"/>
      <c r="Y92" s="560"/>
      <c r="Z92" s="560"/>
      <c r="AA92" s="560"/>
      <c r="AB92" s="560"/>
      <c r="AC92" s="560"/>
      <c r="AD92" s="560"/>
      <c r="AE92" s="560"/>
      <c r="AF92" s="560"/>
      <c r="AG92" s="560"/>
      <c r="AH92" s="560"/>
      <c r="AI92" s="560"/>
      <c r="AJ92" s="560"/>
      <c r="AK92" s="560"/>
      <c r="AL92" s="560"/>
      <c r="AM92" s="560"/>
      <c r="AN92" s="560"/>
      <c r="AO92" s="560"/>
      <c r="AP92" s="560"/>
      <c r="AQ92" s="560"/>
      <c r="AR92" s="560"/>
      <c r="AS92" s="560"/>
      <c r="AT92" s="560"/>
      <c r="AU92" s="560"/>
      <c r="AV92" s="292"/>
      <c r="AW92" s="560">
        <f>Q92</f>
        <v>43191</v>
      </c>
      <c r="AX92" s="560"/>
      <c r="AY92" s="560"/>
      <c r="AZ92" s="560"/>
      <c r="BA92" s="560"/>
      <c r="BB92" s="560"/>
      <c r="BC92" s="560"/>
      <c r="BD92" s="560"/>
      <c r="BE92" s="560"/>
      <c r="BF92" s="560"/>
      <c r="BG92" s="560"/>
      <c r="BH92" s="560"/>
      <c r="BI92" s="560"/>
      <c r="BJ92" s="560"/>
      <c r="BK92" s="560"/>
      <c r="BL92" s="560"/>
      <c r="BM92" s="560"/>
      <c r="BN92" s="560"/>
      <c r="BO92" s="560"/>
      <c r="BP92" s="560"/>
      <c r="BQ92" s="560"/>
      <c r="BR92" s="560"/>
      <c r="BS92" s="560"/>
      <c r="BT92" s="560"/>
      <c r="BU92" s="560"/>
      <c r="BV92" s="560"/>
      <c r="BW92" s="560"/>
      <c r="BX92" s="560"/>
      <c r="BY92" s="560"/>
      <c r="BZ92" s="560"/>
      <c r="CA92" s="607"/>
    </row>
    <row r="93" spans="1:79" ht="15" customHeight="1">
      <c r="A93" s="424">
        <v>4</v>
      </c>
      <c r="B93" s="382">
        <v>2</v>
      </c>
      <c r="C93" s="382">
        <f t="shared" si="22"/>
        <v>92</v>
      </c>
      <c r="D93" s="383" t="str">
        <f>IF(I93='Jour Férié'!F$13,'Jour Férié'!E$13,""&amp;IF(I93='Jour Férié'!F$15,'Jour Férié'!E$15,""&amp;IF(I93='Jour Férié'!B$5,'Jour Férié'!A$5,""&amp;IF(I93='Jour Férié'!B$8,'Jour Férié'!A$8,""&amp;IF(MOD(MATCH(I93,vacances!$A$3:$A$202,1),2)=1,"vacances",""&amp;IF(MOD(MATCH(I93,vacances!$A$3:$A$202,1),2)=1,"vacances",""))))))</f>
        <v>Lundi de Pâques</v>
      </c>
      <c r="E93" s="449"/>
      <c r="F93" s="449"/>
      <c r="G93" s="449"/>
      <c r="H93" s="621"/>
      <c r="I93" s="339">
        <f t="shared" ref="I93:I121" si="23">DATE(annee,4,1)+B92</f>
        <v>43192</v>
      </c>
      <c r="J93" s="384" t="s">
        <v>204</v>
      </c>
      <c r="K93" s="385" t="s">
        <v>205</v>
      </c>
      <c r="L93" s="290"/>
      <c r="M93" s="291" t="s">
        <v>206</v>
      </c>
      <c r="N93" s="291"/>
      <c r="O93" s="386">
        <f>(COUNTIF($E92:$E121,$J93))</f>
        <v>0</v>
      </c>
      <c r="P93" s="316"/>
      <c r="Q93" s="365"/>
      <c r="R93" s="365"/>
      <c r="S93" s="365"/>
      <c r="T93" s="365"/>
      <c r="U93" s="365"/>
      <c r="V93" s="365"/>
      <c r="W93" s="365"/>
      <c r="X93" s="365"/>
      <c r="Y93" s="365"/>
      <c r="Z93" s="365"/>
      <c r="AA93" s="366"/>
      <c r="AB93" s="366"/>
      <c r="AC93" s="366"/>
      <c r="AD93" s="367"/>
      <c r="AE93" s="367"/>
      <c r="AF93" s="367"/>
      <c r="AG93" s="365"/>
      <c r="AH93" s="365"/>
      <c r="AI93" s="365"/>
      <c r="AJ93" s="365"/>
      <c r="AK93" s="365"/>
      <c r="AL93" s="365"/>
      <c r="AM93" s="365"/>
      <c r="AN93" s="365"/>
      <c r="AO93" s="365"/>
      <c r="AP93" s="368"/>
      <c r="AQ93" s="368"/>
      <c r="AR93" s="368"/>
      <c r="AS93" s="368"/>
      <c r="AT93" s="368"/>
      <c r="AU93" s="368"/>
      <c r="AV93" s="290"/>
      <c r="AW93" s="608" t="s">
        <v>229</v>
      </c>
      <c r="AX93" s="608"/>
      <c r="AY93" s="608"/>
      <c r="AZ93" s="608"/>
      <c r="BA93" s="608"/>
      <c r="BB93" s="608"/>
      <c r="BC93" s="608"/>
      <c r="BD93" s="608"/>
      <c r="BE93" s="608"/>
      <c r="BF93" s="608"/>
      <c r="BG93" s="608"/>
      <c r="BH93" s="608"/>
      <c r="BI93" s="293"/>
      <c r="BJ93" s="293"/>
      <c r="BK93" s="293"/>
      <c r="BL93" s="585" t="s">
        <v>230</v>
      </c>
      <c r="BM93" s="585"/>
      <c r="BN93" s="585"/>
      <c r="BO93" s="585"/>
      <c r="BP93" s="585"/>
      <c r="BQ93" s="585"/>
      <c r="BR93" s="585"/>
      <c r="BS93" s="585"/>
      <c r="BT93" s="585"/>
      <c r="BU93" s="585" t="s">
        <v>231</v>
      </c>
      <c r="BV93" s="585"/>
      <c r="BW93" s="585"/>
      <c r="BX93" s="585"/>
      <c r="BY93" s="585"/>
      <c r="BZ93" s="585"/>
      <c r="CA93" s="609"/>
    </row>
    <row r="94" spans="1:79" ht="15" customHeight="1">
      <c r="A94" s="424">
        <v>4</v>
      </c>
      <c r="B94" s="382">
        <v>3</v>
      </c>
      <c r="C94" s="382">
        <f t="shared" si="22"/>
        <v>93</v>
      </c>
      <c r="D94" s="383" t="e">
        <f>IF(I94='Jour Férié'!F$13,'Jour Férié'!E$13,""&amp;IF(I94='Jour Férié'!F$15,'Jour Férié'!E$15,""&amp;IF(I94='Jour Férié'!B$5,'Jour Férié'!A$5,""&amp;IF(I94='Jour Férié'!B$8,'Jour Férié'!A$8,""&amp;IF(MOD(MATCH(I94,vacances!$A$3:$A$202,1),2)=1,"vacances",""&amp;IF(MOD(MATCH(I94,vacances!$A$3:$A$202,1),2)=1,"vacances",""))))))</f>
        <v>#N/A</v>
      </c>
      <c r="E94" s="449"/>
      <c r="F94" s="449"/>
      <c r="G94" s="449"/>
      <c r="H94" s="621"/>
      <c r="I94" s="339">
        <f t="shared" si="23"/>
        <v>43193</v>
      </c>
      <c r="J94" s="610" t="s">
        <v>207</v>
      </c>
      <c r="K94" s="610"/>
      <c r="L94" s="290"/>
      <c r="M94" s="291" t="s">
        <v>208</v>
      </c>
      <c r="N94" s="291"/>
      <c r="O94" s="386">
        <f>(COUNTIF($E92:$E121,$J94))</f>
        <v>0</v>
      </c>
      <c r="P94" s="316"/>
      <c r="Q94" s="555" t="str">
        <f>'FICHE DE PAIE'!A$4</f>
        <v>Salaire de base</v>
      </c>
      <c r="R94" s="555"/>
      <c r="S94" s="555"/>
      <c r="T94" s="555"/>
      <c r="U94" s="555"/>
      <c r="V94" s="555"/>
      <c r="W94" s="555"/>
      <c r="X94" s="555"/>
      <c r="Y94" s="555"/>
      <c r="Z94" s="494"/>
      <c r="AA94" s="556">
        <f>'FICHE DE PAIE'!$K$4</f>
        <v>151.66999999999999</v>
      </c>
      <c r="AB94" s="556"/>
      <c r="AC94" s="556"/>
      <c r="AD94" s="558">
        <f>'FICHE DE PAIE'!N$4</f>
        <v>12.074</v>
      </c>
      <c r="AE94" s="558"/>
      <c r="AF94" s="558"/>
      <c r="AG94" s="559">
        <f t="shared" ref="AG94:AG99" si="24">AA94*AD94</f>
        <v>1831.2635799999998</v>
      </c>
      <c r="AH94" s="559"/>
      <c r="AI94" s="559"/>
      <c r="AJ94" s="559"/>
      <c r="AK94" s="567" t="s">
        <v>233</v>
      </c>
      <c r="AL94" s="567"/>
      <c r="AM94" s="567"/>
      <c r="AN94" s="567"/>
      <c r="AO94" s="568">
        <v>2946</v>
      </c>
      <c r="AP94" s="568"/>
      <c r="AQ94" s="568"/>
      <c r="AR94" s="500"/>
      <c r="AS94" s="500"/>
      <c r="AT94" s="500"/>
      <c r="AU94" s="297"/>
      <c r="AV94" s="290"/>
      <c r="AW94" s="608"/>
      <c r="AX94" s="608"/>
      <c r="AY94" s="608"/>
      <c r="AZ94" s="608"/>
      <c r="BA94" s="608"/>
      <c r="BB94" s="608"/>
      <c r="BC94" s="608"/>
      <c r="BD94" s="608"/>
      <c r="BE94" s="608"/>
      <c r="BF94" s="608"/>
      <c r="BG94" s="608"/>
      <c r="BH94" s="608"/>
      <c r="BI94" s="611" t="s">
        <v>234</v>
      </c>
      <c r="BJ94" s="611"/>
      <c r="BK94" s="611"/>
      <c r="BL94" s="611"/>
      <c r="BM94" s="611" t="s">
        <v>235</v>
      </c>
      <c r="BN94" s="611"/>
      <c r="BO94" s="611"/>
      <c r="BP94" s="611"/>
      <c r="BQ94" s="611" t="s">
        <v>236</v>
      </c>
      <c r="BR94" s="611"/>
      <c r="BS94" s="611"/>
      <c r="BT94" s="611"/>
      <c r="BU94" s="611" t="s">
        <v>235</v>
      </c>
      <c r="BV94" s="611"/>
      <c r="BW94" s="611"/>
      <c r="BX94" s="611" t="s">
        <v>236</v>
      </c>
      <c r="BY94" s="611"/>
      <c r="BZ94" s="611"/>
      <c r="CA94" s="612"/>
    </row>
    <row r="95" spans="1:79" ht="15" customHeight="1">
      <c r="A95" s="424">
        <v>4</v>
      </c>
      <c r="B95" s="382">
        <v>4</v>
      </c>
      <c r="C95" s="382">
        <f t="shared" si="22"/>
        <v>94</v>
      </c>
      <c r="D95" s="383" t="e">
        <f>IF(I95='Jour Férié'!F$13,'Jour Férié'!E$13,""&amp;IF(I95='Jour Férié'!F$15,'Jour Férié'!E$15,""&amp;IF(I95='Jour Férié'!B$5,'Jour Férié'!A$5,""&amp;IF(I95='Jour Férié'!B$8,'Jour Férié'!A$8,""&amp;IF(MOD(MATCH(I95,vacances!$A$3:$A$202,1),2)=1,"vacances",""&amp;IF(MOD(MATCH(I95,vacances!$A$3:$A$202,1),2)=1,"vacances",""))))))</f>
        <v>#N/A</v>
      </c>
      <c r="E95" s="449"/>
      <c r="F95" s="449"/>
      <c r="G95" s="449"/>
      <c r="H95" s="621"/>
      <c r="I95" s="339">
        <f t="shared" si="23"/>
        <v>43194</v>
      </c>
      <c r="J95" s="387"/>
      <c r="K95" s="388" t="s">
        <v>209</v>
      </c>
      <c r="L95" s="290"/>
      <c r="M95" s="291" t="s">
        <v>210</v>
      </c>
      <c r="N95" s="291"/>
      <c r="O95" s="386">
        <f>SUM(O92:O94)</f>
        <v>0</v>
      </c>
      <c r="P95" s="316"/>
      <c r="Q95" s="555" t="str">
        <f>'FICHE DE PAIE'!A$5</f>
        <v>HS à 25%</v>
      </c>
      <c r="R95" s="555"/>
      <c r="S95" s="555"/>
      <c r="T95" s="555"/>
      <c r="U95" s="555"/>
      <c r="V95" s="555"/>
      <c r="W95" s="555"/>
      <c r="X95" s="555"/>
      <c r="Y95" s="555"/>
      <c r="Z95" s="494"/>
      <c r="AA95" s="561"/>
      <c r="AB95" s="561"/>
      <c r="AC95" s="561"/>
      <c r="AD95" s="558">
        <f>'FICHE DE PAIE'!N$5</f>
        <v>15.092499999999999</v>
      </c>
      <c r="AE95" s="558"/>
      <c r="AF95" s="558"/>
      <c r="AG95" s="559">
        <f t="shared" si="24"/>
        <v>0</v>
      </c>
      <c r="AH95" s="559"/>
      <c r="AI95" s="559"/>
      <c r="AJ95" s="559"/>
      <c r="AK95" s="294"/>
      <c r="AL95" s="294"/>
      <c r="AM95" s="294"/>
      <c r="AN95" s="295"/>
      <c r="AO95" s="295"/>
      <c r="AP95" s="295"/>
      <c r="AQ95" s="295"/>
      <c r="AR95" s="295"/>
      <c r="AS95" s="295"/>
      <c r="AT95" s="295"/>
      <c r="AU95" s="295"/>
      <c r="AV95" s="290"/>
      <c r="AW95" s="591" t="s">
        <v>238</v>
      </c>
      <c r="AX95" s="591"/>
      <c r="AY95" s="591"/>
      <c r="AZ95" s="591"/>
      <c r="BA95" s="591"/>
      <c r="BB95" s="591"/>
      <c r="BC95" s="591"/>
      <c r="BD95" s="591"/>
      <c r="BE95" s="591"/>
      <c r="BF95" s="591"/>
      <c r="BG95" s="591"/>
      <c r="BH95" s="591"/>
      <c r="BI95" s="590">
        <f>$AG$17</f>
        <v>1952.5539499999998</v>
      </c>
      <c r="BJ95" s="590"/>
      <c r="BK95" s="590"/>
      <c r="BL95" s="590"/>
      <c r="BM95" s="594">
        <f>'FICHE DE PAIE'!AW$5</f>
        <v>4.0000000000000001E-3</v>
      </c>
      <c r="BN95" s="594"/>
      <c r="BO95" s="594"/>
      <c r="BP95" s="594"/>
      <c r="BQ95" s="592">
        <f>BI95*BM95</f>
        <v>7.810215799999999</v>
      </c>
      <c r="BR95" s="592"/>
      <c r="BS95" s="592"/>
      <c r="BT95" s="592"/>
      <c r="BU95" s="594">
        <f>'FICHE DE PAIE'!BE$5</f>
        <v>0.152</v>
      </c>
      <c r="BV95" s="594"/>
      <c r="BW95" s="594"/>
      <c r="BX95" s="592">
        <f>BI95*BU95</f>
        <v>296.78820039999994</v>
      </c>
      <c r="BY95" s="592"/>
      <c r="BZ95" s="592"/>
      <c r="CA95" s="593"/>
    </row>
    <row r="96" spans="1:79" ht="15" customHeight="1">
      <c r="A96" s="424">
        <v>4</v>
      </c>
      <c r="B96" s="382">
        <v>5</v>
      </c>
      <c r="C96" s="382">
        <f t="shared" ref="C96:C111" si="25">VLOOKUP(A96,Données,4)+B96-1</f>
        <v>95</v>
      </c>
      <c r="D96" s="383" t="e">
        <f>IF(I96='Jour Férié'!F$13,'Jour Férié'!E$13,""&amp;IF(I96='Jour Férié'!F$15,'Jour Férié'!E$15,""&amp;IF(I96='Jour Férié'!B$5,'Jour Férié'!A$5,""&amp;IF(I96='Jour Férié'!B$8,'Jour Férié'!A$8,""&amp;IF(MOD(MATCH(I96,vacances!$A$3:$A$202,1),2)=1,"vacances",""&amp;IF(MOD(MATCH(I96,vacances!$A$3:$A$202,1),2)=1,"vacances",""))))))</f>
        <v>#N/A</v>
      </c>
      <c r="E96" s="449"/>
      <c r="F96" s="449"/>
      <c r="G96" s="449"/>
      <c r="H96" s="621"/>
      <c r="I96" s="339">
        <f t="shared" si="23"/>
        <v>43195</v>
      </c>
      <c r="J96" s="7"/>
      <c r="K96" s="7"/>
      <c r="L96" s="290"/>
      <c r="M96" s="291" t="s">
        <v>211</v>
      </c>
      <c r="N96" s="291"/>
      <c r="O96" s="386">
        <f ca="1">(COUNTIF(I92:I100,dimanche(COUNTIF($E92:$E121,$J93))))</f>
        <v>0</v>
      </c>
      <c r="P96" s="316"/>
      <c r="Q96" s="555" t="str">
        <f>'FICHE DE PAIE'!A$6</f>
        <v>HS à 50%</v>
      </c>
      <c r="R96" s="555"/>
      <c r="S96" s="555"/>
      <c r="T96" s="555"/>
      <c r="U96" s="555"/>
      <c r="V96" s="555"/>
      <c r="W96" s="555"/>
      <c r="X96" s="555"/>
      <c r="Y96" s="555"/>
      <c r="Z96" s="494"/>
      <c r="AA96" s="561"/>
      <c r="AB96" s="561"/>
      <c r="AC96" s="561"/>
      <c r="AD96" s="558">
        <f>'FICHE DE PAIE'!N$6</f>
        <v>18.111000000000001</v>
      </c>
      <c r="AE96" s="558"/>
      <c r="AF96" s="558"/>
      <c r="AG96" s="559">
        <f t="shared" si="24"/>
        <v>0</v>
      </c>
      <c r="AH96" s="559"/>
      <c r="AI96" s="559"/>
      <c r="AJ96" s="559"/>
      <c r="AK96" s="294"/>
      <c r="AL96" s="294"/>
      <c r="AM96" s="294"/>
      <c r="AN96" s="295"/>
      <c r="AO96" s="295"/>
      <c r="AP96" s="295"/>
      <c r="AQ96" s="295"/>
      <c r="AR96" s="295"/>
      <c r="AS96" s="295"/>
      <c r="AT96" s="295"/>
      <c r="AU96" s="295"/>
      <c r="AV96" s="290"/>
      <c r="AW96" s="591" t="s">
        <v>240</v>
      </c>
      <c r="AX96" s="591"/>
      <c r="AY96" s="591"/>
      <c r="AZ96" s="591"/>
      <c r="BA96" s="591"/>
      <c r="BB96" s="591"/>
      <c r="BC96" s="591"/>
      <c r="BD96" s="591"/>
      <c r="BE96" s="591"/>
      <c r="BF96" s="591"/>
      <c r="BG96" s="591"/>
      <c r="BH96" s="591"/>
      <c r="BI96" s="590">
        <f t="shared" ref="BI96:BI107" si="26">$AG$17</f>
        <v>1952.5539499999998</v>
      </c>
      <c r="BJ96" s="590"/>
      <c r="BK96" s="590"/>
      <c r="BL96" s="590"/>
      <c r="BM96" s="594">
        <f>'FICHE DE PAIE'!AW$6</f>
        <v>6.9000000000000006E-2</v>
      </c>
      <c r="BN96" s="594"/>
      <c r="BO96" s="594"/>
      <c r="BP96" s="594"/>
      <c r="BQ96" s="592">
        <f t="shared" ref="BQ96:BQ113" si="27">BI96*BM96</f>
        <v>134.72622254999999</v>
      </c>
      <c r="BR96" s="592"/>
      <c r="BS96" s="592"/>
      <c r="BT96" s="592"/>
      <c r="BU96" s="594">
        <f>'FICHE DE PAIE'!BE$6</f>
        <v>8.5500000000000007E-2</v>
      </c>
      <c r="BV96" s="594"/>
      <c r="BW96" s="594"/>
      <c r="BX96" s="592">
        <f t="shared" ref="BX96:BX115" si="28">BI96*BU96</f>
        <v>166.94336272499999</v>
      </c>
      <c r="BY96" s="592"/>
      <c r="BZ96" s="592"/>
      <c r="CA96" s="593"/>
    </row>
    <row r="97" spans="1:79" ht="15" customHeight="1">
      <c r="A97" s="424">
        <v>4</v>
      </c>
      <c r="B97" s="382">
        <v>6</v>
      </c>
      <c r="C97" s="382">
        <f t="shared" si="25"/>
        <v>96</v>
      </c>
      <c r="D97" s="383" t="e">
        <f>IF(I97='Jour Férié'!F$13,'Jour Férié'!E$13,""&amp;IF(I97='Jour Férié'!F$15,'Jour Férié'!E$15,""&amp;IF(I97='Jour Férié'!B$5,'Jour Férié'!A$5,""&amp;IF(I97='Jour Férié'!B$8,'Jour Férié'!A$8,""&amp;IF(MOD(MATCH(I97,vacances!$A$3:$A$202,1),2)=1,"vacances",""&amp;IF(MOD(MATCH(I97,vacances!$A$3:$A$202,1),2)=1,"vacances",""))))))</f>
        <v>#N/A</v>
      </c>
      <c r="E97" s="449"/>
      <c r="F97" s="449"/>
      <c r="G97" s="449"/>
      <c r="H97" s="621"/>
      <c r="I97" s="339">
        <f t="shared" si="23"/>
        <v>43196</v>
      </c>
      <c r="J97" s="389"/>
      <c r="K97" s="388" t="s">
        <v>212</v>
      </c>
      <c r="L97" s="290"/>
      <c r="M97" s="291" t="s">
        <v>213</v>
      </c>
      <c r="N97" s="291"/>
      <c r="O97" s="386">
        <f>SUM(O92:O93)</f>
        <v>0</v>
      </c>
      <c r="P97" s="316"/>
      <c r="Q97" s="555" t="str">
        <f>'FICHE DE PAIE'!A$7</f>
        <v>MAJORATION DIMANCHE</v>
      </c>
      <c r="R97" s="555"/>
      <c r="S97" s="555"/>
      <c r="T97" s="555"/>
      <c r="U97" s="555"/>
      <c r="V97" s="555"/>
      <c r="W97" s="555"/>
      <c r="X97" s="555"/>
      <c r="Y97" s="555"/>
      <c r="Z97" s="494"/>
      <c r="AA97" s="557">
        <f>O102</f>
        <v>0</v>
      </c>
      <c r="AB97" s="557"/>
      <c r="AC97" s="557"/>
      <c r="AD97" s="558">
        <f>'FICHE DE PAIE'!N$7</f>
        <v>1.2074</v>
      </c>
      <c r="AE97" s="558"/>
      <c r="AF97" s="558"/>
      <c r="AG97" s="559">
        <f t="shared" si="24"/>
        <v>0</v>
      </c>
      <c r="AH97" s="559"/>
      <c r="AI97" s="559"/>
      <c r="AJ97" s="559"/>
      <c r="AK97" s="294"/>
      <c r="AL97" s="294"/>
      <c r="AM97" s="294"/>
      <c r="AN97" s="295"/>
      <c r="AO97" s="295"/>
      <c r="AP97" s="295"/>
      <c r="AQ97" s="295"/>
      <c r="AR97" s="295"/>
      <c r="AS97" s="295"/>
      <c r="AT97" s="295"/>
      <c r="AU97" s="295"/>
      <c r="AV97" s="290"/>
      <c r="AW97" s="591" t="s">
        <v>242</v>
      </c>
      <c r="AX97" s="591"/>
      <c r="AY97" s="591"/>
      <c r="AZ97" s="591"/>
      <c r="BA97" s="591"/>
      <c r="BB97" s="591"/>
      <c r="BC97" s="591"/>
      <c r="BD97" s="591"/>
      <c r="BE97" s="591"/>
      <c r="BF97" s="591"/>
      <c r="BG97" s="591"/>
      <c r="BH97" s="591"/>
      <c r="BI97" s="590">
        <f t="shared" si="26"/>
        <v>1952.5539499999998</v>
      </c>
      <c r="BJ97" s="590"/>
      <c r="BK97" s="590"/>
      <c r="BL97" s="590"/>
      <c r="BM97" s="590"/>
      <c r="BN97" s="590"/>
      <c r="BO97" s="590"/>
      <c r="BP97" s="590"/>
      <c r="BQ97" s="592">
        <f t="shared" si="27"/>
        <v>0</v>
      </c>
      <c r="BR97" s="592"/>
      <c r="BS97" s="592"/>
      <c r="BT97" s="592"/>
      <c r="BU97" s="594">
        <f>'FICHE DE PAIE'!BE$7</f>
        <v>1E-3</v>
      </c>
      <c r="BV97" s="594"/>
      <c r="BW97" s="594"/>
      <c r="BX97" s="592">
        <f t="shared" si="28"/>
        <v>1.9525539499999998</v>
      </c>
      <c r="BY97" s="592"/>
      <c r="BZ97" s="592"/>
      <c r="CA97" s="593"/>
    </row>
    <row r="98" spans="1:79" ht="15" customHeight="1">
      <c r="A98" s="424">
        <v>4</v>
      </c>
      <c r="B98" s="382">
        <v>7</v>
      </c>
      <c r="C98" s="382">
        <f t="shared" si="25"/>
        <v>97</v>
      </c>
      <c r="D98" s="383" t="e">
        <f>IF(I98='Jour Férié'!F$13,'Jour Férié'!E$13,""&amp;IF(I98='Jour Férié'!F$15,'Jour Férié'!E$15,""&amp;IF(I98='Jour Férié'!B$5,'Jour Férié'!A$5,""&amp;IF(I98='Jour Férié'!B$8,'Jour Férié'!A$8,""&amp;IF(MOD(MATCH(I98,vacances!$A$3:$A$202,1),2)=1,"vacances",""&amp;IF(MOD(MATCH(I98,vacances!$A$3:$A$202,1),2)=1,"vacances",""))))))</f>
        <v>#N/A</v>
      </c>
      <c r="E98" s="449"/>
      <c r="F98" s="449"/>
      <c r="G98" s="449"/>
      <c r="H98" s="621"/>
      <c r="I98" s="339">
        <f t="shared" si="23"/>
        <v>43197</v>
      </c>
      <c r="J98" s="7"/>
      <c r="K98" s="7"/>
      <c r="L98" s="290"/>
      <c r="M98" s="385" t="s">
        <v>214</v>
      </c>
      <c r="N98" s="385"/>
      <c r="O98" s="390">
        <f>((6*COUNTIF(E91,J92))+(3*COUNTIF(E92,J92))+((6*COUNTIF(E92,J92))+(3*COUNTIF(E93,J92)))+((6*COUNTIF(E93,J92))+(3*COUNTIF(E94,J92)))+((6*COUNTIF(E94,J92))+(3*COUNTIF(E95,J92)))+((6*COUNTIF(E95,J92))+(3*COUNTIF(E96,J92)))+((6*COUNTIF(E96,J92))+(3*COUNTIF(E97,J92)))+((6*COUNTIF(E97,J92))+(3*COUNTIF(E98,J92)))+((6*COUNTIF(E98,J92))+(3*COUNTIF(E99,J92)))+((6*COUNTIF(E99,J92))+(3*COUNTIF(E100,J92)))+((6*COUNTIF(E100,J92))+(3*COUNTIF(E101,J92)))+((6*COUNTIF(E101,J92))+(3*COUNTIF(E102,J92)))+((6*COUNTIF(E102,J92))+(3*COUNTIF(E103,J92)))+((6*COUNTIF(E103,J92))+(3*COUNTIF(E104,J92)))+((6*COUNTIF(E104,J92))+(3*COUNTIF(E105,J92)))+((6*COUNTIF(E105,J92))+(3*COUNTIF(E106,J92)))+((6*COUNTIF(E106,J92))+(3*COUNTIF(E107,J92)))+((6*COUNTIF(E107,J92))+(3*COUNTIF(E108,J92)))+((6*COUNTIF(E108,J92))+(3*COUNTIF(E109,J92)))+((6*COUNTIF(E109,J92))+(3*COUNTIF(E110,J92)))+((6*COUNTIF(E110,J92))+(3*COUNTIF(E111,J92)))+((6*COUNTIF(E111,J92))+(3*COUNTIF(E112,J92)))+((6*COUNTIF(E112,J92))+(3*COUNTIF(E113,J92)))+((6*COUNTIF(E113,J92))+(3*COUNTIF(E114,J92)))+((6*COUNTIF(E114,J92))+(3*COUNTIF(E115,J92)))+((6*COUNTIF(E115,J92))+(3*COUNTIF(E116,J92)))+((6*COUNTIF(E116,J92))+(3*COUNTIF(E117,J92)))+((6*COUNTIF(E117,J92))+(3*COUNTIF(E118,J92)))+((6*COUNTIF(E118,J92))+(3*COUNTIF(E119,J92)))+((6*COUNTIF(E119,J92))+(3*COUNTIF(E120,J92)))+((6*COUNTIF(E120,J92))+(3*COUNTIF(E121,J92))))</f>
        <v>0</v>
      </c>
      <c r="P98" s="316"/>
      <c r="Q98" s="555" t="str">
        <f>'FICHE DE PAIE'!A$8</f>
        <v>MAJORATION NUIT</v>
      </c>
      <c r="R98" s="555"/>
      <c r="S98" s="555"/>
      <c r="T98" s="555"/>
      <c r="U98" s="555"/>
      <c r="V98" s="555"/>
      <c r="W98" s="555"/>
      <c r="X98" s="555"/>
      <c r="Y98" s="555"/>
      <c r="Z98" s="494"/>
      <c r="AA98" s="557">
        <f>O98</f>
        <v>0</v>
      </c>
      <c r="AB98" s="557"/>
      <c r="AC98" s="557"/>
      <c r="AD98" s="558">
        <f>'FICHE DE PAIE'!N$8</f>
        <v>1.2074</v>
      </c>
      <c r="AE98" s="558"/>
      <c r="AF98" s="558"/>
      <c r="AG98" s="559">
        <f t="shared" si="24"/>
        <v>0</v>
      </c>
      <c r="AH98" s="559"/>
      <c r="AI98" s="559"/>
      <c r="AJ98" s="559"/>
      <c r="AK98" s="294"/>
      <c r="AL98" s="294"/>
      <c r="AM98" s="294"/>
      <c r="AN98" s="295"/>
      <c r="AO98" s="295"/>
      <c r="AP98" s="295"/>
      <c r="AQ98" s="295"/>
      <c r="AR98" s="295"/>
      <c r="AS98" s="295"/>
      <c r="AT98" s="295"/>
      <c r="AU98" s="295"/>
      <c r="AV98" s="290"/>
      <c r="AW98" s="591" t="s">
        <v>244</v>
      </c>
      <c r="AX98" s="591"/>
      <c r="AY98" s="591"/>
      <c r="AZ98" s="591"/>
      <c r="BA98" s="591"/>
      <c r="BB98" s="591"/>
      <c r="BC98" s="591"/>
      <c r="BD98" s="591"/>
      <c r="BE98" s="591"/>
      <c r="BF98" s="591"/>
      <c r="BG98" s="591"/>
      <c r="BH98" s="591"/>
      <c r="BI98" s="590">
        <f t="shared" si="26"/>
        <v>1952.5539499999998</v>
      </c>
      <c r="BJ98" s="590"/>
      <c r="BK98" s="590"/>
      <c r="BL98" s="590"/>
      <c r="BM98" s="590"/>
      <c r="BN98" s="590"/>
      <c r="BO98" s="590"/>
      <c r="BP98" s="590"/>
      <c r="BQ98" s="592">
        <f t="shared" si="27"/>
        <v>0</v>
      </c>
      <c r="BR98" s="592"/>
      <c r="BS98" s="592"/>
      <c r="BT98" s="592"/>
      <c r="BU98" s="594">
        <f>'FICHE DE PAIE'!BE$8</f>
        <v>4.0000000000000001E-3</v>
      </c>
      <c r="BV98" s="594"/>
      <c r="BW98" s="594"/>
      <c r="BX98" s="592">
        <f t="shared" si="28"/>
        <v>7.810215799999999</v>
      </c>
      <c r="BY98" s="592"/>
      <c r="BZ98" s="592"/>
      <c r="CA98" s="593"/>
    </row>
    <row r="99" spans="1:79" ht="15" customHeight="1">
      <c r="A99" s="424">
        <v>4</v>
      </c>
      <c r="B99" s="382">
        <v>8</v>
      </c>
      <c r="C99" s="382">
        <f t="shared" si="25"/>
        <v>98</v>
      </c>
      <c r="D99" s="383" t="e">
        <f>IF(I99='Jour Férié'!F$13,'Jour Férié'!E$13,""&amp;IF(I99='Jour Férié'!F$15,'Jour Férié'!E$15,""&amp;IF(I99='Jour Férié'!B$5,'Jour Férié'!A$5,""&amp;IF(I99='Jour Férié'!B$8,'Jour Férié'!A$8,""&amp;IF(MOD(MATCH(I99,vacances!$A$3:$A$202,1),2)=1,"vacances",""&amp;IF(MOD(MATCH(I99,vacances!$A$3:$A$202,1),2)=1,"vacances",""))))))</f>
        <v>#N/A</v>
      </c>
      <c r="E99" s="449"/>
      <c r="F99" s="449"/>
      <c r="G99" s="449"/>
      <c r="H99" s="621"/>
      <c r="I99" s="339">
        <f t="shared" si="23"/>
        <v>43198</v>
      </c>
      <c r="J99" s="391" t="s">
        <v>215</v>
      </c>
      <c r="K99" s="388" t="s">
        <v>216</v>
      </c>
      <c r="L99" s="290"/>
      <c r="M99" s="291" t="s">
        <v>217</v>
      </c>
      <c r="N99" s="291"/>
      <c r="O99" s="386">
        <f>O93*12</f>
        <v>0</v>
      </c>
      <c r="P99" s="316"/>
      <c r="Q99" s="555" t="str">
        <f>'FICHE DE PAIE'!A$9</f>
        <v>MAJORATION JOUR FERIE</v>
      </c>
      <c r="R99" s="555"/>
      <c r="S99" s="555"/>
      <c r="T99" s="555"/>
      <c r="U99" s="555"/>
      <c r="V99" s="555"/>
      <c r="W99" s="555"/>
      <c r="X99" s="555"/>
      <c r="Y99" s="555"/>
      <c r="Z99" s="494"/>
      <c r="AA99" s="557">
        <f>O104</f>
        <v>0</v>
      </c>
      <c r="AB99" s="557"/>
      <c r="AC99" s="557"/>
      <c r="AD99" s="558">
        <f>'FICHE DE PAIE'!N$9</f>
        <v>12.074</v>
      </c>
      <c r="AE99" s="558"/>
      <c r="AF99" s="558"/>
      <c r="AG99" s="559">
        <f t="shared" si="24"/>
        <v>0</v>
      </c>
      <c r="AH99" s="559"/>
      <c r="AI99" s="559"/>
      <c r="AJ99" s="559"/>
      <c r="AK99" s="294"/>
      <c r="AL99" s="294"/>
      <c r="AM99" s="294"/>
      <c r="AN99" s="295"/>
      <c r="AO99" s="295"/>
      <c r="AP99" s="295"/>
      <c r="AQ99" s="295"/>
      <c r="AR99" s="295"/>
      <c r="AS99" s="295"/>
      <c r="AT99" s="295"/>
      <c r="AU99" s="295"/>
      <c r="AV99" s="290"/>
      <c r="AW99" s="591" t="s">
        <v>246</v>
      </c>
      <c r="AX99" s="591"/>
      <c r="AY99" s="591"/>
      <c r="AZ99" s="591"/>
      <c r="BA99" s="591"/>
      <c r="BB99" s="591"/>
      <c r="BC99" s="591"/>
      <c r="BD99" s="591"/>
      <c r="BE99" s="591"/>
      <c r="BF99" s="591"/>
      <c r="BG99" s="591"/>
      <c r="BH99" s="591"/>
      <c r="BI99" s="590">
        <f t="shared" si="26"/>
        <v>1952.5539499999998</v>
      </c>
      <c r="BJ99" s="590"/>
      <c r="BK99" s="590"/>
      <c r="BL99" s="590"/>
      <c r="BM99" s="590"/>
      <c r="BN99" s="590"/>
      <c r="BO99" s="590"/>
      <c r="BP99" s="590"/>
      <c r="BQ99" s="592">
        <f t="shared" si="27"/>
        <v>0</v>
      </c>
      <c r="BR99" s="592"/>
      <c r="BS99" s="592"/>
      <c r="BT99" s="592"/>
      <c r="BU99" s="594">
        <f>'FICHE DE PAIE'!BE$9</f>
        <v>1.2999999999999999E-2</v>
      </c>
      <c r="BV99" s="594"/>
      <c r="BW99" s="594"/>
      <c r="BX99" s="592">
        <f t="shared" si="28"/>
        <v>25.383201349999997</v>
      </c>
      <c r="BY99" s="592"/>
      <c r="BZ99" s="592"/>
      <c r="CA99" s="593"/>
    </row>
    <row r="100" spans="1:79" ht="15" customHeight="1">
      <c r="A100" s="424">
        <v>4</v>
      </c>
      <c r="B100" s="382">
        <v>9</v>
      </c>
      <c r="C100" s="382">
        <f t="shared" si="25"/>
        <v>99</v>
      </c>
      <c r="D100" s="383" t="e">
        <f>IF(I100='Jour Férié'!F$13,'Jour Férié'!E$13,""&amp;IF(I100='Jour Férié'!F$15,'Jour Férié'!E$15,""&amp;IF(I100='Jour Férié'!B$5,'Jour Férié'!A$5,""&amp;IF(I100='Jour Férié'!B$8,'Jour Férié'!A$8,""&amp;IF(MOD(MATCH(I100,vacances!$A$3:$A$202,1),2)=1,"vacances",""&amp;IF(MOD(MATCH(I100,vacances!$A$3:$A$202,1),2)=1,"vacances",""))))))</f>
        <v>#N/A</v>
      </c>
      <c r="E100" s="449"/>
      <c r="F100" s="449"/>
      <c r="G100" s="449"/>
      <c r="H100" s="621"/>
      <c r="I100" s="339">
        <f t="shared" si="23"/>
        <v>43199</v>
      </c>
      <c r="J100" s="391" t="s">
        <v>218</v>
      </c>
      <c r="K100" s="281" t="s">
        <v>219</v>
      </c>
      <c r="L100" s="290"/>
      <c r="M100" s="291" t="s">
        <v>220</v>
      </c>
      <c r="N100" s="291"/>
      <c r="O100" s="386">
        <f>O94*7</f>
        <v>0</v>
      </c>
      <c r="P100" s="316"/>
      <c r="Q100" s="555" t="str">
        <f>'FICHE DE PAIE'!A$10</f>
        <v xml:space="preserve">PRIME ANCIENNETE </v>
      </c>
      <c r="R100" s="555"/>
      <c r="S100" s="555"/>
      <c r="T100" s="555"/>
      <c r="U100" s="555"/>
      <c r="V100" s="555"/>
      <c r="W100" s="555"/>
      <c r="X100" s="555"/>
      <c r="Y100" s="555"/>
      <c r="Z100" s="494"/>
      <c r="AA100" s="556">
        <v>1</v>
      </c>
      <c r="AB100" s="556"/>
      <c r="AC100" s="556"/>
      <c r="AD100" s="558">
        <f>'FICHE DE PAIE'!N$10</f>
        <v>36.630000000000003</v>
      </c>
      <c r="AE100" s="558"/>
      <c r="AF100" s="558"/>
      <c r="AG100" s="606"/>
      <c r="AH100" s="606"/>
      <c r="AI100" s="606"/>
      <c r="AJ100" s="606"/>
      <c r="AK100" s="294"/>
      <c r="AL100" s="294"/>
      <c r="AM100" s="294"/>
      <c r="AN100" s="295"/>
      <c r="AO100" s="295"/>
      <c r="AP100" s="295"/>
      <c r="AQ100" s="295"/>
      <c r="AR100" s="295"/>
      <c r="AS100" s="295"/>
      <c r="AT100" s="295"/>
      <c r="AU100" s="295"/>
      <c r="AV100" s="290"/>
      <c r="AW100" s="591" t="s">
        <v>248</v>
      </c>
      <c r="AX100" s="591"/>
      <c r="AY100" s="591"/>
      <c r="AZ100" s="591"/>
      <c r="BA100" s="591"/>
      <c r="BB100" s="591"/>
      <c r="BC100" s="591"/>
      <c r="BD100" s="591"/>
      <c r="BE100" s="591"/>
      <c r="BF100" s="591"/>
      <c r="BG100" s="591"/>
      <c r="BH100" s="591"/>
      <c r="BI100" s="590">
        <f t="shared" si="26"/>
        <v>1952.5539499999998</v>
      </c>
      <c r="BJ100" s="590"/>
      <c r="BK100" s="590"/>
      <c r="BL100" s="590"/>
      <c r="BM100" s="590"/>
      <c r="BN100" s="590"/>
      <c r="BO100" s="590"/>
      <c r="BP100" s="590"/>
      <c r="BQ100" s="592">
        <f t="shared" si="27"/>
        <v>0</v>
      </c>
      <c r="BR100" s="592"/>
      <c r="BS100" s="592"/>
      <c r="BT100" s="592"/>
      <c r="BU100" s="594">
        <f>'FICHE DE PAIE'!BE$10</f>
        <v>1.7600000000000001E-2</v>
      </c>
      <c r="BV100" s="594"/>
      <c r="BW100" s="594"/>
      <c r="BX100" s="592">
        <f t="shared" si="28"/>
        <v>34.364949519999996</v>
      </c>
      <c r="BY100" s="592"/>
      <c r="BZ100" s="592"/>
      <c r="CA100" s="593"/>
    </row>
    <row r="101" spans="1:79" ht="15" customHeight="1">
      <c r="A101" s="424">
        <v>4</v>
      </c>
      <c r="B101" s="382">
        <v>10</v>
      </c>
      <c r="C101" s="382">
        <f t="shared" si="25"/>
        <v>100</v>
      </c>
      <c r="D101" s="383" t="e">
        <f>IF(I101='Jour Férié'!F$13,'Jour Férié'!E$13,""&amp;IF(I101='Jour Férié'!F$15,'Jour Férié'!E$15,""&amp;IF(I101='Jour Férié'!B$5,'Jour Férié'!A$5,""&amp;IF(I101='Jour Férié'!B$8,'Jour Férié'!A$8,""&amp;IF(MOD(MATCH(I101,vacances!$A$3:$A$202,1),2)=1,"vacances",""&amp;IF(MOD(MATCH(I101,vacances!$A$3:$A$202,1),2)=1,"vacances",""))))))</f>
        <v>#N/A</v>
      </c>
      <c r="E101" s="449"/>
      <c r="F101" s="449"/>
      <c r="G101" s="449"/>
      <c r="H101" s="621"/>
      <c r="I101" s="339">
        <f t="shared" si="23"/>
        <v>43200</v>
      </c>
      <c r="J101" s="392" t="s">
        <v>221</v>
      </c>
      <c r="K101" s="281" t="s">
        <v>222</v>
      </c>
      <c r="L101" s="290"/>
      <c r="M101" s="385" t="s">
        <v>223</v>
      </c>
      <c r="N101" s="385"/>
      <c r="O101" s="390">
        <f>(O92+O93)*12</f>
        <v>0</v>
      </c>
      <c r="P101" s="316"/>
      <c r="Q101" s="555" t="str">
        <f>'FICHE DE PAIE'!A$11</f>
        <v>PRIME HABILLAGE</v>
      </c>
      <c r="R101" s="555"/>
      <c r="S101" s="555"/>
      <c r="T101" s="555"/>
      <c r="U101" s="555"/>
      <c r="V101" s="555"/>
      <c r="W101" s="555"/>
      <c r="X101" s="555"/>
      <c r="Y101" s="555"/>
      <c r="Z101" s="494"/>
      <c r="AA101" s="556">
        <f>AA94</f>
        <v>151.66999999999999</v>
      </c>
      <c r="AB101" s="556"/>
      <c r="AC101" s="556"/>
      <c r="AD101" s="558">
        <f>'FICHE DE PAIE'!N$11</f>
        <v>0.13100000000000001</v>
      </c>
      <c r="AE101" s="558"/>
      <c r="AF101" s="558"/>
      <c r="AG101" s="559">
        <f>AA101*AD101</f>
        <v>19.868769999999998</v>
      </c>
      <c r="AH101" s="559"/>
      <c r="AI101" s="559"/>
      <c r="AJ101" s="559"/>
      <c r="AK101" s="294"/>
      <c r="AL101" s="294"/>
      <c r="AM101" s="294"/>
      <c r="AN101" s="295"/>
      <c r="AO101" s="295"/>
      <c r="AP101" s="295"/>
      <c r="AQ101" s="295"/>
      <c r="AR101" s="295"/>
      <c r="AS101" s="295"/>
      <c r="AT101" s="295"/>
      <c r="AU101" s="295"/>
      <c r="AV101" s="290"/>
      <c r="AW101" s="591" t="s">
        <v>250</v>
      </c>
      <c r="AX101" s="591"/>
      <c r="AY101" s="591"/>
      <c r="AZ101" s="591"/>
      <c r="BA101" s="591"/>
      <c r="BB101" s="591"/>
      <c r="BC101" s="591"/>
      <c r="BD101" s="591"/>
      <c r="BE101" s="591"/>
      <c r="BF101" s="591"/>
      <c r="BG101" s="591"/>
      <c r="BH101" s="591"/>
      <c r="BI101" s="590">
        <f t="shared" si="26"/>
        <v>1952.5539499999998</v>
      </c>
      <c r="BJ101" s="590"/>
      <c r="BK101" s="590"/>
      <c r="BL101" s="590"/>
      <c r="BM101" s="590"/>
      <c r="BN101" s="590"/>
      <c r="BO101" s="590"/>
      <c r="BP101" s="590"/>
      <c r="BQ101" s="592">
        <f t="shared" si="27"/>
        <v>0</v>
      </c>
      <c r="BR101" s="592"/>
      <c r="BS101" s="592"/>
      <c r="BT101" s="592"/>
      <c r="BU101" s="594">
        <f>'FICHE DE PAIE'!BE$11</f>
        <v>3.4500000000000003E-2</v>
      </c>
      <c r="BV101" s="594"/>
      <c r="BW101" s="594"/>
      <c r="BX101" s="592">
        <f t="shared" si="28"/>
        <v>67.363111274999994</v>
      </c>
      <c r="BY101" s="592"/>
      <c r="BZ101" s="592"/>
      <c r="CA101" s="593"/>
    </row>
    <row r="102" spans="1:79" ht="15" customHeight="1">
      <c r="A102" s="424">
        <v>4</v>
      </c>
      <c r="B102" s="382">
        <v>11</v>
      </c>
      <c r="C102" s="382">
        <f t="shared" si="25"/>
        <v>101</v>
      </c>
      <c r="D102" s="383" t="e">
        <f>IF(I102='Jour Férié'!F$13,'Jour Férié'!E$13,""&amp;IF(I102='Jour Férié'!F$15,'Jour Férié'!E$15,""&amp;IF(I102='Jour Férié'!B$5,'Jour Férié'!A$5,""&amp;IF(I102='Jour Férié'!B$8,'Jour Férié'!A$8,""&amp;IF(MOD(MATCH(I102,vacances!$A$3:$A$202,1),2)=1,"vacances",""&amp;IF(MOD(MATCH(I102,vacances!$A$3:$A$202,1),2)=1,"vacances",""))))))</f>
        <v>#N/A</v>
      </c>
      <c r="E102" s="449"/>
      <c r="F102" s="449"/>
      <c r="G102" s="449"/>
      <c r="H102" s="621"/>
      <c r="I102" s="339">
        <f t="shared" si="23"/>
        <v>43201</v>
      </c>
      <c r="J102" s="290"/>
      <c r="K102" s="290"/>
      <c r="L102" s="290"/>
      <c r="M102" s="578" t="s">
        <v>224</v>
      </c>
      <c r="N102" s="393">
        <f>(IF(WEEKDAY(I92,2)=7,(7*COUNTIF(E91,J92))+(12*COUNTIF(E92,J93))+(5*COUNTIF(E92,J92))))+(IF(WEEKDAY(I93,2)=7,(7*COUNTIF(E92,J92))+(12*COUNTIF(E93,J93))+(5*COUNTIF(E93,J92))))+(IF(WEEKDAY(I94,2)=7,(7*COUNTIF(E93,J92))+(12*COUNTIF(E94,J93))+(5*COUNTIF(E94,J92))))+(IF(WEEKDAY(I95,2)=7,(7*COUNTIF(E94,J92))+(12*COUNTIF(E95,J93))+(5*COUNTIF(E95,J92))))+(IF(WEEKDAY(I96,2)=7,(7*COUNTIF(E95,J92))+(12*COUNTIF(E96,J93))+(5*COUNTIF(E96,J92))))+(IF(WEEKDAY(I97,2)=7,(7*COUNTIF(E96,J92))+(12*COUNTIF(E97,J93))+(5*COUNTIF(E97,J92))))+(IF(WEEKDAY(I98,2)=7,(7*COUNTIF(E97,J92))+(12*COUNTIF(E98,J93))+(5*COUNTIF(E98,J92))))+(IF(WEEKDAY(I99,2)=7,(7*COUNTIF(E98,J92))+(12*COUNTIF(E99,J93))+(5*COUNTIF(E99,J92))))+(IF(WEEKDAY(I100,2)=7,(7*COUNTIF(E99,J92))+(12*COUNTIF(E100,J93))+(5*COUNTIF(E100,J92))))+(IF(WEEKDAY(I101,2)=7,(7*COUNTIF(E100,J92))+(12*COUNTIF(E101,J93))+(5*COUNTIF(E101,J92))))+(IF(WEEKDAY(I102,2)=7,(7*COUNTIF(E101,J92))+(12*COUNTIF(E102,J93))+(5*COUNTIF(E102,J92))))+(IF(WEEKDAY(I103,2)=7,(7*COUNTIF(E102,J92))+(12*COUNTIF(E103,J93))+(5*COUNTIF(E103,J92))))+(IF(WEEKDAY(I104,2)=7,(7*COUNTIF(E103,J92))+(12*COUNTIF(E104,J93))+(5*COUNTIF(E104,J92))))+(IF(WEEKDAY(I105,2)=7,(7*COUNTIF(E104,J92))+(12*COUNTIF(E105,J93))+(5*COUNTIF(E105,J92))))</f>
        <v>0</v>
      </c>
      <c r="O102" s="603">
        <f>SUM(N102:N103)</f>
        <v>0</v>
      </c>
      <c r="P102" s="316"/>
      <c r="Q102" s="555" t="str">
        <f>'FICHE DE PAIE'!A$12</f>
        <v>PRIME ASTREINTE</v>
      </c>
      <c r="R102" s="555"/>
      <c r="S102" s="555"/>
      <c r="T102" s="555"/>
      <c r="U102" s="555"/>
      <c r="V102" s="555"/>
      <c r="W102" s="555"/>
      <c r="X102" s="555"/>
      <c r="Y102" s="555"/>
      <c r="Z102" s="494"/>
      <c r="AA102" s="561"/>
      <c r="AB102" s="561"/>
      <c r="AC102" s="561"/>
      <c r="AD102" s="558">
        <f>'FICHE DE PAIE'!N$12</f>
        <v>90</v>
      </c>
      <c r="AE102" s="558"/>
      <c r="AF102" s="558"/>
      <c r="AG102" s="559">
        <f>AA102*AD102</f>
        <v>0</v>
      </c>
      <c r="AH102" s="559"/>
      <c r="AI102" s="559"/>
      <c r="AJ102" s="559"/>
      <c r="AK102" s="294"/>
      <c r="AL102" s="294"/>
      <c r="AM102" s="294"/>
      <c r="AN102" s="295"/>
      <c r="AO102" s="295"/>
      <c r="AP102" s="295"/>
      <c r="AQ102" s="295"/>
      <c r="AR102" s="295"/>
      <c r="AS102" s="295"/>
      <c r="AT102" s="295"/>
      <c r="AU102" s="295"/>
      <c r="AV102" s="290"/>
      <c r="AW102" s="591" t="s">
        <v>252</v>
      </c>
      <c r="AX102" s="591"/>
      <c r="AY102" s="591"/>
      <c r="AZ102" s="591"/>
      <c r="BA102" s="591"/>
      <c r="BB102" s="591"/>
      <c r="BC102" s="591"/>
      <c r="BD102" s="591"/>
      <c r="BE102" s="591"/>
      <c r="BF102" s="591"/>
      <c r="BG102" s="591"/>
      <c r="BH102" s="591"/>
      <c r="BI102" s="590">
        <f t="shared" si="26"/>
        <v>1952.5539499999998</v>
      </c>
      <c r="BJ102" s="590"/>
      <c r="BK102" s="590"/>
      <c r="BL102" s="590"/>
      <c r="BM102" s="590"/>
      <c r="BN102" s="590"/>
      <c r="BO102" s="590"/>
      <c r="BP102" s="590"/>
      <c r="BQ102" s="592">
        <f t="shared" si="27"/>
        <v>0</v>
      </c>
      <c r="BR102" s="592"/>
      <c r="BS102" s="592"/>
      <c r="BT102" s="592"/>
      <c r="BU102" s="594">
        <f>'FICHE DE PAIE'!BE$12</f>
        <v>1.6000000000000001E-4</v>
      </c>
      <c r="BV102" s="594"/>
      <c r="BW102" s="594"/>
      <c r="BX102" s="592">
        <f t="shared" si="28"/>
        <v>0.31240863199999996</v>
      </c>
      <c r="BY102" s="592"/>
      <c r="BZ102" s="592"/>
      <c r="CA102" s="593"/>
    </row>
    <row r="103" spans="1:79" ht="15" customHeight="1">
      <c r="A103" s="424">
        <v>4</v>
      </c>
      <c r="B103" s="382">
        <v>12</v>
      </c>
      <c r="C103" s="382">
        <f t="shared" si="25"/>
        <v>102</v>
      </c>
      <c r="D103" s="383" t="e">
        <f>IF(I103='Jour Férié'!F$13,'Jour Férié'!E$13,""&amp;IF(I103='Jour Férié'!F$15,'Jour Férié'!E$15,""&amp;IF(I103='Jour Férié'!B$5,'Jour Férié'!A$5,""&amp;IF(I103='Jour Férié'!B$8,'Jour Férié'!A$8,""&amp;IF(MOD(MATCH(I103,vacances!$A$3:$A$202,1),2)=1,"vacances",""&amp;IF(MOD(MATCH(I103,vacances!$A$3:$A$202,1),2)=1,"vacances",""))))))</f>
        <v>#N/A</v>
      </c>
      <c r="E103" s="449"/>
      <c r="F103" s="449"/>
      <c r="G103" s="449"/>
      <c r="H103" s="621"/>
      <c r="I103" s="339">
        <f t="shared" si="23"/>
        <v>43202</v>
      </c>
      <c r="J103" s="7"/>
      <c r="K103" s="7"/>
      <c r="L103" s="7"/>
      <c r="M103" s="578"/>
      <c r="N103" s="394">
        <f>(IF(WEEKDAY(I106,2)=7,(7*COUNTIF(E105,J92))+(12*COUNTIF(E106,J93))+(5*COUNTIF(E106,J92))))+(IF(WEEKDAY(I107,2)=7,(7*COUNTIF(E106,J92))+(12*COUNTIF(E107,J93))+(5*COUNTIF(E107,J92))))+(IF(WEEKDAY(I108,2)=7,(7*COUNTIF(E107,J92))+(12*COUNTIF(E108,J93))+(5*COUNTIF(E108,J92))))+(IF(WEEKDAY(I109,2)=7,(7*COUNTIF(E108,J92))+(12*COUNTIF(E109,J93))+(5*COUNTIF(E109,J92))))+(IF(WEEKDAY(I110,2)=7,(7*COUNTIF(E109,J92))+(12*COUNTIF(E110,J93))+(5*COUNTIF(E110,J92))))+(IF(WEEKDAY(I111,2)=7,(7*COUNTIF(E110,J92))+(12*COUNTIF(E111,J93))+(5*COUNTIF(E111,J92))))+(IF(WEEKDAY(I112,2)=7,(7*COUNTIF(E111,J92))+(12*COUNTIF(E112,J93))+(5*COUNTIF(E112,J92))))+(IF(WEEKDAY(I113,2)=7,(7*COUNTIF(E112,J92))+(12*COUNTIF(E113,J93))+(5*COUNTIF(E113,J92))))+(IF(WEEKDAY(I114,2)=7,(7*COUNTIF(E113,J92))+(12*COUNTIF(E114,J93))+(5*COUNTIF(E114,J92))))+(IF(WEEKDAY(I115,2)=7,(7*COUNTIF(E114,J92))+(12*COUNTIF(E115,J93))+(5*COUNTIF(E115,J92))))+(IF(WEEKDAY(I116,2)=7,(7*COUNTIF(E115,J92))+(12*COUNTIF(E116,J93))+(5*COUNTIF(E116,J92))))+(IF(WEEKDAY(I117,2)=7,(7*COUNTIF(E116,J92))+(12*COUNTIF(E117,J93))+(5*COUNTIF(E117,J92))))+(IF(WEEKDAY(I118,2)=7,(7*COUNTIF(E117,J92))+(12*COUNTIF(E118,J93))+(5*COUNTIF(E118,J92))))+(IF(WEEKDAY(I119,2)=7,(7*COUNTIF(E118,J92))+(12*COUNTIF(E119,J93))+(5*COUNTIF(E119,J92))))+(IF(WEEKDAY(I120,2)=7,(7*COUNTIF(E119,J92))+(12*COUNTIF(E120,J93))+(5*COUNTIF(E120,J92))))+(IF(WEEKDAY(I121,2)=7,(7*COUNTIF(E120,J92))+(12*COUNTIF(E121,J93))+(5*COUNTIF(E121,J92))))+(IF(WEEKDAY(I122,2)=7,(7*COUNTIF(E121,J92))+(12*COUNTIF(E122,J93))+(5*COUNTIF(E122,J92))))</f>
        <v>0</v>
      </c>
      <c r="O103" s="603"/>
      <c r="P103" s="316"/>
      <c r="Q103" s="555" t="str">
        <f>'FICHE DE PAIE'!A$13</f>
        <v>AUTRE PRIME</v>
      </c>
      <c r="R103" s="555"/>
      <c r="S103" s="555"/>
      <c r="T103" s="555"/>
      <c r="U103" s="555"/>
      <c r="V103" s="555"/>
      <c r="W103" s="555"/>
      <c r="X103" s="555"/>
      <c r="Y103" s="555"/>
      <c r="Z103" s="494"/>
      <c r="AA103" s="561"/>
      <c r="AB103" s="561"/>
      <c r="AC103" s="561"/>
      <c r="AD103" s="605"/>
      <c r="AE103" s="605"/>
      <c r="AF103" s="605"/>
      <c r="AG103" s="559">
        <f>AA103*AD103</f>
        <v>0</v>
      </c>
      <c r="AH103" s="559"/>
      <c r="AI103" s="559"/>
      <c r="AJ103" s="559"/>
      <c r="AK103" s="294"/>
      <c r="AL103" s="294"/>
      <c r="AM103" s="294"/>
      <c r="AN103" s="295"/>
      <c r="AO103" s="296"/>
      <c r="AP103" s="296"/>
      <c r="AQ103" s="295"/>
      <c r="AR103" s="295"/>
      <c r="AS103" s="295"/>
      <c r="AT103" s="295"/>
      <c r="AU103" s="295"/>
      <c r="AV103" s="290"/>
      <c r="AW103" s="591" t="s">
        <v>254</v>
      </c>
      <c r="AX103" s="591"/>
      <c r="AY103" s="591"/>
      <c r="AZ103" s="591"/>
      <c r="BA103" s="591"/>
      <c r="BB103" s="591"/>
      <c r="BC103" s="591"/>
      <c r="BD103" s="591"/>
      <c r="BE103" s="591"/>
      <c r="BF103" s="591"/>
      <c r="BG103" s="591"/>
      <c r="BH103" s="591"/>
      <c r="BI103" s="590">
        <f t="shared" si="26"/>
        <v>1952.5539499999998</v>
      </c>
      <c r="BJ103" s="590"/>
      <c r="BK103" s="590"/>
      <c r="BL103" s="590"/>
      <c r="BM103" s="594">
        <f>'FICHE DE PAIE'!AW$13</f>
        <v>9.4999999999999998E-3</v>
      </c>
      <c r="BN103" s="594"/>
      <c r="BO103" s="594"/>
      <c r="BP103" s="594"/>
      <c r="BQ103" s="592">
        <f t="shared" si="27"/>
        <v>18.549262524999996</v>
      </c>
      <c r="BR103" s="592"/>
      <c r="BS103" s="592"/>
      <c r="BT103" s="592"/>
      <c r="BU103" s="594">
        <f>'FICHE DE PAIE'!BE$13</f>
        <v>4.0500000000000001E-2</v>
      </c>
      <c r="BV103" s="594"/>
      <c r="BW103" s="594"/>
      <c r="BX103" s="592">
        <f t="shared" si="28"/>
        <v>79.078434974999993</v>
      </c>
      <c r="BY103" s="592"/>
      <c r="BZ103" s="592"/>
      <c r="CA103" s="593"/>
    </row>
    <row r="104" spans="1:79" ht="15" customHeight="1">
      <c r="A104" s="424">
        <v>4</v>
      </c>
      <c r="B104" s="382">
        <v>13</v>
      </c>
      <c r="C104" s="382">
        <f t="shared" si="25"/>
        <v>103</v>
      </c>
      <c r="D104" s="383" t="e">
        <f>IF(I104='Jour Férié'!F$13,'Jour Férié'!E$13,""&amp;IF(I104='Jour Férié'!F$15,'Jour Férié'!E$15,""&amp;IF(I104='Jour Férié'!B$5,'Jour Férié'!A$5,""&amp;IF(I104='Jour Férié'!B$8,'Jour Férié'!A$8,""&amp;IF(MOD(MATCH(I104,vacances!$A$3:$A$202,1),2)=1,"vacances",""&amp;IF(MOD(MATCH(I104,vacances!$A$3:$A$202,1),2)=1,"vacances",""))))))</f>
        <v>#N/A</v>
      </c>
      <c r="E104" s="449"/>
      <c r="F104" s="449"/>
      <c r="G104" s="449"/>
      <c r="H104" s="621"/>
      <c r="I104" s="339">
        <f t="shared" si="23"/>
        <v>43203</v>
      </c>
      <c r="J104" s="7"/>
      <c r="K104" s="7">
        <f>LEN(N104)</f>
        <v>1</v>
      </c>
      <c r="L104" s="7"/>
      <c r="M104" s="571" t="s">
        <v>225</v>
      </c>
      <c r="N104" s="385">
        <f>(IF((I92)='Jour Férié'!B3,(7*COUNTIF(E91,J1))+(12*COUNTIF(E92,J2))+(5*COUNTIF(E92,J1))))+(IF((I93)='Jour Férié'!B3,(7*COUNTIF(E92,J1))+(12*COUNTIF(E93,J2))+(5*COUNTIF(E93,J1))))+(IF((I94)='Jour Férié'!B3,(7*COUNTIF(E93,J1))+(12*COUNTIF(E94,J2))+(5*COUNTIF(E94,J1))))+(IF((I95)='Jour Férié'!B3,(7*COUNTIF(E94,J1))+(12*COUNTIF(E95,J2))+(5*COUNTIF(E95,J1))))+(IF((I96)='Jour Férié'!B3,(7*COUNTIF(E95,J1))+(12*COUNTIF(E96,J2))+(5*COUNTIF(E96,J1))))+(IF((I97)='Jour Férié'!B3,(7*COUNTIF(E96,J1))+(12*COUNTIF(E97,J2))+(5*COUNTIF(E97,J1))))+(IF((I98)='Jour Férié'!B3,(7*COUNTIF(E97,J1))+(12*COUNTIF(E98,J2))+(5*COUNTIF(E98,J1))))+(IF((I99)='Jour Férié'!B3,(7*COUNTIF(E98,J1))+(12*COUNTIF(E99,J2))+(5*COUNTIF(E99,J1))))+(IF((I100)='Jour Férié'!B3,(7*COUNTIF(E99,J1))+(12*COUNTIF(E100,J2))+(5*COUNTIF(E100,J1))))+(IF((I101)='Jour Férié'!B3,(7*COUNTIF(E100,J1))+(12*COUNTIF(E101,J2))+(5*COUNTIF(E101,J1))))+(IF((I102)='Jour Férié'!B3,(7*COUNTIF(E101,J1))+(12*COUNTIF(E102,J2))+(5*COUNTIF(E102,J1))))+(IF((I103)='Jour Férié'!B3,(7*COUNTIF(E102,J1))+(12*COUNTIF(E103,J2))+(5*COUNTIF(E103,J1))))+(IF((I104)='Jour Férié'!B3,(7*COUNTIF(E103,J1))+(12*COUNTIF(E104,J2))+(5*COUNTIF(E104,J1))))+(IF((I105)='Jour Férié'!B3,(7*COUNTIF(E104,J1))+(12*COUNTIF(E105,J2))+(5*COUNTIF(E105,J1))))+(IF((I106)='Jour Férié'!B3,(7*COUNTIF(E105,J1))+(12*COUNTIF(E106,J2))+(5*COUNTIF(E106,J1))))+(IF((I107)='Jour Férié'!B3,(7*COUNTIF(E106,J1))+(12*COUNTIF(E107,J2))+(5*COUNTIF(E107,J1))))+(IF((I108)='Jour Férié'!B3,(7*COUNTIF(E107,J1))+(12*COUNTIF(E108,J2))+(5*COUNTIF(E108,J1))))+(IF((I109)='Jour Férié'!B3,(7*COUNTIF(E108,J1))+(12*COUNTIF(E109,J2))+(5*COUNTIF(E109,J1))))+(IF((I110)='Jour Férié'!B3,(7*COUNTIF(E109,J1))+(12*COUNTIF(E110,J2))+(5*COUNTIF(E110,J1))))+(IF((I111)='Jour Férié'!B3,(7*COUNTIF(E110,J1))+(12*COUNTIF(E111,J2))+(5*COUNTIF(E111,J1))))+(IF((I112)='Jour Férié'!B3,(7*COUNTIF(E111,J1))+(12*COUNTIF(E112,J2))+(5*COUNTIF(E112,J1))))</f>
        <v>0</v>
      </c>
      <c r="O104" s="570">
        <f>SUM(N104:N106)</f>
        <v>0</v>
      </c>
      <c r="P104" s="316"/>
      <c r="Q104" s="555" t="str">
        <f>'FICHE DE PAIE'!A$14</f>
        <v>Absence congé payé</v>
      </c>
      <c r="R104" s="555"/>
      <c r="S104" s="555"/>
      <c r="T104" s="555"/>
      <c r="U104" s="555"/>
      <c r="V104" s="555"/>
      <c r="W104" s="555"/>
      <c r="X104" s="555"/>
      <c r="Y104" s="555"/>
      <c r="Z104" s="494"/>
      <c r="AA104" s="557">
        <f>O108*35/6</f>
        <v>0</v>
      </c>
      <c r="AB104" s="557"/>
      <c r="AC104" s="557"/>
      <c r="AD104" s="558">
        <f>'FICHE DE PAIE'!N$14</f>
        <v>12.074</v>
      </c>
      <c r="AE104" s="558"/>
      <c r="AF104" s="558"/>
      <c r="AG104" s="559"/>
      <c r="AH104" s="559"/>
      <c r="AI104" s="559"/>
      <c r="AJ104" s="559"/>
      <c r="AK104" s="602">
        <f>AA104*AD104</f>
        <v>0</v>
      </c>
      <c r="AL104" s="602"/>
      <c r="AM104" s="602"/>
      <c r="AN104" s="602"/>
      <c r="AO104" s="294"/>
      <c r="AP104" s="296"/>
      <c r="AQ104" s="295"/>
      <c r="AR104" s="295"/>
      <c r="AS104" s="295"/>
      <c r="AT104" s="295"/>
      <c r="AU104" s="295"/>
      <c r="AV104" s="290"/>
      <c r="AW104" s="591" t="s">
        <v>256</v>
      </c>
      <c r="AX104" s="591"/>
      <c r="AY104" s="591"/>
      <c r="AZ104" s="591"/>
      <c r="BA104" s="591"/>
      <c r="BB104" s="591"/>
      <c r="BC104" s="591"/>
      <c r="BD104" s="591"/>
      <c r="BE104" s="591"/>
      <c r="BF104" s="591"/>
      <c r="BG104" s="591"/>
      <c r="BH104" s="591"/>
      <c r="BI104" s="590">
        <f t="shared" si="26"/>
        <v>1952.5539499999998</v>
      </c>
      <c r="BJ104" s="590"/>
      <c r="BK104" s="590"/>
      <c r="BL104" s="590"/>
      <c r="BM104" s="590"/>
      <c r="BN104" s="590"/>
      <c r="BO104" s="590"/>
      <c r="BP104" s="590"/>
      <c r="BQ104" s="592">
        <f t="shared" si="27"/>
        <v>0</v>
      </c>
      <c r="BR104" s="592"/>
      <c r="BS104" s="592"/>
      <c r="BT104" s="592"/>
      <c r="BU104" s="594">
        <f>'FICHE DE PAIE'!BE$14</f>
        <v>1.5E-3</v>
      </c>
      <c r="BV104" s="594"/>
      <c r="BW104" s="594"/>
      <c r="BX104" s="592">
        <f t="shared" si="28"/>
        <v>2.9288309249999998</v>
      </c>
      <c r="BY104" s="592"/>
      <c r="BZ104" s="592"/>
      <c r="CA104" s="593"/>
    </row>
    <row r="105" spans="1:79" ht="15" customHeight="1">
      <c r="A105" s="424">
        <v>4</v>
      </c>
      <c r="B105" s="382">
        <v>14</v>
      </c>
      <c r="C105" s="382">
        <f t="shared" si="25"/>
        <v>104</v>
      </c>
      <c r="D105" s="383" t="e">
        <f>IF(I105='Jour Férié'!F$13,'Jour Férié'!E$13,""&amp;IF(I105='Jour Férié'!F$15,'Jour Férié'!E$15,""&amp;IF(I105='Jour Férié'!B$5,'Jour Férié'!A$5,""&amp;IF(I105='Jour Férié'!B$8,'Jour Férié'!A$8,""&amp;IF(MOD(MATCH(I105,vacances!$A$3:$A$202,1),2)=1,"vacances",""&amp;IF(MOD(MATCH(I105,vacances!$A$3:$A$202,1),2)=1,"vacances",""))))))</f>
        <v>#N/A</v>
      </c>
      <c r="E105" s="449"/>
      <c r="F105" s="449"/>
      <c r="G105" s="449"/>
      <c r="H105" s="621"/>
      <c r="I105" s="339">
        <f t="shared" si="23"/>
        <v>43204</v>
      </c>
      <c r="J105" s="7"/>
      <c r="K105" s="7"/>
      <c r="L105" s="7"/>
      <c r="M105" s="571"/>
      <c r="N105" s="7">
        <f>(IF((I113)='Jour Férié'!B3,(7*COUNTIF(E112,J1))+(12*COUNTIF(E113,J2))+(5*COUNTIF(E113,J1))))+(IF((I114)='Jour Férié'!B3,(7*COUNTIF(E113,J1))+(12*COUNTIF(E114,J2))+(5*COUNTIF(E114,J1))))+(IF((I115)='Jour Férié'!B3,(7*COUNTIF(E114,J1))+(12*COUNTIF(E115,J2))+(5*COUNTIF(E115,J1))))+(IF((I116)='Jour Férié'!B3,(7*COUNTIF(E115,J1))+(12*COUNTIF(E116,J2))+(5*COUNTIF(E116,J1))))+(IF((I117)='Jour Férié'!B3,(7*COUNTIF(E116,J1))+(12*COUNTIF(E117,J2))+(5*COUNTIF(E117,J1))))+(IF((I120)='Jour Férié'!B8,(7*COUNTIF(E119,J1))+(12*COUNTIF(E120,J2))+(5*COUNTIF(E120,J1))))+(IF((I121)='Jour Férié'!B8,(7*COUNTIF(E120,J1))+(12*COUNTIF(E121,J2))+(5*COUNTIF(E121,J1))))</f>
        <v>0</v>
      </c>
      <c r="O105" s="570"/>
      <c r="P105" s="316"/>
      <c r="Q105" s="555" t="str">
        <f>'FICHE DE PAIE'!A$15</f>
        <v>paiement congé payé</v>
      </c>
      <c r="R105" s="555"/>
      <c r="S105" s="555"/>
      <c r="T105" s="555"/>
      <c r="U105" s="555"/>
      <c r="V105" s="555"/>
      <c r="W105" s="555"/>
      <c r="X105" s="555"/>
      <c r="Y105" s="555"/>
      <c r="Z105" s="494"/>
      <c r="AA105" s="556"/>
      <c r="AB105" s="556"/>
      <c r="AC105" s="556"/>
      <c r="AD105" s="566"/>
      <c r="AE105" s="566"/>
      <c r="AF105" s="566"/>
      <c r="AG105" s="604"/>
      <c r="AH105" s="604"/>
      <c r="AI105" s="604"/>
      <c r="AJ105" s="604"/>
      <c r="AK105" s="297"/>
      <c r="AL105" s="297"/>
      <c r="AM105" s="297"/>
      <c r="AN105" s="298"/>
      <c r="AO105" s="299"/>
      <c r="AP105" s="296"/>
      <c r="AQ105" s="295"/>
      <c r="AR105" s="295"/>
      <c r="AS105" s="295"/>
      <c r="AT105" s="295"/>
      <c r="AU105" s="295"/>
      <c r="AV105" s="290"/>
      <c r="AW105" s="591" t="s">
        <v>258</v>
      </c>
      <c r="AX105" s="591"/>
      <c r="AY105" s="591"/>
      <c r="AZ105" s="591"/>
      <c r="BA105" s="591"/>
      <c r="BB105" s="591"/>
      <c r="BC105" s="591"/>
      <c r="BD105" s="591"/>
      <c r="BE105" s="591"/>
      <c r="BF105" s="591"/>
      <c r="BG105" s="591"/>
      <c r="BH105" s="591"/>
      <c r="BI105" s="590">
        <f t="shared" si="26"/>
        <v>1952.5539499999998</v>
      </c>
      <c r="BJ105" s="590"/>
      <c r="BK105" s="590"/>
      <c r="BL105" s="590"/>
      <c r="BM105" s="594">
        <f>'FICHE DE PAIE'!AW$15</f>
        <v>3.1E-2</v>
      </c>
      <c r="BN105" s="594"/>
      <c r="BO105" s="594"/>
      <c r="BP105" s="594"/>
      <c r="BQ105" s="592">
        <f t="shared" si="27"/>
        <v>60.52917244999999</v>
      </c>
      <c r="BR105" s="592"/>
      <c r="BS105" s="592"/>
      <c r="BT105" s="592"/>
      <c r="BU105" s="594">
        <f>'FICHE DE PAIE'!BE$15</f>
        <v>4.65E-2</v>
      </c>
      <c r="BV105" s="594"/>
      <c r="BW105" s="594"/>
      <c r="BX105" s="592">
        <f t="shared" si="28"/>
        <v>90.793758674999992</v>
      </c>
      <c r="BY105" s="592"/>
      <c r="BZ105" s="592"/>
      <c r="CA105" s="593"/>
    </row>
    <row r="106" spans="1:79" ht="15" customHeight="1">
      <c r="A106" s="424">
        <v>4</v>
      </c>
      <c r="B106" s="382">
        <v>15</v>
      </c>
      <c r="C106" s="382">
        <f t="shared" si="25"/>
        <v>105</v>
      </c>
      <c r="D106" s="383" t="e">
        <f>IF(I106='Jour Férié'!F$13,'Jour Férié'!E$13,""&amp;IF(I106='Jour Férié'!F$15,'Jour Férié'!E$15,""&amp;IF(I106='Jour Férié'!B$5,'Jour Férié'!A$5,""&amp;IF(I106='Jour Férié'!B$8,'Jour Férié'!A$8,""&amp;IF(MOD(MATCH(I106,vacances!$A$3:$A$202,1),2)=1,"vacances",""&amp;IF(MOD(MATCH(I106,vacances!$A$3:$A$202,1),2)=1,"vacances",""))))))</f>
        <v>#N/A</v>
      </c>
      <c r="E106" s="449"/>
      <c r="F106" s="449"/>
      <c r="G106" s="449"/>
      <c r="H106" s="621"/>
      <c r="I106" s="339">
        <f t="shared" si="23"/>
        <v>43205</v>
      </c>
      <c r="J106" s="7"/>
      <c r="K106" s="7"/>
      <c r="L106" s="7"/>
      <c r="M106" s="571"/>
      <c r="N106" s="7"/>
      <c r="O106" s="570"/>
      <c r="P106" s="7"/>
      <c r="Q106" s="555" t="str">
        <f>'FICHE DE PAIE'!A$16</f>
        <v>Absence maladie</v>
      </c>
      <c r="R106" s="555"/>
      <c r="S106" s="555"/>
      <c r="T106" s="555"/>
      <c r="U106" s="555"/>
      <c r="V106" s="555"/>
      <c r="W106" s="555"/>
      <c r="X106" s="555"/>
      <c r="Y106" s="555"/>
      <c r="Z106" s="494"/>
      <c r="AA106" s="556"/>
      <c r="AB106" s="556"/>
      <c r="AC106" s="556"/>
      <c r="AD106" s="566"/>
      <c r="AE106" s="566"/>
      <c r="AF106" s="566"/>
      <c r="AG106" s="559"/>
      <c r="AH106" s="559"/>
      <c r="AI106" s="559"/>
      <c r="AJ106" s="559"/>
      <c r="AK106" s="599"/>
      <c r="AL106" s="599"/>
      <c r="AM106" s="599"/>
      <c r="AN106" s="599"/>
      <c r="AO106" s="294"/>
      <c r="AP106" s="296"/>
      <c r="AQ106" s="295"/>
      <c r="AR106" s="295"/>
      <c r="AS106" s="295"/>
      <c r="AT106" s="295"/>
      <c r="AU106" s="295"/>
      <c r="AV106" s="290"/>
      <c r="AW106" s="591" t="s">
        <v>260</v>
      </c>
      <c r="AX106" s="591"/>
      <c r="AY106" s="591"/>
      <c r="AZ106" s="591"/>
      <c r="BA106" s="591"/>
      <c r="BB106" s="591"/>
      <c r="BC106" s="591"/>
      <c r="BD106" s="591"/>
      <c r="BE106" s="591"/>
      <c r="BF106" s="591"/>
      <c r="BG106" s="591"/>
      <c r="BH106" s="591"/>
      <c r="BI106" s="590">
        <f t="shared" si="26"/>
        <v>1952.5539499999998</v>
      </c>
      <c r="BJ106" s="590"/>
      <c r="BK106" s="590"/>
      <c r="BL106" s="590"/>
      <c r="BM106" s="594">
        <f>'FICHE DE PAIE'!AW$16</f>
        <v>8.0000000000000002E-3</v>
      </c>
      <c r="BN106" s="594"/>
      <c r="BO106" s="594"/>
      <c r="BP106" s="594"/>
      <c r="BQ106" s="592">
        <f t="shared" si="27"/>
        <v>15.620431599999998</v>
      </c>
      <c r="BR106" s="592"/>
      <c r="BS106" s="592"/>
      <c r="BT106" s="592"/>
      <c r="BU106" s="594">
        <f>'FICHE DE PAIE'!BE$16</f>
        <v>1.2E-2</v>
      </c>
      <c r="BV106" s="594"/>
      <c r="BW106" s="594"/>
      <c r="BX106" s="592">
        <f t="shared" si="28"/>
        <v>23.430647399999998</v>
      </c>
      <c r="BY106" s="592"/>
      <c r="BZ106" s="592"/>
      <c r="CA106" s="593"/>
    </row>
    <row r="107" spans="1:79" ht="15" customHeight="1">
      <c r="A107" s="424">
        <v>4</v>
      </c>
      <c r="B107" s="382">
        <v>16</v>
      </c>
      <c r="C107" s="382">
        <f t="shared" si="25"/>
        <v>106</v>
      </c>
      <c r="D107" s="383" t="e">
        <f>IF(I107='Jour Férié'!F$13,'Jour Férié'!E$13,""&amp;IF(I107='Jour Férié'!F$15,'Jour Férié'!E$15,""&amp;IF(I107='Jour Férié'!B$5,'Jour Férié'!A$5,""&amp;IF(I107='Jour Férié'!B$8,'Jour Férié'!A$8,""&amp;IF(MOD(MATCH(I107,vacances!$A$3:$A$202,1),2)=1,"vacances",""&amp;IF(MOD(MATCH(I107,vacances!$A$3:$A$202,1),2)=1,"vacances",""))))))</f>
        <v>#N/A</v>
      </c>
      <c r="E107" s="449"/>
      <c r="F107" s="449"/>
      <c r="G107" s="449"/>
      <c r="H107" s="621"/>
      <c r="I107" s="339">
        <f t="shared" si="23"/>
        <v>43206</v>
      </c>
      <c r="J107" s="7"/>
      <c r="K107" s="7"/>
      <c r="L107" s="7"/>
      <c r="M107" s="395" t="s">
        <v>226</v>
      </c>
      <c r="N107" s="395"/>
      <c r="O107" s="386">
        <f>(COUNTIF($E92:$E122,$J101))</f>
        <v>0</v>
      </c>
      <c r="P107" s="7"/>
      <c r="Q107" s="555"/>
      <c r="R107" s="555"/>
      <c r="S107" s="555"/>
      <c r="T107" s="555"/>
      <c r="U107" s="555"/>
      <c r="V107" s="555"/>
      <c r="W107" s="555"/>
      <c r="X107" s="555"/>
      <c r="Y107" s="555"/>
      <c r="Z107" s="494"/>
      <c r="AA107" s="556"/>
      <c r="AB107" s="556"/>
      <c r="AC107" s="556"/>
      <c r="AD107" s="600"/>
      <c r="AE107" s="600"/>
      <c r="AF107" s="600"/>
      <c r="AG107" s="559"/>
      <c r="AH107" s="559"/>
      <c r="AI107" s="559"/>
      <c r="AJ107" s="559"/>
      <c r="AK107" s="297"/>
      <c r="AL107" s="297"/>
      <c r="AM107" s="297"/>
      <c r="AN107" s="298"/>
      <c r="AO107" s="299"/>
      <c r="AP107" s="296"/>
      <c r="AQ107" s="295"/>
      <c r="AR107" s="295"/>
      <c r="AS107" s="295"/>
      <c r="AT107" s="295"/>
      <c r="AU107" s="295"/>
      <c r="AV107" s="290"/>
      <c r="AW107" s="499" t="s">
        <v>261</v>
      </c>
      <c r="AX107" s="499"/>
      <c r="AY107" s="499"/>
      <c r="AZ107" s="499"/>
      <c r="BA107" s="499"/>
      <c r="BB107" s="499"/>
      <c r="BC107" s="499"/>
      <c r="BD107" s="499"/>
      <c r="BE107" s="499"/>
      <c r="BF107" s="499"/>
      <c r="BG107" s="499"/>
      <c r="BH107" s="499"/>
      <c r="BI107" s="590">
        <f t="shared" si="26"/>
        <v>1952.5539499999998</v>
      </c>
      <c r="BJ107" s="590"/>
      <c r="BK107" s="590"/>
      <c r="BL107" s="590"/>
      <c r="BM107" s="594">
        <f>'FICHE DE PAIE'!AW$17</f>
        <v>5.4000000000000003E-3</v>
      </c>
      <c r="BN107" s="594"/>
      <c r="BO107" s="594"/>
      <c r="BP107" s="594"/>
      <c r="BQ107" s="592">
        <f t="shared" si="27"/>
        <v>10.543791329999999</v>
      </c>
      <c r="BR107" s="592"/>
      <c r="BS107" s="592"/>
      <c r="BT107" s="592"/>
      <c r="BU107" s="594">
        <f>'FICHE DE PAIE'!BE$17</f>
        <v>5.4000000000000003E-3</v>
      </c>
      <c r="BV107" s="594"/>
      <c r="BW107" s="594"/>
      <c r="BX107" s="592">
        <f t="shared" si="28"/>
        <v>10.543791329999999</v>
      </c>
      <c r="BY107" s="592"/>
      <c r="BZ107" s="592"/>
      <c r="CA107" s="593"/>
    </row>
    <row r="108" spans="1:79" ht="15" customHeight="1">
      <c r="A108" s="424">
        <v>4</v>
      </c>
      <c r="B108" s="382">
        <v>17</v>
      </c>
      <c r="C108" s="382">
        <f t="shared" si="25"/>
        <v>107</v>
      </c>
      <c r="D108" s="383" t="e">
        <f>IF(I108='Jour Férié'!F$13,'Jour Férié'!E$13,""&amp;IF(I108='Jour Férié'!F$15,'Jour Férié'!E$15,""&amp;IF(I108='Jour Férié'!B$5,'Jour Férié'!A$5,""&amp;IF(I108='Jour Férié'!B$8,'Jour Férié'!A$8,""&amp;IF(MOD(MATCH(I108,vacances!$A$3:$A$202,1),2)=1,"vacances",""&amp;IF(MOD(MATCH(I108,vacances!$A$3:$A$202,1),2)=1,"vacances",""))))))</f>
        <v>#N/A</v>
      </c>
      <c r="E108" s="449"/>
      <c r="F108" s="449"/>
      <c r="G108" s="449"/>
      <c r="H108" s="621"/>
      <c r="I108" s="339">
        <f t="shared" si="23"/>
        <v>43207</v>
      </c>
      <c r="J108" s="7"/>
      <c r="K108" s="7"/>
      <c r="L108" s="7"/>
      <c r="M108" s="395" t="s">
        <v>227</v>
      </c>
      <c r="N108" s="395"/>
      <c r="O108" s="386">
        <f>(COUNTIF($E92:$E122,$J99))</f>
        <v>0</v>
      </c>
      <c r="P108" s="7"/>
      <c r="Q108" s="562" t="s">
        <v>262</v>
      </c>
      <c r="R108" s="562"/>
      <c r="S108" s="562"/>
      <c r="T108" s="562"/>
      <c r="U108" s="562"/>
      <c r="V108" s="562"/>
      <c r="W108" s="562"/>
      <c r="X108" s="563"/>
      <c r="Y108" s="563"/>
      <c r="Z108" s="563"/>
      <c r="AA108" s="563"/>
      <c r="AB108" s="563"/>
      <c r="AC108" s="563"/>
      <c r="AD108" s="563"/>
      <c r="AE108" s="563"/>
      <c r="AF108" s="563"/>
      <c r="AG108" s="564">
        <f>SUM(AG94:AJ103)+AG105-AK104-AK106</f>
        <v>1851.1323499999999</v>
      </c>
      <c r="AH108" s="564"/>
      <c r="AI108" s="564"/>
      <c r="AJ108" s="564"/>
      <c r="AK108" s="300"/>
      <c r="AL108" s="300"/>
      <c r="AM108" s="300"/>
      <c r="AN108" s="295"/>
      <c r="AO108" s="565">
        <f>AG108-AO94</f>
        <v>-1094.8676500000001</v>
      </c>
      <c r="AP108" s="565"/>
      <c r="AQ108" s="565"/>
      <c r="AR108" s="498"/>
      <c r="AS108" s="498"/>
      <c r="AT108" s="498"/>
      <c r="AU108" s="295"/>
      <c r="AV108" s="301"/>
      <c r="AW108" s="591" t="s">
        <v>263</v>
      </c>
      <c r="AX108" s="591"/>
      <c r="AY108" s="591"/>
      <c r="AZ108" s="591"/>
      <c r="BA108" s="591"/>
      <c r="BB108" s="591"/>
      <c r="BC108" s="591"/>
      <c r="BD108" s="591"/>
      <c r="BE108" s="591"/>
      <c r="BF108" s="591"/>
      <c r="BG108" s="591"/>
      <c r="BH108" s="591"/>
      <c r="BI108" s="601"/>
      <c r="BJ108" s="601"/>
      <c r="BK108" s="601"/>
      <c r="BL108" s="601"/>
      <c r="BM108" s="590"/>
      <c r="BN108" s="590"/>
      <c r="BO108" s="590"/>
      <c r="BP108" s="590"/>
      <c r="BQ108" s="592">
        <f t="shared" si="27"/>
        <v>0</v>
      </c>
      <c r="BR108" s="592"/>
      <c r="BS108" s="592"/>
      <c r="BT108" s="592"/>
      <c r="BU108" s="594">
        <f>'FICHE DE PAIE'!BE$18</f>
        <v>0.08</v>
      </c>
      <c r="BV108" s="594"/>
      <c r="BW108" s="594"/>
      <c r="BX108" s="592">
        <f t="shared" si="28"/>
        <v>0</v>
      </c>
      <c r="BY108" s="592"/>
      <c r="BZ108" s="592"/>
      <c r="CA108" s="593"/>
    </row>
    <row r="109" spans="1:79" ht="15" customHeight="1">
      <c r="A109" s="424">
        <v>4</v>
      </c>
      <c r="B109" s="382">
        <v>18</v>
      </c>
      <c r="C109" s="382">
        <f t="shared" si="25"/>
        <v>108</v>
      </c>
      <c r="D109" s="383" t="e">
        <f>IF(I109='Jour Férié'!F$13,'Jour Férié'!E$13,""&amp;IF(I109='Jour Férié'!F$15,'Jour Férié'!E$15,""&amp;IF(I109='Jour Férié'!B$5,'Jour Férié'!A$5,""&amp;IF(I109='Jour Férié'!B$8,'Jour Férié'!A$8,""&amp;IF(MOD(MATCH(I109,vacances!$A$3:$A$202,1),2)=1,"vacances",""&amp;IF(MOD(MATCH(I109,vacances!$A$3:$A$202,1),2)=1,"vacances",""))))))</f>
        <v>#N/A</v>
      </c>
      <c r="E109" s="449"/>
      <c r="F109" s="449"/>
      <c r="G109" s="449"/>
      <c r="H109" s="621"/>
      <c r="I109" s="339">
        <f t="shared" si="23"/>
        <v>43208</v>
      </c>
      <c r="J109" s="7"/>
      <c r="K109" s="7"/>
      <c r="L109" s="7"/>
      <c r="M109" s="395" t="s">
        <v>228</v>
      </c>
      <c r="N109" s="395"/>
      <c r="O109" s="386">
        <f>(COUNTIF($E92:$E122,$J100))</f>
        <v>0</v>
      </c>
      <c r="P109" s="7"/>
      <c r="Q109" s="376"/>
      <c r="R109" s="376"/>
      <c r="S109" s="376"/>
      <c r="T109" s="376"/>
      <c r="U109" s="376"/>
      <c r="V109" s="376"/>
      <c r="W109" s="376"/>
      <c r="X109" s="376"/>
      <c r="Y109" s="376"/>
      <c r="Z109" s="376"/>
      <c r="AA109" s="377"/>
      <c r="AB109" s="377"/>
      <c r="AC109" s="377"/>
      <c r="AD109" s="378"/>
      <c r="AE109" s="378"/>
      <c r="AF109" s="378"/>
      <c r="AG109" s="376"/>
      <c r="AH109" s="376"/>
      <c r="AI109" s="376"/>
      <c r="AJ109" s="379"/>
      <c r="AK109" s="379"/>
      <c r="AL109" s="379"/>
      <c r="AM109" s="379"/>
      <c r="AN109" s="365"/>
      <c r="AO109" s="365"/>
      <c r="AP109" s="365"/>
      <c r="AQ109" s="365"/>
      <c r="AR109" s="365"/>
      <c r="AS109" s="365"/>
      <c r="AT109" s="365"/>
      <c r="AU109" s="365"/>
      <c r="AV109" s="302"/>
      <c r="AW109" s="591" t="s">
        <v>264</v>
      </c>
      <c r="AX109" s="591"/>
      <c r="AY109" s="591"/>
      <c r="AZ109" s="591"/>
      <c r="BA109" s="591"/>
      <c r="BB109" s="591"/>
      <c r="BC109" s="591"/>
      <c r="BD109" s="591"/>
      <c r="BE109" s="591"/>
      <c r="BF109" s="591"/>
      <c r="BG109" s="591"/>
      <c r="BH109" s="591"/>
      <c r="BI109" s="590">
        <f>$AG$17*98.25%</f>
        <v>1918.3842558749998</v>
      </c>
      <c r="BJ109" s="590"/>
      <c r="BK109" s="590"/>
      <c r="BL109" s="590"/>
      <c r="BM109" s="594">
        <f>'FICHE DE PAIE'!AW$19</f>
        <v>6.8000000000000005E-2</v>
      </c>
      <c r="BN109" s="594"/>
      <c r="BO109" s="594"/>
      <c r="BP109" s="594"/>
      <c r="BQ109" s="592">
        <f t="shared" si="27"/>
        <v>130.45012939949999</v>
      </c>
      <c r="BR109" s="592"/>
      <c r="BS109" s="592"/>
      <c r="BT109" s="592"/>
      <c r="BU109" s="595"/>
      <c r="BV109" s="595"/>
      <c r="BW109" s="595"/>
      <c r="BX109" s="592">
        <f t="shared" si="28"/>
        <v>0</v>
      </c>
      <c r="BY109" s="592"/>
      <c r="BZ109" s="592"/>
      <c r="CA109" s="593"/>
    </row>
    <row r="110" spans="1:79" ht="15" customHeight="1">
      <c r="A110" s="424">
        <v>4</v>
      </c>
      <c r="B110" s="382">
        <v>19</v>
      </c>
      <c r="C110" s="382">
        <f t="shared" si="25"/>
        <v>109</v>
      </c>
      <c r="D110" s="383" t="e">
        <f>IF(I110='Jour Férié'!F$13,'Jour Férié'!E$13,""&amp;IF(I110='Jour Férié'!F$15,'Jour Férié'!E$15,""&amp;IF(I110='Jour Férié'!B$5,'Jour Férié'!A$5,""&amp;IF(I110='Jour Férié'!B$8,'Jour Férié'!A$8,""&amp;IF(MOD(MATCH(I110,vacances!$A$3:$A$202,1),2)=1,"vacances",""&amp;IF(MOD(MATCH(I110,vacances!$A$3:$A$202,1),2)=1,"vacances",""))))))</f>
        <v>#N/A</v>
      </c>
      <c r="E110" s="449"/>
      <c r="F110" s="449"/>
      <c r="G110" s="449"/>
      <c r="H110" s="621"/>
      <c r="I110" s="339">
        <f t="shared" si="23"/>
        <v>43209</v>
      </c>
      <c r="J110" s="7"/>
      <c r="K110" s="7"/>
      <c r="L110" s="7"/>
      <c r="M110" s="396" t="s">
        <v>320</v>
      </c>
      <c r="N110" s="321">
        <f>(IF(WEEKDAY(I91,2)=6,(COUNTIF(E91,"*"))))*AND(IF(WEEKDAY(I92,2)=7,(COUNTIF(E92,"*"))))+(IF(WEEKDAY(I92,2)=6,(COUNTIF(E92,"*"))))*AND(IF(WEEKDAY(I93,2)=7,(COUNTIF(E93,"*"))))+(IF(WEEKDAY(I93,2)=6,(COUNTIF(E93,"*"))))*AND(IF(WEEKDAY(I94,2)=7,(COUNTIF(E94,"*"))))+(IF(WEEKDAY(I94,2)=6,(COUNTIF(E94,"*"))))*AND(IF(WEEKDAY(I95,2)=7,(COUNTIF(E95,"*"))))+(IF(WEEKDAY(I95,2)=6,(COUNTIF(E95,"*"))))*AND(IF(WEEKDAY(I96,2)=7,(COUNTIF(E96,"*"))))+(IF(WEEKDAY(I96,2)=6,(COUNTIF(E96,"*"))))*AND(IF(WEEKDAY(I97,2)=7,(COUNTIF(E97,"*"))))+(IF(WEEKDAY(I97,2)=6,(COUNTIF(E97,"*"))))*AND(IF(WEEKDAY(I98,2)=7,(COUNTIF(E98,"*"))))+(IF(WEEKDAY(I98,2)=6,(COUNTIF(E98,"*"))))*AND(IF(WEEKDAY(I99,2)=7,(COUNTIF(E99,"*"))))+(IF(WEEKDAY(I99,2)=6,(COUNTIF(E99,"*"))))*AND(IF(WEEKDAY(I100,2)=7,(COUNTIF(E100,"*"))))+(IF(WEEKDAY(I100,2)=6,(COUNTIF(E100,"*"))))*AND(IF(WEEKDAY(I101,2)=7,(COUNTIF(E101,"*"))))+(IF(WEEKDAY(I101,2)=6,(COUNTIF(E101,"*"))))*AND(IF(WEEKDAY(I102,2)=7,(COUNTIF(E102,"*"))))+(IF(WEEKDAY(I102,2)=6,(COUNTIF(E102,"*"))))*AND(IF(WEEKDAY(I103,2)=7,(COUNTIF(E103,"*"))))+(IF(WEEKDAY(I103,2)=6,(COUNTIF(E103,"*"))))*AND(IF(WEEKDAY(I104,2)=7,(COUNTIF(E104,"*"))))+(IF(WEEKDAY(I104,2)=6,(COUNTIF(E104,"*"))))*AND(IF(WEEKDAY(I105,2)=7,(COUNTIF(E105,"*"))))+(IF(WEEKDAY(I105,2)=6,(COUNTIF(E105,"*"))))*AND(IF(WEEKDAY(I106,2)=7,(COUNTIF(E106,"*"))))+(IF(WEEKDAY(I106,2)=6,(COUNTIF(E106,"*"))))*AND(IF(WEEKDAY(I107,2)=7,(COUNTIF(E107,"*"))))</f>
        <v>0</v>
      </c>
      <c r="O110" s="397">
        <f>SUM(N110:N111)</f>
        <v>0</v>
      </c>
      <c r="P110" s="7"/>
      <c r="Q110" s="550">
        <f>Q92</f>
        <v>43191</v>
      </c>
      <c r="R110" s="550"/>
      <c r="S110" s="550"/>
      <c r="T110" s="550"/>
      <c r="U110" s="550"/>
      <c r="V110" s="550"/>
      <c r="W110" s="550"/>
      <c r="X110" s="550"/>
      <c r="Y110" s="550"/>
      <c r="Z110" s="550"/>
      <c r="AA110" s="550"/>
      <c r="AB110" s="550"/>
      <c r="AC110" s="550"/>
      <c r="AD110" s="550"/>
      <c r="AE110" s="550"/>
      <c r="AF110" s="550"/>
      <c r="AG110" s="550"/>
      <c r="AH110" s="550"/>
      <c r="AI110" s="550"/>
      <c r="AJ110" s="550"/>
      <c r="AK110" s="550"/>
      <c r="AL110" s="550"/>
      <c r="AM110" s="550"/>
      <c r="AN110" s="550"/>
      <c r="AO110" s="550"/>
      <c r="AP110" s="550"/>
      <c r="AQ110" s="550"/>
      <c r="AR110" s="550"/>
      <c r="AS110" s="550"/>
      <c r="AT110" s="550"/>
      <c r="AU110" s="550"/>
      <c r="AV110" s="303"/>
      <c r="AW110" s="591" t="s">
        <v>265</v>
      </c>
      <c r="AX110" s="591"/>
      <c r="AY110" s="591"/>
      <c r="AZ110" s="591"/>
      <c r="BA110" s="591"/>
      <c r="BB110" s="591"/>
      <c r="BC110" s="591"/>
      <c r="BD110" s="591"/>
      <c r="BE110" s="591"/>
      <c r="BF110" s="591"/>
      <c r="BG110" s="591"/>
      <c r="BH110" s="591"/>
      <c r="BI110" s="590">
        <f>$AG$17*98.25%</f>
        <v>1918.3842558749998</v>
      </c>
      <c r="BJ110" s="590"/>
      <c r="BK110" s="590"/>
      <c r="BL110" s="590"/>
      <c r="BM110" s="594">
        <f>'FICHE DE PAIE'!AW$20</f>
        <v>2.4E-2</v>
      </c>
      <c r="BN110" s="594"/>
      <c r="BO110" s="594"/>
      <c r="BP110" s="594"/>
      <c r="BQ110" s="592">
        <f t="shared" si="27"/>
        <v>46.041222140999999</v>
      </c>
      <c r="BR110" s="592"/>
      <c r="BS110" s="592"/>
      <c r="BT110" s="592"/>
      <c r="BU110" s="595"/>
      <c r="BV110" s="595"/>
      <c r="BW110" s="595"/>
      <c r="BX110" s="592">
        <f t="shared" si="28"/>
        <v>0</v>
      </c>
      <c r="BY110" s="592"/>
      <c r="BZ110" s="592"/>
      <c r="CA110" s="593"/>
    </row>
    <row r="111" spans="1:79" ht="15" customHeight="1">
      <c r="A111" s="424">
        <v>4</v>
      </c>
      <c r="B111" s="382">
        <v>20</v>
      </c>
      <c r="C111" s="382">
        <f t="shared" si="25"/>
        <v>110</v>
      </c>
      <c r="D111" s="383" t="e">
        <f>IF(I111='Jour Férié'!F$13,'Jour Férié'!E$13,""&amp;IF(I111='Jour Férié'!F$15,'Jour Férié'!E$15,""&amp;IF(I111='Jour Férié'!B$5,'Jour Férié'!A$5,""&amp;IF(I111='Jour Férié'!B$8,'Jour Férié'!A$8,""&amp;IF(MOD(MATCH(I111,vacances!$A$3:$A$202,1),2)=1,"vacances",""&amp;IF(MOD(MATCH(I111,vacances!$A$3:$A$202,1),2)=1,"vacances",""))))))</f>
        <v>#N/A</v>
      </c>
      <c r="E111" s="449"/>
      <c r="F111" s="449"/>
      <c r="G111" s="449"/>
      <c r="H111" s="621"/>
      <c r="I111" s="339">
        <f t="shared" si="23"/>
        <v>43210</v>
      </c>
      <c r="J111" s="7"/>
      <c r="K111" s="7"/>
      <c r="L111" s="7"/>
      <c r="M111" s="396"/>
      <c r="N111" s="323">
        <f>(IF(WEEKDAY(I107,2)=6,(COUNTIF(E107,"*"))))*AND(IF(WEEKDAY(I108,2)=7,(COUNTIF(E108,"*"))))+(IF(WEEKDAY(I108,2)=6,(COUNTIF(E108,"*"))))*AND(IF(WEEKDAY(I109,2)=7,(COUNTIF(E109,"*"))))+(IF(WEEKDAY(I109,2)=6,(COUNTIF(E109,"*"))))*AND(IF(WEEKDAY(I110,2)=7,(COUNTIF(E110,"*"))))+(IF(WEEKDAY(I110,2)=6,(COUNTIF(E110,"*"))))*AND(IF(WEEKDAY(I111,2)=7,(COUNTIF(E111,"*"))))+(IF(WEEKDAY(I111,2)=6,(COUNTIF(E111,"*"))))*AND(IF(WEEKDAY(I112,2)=7,(COUNTIF(E112,"*"))))+(IF(WEEKDAY(I112,2)=6,(COUNTIF(E112,"*"))))*AND(IF(WEEKDAY(I113,2)=7,(COUNTIF(E113,"*"))))+(IF(WEEKDAY(I113,2)=6,(COUNTIF(E113,"*"))))*AND(IF(WEEKDAY(I114,2)=7,(COUNTIF(E114,"*"))))+(IF(WEEKDAY(I114,2)=6,(COUNTIF(E114,"*"))))*AND(IF(WEEKDAY(I115,2)=7,(COUNTIF(E115,"*"))))+(IF(WEEKDAY(I115,2)=6,(COUNTIF(E115,"*"))))*AND(IF(WEEKDAY(I116,2)=7,(COUNTIF(E116,"*"))))+(IF(WEEKDAY(I116,2)=6,(COUNTIF(E116,"*"))))*AND(IF(WEEKDAY(I117,2)=7,(COUNTIF(E117,"*"))))+(IF(WEEKDAY(I117,2)=6,(COUNTIF(E117,"*"))))*AND(IF(WEEKDAY(I118,2)=7,(COUNTIF(E118,"*"))))+(IF(WEEKDAY(I118,2)=6,(COUNTIF(E118,"*"))))*AND(IF(WEEKDAY(I119,2)=7,(COUNTIF(E119,"*"))))+(IF(WEEKDAY(I119,2)=6,(COUNTIF(E119,"*"))))*AND(IF(WEEKDAY(I120,2)=7,(COUNTIF(E120,"*"))))+(IF(WEEKDAY(I120,2)=6,(COUNTIF(E120,"*"))))*AND(IF(WEEKDAY(I121,2)=7,(COUNTIF(E121,"*"))))+(IF(WEEKDAY(I121,2)=6,(COUNTIF(E121,"*"))))*AND(IF(WEEKDAY(I122,2)=7,(COUNTIF(E122,"*"))))</f>
        <v>0</v>
      </c>
      <c r="O111" s="397"/>
      <c r="P111" s="7"/>
      <c r="Q111" s="281"/>
      <c r="R111" s="281"/>
      <c r="S111" s="281"/>
      <c r="T111" s="281"/>
      <c r="U111" s="281"/>
      <c r="V111" s="281"/>
      <c r="W111" s="281"/>
      <c r="X111" s="304"/>
      <c r="Y111" s="304"/>
      <c r="Z111" s="304"/>
      <c r="AA111" s="305"/>
      <c r="AB111" s="305"/>
      <c r="AC111" s="305"/>
      <c r="AD111" s="306"/>
      <c r="AE111" s="306"/>
      <c r="AF111" s="306"/>
      <c r="AG111" s="304"/>
      <c r="AH111" s="304"/>
      <c r="AI111" s="304"/>
      <c r="AJ111" s="304"/>
      <c r="AK111" s="304"/>
      <c r="AL111" s="304"/>
      <c r="AM111" s="304"/>
      <c r="AN111" s="304"/>
      <c r="AO111" s="304"/>
      <c r="AP111" s="304"/>
      <c r="AQ111" s="304"/>
      <c r="AR111" s="304"/>
      <c r="AS111" s="304"/>
      <c r="AT111" s="304"/>
      <c r="AU111" s="304"/>
      <c r="AV111" s="304"/>
      <c r="AW111" s="499" t="s">
        <v>266</v>
      </c>
      <c r="AX111" s="499"/>
      <c r="AY111" s="499"/>
      <c r="AZ111" s="499"/>
      <c r="BA111" s="499"/>
      <c r="BB111" s="499"/>
      <c r="BC111" s="499"/>
      <c r="BD111" s="499"/>
      <c r="BE111" s="499"/>
      <c r="BF111" s="499"/>
      <c r="BG111" s="499"/>
      <c r="BH111" s="499"/>
      <c r="BI111" s="590">
        <f>$AG$17*98.25%</f>
        <v>1918.3842558749998</v>
      </c>
      <c r="BJ111" s="590"/>
      <c r="BK111" s="590"/>
      <c r="BL111" s="590"/>
      <c r="BM111" s="594">
        <f>'FICHE DE PAIE'!AW$21</f>
        <v>5.0000000000000001E-3</v>
      </c>
      <c r="BN111" s="594"/>
      <c r="BO111" s="594"/>
      <c r="BP111" s="594"/>
      <c r="BQ111" s="592">
        <f t="shared" si="27"/>
        <v>9.5919212793749988</v>
      </c>
      <c r="BR111" s="592"/>
      <c r="BS111" s="592"/>
      <c r="BT111" s="592"/>
      <c r="BU111" s="595"/>
      <c r="BV111" s="595"/>
      <c r="BW111" s="595"/>
      <c r="BX111" s="592">
        <f t="shared" si="28"/>
        <v>0</v>
      </c>
      <c r="BY111" s="592"/>
      <c r="BZ111" s="592"/>
      <c r="CA111" s="593"/>
    </row>
    <row r="112" spans="1:79" ht="15" customHeight="1">
      <c r="A112" s="424">
        <v>4</v>
      </c>
      <c r="B112" s="382">
        <v>21</v>
      </c>
      <c r="C112" s="382">
        <f t="shared" ref="C112:C127" si="29">VLOOKUP(A112,Données,4)+B112-1</f>
        <v>111</v>
      </c>
      <c r="D112" s="383" t="e">
        <f>IF(I112='Jour Férié'!F$13,'Jour Férié'!E$13,""&amp;IF(I112='Jour Férié'!F$15,'Jour Férié'!E$15,""&amp;IF(I112='Jour Férié'!B$5,'Jour Férié'!A$5,""&amp;IF(I112='Jour Férié'!B$8,'Jour Férié'!A$8,""&amp;IF(MOD(MATCH(I112,vacances!$A$3:$A$202,1),2)=1,"vacances",""&amp;IF(MOD(MATCH(I112,vacances!$A$3:$A$202,1),2)=1,"vacances",""))))))</f>
        <v>#N/A</v>
      </c>
      <c r="E112" s="449"/>
      <c r="F112" s="449"/>
      <c r="G112" s="449"/>
      <c r="H112" s="621"/>
      <c r="I112" s="339">
        <f t="shared" si="23"/>
        <v>43211</v>
      </c>
      <c r="J112" s="7"/>
      <c r="K112" s="7"/>
      <c r="L112" s="7"/>
      <c r="M112" s="396" t="s">
        <v>321</v>
      </c>
      <c r="N112" s="323">
        <f>(IF(WEEKDAY(I91,2)=5,(COUNTIF(E91,$J$1))))*AND(IF(WEEKDAY(I94,2)=1,(COUNTIF(E94,"*"))))+(IF(WEEKDAY(I92,2)=5,(COUNTIF(E92,$J$1))))*AND(IF(WEEKDAY(I95,2)=1,(COUNTIF(E95,"*"))))+(IF(WEEKDAY(I93,2)=5,(COUNTIF(E93,$J$1))))*AND(IF(WEEKDAY(I96,2)=1,(COUNTIF(E96,"*"))))+(IF(WEEKDAY(I94,2)=5,(COUNTIF(E94,$J$1))))*AND(IF(WEEKDAY(I97,2)=1,(COUNTIF(E97,"*"))))+(IF(WEEKDAY(I95,2)=5,(COUNTIF(E95,$J$1))))*AND(IF(WEEKDAY(I98,2)=1,(COUNTIF(E98,"*"))))+(IF(WEEKDAY(I96,2)=5,(COUNTIF(E96,$J$1))))*AND(IF(WEEKDAY(I99,2)=1,(COUNTIF(E99,"*"))))+(IF(WEEKDAY(I97,2)=5,(COUNTIF(E97,$J$1))))*AND(IF(WEEKDAY(I100,2)=1,(COUNTIF(E100,"*"))))+(IF(WEEKDAY(I98,2)=5,(COUNTIF(E98,$J$1))))*AND(IF(WEEKDAY(I101,2)=1,(COUNTIF(E101,"*"))))+(IF(WEEKDAY(I99,2)=5,(COUNTIF(E99,$J$1))))*AND(IF(WEEKDAY(I102,2)=1,(COUNTIF(E102,"*"))))+(IF(WEEKDAY(I100,2)=5,(COUNTIF(E100,$J$1))))*AND(IF(WEEKDAY(I103,2)=1,(COUNTIF(E103,"*"))))+(IF(WEEKDAY(I101,2)=5,(COUNTIF(E101,$J$1))))*AND(IF(WEEKDAY(I104,2)=1,(COUNTIF(E104,"*"))))+(IF(WEEKDAY(I102,2)=5,(COUNTIF(E102,$J$1))))*AND(IF(WEEKDAY(I105,2)=1,(COUNTIF(E105,"*"))))+(IF(WEEKDAY(I103,2)=5,(COUNTIF(E103,$J$1))))*AND(IF(WEEKDAY(I106,2)=1,(COUNTIF(E106,"*"))))+(IF(WEEKDAY(I104,2)=5,(COUNTIF(E104,$J$1))))*AND(IF(WEEKDAY(I107,2)=1,(COUNTIF(E107,"*"))))+(IF(WEEKDAY(I105,2)=5,(COUNTIF(E105,$J$1))))*AND(IF(WEEKDAY(I108,2)=1,(COUNTIF(E108,"*"))))+(IF(WEEKDAY(I106,2)=5,(COUNTIF(E106,$J$1))))*AND(IF(WEEKDAY(I109,2)=1,(COUNTIF(E109,"*"))))+(IF(WEEKDAY(I107,2)=5,(COUNTIF(E107,$J$1))))*AND(IF(WEEKDAY(I110,2)=1,(COUNTIF(E110,"*"))))+(IF(WEEKDAY(I108,2)=5,(COUNTIF(E108,$J$1))))*AND(IF(WEEKDAY(I111,2)=1,(COUNTIF(E111,"*"))))</f>
        <v>0</v>
      </c>
      <c r="O112" s="397">
        <f>SUM(N112:N113)</f>
        <v>0</v>
      </c>
      <c r="P112" s="7"/>
      <c r="Q112" s="281"/>
      <c r="R112" s="281"/>
      <c r="S112" s="281"/>
      <c r="T112" s="281"/>
      <c r="U112" s="281"/>
      <c r="V112" s="281"/>
      <c r="W112" s="281"/>
      <c r="X112" s="307"/>
      <c r="Y112" s="307"/>
      <c r="Z112" s="307"/>
      <c r="AA112" s="308"/>
      <c r="AB112" s="308"/>
      <c r="AC112" s="308"/>
      <c r="AD112" s="309"/>
      <c r="AE112" s="309"/>
      <c r="AF112" s="309"/>
      <c r="AG112" s="307"/>
      <c r="AH112" s="307"/>
      <c r="AI112" s="307"/>
      <c r="AJ112" s="307"/>
      <c r="AK112" s="307"/>
      <c r="AL112" s="307"/>
      <c r="AM112" s="307"/>
      <c r="AN112" s="307"/>
      <c r="AO112" s="307"/>
      <c r="AP112" s="307"/>
      <c r="AQ112" s="307"/>
      <c r="AR112" s="307"/>
      <c r="AS112" s="307"/>
      <c r="AT112" s="307"/>
      <c r="AU112" s="307"/>
      <c r="AV112" s="307"/>
      <c r="AW112" s="499" t="s">
        <v>267</v>
      </c>
      <c r="AX112" s="499"/>
      <c r="AY112" s="499"/>
      <c r="AZ112" s="499"/>
      <c r="BA112" s="499"/>
      <c r="BB112" s="499"/>
      <c r="BC112" s="499"/>
      <c r="BD112" s="499"/>
      <c r="BE112" s="499"/>
      <c r="BF112" s="499"/>
      <c r="BG112" s="499"/>
      <c r="BH112" s="499"/>
      <c r="BI112" s="596">
        <f>BI108</f>
        <v>0</v>
      </c>
      <c r="BJ112" s="596"/>
      <c r="BK112" s="596"/>
      <c r="BL112" s="596"/>
      <c r="BM112" s="594">
        <f>'FICHE DE PAIE'!AW$22</f>
        <v>6.8000000000000005E-2</v>
      </c>
      <c r="BN112" s="594"/>
      <c r="BO112" s="594"/>
      <c r="BP112" s="594"/>
      <c r="BQ112" s="592">
        <f t="shared" si="27"/>
        <v>0</v>
      </c>
      <c r="BR112" s="592"/>
      <c r="BS112" s="592"/>
      <c r="BT112" s="592"/>
      <c r="BU112" s="595"/>
      <c r="BV112" s="595"/>
      <c r="BW112" s="595"/>
      <c r="BX112" s="592">
        <f t="shared" si="28"/>
        <v>0</v>
      </c>
      <c r="BY112" s="592"/>
      <c r="BZ112" s="592"/>
      <c r="CA112" s="593"/>
    </row>
    <row r="113" spans="1:79" ht="15" customHeight="1">
      <c r="A113" s="424">
        <v>4</v>
      </c>
      <c r="B113" s="382">
        <v>22</v>
      </c>
      <c r="C113" s="382">
        <f t="shared" si="29"/>
        <v>112</v>
      </c>
      <c r="D113" s="383" t="e">
        <f>IF(I113='Jour Férié'!F$13,'Jour Férié'!E$13,""&amp;IF(I113='Jour Férié'!F$15,'Jour Férié'!E$15,""&amp;IF(I113='Jour Férié'!B$5,'Jour Férié'!A$5,""&amp;IF(I113='Jour Férié'!B$8,'Jour Férié'!A$8,""&amp;IF(MOD(MATCH(I113,vacances!$A$3:$A$202,1),2)=1,"vacances",""&amp;IF(MOD(MATCH(I113,vacances!$A$3:$A$202,1),2)=1,"vacances",""))))))</f>
        <v>#N/A</v>
      </c>
      <c r="E113" s="449"/>
      <c r="F113" s="449"/>
      <c r="G113" s="449"/>
      <c r="H113" s="621"/>
      <c r="I113" s="339">
        <f t="shared" si="23"/>
        <v>43212</v>
      </c>
      <c r="J113" s="7"/>
      <c r="K113" s="7"/>
      <c r="L113" s="7"/>
      <c r="M113" s="396"/>
      <c r="N113" s="323">
        <f>(IF(WEEKDAY(I109,2)=5,(COUNTIF(E109,$J$1))))*AND(IF(WEEKDAY(I112,2)=1,(COUNTIF(E112,"*"))))+(IF(WEEKDAY(I110,2)=5,(COUNTIF(E110,$J$1))))*AND(IF(WEEKDAY(I113,2)=1,(COUNTIF(E113,"*"))))+(IF(WEEKDAY(I111,2)=5,(COUNTIF(E111,$J$1))))*AND(IF(WEEKDAY(I114,2)=1,(COUNTIF(E114,"*"))))+(IF(WEEKDAY(I112,2)=5,(COUNTIF(E112,$J$1))))*AND(IF(WEEKDAY(I115,2)=1,(COUNTIF(E115,"*"))))+(IF(WEEKDAY(I113,2)=5,(COUNTIF(E113,$J$1))))*AND(IF(WEEKDAY(I116,2)=1,(COUNTIF(E116,"*"))))+(IF(WEEKDAY(I114,2)=5,(COUNTIF(E114,$J$1))))*AND(IF(WEEKDAY(I117,2)=1,(COUNTIF(E117,"*"))))+(IF(WEEKDAY(I115,2)=5,(COUNTIF(E115,$J$1))))*AND(IF(WEEKDAY(I118,2)=1,(COUNTIF(E118,"*"))))+(IF(WEEKDAY(I116,2)=5,(COUNTIF(E116,$J$1))))*AND(IF(WEEKDAY(I119,2)=1,(COUNTIF(E119,"*"))))+(IF(WEEKDAY(I117,2)=5,(COUNTIF(E117,$J$1))))*AND(IF(WEEKDAY(I120,2)=1,(COUNTIF(E120,"*"))))+(IF(WEEKDAY(I118,2)=5,(COUNTIF(E118,$J$1))))*AND(IF(WEEKDAY(I121,2)=1,(COUNTIF(E121,"*"))))+(IF(WEEKDAY(I119,2)=5,(COUNTIF(E119,$J$1))))*AND(IF(WEEKDAY(I122,2)=1,(COUNTIF(E122,"*"))))+(IF(WEEKDAY(I120,2)=5,(COUNTIF(E120,$J$1))))*AND(IF(WEEKDAY(I123,2)=1,(COUNTIF(E123,"*"))))+(IF(WEEKDAY(I121,2)=5,(COUNTIF(E121,$J$1))))*AND(IF(WEEKDAY(I124,2)=1,(COUNTIF(E124,"*"))))</f>
        <v>0</v>
      </c>
      <c r="O113" s="397"/>
      <c r="P113" s="7"/>
      <c r="Q113" s="281"/>
      <c r="R113" s="281"/>
      <c r="S113" s="281"/>
      <c r="T113" s="552" t="s">
        <v>272</v>
      </c>
      <c r="U113" s="552"/>
      <c r="V113" s="552"/>
      <c r="W113" s="552"/>
      <c r="X113" s="552"/>
      <c r="Y113" s="552"/>
      <c r="Z113" s="552"/>
      <c r="AA113" s="552"/>
      <c r="AB113" s="552"/>
      <c r="AC113" s="553">
        <f>BV119</f>
        <v>1407.7499809251249</v>
      </c>
      <c r="AD113" s="553"/>
      <c r="AE113" s="553"/>
      <c r="AF113" s="553"/>
      <c r="AG113" s="553"/>
      <c r="AH113" s="553"/>
      <c r="AI113" s="553"/>
      <c r="AJ113" s="553"/>
      <c r="AK113" s="553"/>
      <c r="AL113" s="553"/>
      <c r="AM113" s="553"/>
      <c r="AN113" s="553"/>
      <c r="AO113" s="553"/>
      <c r="AP113" s="553"/>
      <c r="AQ113" s="553"/>
      <c r="AR113" s="290"/>
      <c r="AS113" s="290"/>
      <c r="AT113" s="290"/>
      <c r="AU113" s="290"/>
      <c r="AV113" s="290"/>
      <c r="AW113" s="499" t="s">
        <v>268</v>
      </c>
      <c r="AX113" s="499"/>
      <c r="AY113" s="499"/>
      <c r="AZ113" s="499"/>
      <c r="BA113" s="499"/>
      <c r="BB113" s="499"/>
      <c r="BC113" s="499"/>
      <c r="BD113" s="499"/>
      <c r="BE113" s="499"/>
      <c r="BF113" s="499"/>
      <c r="BG113" s="499"/>
      <c r="BH113" s="499"/>
      <c r="BI113" s="596">
        <f>BI108</f>
        <v>0</v>
      </c>
      <c r="BJ113" s="596"/>
      <c r="BK113" s="596"/>
      <c r="BL113" s="596"/>
      <c r="BM113" s="594">
        <f>'FICHE DE PAIE'!AW$23</f>
        <v>2.9000000000000001E-2</v>
      </c>
      <c r="BN113" s="594"/>
      <c r="BO113" s="594"/>
      <c r="BP113" s="594"/>
      <c r="BQ113" s="592">
        <f t="shared" si="27"/>
        <v>0</v>
      </c>
      <c r="BR113" s="592"/>
      <c r="BS113" s="592"/>
      <c r="BT113" s="592"/>
      <c r="BU113" s="595"/>
      <c r="BV113" s="595"/>
      <c r="BW113" s="595"/>
      <c r="BX113" s="592">
        <f t="shared" si="28"/>
        <v>0</v>
      </c>
      <c r="BY113" s="592"/>
      <c r="BZ113" s="592"/>
      <c r="CA113" s="593"/>
    </row>
    <row r="114" spans="1:79" ht="15" customHeight="1">
      <c r="A114" s="424">
        <v>4</v>
      </c>
      <c r="B114" s="382">
        <v>23</v>
      </c>
      <c r="C114" s="382">
        <f t="shared" si="29"/>
        <v>113</v>
      </c>
      <c r="D114" s="383" t="e">
        <f>IF(I114='Jour Férié'!F$13,'Jour Férié'!E$13,""&amp;IF(I114='Jour Férié'!F$15,'Jour Férié'!E$15,""&amp;IF(I114='Jour Férié'!B$5,'Jour Férié'!A$5,""&amp;IF(I114='Jour Férié'!B$8,'Jour Férié'!A$8,""&amp;IF(MOD(MATCH(I114,vacances!$A$3:$A$202,1),2)=1,"vacances",""&amp;IF(MOD(MATCH(I114,vacances!$A$3:$A$202,1),2)=1,"vacances",""))))))</f>
        <v>#N/A</v>
      </c>
      <c r="E114" s="449"/>
      <c r="F114" s="449"/>
      <c r="G114" s="449"/>
      <c r="H114" s="621"/>
      <c r="I114" s="339">
        <f t="shared" si="23"/>
        <v>43213</v>
      </c>
      <c r="J114" s="569"/>
      <c r="K114" s="569"/>
      <c r="L114" s="569"/>
      <c r="M114" s="396" t="s">
        <v>322</v>
      </c>
      <c r="N114" s="323">
        <f>((IF(WEEKDAY(I91,2)=7,(COUNTIF(E91,"*"))))*AND(IF(WEEKDAY(I92,2)=1,(COUNTIF(E92,"*")))))*AND(COUNTBLANK(E90))+((IF(WEEKDAY(I92,2)=7,(COUNTIF(E92,"*"))))*AND(IF(WEEKDAY(I93,2)=1,(COUNTIF(E93,"*")))))*AND(COUNTBLANK(E91))+((IF(WEEKDAY(I93,2)=7,(COUNTIF(E93,"*"))))*AND(IF(WEEKDAY(I94,2)=1,(COUNTIF(E94,"*"))))*AND(COUNTBLANK(E92)))+((IF(WEEKDAY(I94,2)=7,(COUNTIF(E94,"*"))))*AND(IF(WEEKDAY(I95,2)=1,(COUNTIF(E95,"*"))))*AND(COUNTBLANK(E93)))+((IF(WEEKDAY(I95,2)=7,(COUNTIF(E95,"*"))))*AND(IF(WEEKDAY(I96,2)=1,(COUNTIF(E96,"*"))))*AND(COUNTBLANK(E94)))+((IF(WEEKDAY(I96,2)=7,(COUNTIF(E96,"*"))))*AND(IF(WEEKDAY(I97,2)=1,(COUNTIF(E97,"*"))))*AND(COUNTBLANK(E95)))+((IF(WEEKDAY(I97,2)=7,(COUNTIF(E97,"*"))))*AND(IF(WEEKDAY(I98,2)=1,(COUNTIF(E98,"*"))))*AND(COUNTBLANK(E96)))+((IF(WEEKDAY(I98,2)=7,(COUNTIF(E98,"*"))))*AND(IF(WEEKDAY(I99,2)=1,(COUNTIF(E99,"*"))))*AND(COUNTBLANK(E97)))+((IF(WEEKDAY(I99,2)=7,(COUNTIF(E99,"*"))))*AND(IF(WEEKDAY(I100,2)=1,(COUNTIF(E100,"*"))))*AND(COUNTBLANK(E98)))</f>
        <v>0</v>
      </c>
      <c r="O114" s="397">
        <f>SUM(N114:N116)</f>
        <v>0</v>
      </c>
      <c r="P114" s="7"/>
      <c r="Q114" s="304"/>
      <c r="R114" s="304"/>
      <c r="S114" s="304"/>
      <c r="T114" s="552"/>
      <c r="U114" s="552"/>
      <c r="V114" s="552"/>
      <c r="W114" s="552"/>
      <c r="X114" s="552"/>
      <c r="Y114" s="552"/>
      <c r="Z114" s="552"/>
      <c r="AA114" s="552"/>
      <c r="AB114" s="552"/>
      <c r="AC114" s="553"/>
      <c r="AD114" s="553"/>
      <c r="AE114" s="553"/>
      <c r="AF114" s="553"/>
      <c r="AG114" s="553"/>
      <c r="AH114" s="553"/>
      <c r="AI114" s="553"/>
      <c r="AJ114" s="553"/>
      <c r="AK114" s="553"/>
      <c r="AL114" s="553"/>
      <c r="AM114" s="553"/>
      <c r="AN114" s="553"/>
      <c r="AO114" s="553"/>
      <c r="AP114" s="553"/>
      <c r="AQ114" s="553"/>
      <c r="AR114" s="304"/>
      <c r="AS114" s="304"/>
      <c r="AT114" s="304"/>
      <c r="AU114" s="304"/>
      <c r="AV114" s="304"/>
      <c r="AW114" s="499" t="s">
        <v>269</v>
      </c>
      <c r="AX114" s="499"/>
      <c r="AY114" s="499"/>
      <c r="AZ114" s="499"/>
      <c r="BA114" s="499"/>
      <c r="BB114" s="499"/>
      <c r="BC114" s="499"/>
      <c r="BD114" s="499"/>
      <c r="BE114" s="499"/>
      <c r="BF114" s="499"/>
      <c r="BG114" s="499"/>
      <c r="BH114" s="499"/>
      <c r="BI114" s="596"/>
      <c r="BJ114" s="596"/>
      <c r="BK114" s="596"/>
      <c r="BL114" s="596"/>
      <c r="BM114" s="590"/>
      <c r="BN114" s="590"/>
      <c r="BO114" s="590"/>
      <c r="BP114" s="590"/>
      <c r="BQ114" s="592">
        <v>9.52</v>
      </c>
      <c r="BR114" s="592"/>
      <c r="BS114" s="592"/>
      <c r="BT114" s="592"/>
      <c r="BU114" s="595"/>
      <c r="BV114" s="595"/>
      <c r="BW114" s="595"/>
      <c r="BX114" s="592">
        <f t="shared" si="28"/>
        <v>0</v>
      </c>
      <c r="BY114" s="592"/>
      <c r="BZ114" s="592"/>
      <c r="CA114" s="593"/>
    </row>
    <row r="115" spans="1:79" ht="15" customHeight="1">
      <c r="A115" s="424">
        <v>4</v>
      </c>
      <c r="B115" s="382">
        <v>24</v>
      </c>
      <c r="C115" s="382">
        <f>VLOOKUP(A115,Données,4)+B115-1</f>
        <v>114</v>
      </c>
      <c r="D115" s="383" t="e">
        <f>IF(I115='Jour Férié'!F$13,'Jour Férié'!E$13,""&amp;IF(I115='Jour Férié'!F$15,'Jour Férié'!E$15,""&amp;IF(I115='Jour Férié'!B$5,'Jour Férié'!A$5,""&amp;IF(I115='Jour Férié'!B$8,'Jour Férié'!A$8,""&amp;IF(MOD(MATCH(I115,vacances!$A$3:$A$202,1),2)=1,"vacances",""&amp;IF(MOD(MATCH(I115,vacances!$A$3:$A$202,1),2)=1,"vacances",""))))))</f>
        <v>#N/A</v>
      </c>
      <c r="E115" s="449"/>
      <c r="F115" s="449"/>
      <c r="G115" s="449"/>
      <c r="H115" s="621"/>
      <c r="I115" s="339">
        <f t="shared" si="23"/>
        <v>43214</v>
      </c>
      <c r="J115" s="569"/>
      <c r="K115" s="569"/>
      <c r="L115" s="7"/>
      <c r="M115" s="396"/>
      <c r="N115" s="321">
        <f>((IF(WEEKDAY(I100,2)=7,(COUNTIF(E100,"*"))))*AND(IF(WEEKDAY(I101,2)=1,(COUNTIF(E101,"*"))))*AND(COUNTBLANK(E99)))+((IF(WEEKDAY(I101,2)=7,(COUNTIF(E101,"*"))))*AND(IF(WEEKDAY(I102,2)=1,(COUNTIF(E102,"*"))))*AND(COUNTBLANK(E100)))+((IF(WEEKDAY(I102,2)=7,(COUNTIF(E102,"*"))))*AND(IF(WEEKDAY(I103,2)=1,(COUNTIF(E103,"*"))))*AND(COUNTBLANK(E101)))+((IF(WEEKDAY(I103,2)=7,(COUNTIF(E103,"*"))))*AND(IF(WEEKDAY(I104,2)=1,(COUNTIF(E104,"*"))))*AND(COUNTBLANK(E102)))+((IF(WEEKDAY(I104,2)=7,(COUNTIF(E104,"*"))))*AND(IF(WEEKDAY(I105,2)=1,(COUNTIF(E105,"*"))))*AND(COUNTBLANK(E103)))+((IF(WEEKDAY(I105,2)=7,(COUNTIF(E105,"*"))))*AND(IF(WEEKDAY(I106,2)=1,(COUNTIF(E106,"*"))))*AND(COUNTBLANK(E104)))+((IF(WEEKDAY(I106,2)=7,(COUNTIF(E106,"*"))))*AND(IF(WEEKDAY(I107,2)=1,(COUNTIF(E107,"*"))))*AND(COUNTBLANK(E105)))+((IF(WEEKDAY(I107,2)=7,(COUNTIF(E107,"*"))))*AND(IF(WEEKDAY(I108,2)=1,(COUNTIF(E108,"*"))))*AND(COUNTBLANK(E106)))+((IF(WEEKDAY(I108,2)=7,(COUNTIF(E108,"*"))))*AND(IF(WEEKDAY(I109,2)=1,(COUNTIF(E109,"*"))))*AND(COUNTBLANK(E107)))+((IF(WEEKDAY(I109,2)=7,(COUNTIF(E109,"*"))))*AND(IF(WEEKDAY(I110,2)=1,(COUNTIF(E110,"*"))))*AND(COUNTBLANK(E108)))+((IF(WEEKDAY(I110,2)=7,(COUNTIF(E110,"*"))))*AND(IF(WEEKDAY(I111,2)=1,(COUNTIF(E111,"*"))))*AND(COUNTBLANK(E108)))+((IF(WEEKDAY(I111,2)=7,(COUNTIF(E111,"*"))))*AND(IF(WEEKDAY(I112,2)=1,(COUNTIF(E112,"*"))))*AND(COUNTBLANK(E109)))+((IF(WEEKDAY(I112,2)=7,(COUNTIF(E112,"*"))))*AND(IF(WEEKDAY(I113,2)=1,(COUNTIF(E113,"*"))))*AND(COUNTBLANK(E110)))</f>
        <v>0</v>
      </c>
      <c r="O115" s="397"/>
      <c r="P115" s="7"/>
      <c r="Q115" s="307"/>
      <c r="R115" s="307"/>
      <c r="S115" s="307"/>
      <c r="T115" s="552"/>
      <c r="U115" s="552"/>
      <c r="V115" s="552"/>
      <c r="W115" s="552"/>
      <c r="X115" s="552"/>
      <c r="Y115" s="552"/>
      <c r="Z115" s="552"/>
      <c r="AA115" s="552"/>
      <c r="AB115" s="552"/>
      <c r="AC115" s="553"/>
      <c r="AD115" s="553"/>
      <c r="AE115" s="553"/>
      <c r="AF115" s="553"/>
      <c r="AG115" s="553"/>
      <c r="AH115" s="553"/>
      <c r="AI115" s="553"/>
      <c r="AJ115" s="553"/>
      <c r="AK115" s="553"/>
      <c r="AL115" s="553"/>
      <c r="AM115" s="553"/>
      <c r="AN115" s="553"/>
      <c r="AO115" s="553"/>
      <c r="AP115" s="553"/>
      <c r="AQ115" s="553"/>
      <c r="AR115" s="307"/>
      <c r="AS115" s="307"/>
      <c r="AT115" s="307"/>
      <c r="AU115" s="307"/>
      <c r="AV115" s="307"/>
      <c r="AW115" s="591"/>
      <c r="AX115" s="591"/>
      <c r="AY115" s="591"/>
      <c r="AZ115" s="591"/>
      <c r="BA115" s="591"/>
      <c r="BB115" s="591"/>
      <c r="BC115" s="591"/>
      <c r="BD115" s="591"/>
      <c r="BE115" s="591"/>
      <c r="BF115" s="591"/>
      <c r="BG115" s="591"/>
      <c r="BH115" s="591"/>
      <c r="BI115" s="590">
        <f>$Y$28</f>
        <v>0</v>
      </c>
      <c r="BJ115" s="590"/>
      <c r="BK115" s="590"/>
      <c r="BL115" s="590"/>
      <c r="BM115" s="590"/>
      <c r="BN115" s="590"/>
      <c r="BO115" s="590"/>
      <c r="BP115" s="590"/>
      <c r="BQ115" s="592">
        <f>BI115*BM115</f>
        <v>0</v>
      </c>
      <c r="BR115" s="592"/>
      <c r="BS115" s="592"/>
      <c r="BT115" s="592"/>
      <c r="BU115" s="595"/>
      <c r="BV115" s="595"/>
      <c r="BW115" s="595"/>
      <c r="BX115" s="592">
        <f t="shared" si="28"/>
        <v>0</v>
      </c>
      <c r="BY115" s="592"/>
      <c r="BZ115" s="592"/>
      <c r="CA115" s="593"/>
    </row>
    <row r="116" spans="1:79" ht="15" customHeight="1">
      <c r="A116" s="424">
        <v>4</v>
      </c>
      <c r="B116" s="382">
        <v>25</v>
      </c>
      <c r="C116" s="382">
        <f t="shared" si="29"/>
        <v>115</v>
      </c>
      <c r="D116" s="383" t="e">
        <f>IF(I116='Jour Férié'!F$13,'Jour Férié'!E$13,""&amp;IF(I116='Jour Férié'!F$15,'Jour Férié'!E$15,""&amp;IF(I116='Jour Férié'!B$5,'Jour Férié'!A$5,""&amp;IF(I116='Jour Férié'!B$8,'Jour Férié'!A$8,""&amp;IF(MOD(MATCH(I116,vacances!$A$3:$A$202,1),2)=1,"vacances",""&amp;IF(MOD(MATCH(I116,vacances!$A$3:$A$202,1),2)=1,"vacances",""))))))</f>
        <v>#N/A</v>
      </c>
      <c r="E116" s="449"/>
      <c r="F116" s="449"/>
      <c r="G116" s="449"/>
      <c r="H116" s="621"/>
      <c r="I116" s="339">
        <f t="shared" si="23"/>
        <v>43215</v>
      </c>
      <c r="J116" s="285"/>
      <c r="K116" s="285"/>
      <c r="L116" s="289"/>
      <c r="M116" s="396"/>
      <c r="N116" s="321">
        <f>((IF(WEEKDAY(I113,2)=7,(COUNTIF(E113,"*"))))*AND(IF(WEEKDAY(I114,2)=1,(COUNTIF(E114,"*"))))*AND(COUNTBLANK(E111)))+((IF(WEEKDAY(I114,2)=7,(COUNTIF(E114,"*"))))*AND(IF(WEEKDAY(I115,2)=1,(COUNTIF(E115,"*"))))*AND(COUNTBLANK(E112)))+((IF(WEEKDAY(I115,2)=7,(COUNTIF(E115,"*"))))*AND(IF(WEEKDAY(I116,2)=1,(COUNTIF(E116,"*"))))*AND(COUNTBLANK(E112)))+((IF(WEEKDAY(I116,2)=7,(COUNTIF(E116,"*"))))*AND(IF(WEEKDAY(I117,2)=1,(COUNTIF(E117,"*"))))*AND(COUNTBLANK(E114)))+((IF(WEEKDAY(I117,2)=7,(COUNTIF(E117,"*"))))*AND(IF(WEEKDAY(I118,2)=1,(COUNTIF(E118,"*"))))*AND(COUNTBLANK(E115)))+((IF(WEEKDAY(I118,2)=7,(COUNTIF(E118,"*"))))*AND(IF(WEEKDAY(I119,2)=1,(COUNTIF(E119,"*"))))*AND(COUNTBLANK(E116)))+((IF(WEEKDAY(I119,2)=7,(COUNTIF(E119,"*"))))*AND(IF(WEEKDAY(I120,2)=1,(COUNTIF(E120,"*"))))*AND(COUNTBLANK(E117)))+((IF(WEEKDAY(I120,2)=7,(COUNTIF(E120,"*"))))*AND(IF(WEEKDAY(I121,2)=1,(COUNTIF(E121,"*"))))*AND(COUNTBLANK(E118)))+((IF(WEEKDAY(I121,2)=7,(COUNTIF(E121,"*"))))*AND(IF(WEEKDAY(I122,2)=1,(COUNTIF(E122,"*"))))*AND(COUNTBLANK(E119)))</f>
        <v>0</v>
      </c>
      <c r="O116" s="397"/>
      <c r="P116" s="7"/>
      <c r="Q116" s="290"/>
      <c r="R116" s="290"/>
      <c r="S116" s="290"/>
      <c r="T116" s="290"/>
      <c r="U116" s="290"/>
      <c r="V116" s="290"/>
      <c r="W116" s="290"/>
      <c r="X116" s="290"/>
      <c r="Y116" s="290"/>
      <c r="Z116" s="290"/>
      <c r="AA116" s="310"/>
      <c r="AB116" s="310"/>
      <c r="AC116" s="553"/>
      <c r="AD116" s="553"/>
      <c r="AE116" s="553"/>
      <c r="AF116" s="553"/>
      <c r="AG116" s="553"/>
      <c r="AH116" s="553"/>
      <c r="AI116" s="553"/>
      <c r="AJ116" s="553"/>
      <c r="AK116" s="553"/>
      <c r="AL116" s="553"/>
      <c r="AM116" s="553"/>
      <c r="AN116" s="553"/>
      <c r="AO116" s="553"/>
      <c r="AP116" s="553"/>
      <c r="AQ116" s="553"/>
      <c r="AR116" s="290"/>
      <c r="AS116" s="290"/>
      <c r="AT116" s="290"/>
      <c r="AU116" s="290"/>
      <c r="AV116" s="290"/>
      <c r="AW116" s="562" t="s">
        <v>270</v>
      </c>
      <c r="AX116" s="562"/>
      <c r="AY116" s="562"/>
      <c r="AZ116" s="562"/>
      <c r="BA116" s="562"/>
      <c r="BB116" s="562"/>
      <c r="BC116" s="562"/>
      <c r="BD116" s="562"/>
      <c r="BE116" s="562"/>
      <c r="BF116" s="562"/>
      <c r="BG116" s="562"/>
      <c r="BH116" s="562"/>
      <c r="BI116" s="587"/>
      <c r="BJ116" s="587"/>
      <c r="BK116" s="587"/>
      <c r="BL116" s="587"/>
      <c r="BM116" s="588">
        <f>SUM(BM95:BP115)</f>
        <v>0.32090000000000002</v>
      </c>
      <c r="BN116" s="588"/>
      <c r="BO116" s="588"/>
      <c r="BP116" s="588"/>
      <c r="BQ116" s="586">
        <f>SUM(BQ95:BT115)</f>
        <v>443.38236907487493</v>
      </c>
      <c r="BR116" s="586"/>
      <c r="BS116" s="586"/>
      <c r="BT116" s="586"/>
      <c r="BU116" s="311"/>
      <c r="BV116" s="7"/>
      <c r="BW116" s="7"/>
      <c r="BX116" s="586">
        <f>SUM(BX95:CA115)</f>
        <v>807.69346695699983</v>
      </c>
      <c r="BY116" s="586"/>
      <c r="BZ116" s="586"/>
      <c r="CA116" s="589"/>
    </row>
    <row r="117" spans="1:79" ht="15" customHeight="1">
      <c r="A117" s="424">
        <v>4</v>
      </c>
      <c r="B117" s="382">
        <v>26</v>
      </c>
      <c r="C117" s="382">
        <f t="shared" si="29"/>
        <v>116</v>
      </c>
      <c r="D117" s="383" t="e">
        <f>IF(I117='Jour Férié'!F$13,'Jour Férié'!E$13,""&amp;IF(I117='Jour Férié'!F$15,'Jour Férié'!E$15,""&amp;IF(I117='Jour Férié'!B$5,'Jour Férié'!A$5,""&amp;IF(I117='Jour Férié'!B$8,'Jour Férié'!A$8,""&amp;IF(MOD(MATCH(I117,vacances!$A$3:$A$202,1),2)=1,"vacances",""&amp;IF(MOD(MATCH(I117,vacances!$A$3:$A$202,1),2)=1,"vacances",""))))))</f>
        <v>#N/A</v>
      </c>
      <c r="E117" s="449"/>
      <c r="F117" s="449"/>
      <c r="G117" s="449"/>
      <c r="H117" s="621"/>
      <c r="I117" s="339">
        <f t="shared" si="23"/>
        <v>43216</v>
      </c>
      <c r="J117" s="285"/>
      <c r="K117" s="285"/>
      <c r="L117" s="291"/>
      <c r="M117" s="398" t="s">
        <v>323</v>
      </c>
      <c r="N117" s="569">
        <f>SUM(O110:O116)</f>
        <v>0</v>
      </c>
      <c r="O117" s="569"/>
      <c r="P117" s="7"/>
      <c r="Q117" s="304"/>
      <c r="R117" s="304"/>
      <c r="S117" s="304"/>
      <c r="T117" s="304"/>
      <c r="U117" s="304"/>
      <c r="V117" s="304"/>
      <c r="W117" s="304"/>
      <c r="X117" s="304"/>
      <c r="Y117" s="304"/>
      <c r="Z117" s="304"/>
      <c r="AA117" s="305"/>
      <c r="AB117" s="305"/>
      <c r="AC117" s="553"/>
      <c r="AD117" s="553"/>
      <c r="AE117" s="553"/>
      <c r="AF117" s="553"/>
      <c r="AG117" s="553"/>
      <c r="AH117" s="553"/>
      <c r="AI117" s="553"/>
      <c r="AJ117" s="553"/>
      <c r="AK117" s="553"/>
      <c r="AL117" s="553"/>
      <c r="AM117" s="553"/>
      <c r="AN117" s="553"/>
      <c r="AO117" s="553"/>
      <c r="AP117" s="553"/>
      <c r="AQ117" s="553"/>
      <c r="AR117" s="304"/>
      <c r="AS117" s="304"/>
      <c r="AT117" s="304"/>
      <c r="AU117" s="304"/>
      <c r="AV117" s="304"/>
      <c r="AW117" s="312" t="s">
        <v>271</v>
      </c>
      <c r="AX117" s="312"/>
      <c r="AY117" s="312"/>
      <c r="AZ117" s="312"/>
      <c r="BA117" s="312"/>
      <c r="BB117" s="312"/>
      <c r="BC117" s="312"/>
      <c r="BD117" s="313"/>
      <c r="BE117" s="313"/>
      <c r="BF117" s="313"/>
      <c r="BG117" s="313"/>
      <c r="BH117" s="313"/>
      <c r="BI117" s="569">
        <f>O95</f>
        <v>0</v>
      </c>
      <c r="BJ117" s="569"/>
      <c r="BK117" s="569"/>
      <c r="BL117" s="569"/>
      <c r="BM117" s="590">
        <f>'FICHE DE PAIE'!AW$27</f>
        <v>3.5259999999999998</v>
      </c>
      <c r="BN117" s="590"/>
      <c r="BO117" s="590"/>
      <c r="BP117" s="590"/>
      <c r="BQ117" s="381">
        <f>BI117*BM117</f>
        <v>0</v>
      </c>
      <c r="BR117" s="381"/>
      <c r="BS117" s="381"/>
      <c r="BT117" s="381"/>
      <c r="BU117" s="314"/>
      <c r="BV117" s="7"/>
      <c r="BW117" s="7"/>
      <c r="BX117" s="7"/>
      <c r="BY117" s="7"/>
      <c r="BZ117" s="7"/>
      <c r="CA117" s="315"/>
    </row>
    <row r="118" spans="1:79" ht="15" customHeight="1">
      <c r="A118" s="424">
        <v>4</v>
      </c>
      <c r="B118" s="382">
        <v>27</v>
      </c>
      <c r="C118" s="382">
        <f t="shared" si="29"/>
        <v>117</v>
      </c>
      <c r="D118" s="383" t="e">
        <f>IF(I118='Jour Férié'!F$13,'Jour Férié'!E$13,""&amp;IF(I118='Jour Férié'!F$15,'Jour Férié'!E$15,""&amp;IF(I118='Jour Férié'!B$5,'Jour Férié'!A$5,""&amp;IF(I118='Jour Férié'!B$8,'Jour Férié'!A$8,""&amp;IF(MOD(MATCH(I118,vacances!$A$3:$A$202,1),2)=1,"vacances",""&amp;IF(MOD(MATCH(I118,vacances!$A$3:$A$202,1),2)=1,"vacances",""))))))</f>
        <v>#N/A</v>
      </c>
      <c r="E118" s="449"/>
      <c r="F118" s="449"/>
      <c r="G118" s="449"/>
      <c r="H118" s="621"/>
      <c r="I118" s="339">
        <f t="shared" si="23"/>
        <v>43217</v>
      </c>
      <c r="J118" s="285"/>
      <c r="K118" s="7"/>
      <c r="L118" s="281"/>
      <c r="M118" s="7"/>
      <c r="N118" s="7"/>
      <c r="O118" s="340"/>
      <c r="P118" s="7"/>
      <c r="Q118" s="307"/>
      <c r="R118" s="307"/>
      <c r="S118" s="307"/>
      <c r="T118" s="307"/>
      <c r="U118" s="307"/>
      <c r="V118" s="307"/>
      <c r="W118" s="307"/>
      <c r="X118" s="307"/>
      <c r="Y118" s="307"/>
      <c r="Z118" s="307"/>
      <c r="AA118" s="308"/>
      <c r="AB118" s="308"/>
      <c r="AC118" s="553"/>
      <c r="AD118" s="553"/>
      <c r="AE118" s="553"/>
      <c r="AF118" s="553"/>
      <c r="AG118" s="553"/>
      <c r="AH118" s="553"/>
      <c r="AI118" s="553"/>
      <c r="AJ118" s="553"/>
      <c r="AK118" s="553"/>
      <c r="AL118" s="553"/>
      <c r="AM118" s="553"/>
      <c r="AN118" s="553"/>
      <c r="AO118" s="553"/>
      <c r="AP118" s="553"/>
      <c r="AQ118" s="553"/>
      <c r="AR118" s="307"/>
      <c r="AS118" s="307"/>
      <c r="AT118" s="307"/>
      <c r="AU118" s="307"/>
      <c r="AV118" s="307"/>
      <c r="AW118" s="550">
        <f>Q92</f>
        <v>43191</v>
      </c>
      <c r="AX118" s="550"/>
      <c r="AY118" s="550"/>
      <c r="AZ118" s="550"/>
      <c r="BA118" s="550"/>
      <c r="BB118" s="550"/>
      <c r="BC118" s="550"/>
      <c r="BD118" s="550"/>
      <c r="BE118" s="550"/>
      <c r="BF118" s="550"/>
      <c r="BG118" s="550"/>
      <c r="BH118" s="550"/>
      <c r="BI118" s="550"/>
      <c r="BJ118" s="550"/>
      <c r="BK118" s="550"/>
      <c r="BL118" s="550"/>
      <c r="BM118" s="550"/>
      <c r="BN118" s="550"/>
      <c r="BO118" s="550"/>
      <c r="BP118" s="550"/>
      <c r="BQ118" s="550"/>
      <c r="BR118" s="550"/>
      <c r="BS118" s="550"/>
      <c r="BT118" s="550"/>
      <c r="BU118" s="550"/>
      <c r="BV118" s="550"/>
      <c r="BW118" s="550"/>
      <c r="BX118" s="550"/>
      <c r="BY118" s="550"/>
      <c r="BZ118" s="550"/>
      <c r="CA118" s="551"/>
    </row>
    <row r="119" spans="1:79" ht="15" customHeight="1">
      <c r="A119" s="424">
        <v>4</v>
      </c>
      <c r="B119" s="382">
        <v>28</v>
      </c>
      <c r="C119" s="382">
        <f t="shared" si="29"/>
        <v>118</v>
      </c>
      <c r="D119" s="383" t="e">
        <f>IF(I119='Jour Férié'!F$13,'Jour Férié'!E$13,""&amp;IF(I119='Jour Férié'!F$15,'Jour Férié'!E$15,""&amp;IF(I119='Jour Férié'!B$5,'Jour Férié'!A$5,""&amp;IF(I119='Jour Férié'!B$8,'Jour Férié'!A$8,""&amp;IF(MOD(MATCH(I119,vacances!$A$3:$A$202,1),2)=1,"vacances",""&amp;IF(MOD(MATCH(I119,vacances!$A$3:$A$202,1),2)=1,"vacances",""))))))</f>
        <v>#N/A</v>
      </c>
      <c r="E119" s="449"/>
      <c r="F119" s="449"/>
      <c r="G119" s="449"/>
      <c r="H119" s="621"/>
      <c r="I119" s="339">
        <f t="shared" si="23"/>
        <v>43218</v>
      </c>
      <c r="J119" s="285"/>
      <c r="K119" s="7"/>
      <c r="L119" s="281"/>
      <c r="M119" s="7"/>
      <c r="N119" s="7"/>
      <c r="O119" s="340"/>
      <c r="P119" s="7"/>
      <c r="Q119" s="290"/>
      <c r="R119" s="290"/>
      <c r="S119" s="290"/>
      <c r="T119" s="290"/>
      <c r="U119" s="290"/>
      <c r="V119" s="290"/>
      <c r="W119" s="290"/>
      <c r="X119" s="290"/>
      <c r="Y119" s="290"/>
      <c r="Z119" s="290"/>
      <c r="AA119" s="310"/>
      <c r="AB119" s="310"/>
      <c r="AC119" s="553"/>
      <c r="AD119" s="553"/>
      <c r="AE119" s="553"/>
      <c r="AF119" s="553"/>
      <c r="AG119" s="553"/>
      <c r="AH119" s="553"/>
      <c r="AI119" s="553"/>
      <c r="AJ119" s="553"/>
      <c r="AK119" s="553"/>
      <c r="AL119" s="553"/>
      <c r="AM119" s="553"/>
      <c r="AN119" s="553"/>
      <c r="AO119" s="553"/>
      <c r="AP119" s="553"/>
      <c r="AQ119" s="553"/>
      <c r="AR119" s="290"/>
      <c r="AS119" s="290"/>
      <c r="AT119" s="290"/>
      <c r="AU119" s="290"/>
      <c r="AV119" s="290"/>
      <c r="AW119" s="313"/>
      <c r="AX119" s="313"/>
      <c r="AY119" s="313"/>
      <c r="AZ119" s="313"/>
      <c r="BA119" s="313"/>
      <c r="BB119" s="313"/>
      <c r="BC119" s="313"/>
      <c r="BD119" s="313"/>
      <c r="BE119" s="313"/>
      <c r="BF119" s="313"/>
      <c r="BG119" s="313"/>
      <c r="BH119" s="313"/>
      <c r="BI119" s="313"/>
      <c r="BJ119" s="313"/>
      <c r="BK119" s="313"/>
      <c r="BL119" s="316"/>
      <c r="BM119" s="316"/>
      <c r="BN119" s="587" t="s">
        <v>272</v>
      </c>
      <c r="BO119" s="587"/>
      <c r="BP119" s="587"/>
      <c r="BQ119" s="587"/>
      <c r="BR119" s="587"/>
      <c r="BS119" s="587"/>
      <c r="BT119" s="587"/>
      <c r="BU119" s="587"/>
      <c r="BV119" s="597">
        <f>AG108-BQ116+BQ117</f>
        <v>1407.7499809251249</v>
      </c>
      <c r="BW119" s="597"/>
      <c r="BX119" s="597"/>
      <c r="BY119" s="597"/>
      <c r="BZ119" s="597"/>
      <c r="CA119" s="598"/>
    </row>
    <row r="120" spans="1:79" ht="15" customHeight="1">
      <c r="A120" s="424">
        <v>4</v>
      </c>
      <c r="B120" s="382">
        <v>29</v>
      </c>
      <c r="C120" s="382">
        <f t="shared" si="29"/>
        <v>119</v>
      </c>
      <c r="D120" s="383" t="e">
        <f>IF(I120='Jour Férié'!F$13,'Jour Férié'!E$13,""&amp;IF(I120='Jour Férié'!F$15,'Jour Férié'!E$15,""&amp;IF(I120='Jour Férié'!B$5,'Jour Férié'!A$5,""&amp;IF(I120='Jour Férié'!B$8,'Jour Férié'!A$8,""&amp;IF(MOD(MATCH(I120,vacances!$A$3:$A$202,1),2)=1,"vacances",""&amp;IF(MOD(MATCH(I120,vacances!$A$3:$A$202,1),2)=1,"vacances",""))))))</f>
        <v>#N/A</v>
      </c>
      <c r="E120" s="449"/>
      <c r="F120" s="449"/>
      <c r="G120" s="449"/>
      <c r="H120" s="621"/>
      <c r="I120" s="339">
        <f t="shared" si="23"/>
        <v>43219</v>
      </c>
      <c r="J120" s="285"/>
      <c r="K120" s="7"/>
      <c r="L120" s="281"/>
      <c r="M120" s="7"/>
      <c r="N120" s="7"/>
      <c r="O120" s="340"/>
      <c r="P120" s="7"/>
      <c r="Q120" s="304"/>
      <c r="R120" s="304"/>
      <c r="S120" s="304"/>
      <c r="T120" s="304"/>
      <c r="U120" s="304"/>
      <c r="V120" s="304"/>
      <c r="W120" s="304"/>
      <c r="X120" s="304"/>
      <c r="Y120" s="304"/>
      <c r="Z120" s="304"/>
      <c r="AA120" s="305"/>
      <c r="AB120" s="305"/>
      <c r="AC120" s="553"/>
      <c r="AD120" s="553"/>
      <c r="AE120" s="553"/>
      <c r="AF120" s="553"/>
      <c r="AG120" s="553"/>
      <c r="AH120" s="553"/>
      <c r="AI120" s="553"/>
      <c r="AJ120" s="553"/>
      <c r="AK120" s="553"/>
      <c r="AL120" s="553"/>
      <c r="AM120" s="553"/>
      <c r="AN120" s="553"/>
      <c r="AO120" s="553"/>
      <c r="AP120" s="553"/>
      <c r="AQ120" s="553"/>
      <c r="AR120" s="304"/>
      <c r="AS120" s="304"/>
      <c r="AT120" s="304"/>
      <c r="AU120" s="304"/>
      <c r="AV120" s="304"/>
      <c r="AW120" s="317"/>
      <c r="AX120" s="317"/>
      <c r="AY120" s="317"/>
      <c r="AZ120" s="317"/>
      <c r="BA120" s="317"/>
      <c r="BB120" s="317"/>
      <c r="BC120" s="317"/>
      <c r="BD120" s="317"/>
      <c r="BE120" s="317"/>
      <c r="BF120" s="317"/>
      <c r="BG120" s="317"/>
      <c r="BH120" s="317"/>
      <c r="BI120" s="317"/>
      <c r="BJ120" s="317"/>
      <c r="BK120" s="317"/>
      <c r="BL120" s="585" t="s">
        <v>273</v>
      </c>
      <c r="BM120" s="585"/>
      <c r="BN120" s="585"/>
      <c r="BO120" s="585"/>
      <c r="BP120" s="585"/>
      <c r="BQ120" s="585"/>
      <c r="BR120" s="585"/>
      <c r="BS120" s="585"/>
      <c r="BT120" s="585"/>
      <c r="BU120" s="586">
        <f>BV119-BQ116+BQ117</f>
        <v>964.36761185024989</v>
      </c>
      <c r="BV120" s="586"/>
      <c r="BW120" s="586"/>
      <c r="BX120" s="586"/>
      <c r="BY120" s="586"/>
      <c r="BZ120" s="586"/>
      <c r="CA120" s="341"/>
    </row>
    <row r="121" spans="1:79" ht="15" customHeight="1" thickBot="1">
      <c r="A121" s="426">
        <v>4</v>
      </c>
      <c r="B121" s="427">
        <v>30</v>
      </c>
      <c r="C121" s="427">
        <f>VLOOKUP(A121,Données,4)+B121-1</f>
        <v>120</v>
      </c>
      <c r="D121" s="428" t="e">
        <f>IF(I121='Jour Férié'!F$13,'Jour Férié'!E$13,""&amp;IF(I121='Jour Férié'!F$15,'Jour Férié'!E$15,""&amp;IF(I121='Jour Férié'!B$5,'Jour Férié'!A$5,""&amp;IF(I121='Jour Férié'!B$8,'Jour Férié'!A$8,""&amp;IF(MOD(MATCH(I121,vacances!$A$3:$A$202,1),2)=1,"vacances",""&amp;IF(MOD(MATCH(I121,vacances!$A$3:$A$202,1),2)=1,"vacances",""))))))</f>
        <v>#N/A</v>
      </c>
      <c r="E121" s="493"/>
      <c r="F121" s="493"/>
      <c r="G121" s="493"/>
      <c r="H121" s="622"/>
      <c r="I121" s="344">
        <f t="shared" si="23"/>
        <v>43220</v>
      </c>
      <c r="J121" s="345"/>
      <c r="K121" s="345"/>
      <c r="L121" s="345"/>
      <c r="M121" s="345"/>
      <c r="N121" s="345"/>
      <c r="O121" s="346"/>
      <c r="P121" s="345"/>
      <c r="Q121" s="345"/>
      <c r="R121" s="345"/>
      <c r="S121" s="345"/>
      <c r="T121" s="345"/>
      <c r="U121" s="345"/>
      <c r="V121" s="345"/>
      <c r="W121" s="345"/>
      <c r="X121" s="345"/>
      <c r="Y121" s="345"/>
      <c r="Z121" s="345"/>
      <c r="AA121" s="346"/>
      <c r="AB121" s="346"/>
      <c r="AC121" s="346"/>
      <c r="AD121" s="352"/>
      <c r="AE121" s="352"/>
      <c r="AF121" s="352"/>
      <c r="AG121" s="345"/>
      <c r="AH121" s="345"/>
      <c r="AI121" s="345"/>
      <c r="AJ121" s="345"/>
      <c r="AK121" s="345"/>
      <c r="AL121" s="345"/>
      <c r="AM121" s="345"/>
      <c r="AN121" s="345"/>
      <c r="AO121" s="345"/>
      <c r="AP121" s="345"/>
      <c r="AQ121" s="345"/>
      <c r="AR121" s="345"/>
      <c r="AS121" s="345"/>
      <c r="AT121" s="345"/>
      <c r="AU121" s="345"/>
      <c r="AV121" s="345"/>
      <c r="AW121" s="345"/>
      <c r="AX121" s="345"/>
      <c r="AY121" s="345"/>
      <c r="AZ121" s="345"/>
      <c r="BA121" s="345"/>
      <c r="BB121" s="345"/>
      <c r="BC121" s="345"/>
      <c r="BD121" s="345"/>
      <c r="BE121" s="345"/>
      <c r="BF121" s="345"/>
      <c r="BG121" s="345"/>
      <c r="BH121" s="345"/>
      <c r="BI121" s="345"/>
      <c r="BJ121" s="345"/>
      <c r="BK121" s="345"/>
      <c r="BL121" s="345"/>
      <c r="BM121" s="345"/>
      <c r="BN121" s="345"/>
      <c r="BO121" s="345"/>
      <c r="BP121" s="345"/>
      <c r="BQ121" s="345"/>
      <c r="BR121" s="345"/>
      <c r="BS121" s="345"/>
      <c r="BT121" s="345"/>
      <c r="BU121" s="345"/>
      <c r="BV121" s="345"/>
      <c r="BW121" s="345"/>
      <c r="BX121" s="345"/>
      <c r="BY121" s="345"/>
      <c r="BZ121" s="345"/>
      <c r="CA121" s="353"/>
    </row>
    <row r="122" spans="1:79" ht="15" customHeight="1">
      <c r="A122" s="326">
        <v>5</v>
      </c>
      <c r="B122" s="327">
        <v>1</v>
      </c>
      <c r="C122" s="327">
        <f t="shared" si="29"/>
        <v>121</v>
      </c>
      <c r="D122" s="413" t="str">
        <f>IF(I122='Jour Férié'!F$13,'Jour Férié'!E$13,""&amp;IF(I122='Jour Férié'!B$8,'Jour Férié'!A$8,""&amp;IF(I122='Jour Férié'!B$10,'Jour Férié'!A$10,""&amp;IF(I122='Jour Férié'!B$6,'Jour Férié'!A$6,""&amp;IF(I122='Jour Férié'!B$7,'Jour Férié'!A$7,""&amp;IF(MOD(MATCH(I122,vacances!$A$3:$A$202,1),2)=1,"vacances",""))))))</f>
        <v>Fête du Travail</v>
      </c>
      <c r="E122" s="489"/>
      <c r="F122" s="489"/>
      <c r="G122" s="489"/>
      <c r="H122" s="623" t="s">
        <v>46</v>
      </c>
      <c r="I122" s="414">
        <f>DATE(annee,5,1)</f>
        <v>43221</v>
      </c>
      <c r="J122" s="415" t="s">
        <v>201</v>
      </c>
      <c r="K122" s="416" t="s">
        <v>202</v>
      </c>
      <c r="L122" s="325"/>
      <c r="M122" s="417" t="s">
        <v>203</v>
      </c>
      <c r="N122" s="417"/>
      <c r="O122" s="418">
        <f>(COUNTIF($E122:$E152,$J122))</f>
        <v>0</v>
      </c>
      <c r="P122" s="327"/>
      <c r="Q122" s="560">
        <f>DATE(annee,5,1)</f>
        <v>43221</v>
      </c>
      <c r="R122" s="560"/>
      <c r="S122" s="560"/>
      <c r="T122" s="560"/>
      <c r="U122" s="560"/>
      <c r="V122" s="560"/>
      <c r="W122" s="560"/>
      <c r="X122" s="560"/>
      <c r="Y122" s="560"/>
      <c r="Z122" s="560"/>
      <c r="AA122" s="560"/>
      <c r="AB122" s="560"/>
      <c r="AC122" s="560"/>
      <c r="AD122" s="560"/>
      <c r="AE122" s="560"/>
      <c r="AF122" s="560"/>
      <c r="AG122" s="560"/>
      <c r="AH122" s="560"/>
      <c r="AI122" s="560"/>
      <c r="AJ122" s="560"/>
      <c r="AK122" s="560"/>
      <c r="AL122" s="560"/>
      <c r="AM122" s="560"/>
      <c r="AN122" s="560"/>
      <c r="AO122" s="560"/>
      <c r="AP122" s="560"/>
      <c r="AQ122" s="560"/>
      <c r="AR122" s="560"/>
      <c r="AS122" s="560"/>
      <c r="AT122" s="560"/>
      <c r="AU122" s="560"/>
      <c r="AV122" s="292"/>
      <c r="AW122" s="560">
        <f>Q122</f>
        <v>43221</v>
      </c>
      <c r="AX122" s="560"/>
      <c r="AY122" s="560"/>
      <c r="AZ122" s="560"/>
      <c r="BA122" s="560"/>
      <c r="BB122" s="560"/>
      <c r="BC122" s="560"/>
      <c r="BD122" s="560"/>
      <c r="BE122" s="560"/>
      <c r="BF122" s="560"/>
      <c r="BG122" s="560"/>
      <c r="BH122" s="560"/>
      <c r="BI122" s="560"/>
      <c r="BJ122" s="560"/>
      <c r="BK122" s="560"/>
      <c r="BL122" s="560"/>
      <c r="BM122" s="560"/>
      <c r="BN122" s="560"/>
      <c r="BO122" s="560"/>
      <c r="BP122" s="560"/>
      <c r="BQ122" s="560"/>
      <c r="BR122" s="560"/>
      <c r="BS122" s="560"/>
      <c r="BT122" s="560"/>
      <c r="BU122" s="560"/>
      <c r="BV122" s="560"/>
      <c r="BW122" s="560"/>
      <c r="BX122" s="560"/>
      <c r="BY122" s="560"/>
      <c r="BZ122" s="560"/>
      <c r="CA122" s="607"/>
    </row>
    <row r="123" spans="1:79" ht="15" customHeight="1">
      <c r="A123" s="334">
        <v>5</v>
      </c>
      <c r="B123" s="328">
        <v>2</v>
      </c>
      <c r="C123" s="328">
        <f t="shared" si="29"/>
        <v>122</v>
      </c>
      <c r="D123" s="360" t="e">
        <f>IF(I123='Jour Férié'!F$13,'Jour Férié'!E$13,""&amp;IF(I123='Jour Férié'!B$8,'Jour Férié'!A$8,""&amp;IF(I123='Jour Férié'!B$10,'Jour Férié'!A$10,""&amp;IF(I123='Jour Férié'!B$6,'Jour Férié'!A$6,""&amp;IF(I123='Jour Férié'!B$7,'Jour Férié'!A$7,""&amp;IF(MOD(MATCH(I123,vacances!$A$3:$A$202,1),2)=1,"vacances",""))))))</f>
        <v>#N/A</v>
      </c>
      <c r="E123" s="490"/>
      <c r="F123" s="490"/>
      <c r="G123" s="490"/>
      <c r="H123" s="624"/>
      <c r="I123" s="361">
        <f t="shared" ref="I123:I152" si="30">DATE(annee,5,1)+B122</f>
        <v>43222</v>
      </c>
      <c r="J123" s="362" t="s">
        <v>204</v>
      </c>
      <c r="K123" s="363" t="s">
        <v>205</v>
      </c>
      <c r="L123" s="324"/>
      <c r="M123" s="333" t="s">
        <v>206</v>
      </c>
      <c r="N123" s="333"/>
      <c r="O123" s="364">
        <f>(COUNTIF($E122:$E152,$J123))</f>
        <v>0</v>
      </c>
      <c r="P123" s="328"/>
      <c r="Q123" s="365"/>
      <c r="R123" s="365"/>
      <c r="S123" s="365"/>
      <c r="T123" s="365"/>
      <c r="U123" s="365"/>
      <c r="V123" s="365"/>
      <c r="W123" s="365"/>
      <c r="X123" s="365"/>
      <c r="Y123" s="365"/>
      <c r="Z123" s="365"/>
      <c r="AA123" s="366"/>
      <c r="AB123" s="366"/>
      <c r="AC123" s="366"/>
      <c r="AD123" s="367"/>
      <c r="AE123" s="367"/>
      <c r="AF123" s="367"/>
      <c r="AG123" s="365"/>
      <c r="AH123" s="365"/>
      <c r="AI123" s="365"/>
      <c r="AJ123" s="365"/>
      <c r="AK123" s="365"/>
      <c r="AL123" s="365"/>
      <c r="AM123" s="365"/>
      <c r="AN123" s="365"/>
      <c r="AO123" s="365"/>
      <c r="AP123" s="368"/>
      <c r="AQ123" s="368"/>
      <c r="AR123" s="368"/>
      <c r="AS123" s="368"/>
      <c r="AT123" s="368"/>
      <c r="AU123" s="368"/>
      <c r="AV123" s="290"/>
      <c r="AW123" s="608" t="s">
        <v>229</v>
      </c>
      <c r="AX123" s="608"/>
      <c r="AY123" s="608"/>
      <c r="AZ123" s="608"/>
      <c r="BA123" s="608"/>
      <c r="BB123" s="608"/>
      <c r="BC123" s="608"/>
      <c r="BD123" s="608"/>
      <c r="BE123" s="608"/>
      <c r="BF123" s="608"/>
      <c r="BG123" s="608"/>
      <c r="BH123" s="608"/>
      <c r="BI123" s="293"/>
      <c r="BJ123" s="293"/>
      <c r="BK123" s="293"/>
      <c r="BL123" s="585" t="s">
        <v>230</v>
      </c>
      <c r="BM123" s="585"/>
      <c r="BN123" s="585"/>
      <c r="BO123" s="585"/>
      <c r="BP123" s="585"/>
      <c r="BQ123" s="585"/>
      <c r="BR123" s="585"/>
      <c r="BS123" s="585"/>
      <c r="BT123" s="585"/>
      <c r="BU123" s="585" t="s">
        <v>231</v>
      </c>
      <c r="BV123" s="585"/>
      <c r="BW123" s="585"/>
      <c r="BX123" s="585"/>
      <c r="BY123" s="585"/>
      <c r="BZ123" s="585"/>
      <c r="CA123" s="609"/>
    </row>
    <row r="124" spans="1:79" ht="15" customHeight="1">
      <c r="A124" s="334">
        <v>5</v>
      </c>
      <c r="B124" s="328">
        <v>3</v>
      </c>
      <c r="C124" s="328">
        <f t="shared" si="29"/>
        <v>123</v>
      </c>
      <c r="D124" s="360" t="e">
        <f>IF(I124='Jour Férié'!F$13,'Jour Férié'!E$13,""&amp;IF(I124='Jour Férié'!B$8,'Jour Férié'!A$8,""&amp;IF(I124='Jour Férié'!B$10,'Jour Férié'!A$10,""&amp;IF(I124='Jour Férié'!B$6,'Jour Férié'!A$6,""&amp;IF(I124='Jour Férié'!B$7,'Jour Férié'!A$7,""&amp;IF(MOD(MATCH(I124,vacances!$A$3:$A$202,1),2)=1,"vacances",""))))))</f>
        <v>#N/A</v>
      </c>
      <c r="E124" s="490"/>
      <c r="F124" s="490"/>
      <c r="G124" s="490"/>
      <c r="H124" s="624"/>
      <c r="I124" s="361">
        <f t="shared" si="30"/>
        <v>43223</v>
      </c>
      <c r="J124" s="613" t="s">
        <v>207</v>
      </c>
      <c r="K124" s="613"/>
      <c r="L124" s="324"/>
      <c r="M124" s="333" t="s">
        <v>208</v>
      </c>
      <c r="N124" s="333"/>
      <c r="O124" s="364">
        <f>(COUNTIF($E122:$E152,$J124))</f>
        <v>0</v>
      </c>
      <c r="P124" s="328"/>
      <c r="Q124" s="555" t="str">
        <f>'FICHE DE PAIE'!A$4</f>
        <v>Salaire de base</v>
      </c>
      <c r="R124" s="555"/>
      <c r="S124" s="555"/>
      <c r="T124" s="555"/>
      <c r="U124" s="555"/>
      <c r="V124" s="555"/>
      <c r="W124" s="555"/>
      <c r="X124" s="555"/>
      <c r="Y124" s="555"/>
      <c r="Z124" s="494"/>
      <c r="AA124" s="556">
        <f>'FICHE DE PAIE'!$K$4</f>
        <v>151.66999999999999</v>
      </c>
      <c r="AB124" s="556"/>
      <c r="AC124" s="556"/>
      <c r="AD124" s="558">
        <f>'FICHE DE PAIE'!N$4</f>
        <v>12.074</v>
      </c>
      <c r="AE124" s="558"/>
      <c r="AF124" s="558"/>
      <c r="AG124" s="559">
        <f t="shared" ref="AG124:AG129" si="31">AA124*AD124</f>
        <v>1831.2635799999998</v>
      </c>
      <c r="AH124" s="559"/>
      <c r="AI124" s="559"/>
      <c r="AJ124" s="559"/>
      <c r="AK124" s="567" t="s">
        <v>233</v>
      </c>
      <c r="AL124" s="567"/>
      <c r="AM124" s="567"/>
      <c r="AN124" s="567"/>
      <c r="AO124" s="568">
        <v>2946</v>
      </c>
      <c r="AP124" s="568"/>
      <c r="AQ124" s="568"/>
      <c r="AR124" s="500"/>
      <c r="AS124" s="500"/>
      <c r="AT124" s="500"/>
      <c r="AU124" s="297"/>
      <c r="AV124" s="290"/>
      <c r="AW124" s="608"/>
      <c r="AX124" s="608"/>
      <c r="AY124" s="608"/>
      <c r="AZ124" s="608"/>
      <c r="BA124" s="608"/>
      <c r="BB124" s="608"/>
      <c r="BC124" s="608"/>
      <c r="BD124" s="608"/>
      <c r="BE124" s="608"/>
      <c r="BF124" s="608"/>
      <c r="BG124" s="608"/>
      <c r="BH124" s="608"/>
      <c r="BI124" s="611" t="s">
        <v>234</v>
      </c>
      <c r="BJ124" s="611"/>
      <c r="BK124" s="611"/>
      <c r="BL124" s="611"/>
      <c r="BM124" s="611" t="s">
        <v>235</v>
      </c>
      <c r="BN124" s="611"/>
      <c r="BO124" s="611"/>
      <c r="BP124" s="611"/>
      <c r="BQ124" s="611" t="s">
        <v>236</v>
      </c>
      <c r="BR124" s="611"/>
      <c r="BS124" s="611"/>
      <c r="BT124" s="611"/>
      <c r="BU124" s="611" t="s">
        <v>235</v>
      </c>
      <c r="BV124" s="611"/>
      <c r="BW124" s="611"/>
      <c r="BX124" s="611" t="s">
        <v>236</v>
      </c>
      <c r="BY124" s="611"/>
      <c r="BZ124" s="611"/>
      <c r="CA124" s="612"/>
    </row>
    <row r="125" spans="1:79" ht="15" customHeight="1">
      <c r="A125" s="334">
        <v>5</v>
      </c>
      <c r="B125" s="328">
        <v>4</v>
      </c>
      <c r="C125" s="328">
        <f t="shared" si="29"/>
        <v>124</v>
      </c>
      <c r="D125" s="360" t="e">
        <f>IF(I125='Jour Férié'!F$13,'Jour Férié'!E$13,""&amp;IF(I125='Jour Férié'!B$8,'Jour Férié'!A$8,""&amp;IF(I125='Jour Férié'!B$10,'Jour Férié'!A$10,""&amp;IF(I125='Jour Férié'!B$6,'Jour Férié'!A$6,""&amp;IF(I125='Jour Férié'!B$7,'Jour Férié'!A$7,""&amp;IF(MOD(MATCH(I125,vacances!$A$3:$A$202,1),2)=1,"vacances",""))))))</f>
        <v>#N/A</v>
      </c>
      <c r="E125" s="490"/>
      <c r="F125" s="490"/>
      <c r="G125" s="490"/>
      <c r="H125" s="624"/>
      <c r="I125" s="361">
        <f t="shared" si="30"/>
        <v>43224</v>
      </c>
      <c r="J125" s="328"/>
      <c r="K125" s="369" t="s">
        <v>209</v>
      </c>
      <c r="L125" s="324"/>
      <c r="M125" s="333" t="s">
        <v>210</v>
      </c>
      <c r="N125" s="333"/>
      <c r="O125" s="364">
        <f>SUM(O122:O124)</f>
        <v>0</v>
      </c>
      <c r="P125" s="328"/>
      <c r="Q125" s="555" t="str">
        <f>'FICHE DE PAIE'!A$5</f>
        <v>HS à 25%</v>
      </c>
      <c r="R125" s="555"/>
      <c r="S125" s="555"/>
      <c r="T125" s="555"/>
      <c r="U125" s="555"/>
      <c r="V125" s="555"/>
      <c r="W125" s="555"/>
      <c r="X125" s="555"/>
      <c r="Y125" s="555"/>
      <c r="Z125" s="494"/>
      <c r="AA125" s="561"/>
      <c r="AB125" s="561"/>
      <c r="AC125" s="561"/>
      <c r="AD125" s="558">
        <f>'FICHE DE PAIE'!N$5</f>
        <v>15.092499999999999</v>
      </c>
      <c r="AE125" s="558"/>
      <c r="AF125" s="558"/>
      <c r="AG125" s="559">
        <f t="shared" si="31"/>
        <v>0</v>
      </c>
      <c r="AH125" s="559"/>
      <c r="AI125" s="559"/>
      <c r="AJ125" s="559"/>
      <c r="AK125" s="294"/>
      <c r="AL125" s="294"/>
      <c r="AM125" s="294"/>
      <c r="AN125" s="295"/>
      <c r="AO125" s="295"/>
      <c r="AP125" s="295"/>
      <c r="AQ125" s="295"/>
      <c r="AR125" s="295"/>
      <c r="AS125" s="295"/>
      <c r="AT125" s="295"/>
      <c r="AU125" s="295"/>
      <c r="AV125" s="290"/>
      <c r="AW125" s="591" t="s">
        <v>238</v>
      </c>
      <c r="AX125" s="591"/>
      <c r="AY125" s="591"/>
      <c r="AZ125" s="591"/>
      <c r="BA125" s="591"/>
      <c r="BB125" s="591"/>
      <c r="BC125" s="591"/>
      <c r="BD125" s="591"/>
      <c r="BE125" s="591"/>
      <c r="BF125" s="591"/>
      <c r="BG125" s="591"/>
      <c r="BH125" s="591"/>
      <c r="BI125" s="590">
        <f>$AG$17</f>
        <v>1952.5539499999998</v>
      </c>
      <c r="BJ125" s="590"/>
      <c r="BK125" s="590"/>
      <c r="BL125" s="590"/>
      <c r="BM125" s="594">
        <f>'FICHE DE PAIE'!AW$5</f>
        <v>4.0000000000000001E-3</v>
      </c>
      <c r="BN125" s="594"/>
      <c r="BO125" s="594"/>
      <c r="BP125" s="594"/>
      <c r="BQ125" s="592">
        <f>BI125*BM125</f>
        <v>7.810215799999999</v>
      </c>
      <c r="BR125" s="592"/>
      <c r="BS125" s="592"/>
      <c r="BT125" s="592"/>
      <c r="BU125" s="594">
        <f>'FICHE DE PAIE'!BE$5</f>
        <v>0.152</v>
      </c>
      <c r="BV125" s="594"/>
      <c r="BW125" s="594"/>
      <c r="BX125" s="592">
        <f>BI125*BU125</f>
        <v>296.78820039999994</v>
      </c>
      <c r="BY125" s="592"/>
      <c r="BZ125" s="592"/>
      <c r="CA125" s="593"/>
    </row>
    <row r="126" spans="1:79" ht="15" customHeight="1">
      <c r="A126" s="334">
        <v>5</v>
      </c>
      <c r="B126" s="328">
        <v>5</v>
      </c>
      <c r="C126" s="328">
        <f t="shared" si="29"/>
        <v>125</v>
      </c>
      <c r="D126" s="360" t="e">
        <f>IF(I126='Jour Férié'!F$13,'Jour Férié'!E$13,""&amp;IF(I126='Jour Férié'!B$8,'Jour Férié'!A$8,""&amp;IF(I126='Jour Férié'!B$10,'Jour Férié'!A$10,""&amp;IF(I126='Jour Férié'!B$6,'Jour Férié'!A$6,""&amp;IF(I126='Jour Férié'!B$7,'Jour Férié'!A$7,""&amp;IF(MOD(MATCH(I126,vacances!$A$3:$A$202,1),2)=1,"vacances",""))))))</f>
        <v>#N/A</v>
      </c>
      <c r="E126" s="490"/>
      <c r="F126" s="490"/>
      <c r="G126" s="490"/>
      <c r="H126" s="624"/>
      <c r="I126" s="361">
        <f t="shared" si="30"/>
        <v>43225</v>
      </c>
      <c r="J126" s="328"/>
      <c r="K126" s="328"/>
      <c r="L126" s="324"/>
      <c r="M126" s="333" t="s">
        <v>211</v>
      </c>
      <c r="N126" s="333"/>
      <c r="O126" s="364">
        <f ca="1">(COUNTIF(I122:I130,dimanche(COUNTIF($E122:$E152,$J123))))</f>
        <v>0</v>
      </c>
      <c r="P126" s="328"/>
      <c r="Q126" s="555" t="str">
        <f>'FICHE DE PAIE'!A$6</f>
        <v>HS à 50%</v>
      </c>
      <c r="R126" s="555"/>
      <c r="S126" s="555"/>
      <c r="T126" s="555"/>
      <c r="U126" s="555"/>
      <c r="V126" s="555"/>
      <c r="W126" s="555"/>
      <c r="X126" s="555"/>
      <c r="Y126" s="555"/>
      <c r="Z126" s="494"/>
      <c r="AA126" s="561"/>
      <c r="AB126" s="561"/>
      <c r="AC126" s="561"/>
      <c r="AD126" s="558">
        <f>'FICHE DE PAIE'!N$6</f>
        <v>18.111000000000001</v>
      </c>
      <c r="AE126" s="558"/>
      <c r="AF126" s="558"/>
      <c r="AG126" s="559">
        <f t="shared" si="31"/>
        <v>0</v>
      </c>
      <c r="AH126" s="559"/>
      <c r="AI126" s="559"/>
      <c r="AJ126" s="559"/>
      <c r="AK126" s="294"/>
      <c r="AL126" s="294"/>
      <c r="AM126" s="294"/>
      <c r="AN126" s="295"/>
      <c r="AO126" s="295"/>
      <c r="AP126" s="295"/>
      <c r="AQ126" s="295"/>
      <c r="AR126" s="295"/>
      <c r="AS126" s="295"/>
      <c r="AT126" s="295"/>
      <c r="AU126" s="295"/>
      <c r="AV126" s="290"/>
      <c r="AW126" s="591" t="s">
        <v>240</v>
      </c>
      <c r="AX126" s="591"/>
      <c r="AY126" s="591"/>
      <c r="AZ126" s="591"/>
      <c r="BA126" s="591"/>
      <c r="BB126" s="591"/>
      <c r="BC126" s="591"/>
      <c r="BD126" s="591"/>
      <c r="BE126" s="591"/>
      <c r="BF126" s="591"/>
      <c r="BG126" s="591"/>
      <c r="BH126" s="591"/>
      <c r="BI126" s="590">
        <f t="shared" ref="BI126:BI137" si="32">$AG$17</f>
        <v>1952.5539499999998</v>
      </c>
      <c r="BJ126" s="590"/>
      <c r="BK126" s="590"/>
      <c r="BL126" s="590"/>
      <c r="BM126" s="594">
        <f>'FICHE DE PAIE'!AW$6</f>
        <v>6.9000000000000006E-2</v>
      </c>
      <c r="BN126" s="594"/>
      <c r="BO126" s="594"/>
      <c r="BP126" s="594"/>
      <c r="BQ126" s="592">
        <f t="shared" ref="BQ126:BQ143" si="33">BI126*BM126</f>
        <v>134.72622254999999</v>
      </c>
      <c r="BR126" s="592"/>
      <c r="BS126" s="592"/>
      <c r="BT126" s="592"/>
      <c r="BU126" s="594">
        <f>'FICHE DE PAIE'!BE$6</f>
        <v>8.5500000000000007E-2</v>
      </c>
      <c r="BV126" s="594"/>
      <c r="BW126" s="594"/>
      <c r="BX126" s="592">
        <f t="shared" ref="BX126:BX145" si="34">BI126*BU126</f>
        <v>166.94336272499999</v>
      </c>
      <c r="BY126" s="592"/>
      <c r="BZ126" s="592"/>
      <c r="CA126" s="593"/>
    </row>
    <row r="127" spans="1:79" ht="15" customHeight="1">
      <c r="A127" s="334">
        <v>5</v>
      </c>
      <c r="B127" s="328">
        <v>6</v>
      </c>
      <c r="C127" s="328">
        <f t="shared" si="29"/>
        <v>126</v>
      </c>
      <c r="D127" s="360" t="e">
        <f>IF(I127='Jour Férié'!F$13,'Jour Férié'!E$13,""&amp;IF(I127='Jour Férié'!B$8,'Jour Férié'!A$8,""&amp;IF(I127='Jour Férié'!B$10,'Jour Férié'!A$10,""&amp;IF(I127='Jour Férié'!B$6,'Jour Férié'!A$6,""&amp;IF(I127='Jour Férié'!B$7,'Jour Férié'!A$7,""&amp;IF(MOD(MATCH(I127,vacances!$A$3:$A$202,1),2)=1,"vacances",""))))))</f>
        <v>#N/A</v>
      </c>
      <c r="E127" s="490"/>
      <c r="F127" s="490"/>
      <c r="G127" s="490"/>
      <c r="H127" s="624"/>
      <c r="I127" s="361">
        <f t="shared" si="30"/>
        <v>43226</v>
      </c>
      <c r="J127" s="328"/>
      <c r="K127" s="369" t="s">
        <v>212</v>
      </c>
      <c r="L127" s="324"/>
      <c r="M127" s="333" t="s">
        <v>213</v>
      </c>
      <c r="N127" s="333"/>
      <c r="O127" s="364">
        <f>SUM(O122:O123)</f>
        <v>0</v>
      </c>
      <c r="P127" s="328"/>
      <c r="Q127" s="555" t="str">
        <f>'FICHE DE PAIE'!A$7</f>
        <v>MAJORATION DIMANCHE</v>
      </c>
      <c r="R127" s="555"/>
      <c r="S127" s="555"/>
      <c r="T127" s="555"/>
      <c r="U127" s="555"/>
      <c r="V127" s="555"/>
      <c r="W127" s="555"/>
      <c r="X127" s="555"/>
      <c r="Y127" s="555"/>
      <c r="Z127" s="494"/>
      <c r="AA127" s="557">
        <f>O132</f>
        <v>0</v>
      </c>
      <c r="AB127" s="557"/>
      <c r="AC127" s="557"/>
      <c r="AD127" s="558">
        <f>'FICHE DE PAIE'!N$7</f>
        <v>1.2074</v>
      </c>
      <c r="AE127" s="558"/>
      <c r="AF127" s="558"/>
      <c r="AG127" s="559">
        <f t="shared" si="31"/>
        <v>0</v>
      </c>
      <c r="AH127" s="559"/>
      <c r="AI127" s="559"/>
      <c r="AJ127" s="559"/>
      <c r="AK127" s="294"/>
      <c r="AL127" s="294"/>
      <c r="AM127" s="294"/>
      <c r="AN127" s="295"/>
      <c r="AO127" s="295"/>
      <c r="AP127" s="295"/>
      <c r="AQ127" s="295"/>
      <c r="AR127" s="295"/>
      <c r="AS127" s="295"/>
      <c r="AT127" s="295"/>
      <c r="AU127" s="295"/>
      <c r="AV127" s="290"/>
      <c r="AW127" s="591" t="s">
        <v>242</v>
      </c>
      <c r="AX127" s="591"/>
      <c r="AY127" s="591"/>
      <c r="AZ127" s="591"/>
      <c r="BA127" s="591"/>
      <c r="BB127" s="591"/>
      <c r="BC127" s="591"/>
      <c r="BD127" s="591"/>
      <c r="BE127" s="591"/>
      <c r="BF127" s="591"/>
      <c r="BG127" s="591"/>
      <c r="BH127" s="591"/>
      <c r="BI127" s="590">
        <f t="shared" si="32"/>
        <v>1952.5539499999998</v>
      </c>
      <c r="BJ127" s="590"/>
      <c r="BK127" s="590"/>
      <c r="BL127" s="590"/>
      <c r="BM127" s="590"/>
      <c r="BN127" s="590"/>
      <c r="BO127" s="590"/>
      <c r="BP127" s="590"/>
      <c r="BQ127" s="592">
        <f t="shared" si="33"/>
        <v>0</v>
      </c>
      <c r="BR127" s="592"/>
      <c r="BS127" s="592"/>
      <c r="BT127" s="592"/>
      <c r="BU127" s="594">
        <f>'FICHE DE PAIE'!BE$7</f>
        <v>1E-3</v>
      </c>
      <c r="BV127" s="594"/>
      <c r="BW127" s="594"/>
      <c r="BX127" s="592">
        <f t="shared" si="34"/>
        <v>1.9525539499999998</v>
      </c>
      <c r="BY127" s="592"/>
      <c r="BZ127" s="592"/>
      <c r="CA127" s="593"/>
    </row>
    <row r="128" spans="1:79" ht="15" customHeight="1">
      <c r="A128" s="334">
        <v>5</v>
      </c>
      <c r="B128" s="328">
        <v>7</v>
      </c>
      <c r="C128" s="328">
        <f t="shared" ref="C128:C143" si="35">VLOOKUP(A128,Données,4)+B128-1</f>
        <v>127</v>
      </c>
      <c r="D128" s="360" t="e">
        <f>IF(I128='Jour Férié'!F$13,'Jour Férié'!E$13,""&amp;IF(I128='Jour Férié'!B$8,'Jour Férié'!A$8,""&amp;IF(I128='Jour Férié'!B$10,'Jour Férié'!A$10,""&amp;IF(I128='Jour Férié'!B$6,'Jour Férié'!A$6,""&amp;IF(I128='Jour Férié'!B$7,'Jour Férié'!A$7,""&amp;IF(MOD(MATCH(I128,vacances!$A$3:$A$202,1),2)=1,"vacances",""))))))</f>
        <v>#N/A</v>
      </c>
      <c r="E128" s="490"/>
      <c r="F128" s="490"/>
      <c r="G128" s="490"/>
      <c r="H128" s="624"/>
      <c r="I128" s="361">
        <f t="shared" si="30"/>
        <v>43227</v>
      </c>
      <c r="J128" s="328"/>
      <c r="K128" s="328"/>
      <c r="L128" s="324"/>
      <c r="M128" s="363" t="s">
        <v>214</v>
      </c>
      <c r="N128" s="363"/>
      <c r="O128" s="370">
        <f>((6*COUNTIF(E121,J122))+(3*COUNTIF(E122,J122))+((6*COUNTIF(E122,J122))+(3*COUNTIF(E123,J122)))+((6*COUNTIF(E123,J122))+(3*COUNTIF(E124,J122)))+((6*COUNTIF(E124,J122))+(3*COUNTIF(E125,J122)))+((6*COUNTIF(E125,J122))+(3*COUNTIF(E126,J122)))+((6*COUNTIF(E126,J122))+(3*COUNTIF(E127,J122)))+((6*COUNTIF(E127,J122))+(3*COUNTIF(E128,J122)))+((6*COUNTIF(E128,J122))+(3*COUNTIF(E129,J122)))+((6*COUNTIF(E129,J122))+(3*COUNTIF(E130,J122)))+((6*COUNTIF(E130,J122))+(3*COUNTIF(E131,J122)))+((6*COUNTIF(E131,J122))+(3*COUNTIF(E132,J122)))+((6*COUNTIF(E132,J122))+(3*COUNTIF(E133,J122)))+((6*COUNTIF(E133,J122))+(3*COUNTIF(E134,J122)))+((6*COUNTIF(E134,J122))+(3*COUNTIF(E135,J122)))+((6*COUNTIF(E135,J122))+(3*COUNTIF(E136,J122)))+((6*COUNTIF(E136,J122))+(3*COUNTIF(E137,J122)))+((6*COUNTIF(E137,J122))+(3*COUNTIF(E138,J122)))+((6*COUNTIF(E138,J122))+(3*COUNTIF(E139,J122)))+((6*COUNTIF(E139,J122))+(3*COUNTIF(E140,J122)))+((6*COUNTIF(E140,J122))+(3*COUNTIF(E141,J122)))+((6*COUNTIF(E141,J122))+(3*COUNTIF(E142,J122)))+((6*COUNTIF(E142,J122))+(3*COUNTIF(E143,J122)))+((6*COUNTIF(E143,J122))+(3*COUNTIF(E144,J122)))+((6*COUNTIF(E144,J122))+(3*COUNTIF(E145,J122)))+((6*COUNTIF(E145,J122))+(3*COUNTIF(E146,J122)))+((6*COUNTIF(E146,J122))+(3*COUNTIF(E147,J122)))+((6*COUNTIF(E147,J122))+(3*COUNTIF(E148,J122)))+((6*COUNTIF(E148,J122))+(3*COUNTIF(E149,J122)))+((6*COUNTIF(E149,J122))+(3*COUNTIF(E150,J122)))+((6*COUNTIF(E150,J122))+(3*COUNTIF(E151,J122)))+((6*COUNTIF(E151,J122))+(3*COUNTIF(E152,J122)))+((6*COUNTIF(E152,J122))))</f>
        <v>0</v>
      </c>
      <c r="P128" s="328"/>
      <c r="Q128" s="555" t="str">
        <f>'FICHE DE PAIE'!A$8</f>
        <v>MAJORATION NUIT</v>
      </c>
      <c r="R128" s="555"/>
      <c r="S128" s="555"/>
      <c r="T128" s="555"/>
      <c r="U128" s="555"/>
      <c r="V128" s="555"/>
      <c r="W128" s="555"/>
      <c r="X128" s="555"/>
      <c r="Y128" s="555"/>
      <c r="Z128" s="494"/>
      <c r="AA128" s="557">
        <f>O128</f>
        <v>0</v>
      </c>
      <c r="AB128" s="557"/>
      <c r="AC128" s="557"/>
      <c r="AD128" s="558">
        <f>'FICHE DE PAIE'!N$8</f>
        <v>1.2074</v>
      </c>
      <c r="AE128" s="558"/>
      <c r="AF128" s="558"/>
      <c r="AG128" s="559">
        <f t="shared" si="31"/>
        <v>0</v>
      </c>
      <c r="AH128" s="559"/>
      <c r="AI128" s="559"/>
      <c r="AJ128" s="559"/>
      <c r="AK128" s="294"/>
      <c r="AL128" s="294"/>
      <c r="AM128" s="294"/>
      <c r="AN128" s="295"/>
      <c r="AO128" s="295"/>
      <c r="AP128" s="295"/>
      <c r="AQ128" s="295"/>
      <c r="AR128" s="295"/>
      <c r="AS128" s="295"/>
      <c r="AT128" s="295"/>
      <c r="AU128" s="295"/>
      <c r="AV128" s="290"/>
      <c r="AW128" s="591" t="s">
        <v>244</v>
      </c>
      <c r="AX128" s="591"/>
      <c r="AY128" s="591"/>
      <c r="AZ128" s="591"/>
      <c r="BA128" s="591"/>
      <c r="BB128" s="591"/>
      <c r="BC128" s="591"/>
      <c r="BD128" s="591"/>
      <c r="BE128" s="591"/>
      <c r="BF128" s="591"/>
      <c r="BG128" s="591"/>
      <c r="BH128" s="591"/>
      <c r="BI128" s="590">
        <f t="shared" si="32"/>
        <v>1952.5539499999998</v>
      </c>
      <c r="BJ128" s="590"/>
      <c r="BK128" s="590"/>
      <c r="BL128" s="590"/>
      <c r="BM128" s="590"/>
      <c r="BN128" s="590"/>
      <c r="BO128" s="590"/>
      <c r="BP128" s="590"/>
      <c r="BQ128" s="592">
        <f t="shared" si="33"/>
        <v>0</v>
      </c>
      <c r="BR128" s="592"/>
      <c r="BS128" s="592"/>
      <c r="BT128" s="592"/>
      <c r="BU128" s="594">
        <f>'FICHE DE PAIE'!BE$8</f>
        <v>4.0000000000000001E-3</v>
      </c>
      <c r="BV128" s="594"/>
      <c r="BW128" s="594"/>
      <c r="BX128" s="592">
        <f t="shared" si="34"/>
        <v>7.810215799999999</v>
      </c>
      <c r="BY128" s="592"/>
      <c r="BZ128" s="592"/>
      <c r="CA128" s="593"/>
    </row>
    <row r="129" spans="1:79" ht="15" customHeight="1">
      <c r="A129" s="334">
        <v>5</v>
      </c>
      <c r="B129" s="328">
        <v>8</v>
      </c>
      <c r="C129" s="328">
        <f t="shared" si="35"/>
        <v>128</v>
      </c>
      <c r="D129" s="360" t="str">
        <f>IF(I129='Jour Férié'!F$13,'Jour Férié'!E$13,""&amp;IF(I129='Jour Férié'!B$8,'Jour Férié'!A$8,""&amp;IF(I129='Jour Férié'!B$10,'Jour Férié'!A$10,""&amp;IF(I129='Jour Férié'!B$6,'Jour Férié'!A$6,""&amp;IF(I129='Jour Férié'!B$7,'Jour Férié'!A$7,""&amp;IF(MOD(MATCH(I129,vacances!$A$3:$A$202,1),2)=1,"vacances",""))))))</f>
        <v>Armistice 1945</v>
      </c>
      <c r="E129" s="490"/>
      <c r="F129" s="490"/>
      <c r="G129" s="490"/>
      <c r="H129" s="624"/>
      <c r="I129" s="361">
        <f t="shared" si="30"/>
        <v>43228</v>
      </c>
      <c r="J129" s="371" t="s">
        <v>215</v>
      </c>
      <c r="K129" s="369" t="s">
        <v>216</v>
      </c>
      <c r="L129" s="324"/>
      <c r="M129" s="333" t="s">
        <v>217</v>
      </c>
      <c r="N129" s="333"/>
      <c r="O129" s="364">
        <f>O123*12</f>
        <v>0</v>
      </c>
      <c r="P129" s="328"/>
      <c r="Q129" s="555" t="str">
        <f>'FICHE DE PAIE'!A$9</f>
        <v>MAJORATION JOUR FERIE</v>
      </c>
      <c r="R129" s="555"/>
      <c r="S129" s="555"/>
      <c r="T129" s="555"/>
      <c r="U129" s="555"/>
      <c r="V129" s="555"/>
      <c r="W129" s="555"/>
      <c r="X129" s="555"/>
      <c r="Y129" s="555"/>
      <c r="Z129" s="494"/>
      <c r="AA129" s="557">
        <f>O134</f>
        <v>0</v>
      </c>
      <c r="AB129" s="557"/>
      <c r="AC129" s="557"/>
      <c r="AD129" s="558">
        <f>'FICHE DE PAIE'!N$9</f>
        <v>12.074</v>
      </c>
      <c r="AE129" s="558"/>
      <c r="AF129" s="558"/>
      <c r="AG129" s="559">
        <f t="shared" si="31"/>
        <v>0</v>
      </c>
      <c r="AH129" s="559"/>
      <c r="AI129" s="559"/>
      <c r="AJ129" s="559"/>
      <c r="AK129" s="294"/>
      <c r="AL129" s="294"/>
      <c r="AM129" s="294"/>
      <c r="AN129" s="295"/>
      <c r="AO129" s="295"/>
      <c r="AP129" s="295"/>
      <c r="AQ129" s="295"/>
      <c r="AR129" s="295"/>
      <c r="AS129" s="295"/>
      <c r="AT129" s="295"/>
      <c r="AU129" s="295"/>
      <c r="AV129" s="290"/>
      <c r="AW129" s="591" t="s">
        <v>246</v>
      </c>
      <c r="AX129" s="591"/>
      <c r="AY129" s="591"/>
      <c r="AZ129" s="591"/>
      <c r="BA129" s="591"/>
      <c r="BB129" s="591"/>
      <c r="BC129" s="591"/>
      <c r="BD129" s="591"/>
      <c r="BE129" s="591"/>
      <c r="BF129" s="591"/>
      <c r="BG129" s="591"/>
      <c r="BH129" s="591"/>
      <c r="BI129" s="590">
        <f t="shared" si="32"/>
        <v>1952.5539499999998</v>
      </c>
      <c r="BJ129" s="590"/>
      <c r="BK129" s="590"/>
      <c r="BL129" s="590"/>
      <c r="BM129" s="590"/>
      <c r="BN129" s="590"/>
      <c r="BO129" s="590"/>
      <c r="BP129" s="590"/>
      <c r="BQ129" s="592">
        <f t="shared" si="33"/>
        <v>0</v>
      </c>
      <c r="BR129" s="592"/>
      <c r="BS129" s="592"/>
      <c r="BT129" s="592"/>
      <c r="BU129" s="594">
        <f>'FICHE DE PAIE'!BE$9</f>
        <v>1.2999999999999999E-2</v>
      </c>
      <c r="BV129" s="594"/>
      <c r="BW129" s="594"/>
      <c r="BX129" s="592">
        <f t="shared" si="34"/>
        <v>25.383201349999997</v>
      </c>
      <c r="BY129" s="592"/>
      <c r="BZ129" s="592"/>
      <c r="CA129" s="593"/>
    </row>
    <row r="130" spans="1:79" ht="15" customHeight="1">
      <c r="A130" s="334">
        <v>5</v>
      </c>
      <c r="B130" s="328">
        <v>9</v>
      </c>
      <c r="C130" s="328">
        <f t="shared" si="35"/>
        <v>129</v>
      </c>
      <c r="D130" s="360" t="e">
        <f>IF(I130='Jour Férié'!F$13,'Jour Férié'!E$13,""&amp;IF(I130='Jour Férié'!B$8,'Jour Férié'!A$8,""&amp;IF(I130='Jour Férié'!B$10,'Jour Férié'!A$10,""&amp;IF(I130='Jour Férié'!B$6,'Jour Férié'!A$6,""&amp;IF(I130='Jour Férié'!B$7,'Jour Férié'!A$7,""&amp;IF(MOD(MATCH(I130,vacances!$A$3:$A$202,1),2)=1,"vacances",""))))))</f>
        <v>#N/A</v>
      </c>
      <c r="E130" s="490"/>
      <c r="F130" s="490"/>
      <c r="G130" s="490"/>
      <c r="H130" s="624"/>
      <c r="I130" s="361">
        <f t="shared" si="30"/>
        <v>43229</v>
      </c>
      <c r="J130" s="371" t="s">
        <v>218</v>
      </c>
      <c r="K130" s="330" t="s">
        <v>219</v>
      </c>
      <c r="L130" s="324"/>
      <c r="M130" s="333" t="s">
        <v>220</v>
      </c>
      <c r="N130" s="333"/>
      <c r="O130" s="364">
        <f>O124*7</f>
        <v>0</v>
      </c>
      <c r="P130" s="328"/>
      <c r="Q130" s="555" t="str">
        <f>'FICHE DE PAIE'!A$10</f>
        <v xml:space="preserve">PRIME ANCIENNETE </v>
      </c>
      <c r="R130" s="555"/>
      <c r="S130" s="555"/>
      <c r="T130" s="555"/>
      <c r="U130" s="555"/>
      <c r="V130" s="555"/>
      <c r="W130" s="555"/>
      <c r="X130" s="555"/>
      <c r="Y130" s="555"/>
      <c r="Z130" s="494"/>
      <c r="AA130" s="556">
        <v>1</v>
      </c>
      <c r="AB130" s="556"/>
      <c r="AC130" s="556"/>
      <c r="AD130" s="558">
        <f>'FICHE DE PAIE'!N$10</f>
        <v>36.630000000000003</v>
      </c>
      <c r="AE130" s="558"/>
      <c r="AF130" s="558"/>
      <c r="AG130" s="606"/>
      <c r="AH130" s="606"/>
      <c r="AI130" s="606"/>
      <c r="AJ130" s="606"/>
      <c r="AK130" s="294"/>
      <c r="AL130" s="294"/>
      <c r="AM130" s="294"/>
      <c r="AN130" s="295"/>
      <c r="AO130" s="295"/>
      <c r="AP130" s="295"/>
      <c r="AQ130" s="295"/>
      <c r="AR130" s="295"/>
      <c r="AS130" s="295"/>
      <c r="AT130" s="295"/>
      <c r="AU130" s="295"/>
      <c r="AV130" s="290"/>
      <c r="AW130" s="591" t="s">
        <v>248</v>
      </c>
      <c r="AX130" s="591"/>
      <c r="AY130" s="591"/>
      <c r="AZ130" s="591"/>
      <c r="BA130" s="591"/>
      <c r="BB130" s="591"/>
      <c r="BC130" s="591"/>
      <c r="BD130" s="591"/>
      <c r="BE130" s="591"/>
      <c r="BF130" s="591"/>
      <c r="BG130" s="591"/>
      <c r="BH130" s="591"/>
      <c r="BI130" s="590">
        <f t="shared" si="32"/>
        <v>1952.5539499999998</v>
      </c>
      <c r="BJ130" s="590"/>
      <c r="BK130" s="590"/>
      <c r="BL130" s="590"/>
      <c r="BM130" s="590"/>
      <c r="BN130" s="590"/>
      <c r="BO130" s="590"/>
      <c r="BP130" s="590"/>
      <c r="BQ130" s="592">
        <f t="shared" si="33"/>
        <v>0</v>
      </c>
      <c r="BR130" s="592"/>
      <c r="BS130" s="592"/>
      <c r="BT130" s="592"/>
      <c r="BU130" s="594">
        <f>'FICHE DE PAIE'!BE$10</f>
        <v>1.7600000000000001E-2</v>
      </c>
      <c r="BV130" s="594"/>
      <c r="BW130" s="594"/>
      <c r="BX130" s="592">
        <f t="shared" si="34"/>
        <v>34.364949519999996</v>
      </c>
      <c r="BY130" s="592"/>
      <c r="BZ130" s="592"/>
      <c r="CA130" s="593"/>
    </row>
    <row r="131" spans="1:79" ht="15" customHeight="1">
      <c r="A131" s="334">
        <v>5</v>
      </c>
      <c r="B131" s="328">
        <v>10</v>
      </c>
      <c r="C131" s="328">
        <f>VLOOKUP(A131,Données,4)+B131-1</f>
        <v>130</v>
      </c>
      <c r="D131" s="360" t="str">
        <f>IF(I131='Jour Férié'!F$13,'Jour Férié'!E$13,""&amp;IF(I131='Jour Férié'!B$8,'Jour Férié'!A$8,""&amp;IF(I131='Jour Férié'!B$10,'Jour Férié'!A$10,""&amp;IF(I131='Jour Férié'!B$6,'Jour Férié'!A$6,""&amp;IF(I131='Jour Férié'!B$7,'Jour Férié'!A$7,""&amp;IF(MOD(MATCH(I131,vacances!$A$3:$A$202,1),2)=1,"vacances",""))))))</f>
        <v>Jeudi de l'Ascension</v>
      </c>
      <c r="E131" s="490"/>
      <c r="F131" s="490"/>
      <c r="G131" s="490"/>
      <c r="H131" s="624"/>
      <c r="I131" s="361">
        <f t="shared" si="30"/>
        <v>43230</v>
      </c>
      <c r="J131" s="328" t="s">
        <v>221</v>
      </c>
      <c r="K131" s="330" t="s">
        <v>222</v>
      </c>
      <c r="L131" s="324"/>
      <c r="M131" s="363" t="s">
        <v>223</v>
      </c>
      <c r="N131" s="363"/>
      <c r="O131" s="370">
        <f>(O122+O123)*12</f>
        <v>0</v>
      </c>
      <c r="P131" s="328"/>
      <c r="Q131" s="555" t="str">
        <f>'FICHE DE PAIE'!A$11</f>
        <v>PRIME HABILLAGE</v>
      </c>
      <c r="R131" s="555"/>
      <c r="S131" s="555"/>
      <c r="T131" s="555"/>
      <c r="U131" s="555"/>
      <c r="V131" s="555"/>
      <c r="W131" s="555"/>
      <c r="X131" s="555"/>
      <c r="Y131" s="555"/>
      <c r="Z131" s="494"/>
      <c r="AA131" s="556">
        <f>AA124</f>
        <v>151.66999999999999</v>
      </c>
      <c r="AB131" s="556"/>
      <c r="AC131" s="556"/>
      <c r="AD131" s="558">
        <f>'FICHE DE PAIE'!N$11</f>
        <v>0.13100000000000001</v>
      </c>
      <c r="AE131" s="558"/>
      <c r="AF131" s="558"/>
      <c r="AG131" s="559">
        <f>AA131*AD131</f>
        <v>19.868769999999998</v>
      </c>
      <c r="AH131" s="559"/>
      <c r="AI131" s="559"/>
      <c r="AJ131" s="559"/>
      <c r="AK131" s="294"/>
      <c r="AL131" s="294"/>
      <c r="AM131" s="294"/>
      <c r="AN131" s="295"/>
      <c r="AO131" s="295"/>
      <c r="AP131" s="295"/>
      <c r="AQ131" s="295"/>
      <c r="AR131" s="295"/>
      <c r="AS131" s="295"/>
      <c r="AT131" s="295"/>
      <c r="AU131" s="295"/>
      <c r="AV131" s="290"/>
      <c r="AW131" s="591" t="s">
        <v>250</v>
      </c>
      <c r="AX131" s="591"/>
      <c r="AY131" s="591"/>
      <c r="AZ131" s="591"/>
      <c r="BA131" s="591"/>
      <c r="BB131" s="591"/>
      <c r="BC131" s="591"/>
      <c r="BD131" s="591"/>
      <c r="BE131" s="591"/>
      <c r="BF131" s="591"/>
      <c r="BG131" s="591"/>
      <c r="BH131" s="591"/>
      <c r="BI131" s="590">
        <f t="shared" si="32"/>
        <v>1952.5539499999998</v>
      </c>
      <c r="BJ131" s="590"/>
      <c r="BK131" s="590"/>
      <c r="BL131" s="590"/>
      <c r="BM131" s="590"/>
      <c r="BN131" s="590"/>
      <c r="BO131" s="590"/>
      <c r="BP131" s="590"/>
      <c r="BQ131" s="592">
        <f t="shared" si="33"/>
        <v>0</v>
      </c>
      <c r="BR131" s="592"/>
      <c r="BS131" s="592"/>
      <c r="BT131" s="592"/>
      <c r="BU131" s="594">
        <f>'FICHE DE PAIE'!BE$11</f>
        <v>3.4500000000000003E-2</v>
      </c>
      <c r="BV131" s="594"/>
      <c r="BW131" s="594"/>
      <c r="BX131" s="592">
        <f t="shared" si="34"/>
        <v>67.363111274999994</v>
      </c>
      <c r="BY131" s="592"/>
      <c r="BZ131" s="592"/>
      <c r="CA131" s="593"/>
    </row>
    <row r="132" spans="1:79" ht="15" customHeight="1">
      <c r="A132" s="334">
        <v>5</v>
      </c>
      <c r="B132" s="328">
        <v>11</v>
      </c>
      <c r="C132" s="328">
        <f t="shared" si="35"/>
        <v>131</v>
      </c>
      <c r="D132" s="360" t="e">
        <f>IF(I132='Jour Férié'!F$13,'Jour Férié'!E$13,""&amp;IF(I132='Jour Férié'!B$8,'Jour Férié'!A$8,""&amp;IF(I132='Jour Férié'!B$10,'Jour Férié'!A$10,""&amp;IF(I132='Jour Férié'!B$6,'Jour Férié'!A$6,""&amp;IF(I132='Jour Férié'!B$7,'Jour Férié'!A$7,""&amp;IF(MOD(MATCH(I132,vacances!$A$3:$A$202,1),2)=1,"vacances",""))))))</f>
        <v>#N/A</v>
      </c>
      <c r="E132" s="490"/>
      <c r="F132" s="490"/>
      <c r="G132" s="490"/>
      <c r="H132" s="624"/>
      <c r="I132" s="361">
        <f t="shared" si="30"/>
        <v>43231</v>
      </c>
      <c r="J132" s="324"/>
      <c r="K132" s="324"/>
      <c r="L132" s="324"/>
      <c r="M132" s="577" t="s">
        <v>224</v>
      </c>
      <c r="N132" s="372">
        <f>(IF(WEEKDAY(I122,2)=7,(7*COUNTIF(E121,J122))+(12*COUNTIF(E122,J123))+(5*COUNTIF(E122,J122))))+(IF(WEEKDAY(I123,2)=7,(7*COUNTIF(E122,J122))+(12*COUNTIF(E123,J123))+(5*COUNTIF(E123,J122))))+(IF(WEEKDAY(I124,2)=7,(7*COUNTIF(E123,J122))+(12*COUNTIF(E124,J123))+(5*COUNTIF(E124,J122))))+(IF(WEEKDAY(I125,2)=7,(7*COUNTIF(E124,J122))+(12*COUNTIF(E125,J123))+(5*COUNTIF(E125,J122))))+(IF(WEEKDAY(I126,2)=7,(7*COUNTIF(E125,J122))+(12*COUNTIF(E126,J123))+(5*COUNTIF(E126,J122))))+(IF(WEEKDAY(I127,2)=7,(7*COUNTIF(E126,J122))+(12*COUNTIF(E127,J123))+(5*COUNTIF(E127,J122))))+(IF(WEEKDAY(I128,2)=7,(7*COUNTIF(E127,J122))+(12*COUNTIF(E128,J123))+(5*COUNTIF(E128,J122))))+(IF(WEEKDAY(I129,2)=7,(7*COUNTIF(E128,J122))+(12*COUNTIF(E129,J123))+(5*COUNTIF(E129,J122))))+(IF(WEEKDAY(I130,2)=7,(7*COUNTIF(E129,J122))+(12*COUNTIF(E130,J123))+(5*COUNTIF(E130,J122))))+(IF(WEEKDAY(I131,2)=7,(7*COUNTIF(E130,J122))+(12*COUNTIF(E131,J123))+(5*COUNTIF(E131,J122))))+(IF(WEEKDAY(I132,2)=7,(7*COUNTIF(E131,J122))+(12*COUNTIF(E132,J123))+(5*COUNTIF(E132,J122))))+(IF(WEEKDAY(I133,2)=7,(7*COUNTIF(E132,J122))+(12*COUNTIF(E133,J123))+(5*COUNTIF(E133,J122))))+(IF(WEEKDAY(I134,2)=7,(7*COUNTIF(E133,J122))+(12*COUNTIF(E134,J123))+(5*COUNTIF(E134,J122))))+(IF(WEEKDAY(I135,2)=7,(7*COUNTIF(E134,J122))+(12*COUNTIF(E135,J123))+(5*COUNTIF(E135,J122))))</f>
        <v>0</v>
      </c>
      <c r="O132" s="584">
        <f>SUM(N132:N133)</f>
        <v>0</v>
      </c>
      <c r="P132" s="328"/>
      <c r="Q132" s="555" t="str">
        <f>'FICHE DE PAIE'!A$12</f>
        <v>PRIME ASTREINTE</v>
      </c>
      <c r="R132" s="555"/>
      <c r="S132" s="555"/>
      <c r="T132" s="555"/>
      <c r="U132" s="555"/>
      <c r="V132" s="555"/>
      <c r="W132" s="555"/>
      <c r="X132" s="555"/>
      <c r="Y132" s="555"/>
      <c r="Z132" s="494"/>
      <c r="AA132" s="561"/>
      <c r="AB132" s="561"/>
      <c r="AC132" s="561"/>
      <c r="AD132" s="558">
        <f>'FICHE DE PAIE'!N$12</f>
        <v>90</v>
      </c>
      <c r="AE132" s="558"/>
      <c r="AF132" s="558"/>
      <c r="AG132" s="559">
        <f>AA132*AD132</f>
        <v>0</v>
      </c>
      <c r="AH132" s="559"/>
      <c r="AI132" s="559"/>
      <c r="AJ132" s="559"/>
      <c r="AK132" s="294"/>
      <c r="AL132" s="294"/>
      <c r="AM132" s="294"/>
      <c r="AN132" s="295"/>
      <c r="AO132" s="295"/>
      <c r="AP132" s="295"/>
      <c r="AQ132" s="295"/>
      <c r="AR132" s="295"/>
      <c r="AS132" s="295"/>
      <c r="AT132" s="295"/>
      <c r="AU132" s="295"/>
      <c r="AV132" s="290"/>
      <c r="AW132" s="591" t="s">
        <v>252</v>
      </c>
      <c r="AX132" s="591"/>
      <c r="AY132" s="591"/>
      <c r="AZ132" s="591"/>
      <c r="BA132" s="591"/>
      <c r="BB132" s="591"/>
      <c r="BC132" s="591"/>
      <c r="BD132" s="591"/>
      <c r="BE132" s="591"/>
      <c r="BF132" s="591"/>
      <c r="BG132" s="591"/>
      <c r="BH132" s="591"/>
      <c r="BI132" s="590">
        <f t="shared" si="32"/>
        <v>1952.5539499999998</v>
      </c>
      <c r="BJ132" s="590"/>
      <c r="BK132" s="590"/>
      <c r="BL132" s="590"/>
      <c r="BM132" s="590"/>
      <c r="BN132" s="590"/>
      <c r="BO132" s="590"/>
      <c r="BP132" s="590"/>
      <c r="BQ132" s="592">
        <f t="shared" si="33"/>
        <v>0</v>
      </c>
      <c r="BR132" s="592"/>
      <c r="BS132" s="592"/>
      <c r="BT132" s="592"/>
      <c r="BU132" s="594">
        <f>'FICHE DE PAIE'!BE$12</f>
        <v>1.6000000000000001E-4</v>
      </c>
      <c r="BV132" s="594"/>
      <c r="BW132" s="594"/>
      <c r="BX132" s="592">
        <f t="shared" si="34"/>
        <v>0.31240863199999996</v>
      </c>
      <c r="BY132" s="592"/>
      <c r="BZ132" s="592"/>
      <c r="CA132" s="593"/>
    </row>
    <row r="133" spans="1:79" ht="15" customHeight="1">
      <c r="A133" s="334">
        <v>5</v>
      </c>
      <c r="B133" s="328">
        <v>12</v>
      </c>
      <c r="C133" s="328">
        <f t="shared" si="35"/>
        <v>132</v>
      </c>
      <c r="D133" s="360" t="e">
        <f>IF(I133='Jour Férié'!F$13,'Jour Férié'!E$13,""&amp;IF(I133='Jour Férié'!B$8,'Jour Férié'!A$8,""&amp;IF(I133='Jour Férié'!B$10,'Jour Férié'!A$10,""&amp;IF(I133='Jour Férié'!B$6,'Jour Férié'!A$6,""&amp;IF(I133='Jour Férié'!B$7,'Jour Férié'!A$7,""&amp;IF(MOD(MATCH(I133,vacances!$A$3:$A$202,1),2)=1,"vacances",""))))))</f>
        <v>#N/A</v>
      </c>
      <c r="E133" s="490"/>
      <c r="F133" s="490"/>
      <c r="G133" s="490"/>
      <c r="H133" s="624"/>
      <c r="I133" s="361">
        <f t="shared" si="30"/>
        <v>43232</v>
      </c>
      <c r="J133" s="328"/>
      <c r="K133" s="328"/>
      <c r="L133" s="328"/>
      <c r="M133" s="577"/>
      <c r="N133" s="373">
        <f>(IF(WEEKDAY(I136,2)=7,(7*COUNTIF(E135,J122))+(12*COUNTIF(E136,J123))+(5*COUNTIF(E136,J122))))+(IF(WEEKDAY(I137,2)=7,(7*COUNTIF(E136,J122))+(12*COUNTIF(E137,J123))+(5*COUNTIF(E137,J122))))+(IF(WEEKDAY(I138,2)=7,(7*COUNTIF(E137,J122))+(12*COUNTIF(E138,J123))+(5*COUNTIF(E138,J122))))+(IF(WEEKDAY(I139,2)=7,(7*COUNTIF(E138,J122))+(12*COUNTIF(E139,J123))+(5*COUNTIF(E139,J122))))+(IF(WEEKDAY(I140,2)=7,(7*COUNTIF(E139,J122))+(12*COUNTIF(E140,J123))+(5*COUNTIF(E140,J122))))+(IF(WEEKDAY(I141,2)=7,(7*COUNTIF(E140,J122))+(12*COUNTIF(E141,J123))+(5*COUNTIF(E141,J122))))+(IF(WEEKDAY(I142,2)=7,(7*COUNTIF(E141,J122))+(12*COUNTIF(E142,J123))+(5*COUNTIF(E142,J122))))+(IF(WEEKDAY(I143,2)=7,(7*COUNTIF(E142,J122))+(12*COUNTIF(E143,J123))+(5*COUNTIF(E143,J122))))+(IF(WEEKDAY(I144,2)=7,(7*COUNTIF(E143,J122))+(12*COUNTIF(E144,J123))+(5*COUNTIF(E144,J122))))+(IF(WEEKDAY(I145,2)=7,(7*COUNTIF(E144,J122))+(12*COUNTIF(E145,J123))+(5*COUNTIF(E145,J122))))+(IF(WEEKDAY(I146,2)=7,(7*COUNTIF(E145,J122))+(12*COUNTIF(E146,J123))+(5*COUNTIF(E146,J122))))+(IF(WEEKDAY(I147,2)=7,(7*COUNTIF(E146,J122))+(12*COUNTIF(E147,J123))+(5*COUNTIF(E147,J122))))+(IF(WEEKDAY(I148,2)=7,(7*COUNTIF(E147,J122))+(12*COUNTIF(E148,J123))+(5*COUNTIF(E148,J122))))+(IF(WEEKDAY(I149,2)=7,(7*COUNTIF(E148,J122))+(12*COUNTIF(E149,J123))+(5*COUNTIF(E149,J122))))+(IF(WEEKDAY(I150,2)=7,(7*COUNTIF(E149,J122))+(12*COUNTIF(E150,J123))+(5*COUNTIF(E150,J122))))+(IF(WEEKDAY(I151,2)=7,(7*COUNTIF(E150,J122))+(12*COUNTIF(E151,J123))+(5*COUNTIF(E151,J122))))+(IF(WEEKDAY(I152,2)=7,(7*COUNTIF(E151,J122))+(12*COUNTIF(E152,J123))+(5*COUNTIF(E152,J122))))</f>
        <v>0</v>
      </c>
      <c r="O133" s="584"/>
      <c r="P133" s="328"/>
      <c r="Q133" s="555" t="str">
        <f>'FICHE DE PAIE'!A$13</f>
        <v>AUTRE PRIME</v>
      </c>
      <c r="R133" s="555"/>
      <c r="S133" s="555"/>
      <c r="T133" s="555"/>
      <c r="U133" s="555"/>
      <c r="V133" s="555"/>
      <c r="W133" s="555"/>
      <c r="X133" s="555"/>
      <c r="Y133" s="555"/>
      <c r="Z133" s="494"/>
      <c r="AA133" s="561"/>
      <c r="AB133" s="561"/>
      <c r="AC133" s="561"/>
      <c r="AD133" s="605"/>
      <c r="AE133" s="605"/>
      <c r="AF133" s="605"/>
      <c r="AG133" s="559">
        <f>AA133*AD133</f>
        <v>0</v>
      </c>
      <c r="AH133" s="559"/>
      <c r="AI133" s="559"/>
      <c r="AJ133" s="559"/>
      <c r="AK133" s="294"/>
      <c r="AL133" s="294"/>
      <c r="AM133" s="294"/>
      <c r="AN133" s="295"/>
      <c r="AO133" s="296"/>
      <c r="AP133" s="296"/>
      <c r="AQ133" s="295"/>
      <c r="AR133" s="295"/>
      <c r="AS133" s="295"/>
      <c r="AT133" s="295"/>
      <c r="AU133" s="295"/>
      <c r="AV133" s="290"/>
      <c r="AW133" s="591" t="s">
        <v>254</v>
      </c>
      <c r="AX133" s="591"/>
      <c r="AY133" s="591"/>
      <c r="AZ133" s="591"/>
      <c r="BA133" s="591"/>
      <c r="BB133" s="591"/>
      <c r="BC133" s="591"/>
      <c r="BD133" s="591"/>
      <c r="BE133" s="591"/>
      <c r="BF133" s="591"/>
      <c r="BG133" s="591"/>
      <c r="BH133" s="591"/>
      <c r="BI133" s="590">
        <f t="shared" si="32"/>
        <v>1952.5539499999998</v>
      </c>
      <c r="BJ133" s="590"/>
      <c r="BK133" s="590"/>
      <c r="BL133" s="590"/>
      <c r="BM133" s="594">
        <f>'FICHE DE PAIE'!AW$13</f>
        <v>9.4999999999999998E-3</v>
      </c>
      <c r="BN133" s="594"/>
      <c r="BO133" s="594"/>
      <c r="BP133" s="594"/>
      <c r="BQ133" s="592">
        <f t="shared" si="33"/>
        <v>18.549262524999996</v>
      </c>
      <c r="BR133" s="592"/>
      <c r="BS133" s="592"/>
      <c r="BT133" s="592"/>
      <c r="BU133" s="594">
        <f>'FICHE DE PAIE'!BE$13</f>
        <v>4.0500000000000001E-2</v>
      </c>
      <c r="BV133" s="594"/>
      <c r="BW133" s="594"/>
      <c r="BX133" s="592">
        <f t="shared" si="34"/>
        <v>79.078434974999993</v>
      </c>
      <c r="BY133" s="592"/>
      <c r="BZ133" s="592"/>
      <c r="CA133" s="593"/>
    </row>
    <row r="134" spans="1:79" ht="15" customHeight="1">
      <c r="A134" s="334">
        <v>5</v>
      </c>
      <c r="B134" s="328">
        <v>13</v>
      </c>
      <c r="C134" s="328">
        <f t="shared" si="35"/>
        <v>133</v>
      </c>
      <c r="D134" s="360" t="e">
        <f>IF(I134='Jour Férié'!F$13,'Jour Férié'!E$13,""&amp;IF(I134='Jour Férié'!B$8,'Jour Férié'!A$8,""&amp;IF(I134='Jour Férié'!B$10,'Jour Férié'!A$10,""&amp;IF(I134='Jour Férié'!B$6,'Jour Férié'!A$6,""&amp;IF(I134='Jour Férié'!B$7,'Jour Férié'!A$7,""&amp;IF(MOD(MATCH(I134,vacances!$A$3:$A$202,1),2)=1,"vacances",""))))))</f>
        <v>#N/A</v>
      </c>
      <c r="E134" s="490"/>
      <c r="F134" s="490"/>
      <c r="G134" s="490"/>
      <c r="H134" s="624"/>
      <c r="I134" s="361">
        <f t="shared" si="30"/>
        <v>43233</v>
      </c>
      <c r="J134" s="328"/>
      <c r="K134" s="328"/>
      <c r="L134" s="328"/>
      <c r="M134" s="583" t="s">
        <v>225</v>
      </c>
      <c r="N134" s="363">
        <f>(IF((I122)='Jour Férié'!B8,(7*COUNTIF(E121,J1))+(12*COUNTIF(E122,J2))+(5*COUNTIF(E122,J1))))+(IF((I123)='Jour Férié'!B8,(7*COUNTIF(E122,J1))+(12*COUNTIF(E123,J2))+(5*COUNTIF(E123,J1))))+(IF((I124)='Jour Férié'!B8,(7*COUNTIF(E123,J1))+(12*COUNTIF(E124,J2))+(5*COUNTIF(E124,J1))))+(IF((I125)='Jour Férié'!B8,(7*COUNTIF(E124,J1))+(12*COUNTIF(E125,J2))+(5*COUNTIF(E125,J1))))+(IF((I126)='Jour Férié'!B8,(7*COUNTIF(E125,J1))+(12*COUNTIF(E126,J2))+(5*COUNTIF(E126,J1))))+(IF((I127)='Jour Férié'!B8,(7*COUNTIF(E126,J1))+(12*COUNTIF(E127,J2))+(5*COUNTIF(E127,J1))))+(IF((I128)='Jour Férié'!B8,(7*COUNTIF(E127,J1))+(12*COUNTIF(E128,J2))+(5*COUNTIF(E128,J1))))+(IF((I129)='Jour Férié'!B8,(7*COUNTIF(E127,J1))+(12*COUNTIF(E129,J2))+(5*COUNTIF(E129,J1))))+(IF((I130)='Jour Férié'!B8,(7*COUNTIF(E129,J1))+(12*COUNTIF(E130,J2))+(5*COUNTIF(E130,J1))))+(IF((I131)='Jour Férié'!B8,(7*COUNTIF(E130,J1))+(12*COUNTIF(E131,J2))+(5*COUNTIF(E131,J1))))+(IF((I132)='Jour Férié'!B8,(7*COUNTIF(E131,J1))+(12*COUNTIF(E132,J2))+(5*COUNTIF(E132,J1))))+(IF((I133)='Jour Férié'!B8,(7*COUNTIF(E132,J1))+(12*COUNTIF(E133,J2))+(5*COUNTIF(E133,J1))))+(IF((I134)='Jour Férié'!B8,(7*COUNTIF(E133,J1))+(12*COUNTIF(E134,J2))+(5*COUNTIF(E134,J1))))+(IF((I135)='Jour Férié'!B8,(7*COUNTIF(E134,J1))+(12*COUNTIF(E135,J2))+(5*COUNTIF(E135,J1))))+(IF((I136)='Jour Férié'!B8,(7*COUNTIF(E135,J1))+(12*COUNTIF(E136,J2))+(5*COUNTIF(E136,J1))))+(IF((I137)='Jour Férié'!B8,(7*COUNTIF(E136,J1))+(12*COUNTIF(E137,J2))+(5*COUNTIF(E137,J1))))+(IF((I138)='Jour Férié'!B8,(7*COUNTIF(E137,J1))+(12*COUNTIF(E138,J2))+(5*COUNTIF(E138,J1))))+(IF((I139)='Jour Férié'!B8,(7*COUNTIF(E138,J1))+(12*COUNTIF(E139,J2))+(5*COUNTIF(E139,J1))))+(IF((I140)='Jour Férié'!B8,(7*COUNTIF(E139,J1))+(12*COUNTIF(E140,J2))+(5*COUNTIF(E140,J1))))+(IF((I141)='Jour Férié'!B8,(7*COUNTIF(E140,J1))+(12*COUNTIF(E141,J2))+(5*COUNTIF(E141,J1))))+(IF((I142)='Jour Férié'!B8,(7*COUNTIF(E141,J1))+(12*COUNTIF(E142,J2))+(5*COUNTIF(E142,J1))))</f>
        <v>0</v>
      </c>
      <c r="O134" s="584">
        <f>SUM(N134:N136)</f>
        <v>0</v>
      </c>
      <c r="P134" s="328"/>
      <c r="Q134" s="555" t="str">
        <f>'FICHE DE PAIE'!A$14</f>
        <v>Absence congé payé</v>
      </c>
      <c r="R134" s="555"/>
      <c r="S134" s="555"/>
      <c r="T134" s="555"/>
      <c r="U134" s="555"/>
      <c r="V134" s="555"/>
      <c r="W134" s="555"/>
      <c r="X134" s="555"/>
      <c r="Y134" s="555"/>
      <c r="Z134" s="494"/>
      <c r="AA134" s="557">
        <f>O138*35/6</f>
        <v>0</v>
      </c>
      <c r="AB134" s="557"/>
      <c r="AC134" s="557"/>
      <c r="AD134" s="558">
        <f>'FICHE DE PAIE'!N$14</f>
        <v>12.074</v>
      </c>
      <c r="AE134" s="558"/>
      <c r="AF134" s="558"/>
      <c r="AG134" s="559"/>
      <c r="AH134" s="559"/>
      <c r="AI134" s="559"/>
      <c r="AJ134" s="559"/>
      <c r="AK134" s="602">
        <f>AA134*AD134</f>
        <v>0</v>
      </c>
      <c r="AL134" s="602"/>
      <c r="AM134" s="602"/>
      <c r="AN134" s="602"/>
      <c r="AO134" s="294"/>
      <c r="AP134" s="296"/>
      <c r="AQ134" s="295"/>
      <c r="AR134" s="295"/>
      <c r="AS134" s="295"/>
      <c r="AT134" s="295"/>
      <c r="AU134" s="295"/>
      <c r="AV134" s="290"/>
      <c r="AW134" s="591" t="s">
        <v>256</v>
      </c>
      <c r="AX134" s="591"/>
      <c r="AY134" s="591"/>
      <c r="AZ134" s="591"/>
      <c r="BA134" s="591"/>
      <c r="BB134" s="591"/>
      <c r="BC134" s="591"/>
      <c r="BD134" s="591"/>
      <c r="BE134" s="591"/>
      <c r="BF134" s="591"/>
      <c r="BG134" s="591"/>
      <c r="BH134" s="591"/>
      <c r="BI134" s="590">
        <f t="shared" si="32"/>
        <v>1952.5539499999998</v>
      </c>
      <c r="BJ134" s="590"/>
      <c r="BK134" s="590"/>
      <c r="BL134" s="590"/>
      <c r="BM134" s="590"/>
      <c r="BN134" s="590"/>
      <c r="BO134" s="590"/>
      <c r="BP134" s="590"/>
      <c r="BQ134" s="592">
        <f t="shared" si="33"/>
        <v>0</v>
      </c>
      <c r="BR134" s="592"/>
      <c r="BS134" s="592"/>
      <c r="BT134" s="592"/>
      <c r="BU134" s="594">
        <f>'FICHE DE PAIE'!BE$14</f>
        <v>1.5E-3</v>
      </c>
      <c r="BV134" s="594"/>
      <c r="BW134" s="594"/>
      <c r="BX134" s="592">
        <f t="shared" si="34"/>
        <v>2.9288309249999998</v>
      </c>
      <c r="BY134" s="592"/>
      <c r="BZ134" s="592"/>
      <c r="CA134" s="593"/>
    </row>
    <row r="135" spans="1:79" ht="15" customHeight="1">
      <c r="A135" s="334">
        <v>5</v>
      </c>
      <c r="B135" s="328">
        <v>14</v>
      </c>
      <c r="C135" s="328">
        <f t="shared" si="35"/>
        <v>134</v>
      </c>
      <c r="D135" s="360" t="e">
        <f>IF(I135='Jour Férié'!F$13,'Jour Férié'!E$13,""&amp;IF(I135='Jour Férié'!B$8,'Jour Férié'!A$8,""&amp;IF(I135='Jour Férié'!B$10,'Jour Férié'!A$10,""&amp;IF(I135='Jour Férié'!B$6,'Jour Férié'!A$6,""&amp;IF(I135='Jour Férié'!B$7,'Jour Férié'!A$7,""&amp;IF(MOD(MATCH(I135,vacances!$A$3:$A$202,1),2)=1,"vacances",""))))))</f>
        <v>#N/A</v>
      </c>
      <c r="E135" s="490"/>
      <c r="F135" s="490"/>
      <c r="G135" s="490"/>
      <c r="H135" s="624"/>
      <c r="I135" s="361">
        <f t="shared" si="30"/>
        <v>43234</v>
      </c>
      <c r="J135" s="328"/>
      <c r="K135" s="328"/>
      <c r="L135" s="328"/>
      <c r="M135" s="583"/>
      <c r="N135" s="328">
        <f>(IF((I143)='Jour Férié'!B8,(7*COUNTIF(E142,J1))+(12*COUNTIF(E143,J2))+(5*COUNTIF(E143,J1))))+(IF((I144)='Jour Férié'!B8,(7*COUNTIF(E143,J1))+(12*COUNTIF(E144,J2))+(5*COUNTIF(E144,J1))))+(IF((I145)='Jour Férié'!B8,(7*COUNTIF(E144,J1))+(12*COUNTIF(E145,J2))+(5*COUNTIF(E145,J1))))+(IF((I146)='Jour Férié'!B8,(7*COUNTIF(E145,J1))+(12*COUNTIF(E146,J2))+(5*COUNTIF(E146,J1))))+(IF((I147)='Jour Férié'!B8,(7*COUNTIF(E146,J1))+(12*COUNTIF(E147,J2))+(5*COUNTIF(E147,J1))))+(IF((I148)='Jour Férié'!B8,(7*COUNTIF(E147,J1))+(12*COUNTIF(E148,J2))+(5*COUNTIF(E148,J1))))+(IF((I149)='Jour Férié'!B8,(7*COUNTIF(E148,J1))+(12*COUNTIF(E149,J2))+(5*COUNTIF(E149,J1))))+(IF((I150)='Jour Férié'!B8,(7*COUNTIF(E149,J1))+(12*COUNTIF(E150,J2))+(5*COUNTIF(E150,J1))))+(IF((I151)='Jour Férié'!B8,(7*COUNTIF(E150,J1))+(12*COUNTIF(E151,J2))+(5*COUNTIF(E151,J1))))+(IF((I152)='Jour Férié'!B8,(7*COUNTIF(E151,J1))+(12*COUNTIF(E152,J2))+(5*COUNTIF(E152,J1))))+(IF((I122)='Jour Férié'!B6,(5*COUNTIF(E121,J1))+(12*COUNTIF(E122,J2))+(5*COUNTIF(E122,J1))))+(IF((I129)='Jour Férié'!B7,(5*COUNTIF(E128,J1))+(12*COUNTIF(E129,J2))+(5*COUNTIF(E129,J1))))+(IF((I130)='Jour Férié'!B10,(5*COUNTIF(E129,J1))+(12*COUNTIF(E130,J2))+(5*COUNTIF(E130,J1))))+(IF((I131)='Jour Férié'!B10,(5*COUNTIF(E130,J1))+(12*COUNTIF(E131,J2))+(5*COUNTIF(E131,J1))))+(IF((I132)='Jour Férié'!B10,(5*COUNTIF(E131,J1))+(12*COUNTIF(E132,J2))+(5*COUNTIF(E132,J1))))+(IF((I133)='Jour Férié'!B10,(5*COUNTIF(E132,J1))+(12*COUNTIF(E133,J2))+(5*COUNTIF(E133,J1))))+(IF((I134)='Jour Férié'!B10,(5*COUNTIF(E133,J1))+(12*COUNTIF(E134,J2))+(5*COUNTIF(E134,J1))))+(IF((I135)='Jour Férié'!B10,(5*COUNTIF(E134,J1))+(12*COUNTIF(E135,J2))+(5*COUNTIF(E135,J1))))+(IF((I136)='Jour Férié'!B10,(5*COUNTIF(E135,J1))+(12*COUNTIF(E136,J2))+(5*COUNTIF(E136,J1))))+(IF((I137)='Jour Férié'!B10,(5*COUNTIF(E136,J1))+(12*COUNTIF(E137,J2))+(5*COUNTIF(E137,J1))))+(IF((I138)='Jour Férié'!B10,(5*COUNTIF(E137,J1))+(12*COUNTIF(E138,J2))+(5*COUNTIF(E138,J1))))</f>
        <v>0</v>
      </c>
      <c r="O135" s="584"/>
      <c r="P135" s="328"/>
      <c r="Q135" s="555" t="str">
        <f>'FICHE DE PAIE'!A$15</f>
        <v>paiement congé payé</v>
      </c>
      <c r="R135" s="555"/>
      <c r="S135" s="555"/>
      <c r="T135" s="555"/>
      <c r="U135" s="555"/>
      <c r="V135" s="555"/>
      <c r="W135" s="555"/>
      <c r="X135" s="555"/>
      <c r="Y135" s="555"/>
      <c r="Z135" s="494"/>
      <c r="AA135" s="556"/>
      <c r="AB135" s="556"/>
      <c r="AC135" s="556"/>
      <c r="AD135" s="566"/>
      <c r="AE135" s="566"/>
      <c r="AF135" s="566"/>
      <c r="AG135" s="604"/>
      <c r="AH135" s="604"/>
      <c r="AI135" s="604"/>
      <c r="AJ135" s="604"/>
      <c r="AK135" s="297"/>
      <c r="AL135" s="297"/>
      <c r="AM135" s="297"/>
      <c r="AN135" s="298"/>
      <c r="AO135" s="299"/>
      <c r="AP135" s="296"/>
      <c r="AQ135" s="295"/>
      <c r="AR135" s="295"/>
      <c r="AS135" s="295"/>
      <c r="AT135" s="295"/>
      <c r="AU135" s="295"/>
      <c r="AV135" s="290"/>
      <c r="AW135" s="591" t="s">
        <v>258</v>
      </c>
      <c r="AX135" s="591"/>
      <c r="AY135" s="591"/>
      <c r="AZ135" s="591"/>
      <c r="BA135" s="591"/>
      <c r="BB135" s="591"/>
      <c r="BC135" s="591"/>
      <c r="BD135" s="591"/>
      <c r="BE135" s="591"/>
      <c r="BF135" s="591"/>
      <c r="BG135" s="591"/>
      <c r="BH135" s="591"/>
      <c r="BI135" s="590">
        <f t="shared" si="32"/>
        <v>1952.5539499999998</v>
      </c>
      <c r="BJ135" s="590"/>
      <c r="BK135" s="590"/>
      <c r="BL135" s="590"/>
      <c r="BM135" s="594">
        <f>'FICHE DE PAIE'!AW$15</f>
        <v>3.1E-2</v>
      </c>
      <c r="BN135" s="594"/>
      <c r="BO135" s="594"/>
      <c r="BP135" s="594"/>
      <c r="BQ135" s="592">
        <f t="shared" si="33"/>
        <v>60.52917244999999</v>
      </c>
      <c r="BR135" s="592"/>
      <c r="BS135" s="592"/>
      <c r="BT135" s="592"/>
      <c r="BU135" s="594">
        <f>'FICHE DE PAIE'!BE$15</f>
        <v>4.65E-2</v>
      </c>
      <c r="BV135" s="594"/>
      <c r="BW135" s="594"/>
      <c r="BX135" s="592">
        <f t="shared" si="34"/>
        <v>90.793758674999992</v>
      </c>
      <c r="BY135" s="592"/>
      <c r="BZ135" s="592"/>
      <c r="CA135" s="593"/>
    </row>
    <row r="136" spans="1:79" ht="15" customHeight="1">
      <c r="A136" s="334">
        <v>5</v>
      </c>
      <c r="B136" s="328">
        <v>15</v>
      </c>
      <c r="C136" s="328">
        <f t="shared" si="35"/>
        <v>135</v>
      </c>
      <c r="D136" s="360" t="e">
        <f>IF(I136='Jour Férié'!F$13,'Jour Férié'!E$13,""&amp;IF(I136='Jour Férié'!B$8,'Jour Férié'!A$8,""&amp;IF(I136='Jour Férié'!B$10,'Jour Férié'!A$10,""&amp;IF(I136='Jour Férié'!B$6,'Jour Férié'!A$6,""&amp;IF(I136='Jour Férié'!B$7,'Jour Férié'!A$7,""&amp;IF(MOD(MATCH(I136,vacances!$A$3:$A$202,1),2)=1,"vacances",""))))))</f>
        <v>#N/A</v>
      </c>
      <c r="E136" s="490"/>
      <c r="F136" s="490"/>
      <c r="G136" s="490"/>
      <c r="H136" s="624"/>
      <c r="I136" s="361">
        <f t="shared" si="30"/>
        <v>43235</v>
      </c>
      <c r="J136" s="328"/>
      <c r="K136" s="328"/>
      <c r="L136" s="328"/>
      <c r="M136" s="583"/>
      <c r="N136" s="328">
        <f>(IF((I140)='Jour Férié'!B10,(5*COUNTIF(E139,J1))+(12*COUNTIF(E140,J2))+(5*COUNTIF(E140,J1))))+(IF((I130)='Jour Férié'!B10,(5*COUNTIF(E129,J1))+(12*COUNTIF(E130,J2))+(5*COUNTIF(E130,J1))))+(IF((I141)='Jour Férié'!B10,(5*COUNTIF(E140,J1))+(12*COUNTIF(E141,J2))+(5*COUNTIF(E141,J1))))+(IF((I142)='Jour Férié'!B10,(5*COUNTIF(E141,J1))+(12*COUNTIF(E142,J2))+(5*COUNTIF(E142,J1))))+(IF((I143)='Jour Férié'!B10,(5*COUNTIF(E142,J1))+(12*COUNTIF(E143,J2))+(5*COUNTIF(E143,J1))))+(IF((I144)='Jour Férié'!B10,(5*COUNTIF(E143,J1))+(12*COUNTIF(E144,J2))+(5*COUNTIF(E144,J1))))+(IF((I145)='Jour Férié'!B10,(5*COUNTIF(E144,J1))+(12*COUNTIF(E145,J2))+(5*COUNTIF(E145,J1))))+(IF((I146)='Jour Férié'!B10,(5*COUNTIF(E145,J1))+(12*COUNTIF(E146,J2))+(5*COUNTIF(E146,J1))))+(IF((I147)='Jour Férié'!B10,(5*COUNTIF(E146,J1))+(12*COUNTIF(E147,J2))+(5*COUNTIF(E147,J1))))+(IF((I148)='Jour Férié'!B10,(5*COUNTIF(E147,J1))+(12*COUNTIF(E148,J2))+(5*COUNTIF(E148,J1))))+(IF((I149)='Jour Férié'!B10,(5*COUNTIF(E148,J1))+(12*COUNTIF(E149,J2))+(5*COUNTIF(E149,J1))))+(IF((I150)='Jour Férié'!B10,(5*COUNTIF(E149,J1))+(12*COUNTIF(E150,J2))+(5*COUNTIF(E150,J1))))+(IF((I151)='Jour Férié'!B10,(5*COUNTIF(E150,J1))+(12*COUNTIF(E151,J2))+(5*COUNTIF(E151,J1))))+(IF((I152)='Jour Férié'!B10,(5*COUNTIF(E151,J1))+(12*COUNTIF(E152,J2))+(5*COUNTIF(E152,J1))))</f>
        <v>0</v>
      </c>
      <c r="O136" s="584"/>
      <c r="P136" s="328"/>
      <c r="Q136" s="555" t="str">
        <f>'FICHE DE PAIE'!A$16</f>
        <v>Absence maladie</v>
      </c>
      <c r="R136" s="555"/>
      <c r="S136" s="555"/>
      <c r="T136" s="555"/>
      <c r="U136" s="555"/>
      <c r="V136" s="555"/>
      <c r="W136" s="555"/>
      <c r="X136" s="555"/>
      <c r="Y136" s="555"/>
      <c r="Z136" s="494"/>
      <c r="AA136" s="556"/>
      <c r="AB136" s="556"/>
      <c r="AC136" s="556"/>
      <c r="AD136" s="566"/>
      <c r="AE136" s="566"/>
      <c r="AF136" s="566"/>
      <c r="AG136" s="559"/>
      <c r="AH136" s="559"/>
      <c r="AI136" s="559"/>
      <c r="AJ136" s="559"/>
      <c r="AK136" s="599"/>
      <c r="AL136" s="599"/>
      <c r="AM136" s="599"/>
      <c r="AN136" s="599"/>
      <c r="AO136" s="294"/>
      <c r="AP136" s="296"/>
      <c r="AQ136" s="295"/>
      <c r="AR136" s="295"/>
      <c r="AS136" s="295"/>
      <c r="AT136" s="295"/>
      <c r="AU136" s="295"/>
      <c r="AV136" s="290"/>
      <c r="AW136" s="591" t="s">
        <v>260</v>
      </c>
      <c r="AX136" s="591"/>
      <c r="AY136" s="591"/>
      <c r="AZ136" s="591"/>
      <c r="BA136" s="591"/>
      <c r="BB136" s="591"/>
      <c r="BC136" s="591"/>
      <c r="BD136" s="591"/>
      <c r="BE136" s="591"/>
      <c r="BF136" s="591"/>
      <c r="BG136" s="591"/>
      <c r="BH136" s="591"/>
      <c r="BI136" s="590">
        <f t="shared" si="32"/>
        <v>1952.5539499999998</v>
      </c>
      <c r="BJ136" s="590"/>
      <c r="BK136" s="590"/>
      <c r="BL136" s="590"/>
      <c r="BM136" s="594">
        <f>'FICHE DE PAIE'!AW$16</f>
        <v>8.0000000000000002E-3</v>
      </c>
      <c r="BN136" s="594"/>
      <c r="BO136" s="594"/>
      <c r="BP136" s="594"/>
      <c r="BQ136" s="592">
        <f t="shared" si="33"/>
        <v>15.620431599999998</v>
      </c>
      <c r="BR136" s="592"/>
      <c r="BS136" s="592"/>
      <c r="BT136" s="592"/>
      <c r="BU136" s="594">
        <f>'FICHE DE PAIE'!BE$16</f>
        <v>1.2E-2</v>
      </c>
      <c r="BV136" s="594"/>
      <c r="BW136" s="594"/>
      <c r="BX136" s="592">
        <f t="shared" si="34"/>
        <v>23.430647399999998</v>
      </c>
      <c r="BY136" s="592"/>
      <c r="BZ136" s="592"/>
      <c r="CA136" s="593"/>
    </row>
    <row r="137" spans="1:79" ht="15" customHeight="1">
      <c r="A137" s="334">
        <v>5</v>
      </c>
      <c r="B137" s="328">
        <v>16</v>
      </c>
      <c r="C137" s="328">
        <f t="shared" si="35"/>
        <v>136</v>
      </c>
      <c r="D137" s="360" t="e">
        <f>IF(I137='Jour Férié'!F$13,'Jour Férié'!E$13,""&amp;IF(I137='Jour Férié'!B$8,'Jour Férié'!A$8,""&amp;IF(I137='Jour Férié'!B$10,'Jour Férié'!A$10,""&amp;IF(I137='Jour Férié'!B$6,'Jour Férié'!A$6,""&amp;IF(I137='Jour Férié'!B$7,'Jour Férié'!A$7,""&amp;IF(MOD(MATCH(I137,vacances!$A$3:$A$202,1),2)=1,"vacances",""))))))</f>
        <v>#N/A</v>
      </c>
      <c r="E137" s="490"/>
      <c r="F137" s="490"/>
      <c r="G137" s="490"/>
      <c r="H137" s="624"/>
      <c r="I137" s="361">
        <f t="shared" si="30"/>
        <v>43236</v>
      </c>
      <c r="J137" s="328"/>
      <c r="K137" s="328"/>
      <c r="L137" s="328"/>
      <c r="M137" s="374" t="s">
        <v>226</v>
      </c>
      <c r="N137" s="374"/>
      <c r="O137" s="364">
        <f>(COUNTIF($E122:$E150,$J131))</f>
        <v>0</v>
      </c>
      <c r="P137" s="328"/>
      <c r="Q137" s="555"/>
      <c r="R137" s="555"/>
      <c r="S137" s="555"/>
      <c r="T137" s="555"/>
      <c r="U137" s="555"/>
      <c r="V137" s="555"/>
      <c r="W137" s="555"/>
      <c r="X137" s="555"/>
      <c r="Y137" s="555"/>
      <c r="Z137" s="494"/>
      <c r="AA137" s="556"/>
      <c r="AB137" s="556"/>
      <c r="AC137" s="556"/>
      <c r="AD137" s="600"/>
      <c r="AE137" s="600"/>
      <c r="AF137" s="600"/>
      <c r="AG137" s="559"/>
      <c r="AH137" s="559"/>
      <c r="AI137" s="559"/>
      <c r="AJ137" s="559"/>
      <c r="AK137" s="297"/>
      <c r="AL137" s="297"/>
      <c r="AM137" s="297"/>
      <c r="AN137" s="298"/>
      <c r="AO137" s="299"/>
      <c r="AP137" s="296"/>
      <c r="AQ137" s="295"/>
      <c r="AR137" s="295"/>
      <c r="AS137" s="295"/>
      <c r="AT137" s="295"/>
      <c r="AU137" s="295"/>
      <c r="AV137" s="290"/>
      <c r="AW137" s="499" t="s">
        <v>261</v>
      </c>
      <c r="AX137" s="499"/>
      <c r="AY137" s="499"/>
      <c r="AZ137" s="499"/>
      <c r="BA137" s="499"/>
      <c r="BB137" s="499"/>
      <c r="BC137" s="499"/>
      <c r="BD137" s="499"/>
      <c r="BE137" s="499"/>
      <c r="BF137" s="499"/>
      <c r="BG137" s="499"/>
      <c r="BH137" s="499"/>
      <c r="BI137" s="590">
        <f t="shared" si="32"/>
        <v>1952.5539499999998</v>
      </c>
      <c r="BJ137" s="590"/>
      <c r="BK137" s="590"/>
      <c r="BL137" s="590"/>
      <c r="BM137" s="594">
        <f>'FICHE DE PAIE'!AW$17</f>
        <v>5.4000000000000003E-3</v>
      </c>
      <c r="BN137" s="594"/>
      <c r="BO137" s="594"/>
      <c r="BP137" s="594"/>
      <c r="BQ137" s="592">
        <f t="shared" si="33"/>
        <v>10.543791329999999</v>
      </c>
      <c r="BR137" s="592"/>
      <c r="BS137" s="592"/>
      <c r="BT137" s="592"/>
      <c r="BU137" s="594">
        <f>'FICHE DE PAIE'!BE$17</f>
        <v>5.4000000000000003E-3</v>
      </c>
      <c r="BV137" s="594"/>
      <c r="BW137" s="594"/>
      <c r="BX137" s="592">
        <f t="shared" si="34"/>
        <v>10.543791329999999</v>
      </c>
      <c r="BY137" s="592"/>
      <c r="BZ137" s="592"/>
      <c r="CA137" s="593"/>
    </row>
    <row r="138" spans="1:79" ht="15" customHeight="1">
      <c r="A138" s="334">
        <v>5</v>
      </c>
      <c r="B138" s="328">
        <v>17</v>
      </c>
      <c r="C138" s="328">
        <f t="shared" si="35"/>
        <v>137</v>
      </c>
      <c r="D138" s="360" t="e">
        <f>IF(I138='Jour Férié'!F$13,'Jour Férié'!E$13,""&amp;IF(I138='Jour Férié'!B$8,'Jour Férié'!A$8,""&amp;IF(I138='Jour Férié'!B$10,'Jour Férié'!A$10,""&amp;IF(I138='Jour Férié'!B$6,'Jour Férié'!A$6,""&amp;IF(I138='Jour Férié'!B$7,'Jour Férié'!A$7,""&amp;IF(MOD(MATCH(I138,vacances!$A$3:$A$202,1),2)=1,"vacances",""))))))</f>
        <v>#N/A</v>
      </c>
      <c r="E138" s="490"/>
      <c r="F138" s="490"/>
      <c r="G138" s="490"/>
      <c r="H138" s="624"/>
      <c r="I138" s="361">
        <f t="shared" si="30"/>
        <v>43237</v>
      </c>
      <c r="J138" s="328"/>
      <c r="K138" s="328"/>
      <c r="L138" s="328"/>
      <c r="M138" s="374" t="s">
        <v>227</v>
      </c>
      <c r="N138" s="374"/>
      <c r="O138" s="364">
        <f>(COUNTIF($E122:$E150,$J129))</f>
        <v>0</v>
      </c>
      <c r="P138" s="328"/>
      <c r="Q138" s="562" t="s">
        <v>262</v>
      </c>
      <c r="R138" s="562"/>
      <c r="S138" s="562"/>
      <c r="T138" s="562"/>
      <c r="U138" s="562"/>
      <c r="V138" s="562"/>
      <c r="W138" s="562"/>
      <c r="X138" s="563"/>
      <c r="Y138" s="563"/>
      <c r="Z138" s="563"/>
      <c r="AA138" s="563"/>
      <c r="AB138" s="563"/>
      <c r="AC138" s="563"/>
      <c r="AD138" s="563"/>
      <c r="AE138" s="563"/>
      <c r="AF138" s="563"/>
      <c r="AG138" s="564">
        <f>SUM(AG124:AJ133)+AG135-AK134-AK136</f>
        <v>1851.1323499999999</v>
      </c>
      <c r="AH138" s="564"/>
      <c r="AI138" s="564"/>
      <c r="AJ138" s="564"/>
      <c r="AK138" s="300"/>
      <c r="AL138" s="300"/>
      <c r="AM138" s="300"/>
      <c r="AN138" s="295"/>
      <c r="AO138" s="565">
        <f>AG138-AO124</f>
        <v>-1094.8676500000001</v>
      </c>
      <c r="AP138" s="565"/>
      <c r="AQ138" s="565"/>
      <c r="AR138" s="498"/>
      <c r="AS138" s="498"/>
      <c r="AT138" s="498"/>
      <c r="AU138" s="295"/>
      <c r="AV138" s="301"/>
      <c r="AW138" s="591" t="s">
        <v>263</v>
      </c>
      <c r="AX138" s="591"/>
      <c r="AY138" s="591"/>
      <c r="AZ138" s="591"/>
      <c r="BA138" s="591"/>
      <c r="BB138" s="591"/>
      <c r="BC138" s="591"/>
      <c r="BD138" s="591"/>
      <c r="BE138" s="591"/>
      <c r="BF138" s="591"/>
      <c r="BG138" s="591"/>
      <c r="BH138" s="591"/>
      <c r="BI138" s="601"/>
      <c r="BJ138" s="601"/>
      <c r="BK138" s="601"/>
      <c r="BL138" s="601"/>
      <c r="BM138" s="590"/>
      <c r="BN138" s="590"/>
      <c r="BO138" s="590"/>
      <c r="BP138" s="590"/>
      <c r="BQ138" s="592">
        <f t="shared" si="33"/>
        <v>0</v>
      </c>
      <c r="BR138" s="592"/>
      <c r="BS138" s="592"/>
      <c r="BT138" s="592"/>
      <c r="BU138" s="594">
        <f>'FICHE DE PAIE'!BE$18</f>
        <v>0.08</v>
      </c>
      <c r="BV138" s="594"/>
      <c r="BW138" s="594"/>
      <c r="BX138" s="592">
        <f t="shared" si="34"/>
        <v>0</v>
      </c>
      <c r="BY138" s="592"/>
      <c r="BZ138" s="592"/>
      <c r="CA138" s="593"/>
    </row>
    <row r="139" spans="1:79" ht="15" customHeight="1">
      <c r="A139" s="334">
        <v>5</v>
      </c>
      <c r="B139" s="328">
        <v>18</v>
      </c>
      <c r="C139" s="328">
        <f t="shared" si="35"/>
        <v>138</v>
      </c>
      <c r="D139" s="360" t="e">
        <f>IF(I139='Jour Férié'!F$13,'Jour Férié'!E$13,""&amp;IF(I139='Jour Férié'!B$8,'Jour Férié'!A$8,""&amp;IF(I139='Jour Férié'!B$10,'Jour Férié'!A$10,""&amp;IF(I139='Jour Férié'!B$6,'Jour Férié'!A$6,""&amp;IF(I139='Jour Férié'!B$7,'Jour Férié'!A$7,""&amp;IF(MOD(MATCH(I139,vacances!$A$3:$A$202,1),2)=1,"vacances",""))))))</f>
        <v>#N/A</v>
      </c>
      <c r="E139" s="490"/>
      <c r="F139" s="490"/>
      <c r="G139" s="490"/>
      <c r="H139" s="624"/>
      <c r="I139" s="361">
        <f t="shared" si="30"/>
        <v>43238</v>
      </c>
      <c r="J139" s="328"/>
      <c r="K139" s="328"/>
      <c r="L139" s="328"/>
      <c r="M139" s="374" t="s">
        <v>228</v>
      </c>
      <c r="N139" s="374"/>
      <c r="O139" s="364">
        <f>(COUNTIF($E122:$E150,$J130))</f>
        <v>0</v>
      </c>
      <c r="P139" s="328"/>
      <c r="Q139" s="376"/>
      <c r="R139" s="376"/>
      <c r="S139" s="376"/>
      <c r="T139" s="376"/>
      <c r="U139" s="376"/>
      <c r="V139" s="376"/>
      <c r="W139" s="376"/>
      <c r="X139" s="376"/>
      <c r="Y139" s="376"/>
      <c r="Z139" s="376"/>
      <c r="AA139" s="377"/>
      <c r="AB139" s="377"/>
      <c r="AC139" s="377"/>
      <c r="AD139" s="378"/>
      <c r="AE139" s="378"/>
      <c r="AF139" s="378"/>
      <c r="AG139" s="376"/>
      <c r="AH139" s="376"/>
      <c r="AI139" s="376"/>
      <c r="AJ139" s="379"/>
      <c r="AK139" s="379"/>
      <c r="AL139" s="379"/>
      <c r="AM139" s="379"/>
      <c r="AN139" s="365"/>
      <c r="AO139" s="365"/>
      <c r="AP139" s="365"/>
      <c r="AQ139" s="365"/>
      <c r="AR139" s="365"/>
      <c r="AS139" s="365"/>
      <c r="AT139" s="365"/>
      <c r="AU139" s="365"/>
      <c r="AV139" s="302"/>
      <c r="AW139" s="591" t="s">
        <v>264</v>
      </c>
      <c r="AX139" s="591"/>
      <c r="AY139" s="591"/>
      <c r="AZ139" s="591"/>
      <c r="BA139" s="591"/>
      <c r="BB139" s="591"/>
      <c r="BC139" s="591"/>
      <c r="BD139" s="591"/>
      <c r="BE139" s="591"/>
      <c r="BF139" s="591"/>
      <c r="BG139" s="591"/>
      <c r="BH139" s="591"/>
      <c r="BI139" s="590">
        <f>$AG$17*98.25%</f>
        <v>1918.3842558749998</v>
      </c>
      <c r="BJ139" s="590"/>
      <c r="BK139" s="590"/>
      <c r="BL139" s="590"/>
      <c r="BM139" s="594">
        <f>'FICHE DE PAIE'!AW$19</f>
        <v>6.8000000000000005E-2</v>
      </c>
      <c r="BN139" s="594"/>
      <c r="BO139" s="594"/>
      <c r="BP139" s="594"/>
      <c r="BQ139" s="592">
        <f t="shared" si="33"/>
        <v>130.45012939949999</v>
      </c>
      <c r="BR139" s="592"/>
      <c r="BS139" s="592"/>
      <c r="BT139" s="592"/>
      <c r="BU139" s="595"/>
      <c r="BV139" s="595"/>
      <c r="BW139" s="595"/>
      <c r="BX139" s="592">
        <f t="shared" si="34"/>
        <v>0</v>
      </c>
      <c r="BY139" s="592"/>
      <c r="BZ139" s="592"/>
      <c r="CA139" s="593"/>
    </row>
    <row r="140" spans="1:79" ht="15" customHeight="1">
      <c r="A140" s="334">
        <v>5</v>
      </c>
      <c r="B140" s="328">
        <v>19</v>
      </c>
      <c r="C140" s="328">
        <f t="shared" si="35"/>
        <v>139</v>
      </c>
      <c r="D140" s="360" t="e">
        <f>IF(I140='Jour Férié'!F$13,'Jour Férié'!E$13,""&amp;IF(I140='Jour Férié'!B$8,'Jour Férié'!A$8,""&amp;IF(I140='Jour Férié'!B$10,'Jour Férié'!A$10,""&amp;IF(I140='Jour Férié'!B$6,'Jour Férié'!A$6,""&amp;IF(I140='Jour Férié'!B$7,'Jour Férié'!A$7,""&amp;IF(MOD(MATCH(I140,vacances!$A$3:$A$202,1),2)=1,"vacances",""))))))</f>
        <v>#N/A</v>
      </c>
      <c r="E140" s="490"/>
      <c r="F140" s="490"/>
      <c r="G140" s="490"/>
      <c r="H140" s="624"/>
      <c r="I140" s="361">
        <f t="shared" si="30"/>
        <v>43239</v>
      </c>
      <c r="J140" s="328"/>
      <c r="K140" s="328"/>
      <c r="L140" s="328"/>
      <c r="M140" s="496" t="s">
        <v>320</v>
      </c>
      <c r="N140" s="335">
        <f>(IF(WEEKDAY(I121,2)=6,(COUNTIF(E121,"*"))))*AND(IF(WEEKDAY(I122,2)=7,(COUNTIF(E122,"*"))))+(IF(WEEKDAY(I122,2)=6,(COUNTIF(E122,"*"))))*AND(IF(WEEKDAY(I123,2)=7,(COUNTIF(E123,"*"))))+(IF(WEEKDAY(I123,2)=6,(COUNTIF(E123,"*"))))*AND(IF(WEEKDAY(I124,2)=7,(COUNTIF(E124,"*"))))+(IF(WEEKDAY(I124,2)=6,(COUNTIF(E124,"*"))))*AND(IF(WEEKDAY(I125,2)=7,(COUNTIF(E125,"*"))))+(IF(WEEKDAY(I125,2)=6,(COUNTIF(E125,"*"))))*AND(IF(WEEKDAY(I126,2)=7,(COUNTIF(E126,"*"))))+(IF(WEEKDAY(I126,2)=6,(COUNTIF(E126,"*"))))*AND(IF(WEEKDAY(I127,2)=7,(COUNTIF(E127,"*"))))+(IF(WEEKDAY(I127,2)=6,(COUNTIF(E127,"*"))))*AND(IF(WEEKDAY(I128,2)=7,(COUNTIF(E128,"*"))))+(IF(WEEKDAY(I128,2)=6,(COUNTIF(E128,"*"))))*AND(IF(WEEKDAY(I129,2)=7,(COUNTIF(E129,"*"))))+(IF(WEEKDAY(I129,2)=6,(COUNTIF(E129,"*"))))*AND(IF(WEEKDAY(I130,2)=7,(COUNTIF(E130,"*"))))+(IF(WEEKDAY(I130,2)=6,(COUNTIF(E130,"*"))))*AND(IF(WEEKDAY(I131,2)=7,(COUNTIF(E131,"*"))))+(IF(WEEKDAY(I131,2)=6,(COUNTIF(E131,"*"))))*AND(IF(WEEKDAY(I132,2)=7,(COUNTIF(E132,"*"))))+(IF(WEEKDAY(I132,2)=6,(COUNTIF(E132,"*"))))*AND(IF(WEEKDAY(I133,2)=7,(COUNTIF(E133,"*"))))+(IF(WEEKDAY(I133,2)=6,(COUNTIF(E133,"*"))))*AND(IF(WEEKDAY(I134,2)=7,(COUNTIF(E134,"*"))))+(IF(WEEKDAY(I134,2)=6,(COUNTIF(E134,"*"))))*AND(IF(WEEKDAY(I135,2)=7,(COUNTIF(E135,"*"))))+(IF(WEEKDAY(I135,2)=6,(COUNTIF(E135,"*"))))*AND(IF(WEEKDAY(I136,2)=7,(COUNTIF(E136,"*"))))+(IF(WEEKDAY(I136,2)=6,(COUNTIF(E136,"*"))))*AND(IF(WEEKDAY(I137,2)=7,(COUNTIF(E137,"*"))))</f>
        <v>0</v>
      </c>
      <c r="O140" s="497">
        <f>SUM(N140:N141)</f>
        <v>0</v>
      </c>
      <c r="P140" s="328"/>
      <c r="Q140" s="550">
        <f>Q122</f>
        <v>43221</v>
      </c>
      <c r="R140" s="550"/>
      <c r="S140" s="550"/>
      <c r="T140" s="550"/>
      <c r="U140" s="550"/>
      <c r="V140" s="550"/>
      <c r="W140" s="550"/>
      <c r="X140" s="550"/>
      <c r="Y140" s="550"/>
      <c r="Z140" s="550"/>
      <c r="AA140" s="550"/>
      <c r="AB140" s="550"/>
      <c r="AC140" s="550"/>
      <c r="AD140" s="550"/>
      <c r="AE140" s="550"/>
      <c r="AF140" s="550"/>
      <c r="AG140" s="550"/>
      <c r="AH140" s="550"/>
      <c r="AI140" s="550"/>
      <c r="AJ140" s="550"/>
      <c r="AK140" s="550"/>
      <c r="AL140" s="550"/>
      <c r="AM140" s="550"/>
      <c r="AN140" s="550"/>
      <c r="AO140" s="550"/>
      <c r="AP140" s="550"/>
      <c r="AQ140" s="550"/>
      <c r="AR140" s="550"/>
      <c r="AS140" s="550"/>
      <c r="AT140" s="550"/>
      <c r="AU140" s="550"/>
      <c r="AV140" s="303"/>
      <c r="AW140" s="591" t="s">
        <v>265</v>
      </c>
      <c r="AX140" s="591"/>
      <c r="AY140" s="591"/>
      <c r="AZ140" s="591"/>
      <c r="BA140" s="591"/>
      <c r="BB140" s="591"/>
      <c r="BC140" s="591"/>
      <c r="BD140" s="591"/>
      <c r="BE140" s="591"/>
      <c r="BF140" s="591"/>
      <c r="BG140" s="591"/>
      <c r="BH140" s="591"/>
      <c r="BI140" s="590">
        <f>$AG$17*98.25%</f>
        <v>1918.3842558749998</v>
      </c>
      <c r="BJ140" s="590"/>
      <c r="BK140" s="590"/>
      <c r="BL140" s="590"/>
      <c r="BM140" s="594">
        <f>'FICHE DE PAIE'!AW$20</f>
        <v>2.4E-2</v>
      </c>
      <c r="BN140" s="594"/>
      <c r="BO140" s="594"/>
      <c r="BP140" s="594"/>
      <c r="BQ140" s="592">
        <f t="shared" si="33"/>
        <v>46.041222140999999</v>
      </c>
      <c r="BR140" s="592"/>
      <c r="BS140" s="592"/>
      <c r="BT140" s="592"/>
      <c r="BU140" s="595"/>
      <c r="BV140" s="595"/>
      <c r="BW140" s="595"/>
      <c r="BX140" s="592">
        <f t="shared" si="34"/>
        <v>0</v>
      </c>
      <c r="BY140" s="592"/>
      <c r="BZ140" s="592"/>
      <c r="CA140" s="593"/>
    </row>
    <row r="141" spans="1:79" ht="15" customHeight="1">
      <c r="A141" s="334">
        <v>5</v>
      </c>
      <c r="B141" s="328">
        <v>20</v>
      </c>
      <c r="C141" s="328">
        <f t="shared" si="35"/>
        <v>140</v>
      </c>
      <c r="D141" s="360" t="e">
        <f>IF(I141='Jour Férié'!F$13,'Jour Férié'!E$13,""&amp;IF(I141='Jour Férié'!B$8,'Jour Férié'!A$8,""&amp;IF(I141='Jour Férié'!B$10,'Jour Férié'!A$10,""&amp;IF(I141='Jour Férié'!B$6,'Jour Férié'!A$6,""&amp;IF(I141='Jour Férié'!B$7,'Jour Férié'!A$7,""&amp;IF(MOD(MATCH(I141,vacances!$A$3:$A$202,1),2)=1,"vacances",""))))))</f>
        <v>#N/A</v>
      </c>
      <c r="E141" s="490"/>
      <c r="F141" s="490"/>
      <c r="G141" s="490"/>
      <c r="H141" s="624"/>
      <c r="I141" s="361">
        <f t="shared" si="30"/>
        <v>43240</v>
      </c>
      <c r="J141" s="328"/>
      <c r="K141" s="328"/>
      <c r="L141" s="328"/>
      <c r="M141" s="496"/>
      <c r="N141" s="338">
        <f>(IF(WEEKDAY(I137,2)=6,(COUNTIF(E137,"*"))))*AND(IF(WEEKDAY(I138,2)=7,(COUNTIF(E138,"*"))))+(IF(WEEKDAY(I138,2)=6,(COUNTIF(E138,"*"))))*AND(IF(WEEKDAY(I139,2)=7,(COUNTIF(E139,"*"))))+(IF(WEEKDAY(I139,2)=6,(COUNTIF(E139,"*"))))*AND(IF(WEEKDAY(I140,2)=7,(COUNTIF(E140,"*"))))+(IF(WEEKDAY(I140,2)=6,(COUNTIF(E140,"*"))))*AND(IF(WEEKDAY(I141,2)=7,(COUNTIF(E141,"*"))))+(IF(WEEKDAY(I141,2)=6,(COUNTIF(E141,"*"))))*AND(IF(WEEKDAY(I142,2)=7,(COUNTIF(E142,"*"))))+(IF(WEEKDAY(I142,2)=6,(COUNTIF(E142,"*"))))*AND(IF(WEEKDAY(I143,2)=7,(COUNTIF(E143,"*"))))+(IF(WEEKDAY(I143,2)=6,(COUNTIF(E143,"*"))))*AND(IF(WEEKDAY(I144,2)=7,(COUNTIF(E144,"*"))))+(IF(WEEKDAY(I144,2)=6,(COUNTIF(E144,"*"))))*AND(IF(WEEKDAY(I145,2)=7,(COUNTIF(E145,"*"))))+(IF(WEEKDAY(I145,2)=6,(COUNTIF(E145,"*"))))*AND(IF(WEEKDAY(I146,2)=7,(COUNTIF(E146,"*"))))+(IF(WEEKDAY(I146,2)=6,(COUNTIF(E146,"*"))))*AND(IF(WEEKDAY(I147,2)=7,(COUNTIF(E147,"*"))))+(IF(WEEKDAY(I147,2)=6,(COUNTIF(E147,"*"))))*AND(IF(WEEKDAY(I148,2)=7,(COUNTIF(E148,"*"))))+(IF(WEEKDAY(I148,2)=6,(COUNTIF(E148,"*"))))*AND(IF(WEEKDAY(I149,2)=7,(COUNTIF(E149,"*"))))+(IF(WEEKDAY(I149,2)=6,(COUNTIF(E149,"*"))))*AND(IF(WEEKDAY(I150,2)=7,(COUNTIF(E150,"*"))))+(IF(WEEKDAY(I150,2)=6,(COUNTIF(E150,"*"))))*AND(IF(WEEKDAY(I151,2)=7,(COUNTIF(E151,"*"))))+(IF(WEEKDAY(I151,2)=6,(COUNTIF(E151,"*"))))*AND(IF(WEEKDAY(I152,2)=7,(COUNTIF(E152,"*"))))+(IF(WEEKDAY(I152,2)=6,(COUNTIF(E152,"*"))))*AND(IF(WEEKDAY(I153,2)=7,(COUNTIF(E153,"*"))))</f>
        <v>0</v>
      </c>
      <c r="O141" s="497"/>
      <c r="P141" s="328"/>
      <c r="Q141" s="281"/>
      <c r="R141" s="281"/>
      <c r="S141" s="281"/>
      <c r="T141" s="281"/>
      <c r="U141" s="281"/>
      <c r="V141" s="281"/>
      <c r="W141" s="281"/>
      <c r="X141" s="304"/>
      <c r="Y141" s="304"/>
      <c r="Z141" s="304"/>
      <c r="AA141" s="305"/>
      <c r="AB141" s="305"/>
      <c r="AC141" s="305"/>
      <c r="AD141" s="306"/>
      <c r="AE141" s="306"/>
      <c r="AF141" s="306"/>
      <c r="AG141" s="304"/>
      <c r="AH141" s="304"/>
      <c r="AI141" s="304"/>
      <c r="AJ141" s="304"/>
      <c r="AK141" s="304"/>
      <c r="AL141" s="304"/>
      <c r="AM141" s="304"/>
      <c r="AN141" s="304"/>
      <c r="AO141" s="304"/>
      <c r="AP141" s="304"/>
      <c r="AQ141" s="304"/>
      <c r="AR141" s="304"/>
      <c r="AS141" s="304"/>
      <c r="AT141" s="304"/>
      <c r="AU141" s="304"/>
      <c r="AV141" s="304"/>
      <c r="AW141" s="499" t="s">
        <v>266</v>
      </c>
      <c r="AX141" s="499"/>
      <c r="AY141" s="499"/>
      <c r="AZ141" s="499"/>
      <c r="BA141" s="499"/>
      <c r="BB141" s="499"/>
      <c r="BC141" s="499"/>
      <c r="BD141" s="499"/>
      <c r="BE141" s="499"/>
      <c r="BF141" s="499"/>
      <c r="BG141" s="499"/>
      <c r="BH141" s="499"/>
      <c r="BI141" s="590">
        <f>$AG$17*98.25%</f>
        <v>1918.3842558749998</v>
      </c>
      <c r="BJ141" s="590"/>
      <c r="BK141" s="590"/>
      <c r="BL141" s="590"/>
      <c r="BM141" s="594">
        <f>'FICHE DE PAIE'!AW$21</f>
        <v>5.0000000000000001E-3</v>
      </c>
      <c r="BN141" s="594"/>
      <c r="BO141" s="594"/>
      <c r="BP141" s="594"/>
      <c r="BQ141" s="592">
        <f t="shared" si="33"/>
        <v>9.5919212793749988</v>
      </c>
      <c r="BR141" s="592"/>
      <c r="BS141" s="592"/>
      <c r="BT141" s="592"/>
      <c r="BU141" s="595"/>
      <c r="BV141" s="595"/>
      <c r="BW141" s="595"/>
      <c r="BX141" s="592">
        <f t="shared" si="34"/>
        <v>0</v>
      </c>
      <c r="BY141" s="592"/>
      <c r="BZ141" s="592"/>
      <c r="CA141" s="593"/>
    </row>
    <row r="142" spans="1:79" ht="15" customHeight="1">
      <c r="A142" s="334">
        <v>5</v>
      </c>
      <c r="B142" s="328">
        <v>21</v>
      </c>
      <c r="C142" s="328">
        <f t="shared" si="35"/>
        <v>141</v>
      </c>
      <c r="D142" s="360" t="str">
        <f>IF(I142='Jour Férié'!F$13,'Jour Férié'!E$13,""&amp;IF(I142='Jour Férié'!B$8,'Jour Férié'!A$8,""&amp;IF(I142='Jour Férié'!B$10,'Jour Férié'!A$10,""&amp;IF(I142='Jour Férié'!B$6,'Jour Férié'!A$6,""&amp;IF(I142='Jour Férié'!B$7,'Jour Férié'!A$7,""&amp;IF(MOD(MATCH(I142,vacances!$A$3:$A$202,1),2)=1,"vacances",""))))))</f>
        <v>Lundi de Pentecôte</v>
      </c>
      <c r="E142" s="490"/>
      <c r="F142" s="490"/>
      <c r="G142" s="490"/>
      <c r="H142" s="624"/>
      <c r="I142" s="361">
        <f t="shared" si="30"/>
        <v>43241</v>
      </c>
      <c r="J142" s="328"/>
      <c r="K142" s="328"/>
      <c r="L142" s="328"/>
      <c r="M142" s="496" t="s">
        <v>321</v>
      </c>
      <c r="N142" s="338">
        <f>(IF(WEEKDAY(I121,2)=5,(COUNTIF(E121,$J$1))))*AND(IF(WEEKDAY(I124,2)=1,(COUNTIF(E124,"*"))))+(IF(WEEKDAY(I122,2)=5,(COUNTIF(E122,$J$1))))*AND(IF(WEEKDAY(I125,2)=1,(COUNTIF(E125,"*"))))+(IF(WEEKDAY(I123,2)=5,(COUNTIF(E123,$J$1))))*AND(IF(WEEKDAY(I126,2)=1,(COUNTIF(E126,"*"))))+(IF(WEEKDAY(I124,2)=5,(COUNTIF(E124,$J$1))))*AND(IF(WEEKDAY(I127,2)=1,(COUNTIF(E127,"*"))))+(IF(WEEKDAY(I125,2)=5,(COUNTIF(E125,$J$1))))*AND(IF(WEEKDAY(I128,2)=1,(COUNTIF(E128,"*"))))+(IF(WEEKDAY(I126,2)=5,(COUNTIF(E126,$J$1))))*AND(IF(WEEKDAY(I129,2)=1,(COUNTIF(E129,"*"))))+(IF(WEEKDAY(I127,2)=5,(COUNTIF(E127,$J$1))))*AND(IF(WEEKDAY(I130,2)=1,(COUNTIF(E130,"*"))))+(IF(WEEKDAY(I128,2)=5,(COUNTIF(E128,$J$1))))*AND(IF(WEEKDAY(I131,2)=1,(COUNTIF(E131,"*"))))+(IF(WEEKDAY(I129,2)=5,(COUNTIF(E129,$J$1))))*AND(IF(WEEKDAY(I132,2)=1,(COUNTIF(E132,"*"))))+(IF(WEEKDAY(I130,2)=5,(COUNTIF(E130,$J$1))))*AND(IF(WEEKDAY(I133,2)=1,(COUNTIF(E133,"*"))))+(IF(WEEKDAY(I131,2)=5,(COUNTIF(E131,$J$1))))*AND(IF(WEEKDAY(I134,2)=1,(COUNTIF(E134,"*"))))+(IF(WEEKDAY(I132,2)=5,(COUNTIF(E132,$J$1))))*AND(IF(WEEKDAY(I135,2)=1,(COUNTIF(E135,"*"))))+(IF(WEEKDAY(I133,2)=5,(COUNTIF(E133,$J$1))))*AND(IF(WEEKDAY(I136,2)=1,(COUNTIF(E136,"*"))))+(IF(WEEKDAY(I134,2)=5,(COUNTIF(E134,$J$1))))*AND(IF(WEEKDAY(I137,2)=1,(COUNTIF(E137,"*"))))+(IF(WEEKDAY(I135,2)=5,(COUNTIF(E135,$J$1))))*AND(IF(WEEKDAY(I138,2)=1,(COUNTIF(E138,"*"))))+(IF(WEEKDAY(I136,2)=5,(COUNTIF(E136,$J$1))))*AND(IF(WEEKDAY(I139,2)=1,(COUNTIF(E139,"*"))))+(IF(WEEKDAY(I137,2)=5,(COUNTIF(E137,$J$1))))*AND(IF(WEEKDAY(I140,2)=1,(COUNTIF(E140,"*"))))+(IF(WEEKDAY(I138,2)=5,(COUNTIF(E138,$J$1))))*AND(IF(WEEKDAY(I141,2)=1,(COUNTIF(E141,"*"))))</f>
        <v>0</v>
      </c>
      <c r="O142" s="497">
        <f>SUM(N142:N143)</f>
        <v>0</v>
      </c>
      <c r="P142" s="328"/>
      <c r="Q142" s="281"/>
      <c r="R142" s="281"/>
      <c r="S142" s="281"/>
      <c r="T142" s="281"/>
      <c r="U142" s="281"/>
      <c r="V142" s="281"/>
      <c r="W142" s="281"/>
      <c r="X142" s="307"/>
      <c r="Y142" s="307"/>
      <c r="Z142" s="307"/>
      <c r="AA142" s="308"/>
      <c r="AB142" s="308"/>
      <c r="AC142" s="308"/>
      <c r="AD142" s="309"/>
      <c r="AE142" s="309"/>
      <c r="AF142" s="309"/>
      <c r="AG142" s="307"/>
      <c r="AH142" s="307"/>
      <c r="AI142" s="307"/>
      <c r="AJ142" s="307"/>
      <c r="AK142" s="307"/>
      <c r="AL142" s="307"/>
      <c r="AM142" s="307"/>
      <c r="AN142" s="307"/>
      <c r="AO142" s="307"/>
      <c r="AP142" s="307"/>
      <c r="AQ142" s="307"/>
      <c r="AR142" s="307"/>
      <c r="AS142" s="307"/>
      <c r="AT142" s="307"/>
      <c r="AU142" s="307"/>
      <c r="AV142" s="307"/>
      <c r="AW142" s="499" t="s">
        <v>267</v>
      </c>
      <c r="AX142" s="499"/>
      <c r="AY142" s="499"/>
      <c r="AZ142" s="499"/>
      <c r="BA142" s="499"/>
      <c r="BB142" s="499"/>
      <c r="BC142" s="499"/>
      <c r="BD142" s="499"/>
      <c r="BE142" s="499"/>
      <c r="BF142" s="499"/>
      <c r="BG142" s="499"/>
      <c r="BH142" s="499"/>
      <c r="BI142" s="596">
        <f>BI138</f>
        <v>0</v>
      </c>
      <c r="BJ142" s="596"/>
      <c r="BK142" s="596"/>
      <c r="BL142" s="596"/>
      <c r="BM142" s="594">
        <f>'FICHE DE PAIE'!AW$22</f>
        <v>6.8000000000000005E-2</v>
      </c>
      <c r="BN142" s="594"/>
      <c r="BO142" s="594"/>
      <c r="BP142" s="594"/>
      <c r="BQ142" s="592">
        <f t="shared" si="33"/>
        <v>0</v>
      </c>
      <c r="BR142" s="592"/>
      <c r="BS142" s="592"/>
      <c r="BT142" s="592"/>
      <c r="BU142" s="595"/>
      <c r="BV142" s="595"/>
      <c r="BW142" s="595"/>
      <c r="BX142" s="592">
        <f t="shared" si="34"/>
        <v>0</v>
      </c>
      <c r="BY142" s="592"/>
      <c r="BZ142" s="592"/>
      <c r="CA142" s="593"/>
    </row>
    <row r="143" spans="1:79" ht="15" customHeight="1">
      <c r="A143" s="334">
        <v>5</v>
      </c>
      <c r="B143" s="328">
        <v>22</v>
      </c>
      <c r="C143" s="328">
        <f t="shared" si="35"/>
        <v>142</v>
      </c>
      <c r="D143" s="360" t="e">
        <f>IF(I143='Jour Férié'!F$13,'Jour Férié'!E$13,""&amp;IF(I143='Jour Férié'!B$8,'Jour Férié'!A$8,""&amp;IF(I143='Jour Férié'!B$10,'Jour Férié'!A$10,""&amp;IF(I143='Jour Férié'!B$6,'Jour Férié'!A$6,""&amp;IF(I143='Jour Férié'!B$7,'Jour Férié'!A$7,""&amp;IF(MOD(MATCH(I143,vacances!$A$3:$A$202,1),2)=1,"vacances",""))))))</f>
        <v>#N/A</v>
      </c>
      <c r="E143" s="490"/>
      <c r="F143" s="490"/>
      <c r="G143" s="490"/>
      <c r="H143" s="624"/>
      <c r="I143" s="361">
        <f t="shared" si="30"/>
        <v>43242</v>
      </c>
      <c r="J143" s="328"/>
      <c r="K143" s="328"/>
      <c r="L143" s="328"/>
      <c r="M143" s="496"/>
      <c r="N143" s="338">
        <f>(IF(WEEKDAY(I139,2)=5,(COUNTIF(E139,$J$1))))*AND(IF(WEEKDAY(I142,2)=1,(COUNTIF(E142,"*"))))+(IF(WEEKDAY(I140,2)=5,(COUNTIF(E140,$J$1))))*AND(IF(WEEKDAY(I143,2)=1,(COUNTIF(E143,"*"))))+(IF(WEEKDAY(I141,2)=5,(COUNTIF(E141,$J$1))))*AND(IF(WEEKDAY(I144,2)=1,(COUNTIF(E144,"*"))))+(IF(WEEKDAY(I142,2)=5,(COUNTIF(E142,$J$1))))*AND(IF(WEEKDAY(I145,2)=1,(COUNTIF(E145,"*"))))+(IF(WEEKDAY(I143,2)=5,(COUNTIF(E143,$J$1))))*AND(IF(WEEKDAY(I146,2)=1,(COUNTIF(E146,"*"))))+(IF(WEEKDAY(I144,2)=5,(COUNTIF(E144,$J$1))))*AND(IF(WEEKDAY(I147,2)=1,(COUNTIF(E147,"*"))))+(IF(WEEKDAY(I145,2)=5,(COUNTIF(E145,$J$1))))*AND(IF(WEEKDAY(I148,2)=1,(COUNTIF(E148,"*"))))+(IF(WEEKDAY(I146,2)=5,(COUNTIF(E146,$J$1))))*AND(IF(WEEKDAY(I149,2)=1,(COUNTIF(E149,"*"))))+(IF(WEEKDAY(I147,2)=5,(COUNTIF(E147,$J$1))))*AND(IF(WEEKDAY(I150,2)=1,(COUNTIF(E150,"*"))))+(IF(WEEKDAY(I148,2)=5,(COUNTIF(E148,$J$1))))*AND(IF(WEEKDAY(I151,2)=1,(COUNTIF(E151,"*"))))+(IF(WEEKDAY(I149,2)=5,(COUNTIF(E149,$J$1))))*AND(IF(WEEKDAY(I152,2)=1,(COUNTIF(E152,"*"))))+(IF(WEEKDAY(I150,2)=5,(COUNTIF(E150,$J$1))))*AND(IF(WEEKDAY(I153,2)=1,(COUNTIF(E153,"*"))))+(IF(WEEKDAY(I151,2)=5,(COUNTIF(E151,$J$1))))*AND(IF(WEEKDAY(I154,2)=1,(COUNTIF(E154,"*"))))+(IF(WEEKDAY(I152,2)=5,(COUNTIF(E152,$J$1))))*AND(IF(WEEKDAY(I155,2)=1,(COUNTIF(E155,"*"))))</f>
        <v>0</v>
      </c>
      <c r="O143" s="497"/>
      <c r="P143" s="328"/>
      <c r="Q143" s="281"/>
      <c r="R143" s="281"/>
      <c r="S143" s="281"/>
      <c r="T143" s="552" t="s">
        <v>272</v>
      </c>
      <c r="U143" s="552"/>
      <c r="V143" s="552"/>
      <c r="W143" s="552"/>
      <c r="X143" s="552"/>
      <c r="Y143" s="552"/>
      <c r="Z143" s="552"/>
      <c r="AA143" s="552"/>
      <c r="AB143" s="552"/>
      <c r="AC143" s="553">
        <f>BV149</f>
        <v>1407.7499809251249</v>
      </c>
      <c r="AD143" s="553"/>
      <c r="AE143" s="553"/>
      <c r="AF143" s="553"/>
      <c r="AG143" s="553"/>
      <c r="AH143" s="553"/>
      <c r="AI143" s="553"/>
      <c r="AJ143" s="553"/>
      <c r="AK143" s="553"/>
      <c r="AL143" s="553"/>
      <c r="AM143" s="553"/>
      <c r="AN143" s="553"/>
      <c r="AO143" s="553"/>
      <c r="AP143" s="553"/>
      <c r="AQ143" s="553"/>
      <c r="AR143" s="290"/>
      <c r="AS143" s="290"/>
      <c r="AT143" s="290"/>
      <c r="AU143" s="290"/>
      <c r="AV143" s="290"/>
      <c r="AW143" s="499" t="s">
        <v>268</v>
      </c>
      <c r="AX143" s="499"/>
      <c r="AY143" s="499"/>
      <c r="AZ143" s="499"/>
      <c r="BA143" s="499"/>
      <c r="BB143" s="499"/>
      <c r="BC143" s="499"/>
      <c r="BD143" s="499"/>
      <c r="BE143" s="499"/>
      <c r="BF143" s="499"/>
      <c r="BG143" s="499"/>
      <c r="BH143" s="499"/>
      <c r="BI143" s="596">
        <f>BI138</f>
        <v>0</v>
      </c>
      <c r="BJ143" s="596"/>
      <c r="BK143" s="596"/>
      <c r="BL143" s="596"/>
      <c r="BM143" s="594">
        <f>'FICHE DE PAIE'!AW$23</f>
        <v>2.9000000000000001E-2</v>
      </c>
      <c r="BN143" s="594"/>
      <c r="BO143" s="594"/>
      <c r="BP143" s="594"/>
      <c r="BQ143" s="592">
        <f t="shared" si="33"/>
        <v>0</v>
      </c>
      <c r="BR143" s="592"/>
      <c r="BS143" s="592"/>
      <c r="BT143" s="592"/>
      <c r="BU143" s="595"/>
      <c r="BV143" s="595"/>
      <c r="BW143" s="595"/>
      <c r="BX143" s="592">
        <f t="shared" si="34"/>
        <v>0</v>
      </c>
      <c r="BY143" s="592"/>
      <c r="BZ143" s="592"/>
      <c r="CA143" s="593"/>
    </row>
    <row r="144" spans="1:79" ht="15" customHeight="1">
      <c r="A144" s="334">
        <v>5</v>
      </c>
      <c r="B144" s="328">
        <v>23</v>
      </c>
      <c r="C144" s="328">
        <f t="shared" ref="C144:C159" si="36">VLOOKUP(A144,Données,4)+B144-1</f>
        <v>143</v>
      </c>
      <c r="D144" s="360" t="e">
        <f>IF(I144='Jour Férié'!F$13,'Jour Férié'!E$13,""&amp;IF(I144='Jour Férié'!B$8,'Jour Férié'!A$8,""&amp;IF(I144='Jour Férié'!B$10,'Jour Férié'!A$10,""&amp;IF(I144='Jour Férié'!B$6,'Jour Férié'!A$6,""&amp;IF(I144='Jour Férié'!B$7,'Jour Férié'!A$7,""&amp;IF(MOD(MATCH(I144,vacances!$A$3:$A$202,1),2)=1,"vacances",""))))))</f>
        <v>#N/A</v>
      </c>
      <c r="E144" s="490"/>
      <c r="F144" s="490"/>
      <c r="G144" s="490"/>
      <c r="H144" s="624"/>
      <c r="I144" s="361">
        <f t="shared" si="30"/>
        <v>43243</v>
      </c>
      <c r="J144" s="328"/>
      <c r="K144" s="328"/>
      <c r="L144" s="328"/>
      <c r="M144" s="496" t="s">
        <v>322</v>
      </c>
      <c r="N144" s="338">
        <f>((IF(WEEKDAY(I121,2)=7,(COUNTIF(E121,"*"))))*AND(IF(WEEKDAY(I122,2)=1,(COUNTIF(E122,"*")))))*AND(COUNTBLANK(E120))+((IF(WEEKDAY(I122,2)=7,(COUNTIF(E122,"*"))))*AND(IF(WEEKDAY(I123,2)=1,(COUNTIF(E123,"*")))))*AND(COUNTBLANK(E121))+((IF(WEEKDAY(I123,2)=7,(COUNTIF(E123,"*"))))*AND(IF(WEEKDAY(I124,2)=1,(COUNTIF(E124,"*"))))*AND(COUNTBLANK(E122)))+((IF(WEEKDAY(I124,2)=7,(COUNTIF(E124,"*"))))*AND(IF(WEEKDAY(I125,2)=1,(COUNTIF(E125,"*"))))*AND(COUNTBLANK(E123)))+((IF(WEEKDAY(I125,2)=7,(COUNTIF(E125,"*"))))*AND(IF(WEEKDAY(I126,2)=1,(COUNTIF(E126,"*"))))*AND(COUNTBLANK(E124)))+((IF(WEEKDAY(I126,2)=7,(COUNTIF(E126,"*"))))*AND(IF(WEEKDAY(I127,2)=1,(COUNTIF(E127,"*"))))*AND(COUNTBLANK(E125)))+((IF(WEEKDAY(I127,2)=7,(COUNTIF(E127,"*"))))*AND(IF(WEEKDAY(I128,2)=1,(COUNTIF(E128,"*"))))*AND(COUNTBLANK(E126)))+((IF(WEEKDAY(I128,2)=7,(COUNTIF(E128,"*"))))*AND(IF(WEEKDAY(I129,2)=1,(COUNTIF(E129,"*"))))*AND(COUNTBLANK(E127)))+((IF(WEEKDAY(I129,2)=7,(COUNTIF(E129,"*"))))*AND(IF(WEEKDAY(I130,2)=1,(COUNTIF(E130,"*"))))*AND(COUNTBLANK(E128)))</f>
        <v>0</v>
      </c>
      <c r="O144" s="497">
        <f>SUM(N144:N146)</f>
        <v>0</v>
      </c>
      <c r="P144" s="328"/>
      <c r="Q144" s="304"/>
      <c r="R144" s="304"/>
      <c r="S144" s="304"/>
      <c r="T144" s="552"/>
      <c r="U144" s="552"/>
      <c r="V144" s="552"/>
      <c r="W144" s="552"/>
      <c r="X144" s="552"/>
      <c r="Y144" s="552"/>
      <c r="Z144" s="552"/>
      <c r="AA144" s="552"/>
      <c r="AB144" s="552"/>
      <c r="AC144" s="553"/>
      <c r="AD144" s="553"/>
      <c r="AE144" s="553"/>
      <c r="AF144" s="553"/>
      <c r="AG144" s="553"/>
      <c r="AH144" s="553"/>
      <c r="AI144" s="553"/>
      <c r="AJ144" s="553"/>
      <c r="AK144" s="553"/>
      <c r="AL144" s="553"/>
      <c r="AM144" s="553"/>
      <c r="AN144" s="553"/>
      <c r="AO144" s="553"/>
      <c r="AP144" s="553"/>
      <c r="AQ144" s="553"/>
      <c r="AR144" s="304"/>
      <c r="AS144" s="304"/>
      <c r="AT144" s="304"/>
      <c r="AU144" s="304"/>
      <c r="AV144" s="304"/>
      <c r="AW144" s="499" t="s">
        <v>269</v>
      </c>
      <c r="AX144" s="499"/>
      <c r="AY144" s="499"/>
      <c r="AZ144" s="499"/>
      <c r="BA144" s="499"/>
      <c r="BB144" s="499"/>
      <c r="BC144" s="499"/>
      <c r="BD144" s="499"/>
      <c r="BE144" s="499"/>
      <c r="BF144" s="499"/>
      <c r="BG144" s="499"/>
      <c r="BH144" s="499"/>
      <c r="BI144" s="596"/>
      <c r="BJ144" s="596"/>
      <c r="BK144" s="596"/>
      <c r="BL144" s="596"/>
      <c r="BM144" s="590"/>
      <c r="BN144" s="590"/>
      <c r="BO144" s="590"/>
      <c r="BP144" s="590"/>
      <c r="BQ144" s="592">
        <v>9.52</v>
      </c>
      <c r="BR144" s="592"/>
      <c r="BS144" s="592"/>
      <c r="BT144" s="592"/>
      <c r="BU144" s="595"/>
      <c r="BV144" s="595"/>
      <c r="BW144" s="595"/>
      <c r="BX144" s="592">
        <f t="shared" si="34"/>
        <v>0</v>
      </c>
      <c r="BY144" s="592"/>
      <c r="BZ144" s="592"/>
      <c r="CA144" s="593"/>
    </row>
    <row r="145" spans="1:79" ht="15" customHeight="1">
      <c r="A145" s="334">
        <v>5</v>
      </c>
      <c r="B145" s="328">
        <v>24</v>
      </c>
      <c r="C145" s="328">
        <f t="shared" si="36"/>
        <v>144</v>
      </c>
      <c r="D145" s="360" t="e">
        <f>IF(I145='Jour Férié'!F$13,'Jour Férié'!E$13,""&amp;IF(I145='Jour Férié'!B$8,'Jour Férié'!A$8,""&amp;IF(I145='Jour Férié'!B$10,'Jour Férié'!A$10,""&amp;IF(I145='Jour Férié'!B$6,'Jour Férié'!A$6,""&amp;IF(I145='Jour Férié'!B$7,'Jour Férié'!A$7,""&amp;IF(MOD(MATCH(I145,vacances!$A$3:$A$202,1),2)=1,"vacances",""))))))</f>
        <v>#N/A</v>
      </c>
      <c r="E145" s="490"/>
      <c r="F145" s="490"/>
      <c r="G145" s="490"/>
      <c r="H145" s="624"/>
      <c r="I145" s="361">
        <f t="shared" si="30"/>
        <v>43244</v>
      </c>
      <c r="J145" s="574"/>
      <c r="K145" s="574"/>
      <c r="L145" s="574"/>
      <c r="M145" s="496"/>
      <c r="N145" s="335">
        <f>((IF(WEEKDAY(I130,2)=7,(COUNTIF(E130,"*"))))*AND(IF(WEEKDAY(I131,2)=1,(COUNTIF(E131,"*"))))*AND(COUNTBLANK(E129)))+((IF(WEEKDAY(I131,2)=7,(COUNTIF(E131,"*"))))*AND(IF(WEEKDAY(I132,2)=1,(COUNTIF(E132,"*"))))*AND(COUNTBLANK(E130)))+((IF(WEEKDAY(I132,2)=7,(COUNTIF(E132,"*"))))*AND(IF(WEEKDAY(I133,2)=1,(COUNTIF(E133,"*"))))*AND(COUNTBLANK(E131)))+((IF(WEEKDAY(I133,2)=7,(COUNTIF(E133,"*"))))*AND(IF(WEEKDAY(I134,2)=1,(COUNTIF(E134,"*"))))*AND(COUNTBLANK(E132)))+((IF(WEEKDAY(I134,2)=7,(COUNTIF(E134,"*"))))*AND(IF(WEEKDAY(I135,2)=1,(COUNTIF(E135,"*"))))*AND(COUNTBLANK(E133)))+((IF(WEEKDAY(I135,2)=7,(COUNTIF(E135,"*"))))*AND(IF(WEEKDAY(I136,2)=1,(COUNTIF(E136,"*"))))*AND(COUNTBLANK(E134)))+((IF(WEEKDAY(I136,2)=7,(COUNTIF(E136,"*"))))*AND(IF(WEEKDAY(I137,2)=1,(COUNTIF(E137,"*"))))*AND(COUNTBLANK(E135)))+((IF(WEEKDAY(I137,2)=7,(COUNTIF(E137,"*"))))*AND(IF(WEEKDAY(I138,2)=1,(COUNTIF(E138,"*"))))*AND(COUNTBLANK(E136)))+((IF(WEEKDAY(I138,2)=7,(COUNTIF(E138,"*"))))*AND(IF(WEEKDAY(I139,2)=1,(COUNTIF(E139,"*"))))*AND(COUNTBLANK(E137)))+((IF(WEEKDAY(I139,2)=7,(COUNTIF(E139,"*"))))*AND(IF(WEEKDAY(I140,2)=1,(COUNTIF(E140,"*"))))*AND(COUNTBLANK(E138)))+((IF(WEEKDAY(I140,2)=7,(COUNTIF(E140,"*"))))*AND(IF(WEEKDAY(I141,2)=1,(COUNTIF(E141,"*"))))*AND(COUNTBLANK(E138)))+((IF(WEEKDAY(I141,2)=7,(COUNTIF(E141,"*"))))*AND(IF(WEEKDAY(I142,2)=1,(COUNTIF(E142,"*"))))*AND(COUNTBLANK(E139)))+((IF(WEEKDAY(I142,2)=7,(COUNTIF(E142,"*"))))*AND(IF(WEEKDAY(I143,2)=1,(COUNTIF(E143,"*"))))*AND(COUNTBLANK(E140)))</f>
        <v>0</v>
      </c>
      <c r="O145" s="497"/>
      <c r="P145" s="328"/>
      <c r="Q145" s="307"/>
      <c r="R145" s="307"/>
      <c r="S145" s="307"/>
      <c r="T145" s="552"/>
      <c r="U145" s="552"/>
      <c r="V145" s="552"/>
      <c r="W145" s="552"/>
      <c r="X145" s="552"/>
      <c r="Y145" s="552"/>
      <c r="Z145" s="552"/>
      <c r="AA145" s="552"/>
      <c r="AB145" s="552"/>
      <c r="AC145" s="553"/>
      <c r="AD145" s="553"/>
      <c r="AE145" s="553"/>
      <c r="AF145" s="553"/>
      <c r="AG145" s="553"/>
      <c r="AH145" s="553"/>
      <c r="AI145" s="553"/>
      <c r="AJ145" s="553"/>
      <c r="AK145" s="553"/>
      <c r="AL145" s="553"/>
      <c r="AM145" s="553"/>
      <c r="AN145" s="553"/>
      <c r="AO145" s="553"/>
      <c r="AP145" s="553"/>
      <c r="AQ145" s="553"/>
      <c r="AR145" s="307"/>
      <c r="AS145" s="307"/>
      <c r="AT145" s="307"/>
      <c r="AU145" s="307"/>
      <c r="AV145" s="307"/>
      <c r="AW145" s="591"/>
      <c r="AX145" s="591"/>
      <c r="AY145" s="591"/>
      <c r="AZ145" s="591"/>
      <c r="BA145" s="591"/>
      <c r="BB145" s="591"/>
      <c r="BC145" s="591"/>
      <c r="BD145" s="591"/>
      <c r="BE145" s="591"/>
      <c r="BF145" s="591"/>
      <c r="BG145" s="591"/>
      <c r="BH145" s="591"/>
      <c r="BI145" s="590">
        <f>$Y$28</f>
        <v>0</v>
      </c>
      <c r="BJ145" s="590"/>
      <c r="BK145" s="590"/>
      <c r="BL145" s="590"/>
      <c r="BM145" s="590"/>
      <c r="BN145" s="590"/>
      <c r="BO145" s="590"/>
      <c r="BP145" s="590"/>
      <c r="BQ145" s="592">
        <f>BI145*BM145</f>
        <v>0</v>
      </c>
      <c r="BR145" s="592"/>
      <c r="BS145" s="592"/>
      <c r="BT145" s="592"/>
      <c r="BU145" s="595"/>
      <c r="BV145" s="595"/>
      <c r="BW145" s="595"/>
      <c r="BX145" s="592">
        <f t="shared" si="34"/>
        <v>0</v>
      </c>
      <c r="BY145" s="592"/>
      <c r="BZ145" s="592"/>
      <c r="CA145" s="593"/>
    </row>
    <row r="146" spans="1:79" ht="15" customHeight="1">
      <c r="A146" s="334">
        <v>5</v>
      </c>
      <c r="B146" s="328">
        <v>25</v>
      </c>
      <c r="C146" s="328">
        <f t="shared" si="36"/>
        <v>145</v>
      </c>
      <c r="D146" s="360" t="e">
        <f>IF(I146='Jour Férié'!F$13,'Jour Férié'!E$13,""&amp;IF(I146='Jour Férié'!B$8,'Jour Férié'!A$8,""&amp;IF(I146='Jour Férié'!B$10,'Jour Férié'!A$10,""&amp;IF(I146='Jour Férié'!B$6,'Jour Férié'!A$6,""&amp;IF(I146='Jour Férié'!B$7,'Jour Férié'!A$7,""&amp;IF(MOD(MATCH(I146,vacances!$A$3:$A$202,1),2)=1,"vacances",""))))))</f>
        <v>#N/A</v>
      </c>
      <c r="E146" s="490"/>
      <c r="F146" s="490"/>
      <c r="G146" s="490"/>
      <c r="H146" s="624"/>
      <c r="I146" s="361">
        <f t="shared" si="30"/>
        <v>43245</v>
      </c>
      <c r="J146" s="574"/>
      <c r="K146" s="574"/>
      <c r="L146" s="328"/>
      <c r="M146" s="496"/>
      <c r="N146" s="335">
        <f>((IF(WEEKDAY(I143,2)=7,(COUNTIF(E143,"*"))))*AND(IF(WEEKDAY(I144,2)=1,(COUNTIF(E144,"*"))))*AND(COUNTBLANK(E141)))+((IF(WEEKDAY(I144,2)=7,(COUNTIF(E144,"*"))))*AND(IF(WEEKDAY(I145,2)=1,(COUNTIF(E145,"*"))))*AND(COUNTBLANK(E142)))+((IF(WEEKDAY(I145,2)=7,(COUNTIF(E145,"*"))))*AND(IF(WEEKDAY(I146,2)=1,(COUNTIF(E146,"*"))))*AND(COUNTBLANK(E142)))+((IF(WEEKDAY(I146,2)=7,(COUNTIF(E146,"*"))))*AND(IF(WEEKDAY(I147,2)=1,(COUNTIF(E147,"*"))))*AND(COUNTBLANK(E144)))+((IF(WEEKDAY(I147,2)=7,(COUNTIF(E147,"*"))))*AND(IF(WEEKDAY(I148,2)=1,(COUNTIF(E148,"*"))))*AND(COUNTBLANK(E145)))+((IF(WEEKDAY(I148,2)=7,(COUNTIF(E148,"*"))))*AND(IF(WEEKDAY(I149,2)=1,(COUNTIF(E149,"*"))))*AND(COUNTBLANK(E146)))+((IF(WEEKDAY(I149,2)=7,(COUNTIF(E149,"*"))))*AND(IF(WEEKDAY(I150,2)=1,(COUNTIF(E150,"*"))))*AND(COUNTBLANK(E147)))+((IF(WEEKDAY(I150,2)=7,(COUNTIF(E150,"*"))))*AND(IF(WEEKDAY(I151,2)=1,(COUNTIF(E151,"*"))))*AND(COUNTBLANK(E148)))+((IF(WEEKDAY(I151,2)=7,(COUNTIF(E151,"*"))))*AND(IF(WEEKDAY(I152,2)=1,(COUNTIF(E152,"*"))))*AND(COUNTBLANK(E149)))+((IF(WEEKDAY(I152,2)=7,(COUNTIF(E152,"*"))))*AND(IF(WEEKDAY(I153,2)=1,(COUNTIF(E153,"*"))))*AND(COUNTBLANK(E150)))</f>
        <v>0</v>
      </c>
      <c r="O146" s="497"/>
      <c r="P146" s="328"/>
      <c r="Q146" s="290"/>
      <c r="R146" s="290"/>
      <c r="S146" s="290"/>
      <c r="T146" s="290"/>
      <c r="U146" s="290"/>
      <c r="V146" s="290"/>
      <c r="W146" s="290"/>
      <c r="X146" s="290"/>
      <c r="Y146" s="290"/>
      <c r="Z146" s="290"/>
      <c r="AA146" s="310"/>
      <c r="AB146" s="310"/>
      <c r="AC146" s="553"/>
      <c r="AD146" s="553"/>
      <c r="AE146" s="553"/>
      <c r="AF146" s="553"/>
      <c r="AG146" s="553"/>
      <c r="AH146" s="553"/>
      <c r="AI146" s="553"/>
      <c r="AJ146" s="553"/>
      <c r="AK146" s="553"/>
      <c r="AL146" s="553"/>
      <c r="AM146" s="553"/>
      <c r="AN146" s="553"/>
      <c r="AO146" s="553"/>
      <c r="AP146" s="553"/>
      <c r="AQ146" s="553"/>
      <c r="AR146" s="290"/>
      <c r="AS146" s="290"/>
      <c r="AT146" s="290"/>
      <c r="AU146" s="290"/>
      <c r="AV146" s="290"/>
      <c r="AW146" s="562" t="s">
        <v>270</v>
      </c>
      <c r="AX146" s="562"/>
      <c r="AY146" s="562"/>
      <c r="AZ146" s="562"/>
      <c r="BA146" s="562"/>
      <c r="BB146" s="562"/>
      <c r="BC146" s="562"/>
      <c r="BD146" s="562"/>
      <c r="BE146" s="562"/>
      <c r="BF146" s="562"/>
      <c r="BG146" s="562"/>
      <c r="BH146" s="562"/>
      <c r="BI146" s="587"/>
      <c r="BJ146" s="587"/>
      <c r="BK146" s="587"/>
      <c r="BL146" s="587"/>
      <c r="BM146" s="588">
        <f>SUM(BM125:BP145)</f>
        <v>0.32090000000000002</v>
      </c>
      <c r="BN146" s="588"/>
      <c r="BO146" s="588"/>
      <c r="BP146" s="588"/>
      <c r="BQ146" s="586">
        <f>SUM(BQ125:BT145)</f>
        <v>443.38236907487493</v>
      </c>
      <c r="BR146" s="586"/>
      <c r="BS146" s="586"/>
      <c r="BT146" s="586"/>
      <c r="BU146" s="311"/>
      <c r="BV146" s="7"/>
      <c r="BW146" s="7"/>
      <c r="BX146" s="586">
        <f>SUM(BX125:CA145)</f>
        <v>807.69346695699983</v>
      </c>
      <c r="BY146" s="586"/>
      <c r="BZ146" s="586"/>
      <c r="CA146" s="589"/>
    </row>
    <row r="147" spans="1:79" ht="15" customHeight="1">
      <c r="A147" s="334">
        <v>5</v>
      </c>
      <c r="B147" s="328">
        <v>26</v>
      </c>
      <c r="C147" s="328">
        <f t="shared" si="36"/>
        <v>146</v>
      </c>
      <c r="D147" s="360" t="e">
        <f>IF(I147='Jour Férié'!F$13,'Jour Férié'!E$13,""&amp;IF(I147='Jour Férié'!B$8,'Jour Férié'!A$8,""&amp;IF(I147='Jour Férié'!B$10,'Jour Férié'!A$10,""&amp;IF(I147='Jour Férié'!B$6,'Jour Férié'!A$6,""&amp;IF(I147='Jour Férié'!B$7,'Jour Férié'!A$7,""&amp;IF(MOD(MATCH(I147,vacances!$A$3:$A$202,1),2)=1,"vacances",""))))))</f>
        <v>#N/A</v>
      </c>
      <c r="E147" s="490"/>
      <c r="F147" s="490"/>
      <c r="G147" s="490"/>
      <c r="H147" s="624"/>
      <c r="I147" s="361">
        <f t="shared" si="30"/>
        <v>43246</v>
      </c>
      <c r="J147" s="332"/>
      <c r="K147" s="332"/>
      <c r="L147" s="495"/>
      <c r="M147" s="380" t="s">
        <v>323</v>
      </c>
      <c r="N147" s="574">
        <f>SUM(O140:O146)</f>
        <v>0</v>
      </c>
      <c r="O147" s="574"/>
      <c r="P147" s="328"/>
      <c r="Q147" s="304"/>
      <c r="R147" s="304"/>
      <c r="S147" s="304"/>
      <c r="T147" s="304"/>
      <c r="U147" s="304"/>
      <c r="V147" s="304"/>
      <c r="W147" s="304"/>
      <c r="X147" s="304"/>
      <c r="Y147" s="304"/>
      <c r="Z147" s="304"/>
      <c r="AA147" s="305"/>
      <c r="AB147" s="305"/>
      <c r="AC147" s="553"/>
      <c r="AD147" s="553"/>
      <c r="AE147" s="553"/>
      <c r="AF147" s="553"/>
      <c r="AG147" s="553"/>
      <c r="AH147" s="553"/>
      <c r="AI147" s="553"/>
      <c r="AJ147" s="553"/>
      <c r="AK147" s="553"/>
      <c r="AL147" s="553"/>
      <c r="AM147" s="553"/>
      <c r="AN147" s="553"/>
      <c r="AO147" s="553"/>
      <c r="AP147" s="553"/>
      <c r="AQ147" s="553"/>
      <c r="AR147" s="304"/>
      <c r="AS147" s="304"/>
      <c r="AT147" s="304"/>
      <c r="AU147" s="304"/>
      <c r="AV147" s="304"/>
      <c r="AW147" s="312" t="s">
        <v>271</v>
      </c>
      <c r="AX147" s="312"/>
      <c r="AY147" s="312"/>
      <c r="AZ147" s="312"/>
      <c r="BA147" s="312"/>
      <c r="BB147" s="312"/>
      <c r="BC147" s="312"/>
      <c r="BD147" s="313"/>
      <c r="BE147" s="313"/>
      <c r="BF147" s="313"/>
      <c r="BG147" s="313"/>
      <c r="BH147" s="313"/>
      <c r="BI147" s="569">
        <f>O125</f>
        <v>0</v>
      </c>
      <c r="BJ147" s="569"/>
      <c r="BK147" s="569"/>
      <c r="BL147" s="569"/>
      <c r="BM147" s="590">
        <f>'FICHE DE PAIE'!AW$27</f>
        <v>3.5259999999999998</v>
      </c>
      <c r="BN147" s="590"/>
      <c r="BO147" s="590"/>
      <c r="BP147" s="590"/>
      <c r="BQ147" s="381">
        <f>BI147*BM147</f>
        <v>0</v>
      </c>
      <c r="BR147" s="381"/>
      <c r="BS147" s="381"/>
      <c r="BT147" s="381"/>
      <c r="BU147" s="314"/>
      <c r="BV147" s="7"/>
      <c r="BW147" s="7"/>
      <c r="BX147" s="7"/>
      <c r="BY147" s="7"/>
      <c r="BZ147" s="7"/>
      <c r="CA147" s="315"/>
    </row>
    <row r="148" spans="1:79" ht="15" customHeight="1">
      <c r="A148" s="334">
        <v>5</v>
      </c>
      <c r="B148" s="328">
        <v>27</v>
      </c>
      <c r="C148" s="328">
        <f t="shared" si="36"/>
        <v>147</v>
      </c>
      <c r="D148" s="360" t="e">
        <f>IF(I148='Jour Férié'!F$13,'Jour Férié'!E$13,""&amp;IF(I148='Jour Férié'!B$8,'Jour Férié'!A$8,""&amp;IF(I148='Jour Férié'!B$10,'Jour Férié'!A$10,""&amp;IF(I148='Jour Férié'!B$6,'Jour Férié'!A$6,""&amp;IF(I148='Jour Férié'!B$7,'Jour Férié'!A$7,""&amp;IF(MOD(MATCH(I148,vacances!$A$3:$A$202,1),2)=1,"vacances",""))))))</f>
        <v>#N/A</v>
      </c>
      <c r="E148" s="490"/>
      <c r="F148" s="490"/>
      <c r="G148" s="490"/>
      <c r="H148" s="624"/>
      <c r="I148" s="361">
        <f t="shared" si="30"/>
        <v>43247</v>
      </c>
      <c r="J148" s="332"/>
      <c r="K148" s="332"/>
      <c r="L148" s="333"/>
      <c r="M148" s="328"/>
      <c r="N148" s="328"/>
      <c r="O148" s="375"/>
      <c r="P148" s="328"/>
      <c r="Q148" s="307"/>
      <c r="R148" s="307"/>
      <c r="S148" s="307"/>
      <c r="T148" s="307"/>
      <c r="U148" s="307"/>
      <c r="V148" s="307"/>
      <c r="W148" s="307"/>
      <c r="X148" s="307"/>
      <c r="Y148" s="307"/>
      <c r="Z148" s="307"/>
      <c r="AA148" s="308"/>
      <c r="AB148" s="308"/>
      <c r="AC148" s="553"/>
      <c r="AD148" s="553"/>
      <c r="AE148" s="553"/>
      <c r="AF148" s="553"/>
      <c r="AG148" s="553"/>
      <c r="AH148" s="553"/>
      <c r="AI148" s="553"/>
      <c r="AJ148" s="553"/>
      <c r="AK148" s="553"/>
      <c r="AL148" s="553"/>
      <c r="AM148" s="553"/>
      <c r="AN148" s="553"/>
      <c r="AO148" s="553"/>
      <c r="AP148" s="553"/>
      <c r="AQ148" s="553"/>
      <c r="AR148" s="307"/>
      <c r="AS148" s="307"/>
      <c r="AT148" s="307"/>
      <c r="AU148" s="307"/>
      <c r="AV148" s="307"/>
      <c r="AW148" s="550">
        <f>Q122</f>
        <v>43221</v>
      </c>
      <c r="AX148" s="550"/>
      <c r="AY148" s="550"/>
      <c r="AZ148" s="550"/>
      <c r="BA148" s="550"/>
      <c r="BB148" s="550"/>
      <c r="BC148" s="550"/>
      <c r="BD148" s="550"/>
      <c r="BE148" s="550"/>
      <c r="BF148" s="550"/>
      <c r="BG148" s="550"/>
      <c r="BH148" s="550"/>
      <c r="BI148" s="550"/>
      <c r="BJ148" s="550"/>
      <c r="BK148" s="550"/>
      <c r="BL148" s="550"/>
      <c r="BM148" s="550"/>
      <c r="BN148" s="550"/>
      <c r="BO148" s="550"/>
      <c r="BP148" s="550"/>
      <c r="BQ148" s="550"/>
      <c r="BR148" s="550"/>
      <c r="BS148" s="550"/>
      <c r="BT148" s="550"/>
      <c r="BU148" s="550"/>
      <c r="BV148" s="550"/>
      <c r="BW148" s="550"/>
      <c r="BX148" s="550"/>
      <c r="BY148" s="550"/>
      <c r="BZ148" s="550"/>
      <c r="CA148" s="551"/>
    </row>
    <row r="149" spans="1:79" ht="15" customHeight="1">
      <c r="A149" s="334">
        <v>5</v>
      </c>
      <c r="B149" s="328">
        <v>28</v>
      </c>
      <c r="C149" s="328">
        <f t="shared" si="36"/>
        <v>148</v>
      </c>
      <c r="D149" s="360" t="e">
        <f>IF(I149='Jour Férié'!F$13,'Jour Férié'!E$13,""&amp;IF(I149='Jour Férié'!B$8,'Jour Férié'!A$8,""&amp;IF(I149='Jour Férié'!B$10,'Jour Férié'!A$10,""&amp;IF(I149='Jour Férié'!B$6,'Jour Férié'!A$6,""&amp;IF(I149='Jour Férié'!B$7,'Jour Férié'!A$7,""&amp;IF(MOD(MATCH(I149,vacances!$A$3:$A$202,1),2)=1,"vacances",""))))))</f>
        <v>#N/A</v>
      </c>
      <c r="E149" s="490"/>
      <c r="F149" s="490"/>
      <c r="G149" s="490"/>
      <c r="H149" s="624"/>
      <c r="I149" s="361">
        <f t="shared" si="30"/>
        <v>43248</v>
      </c>
      <c r="J149" s="332"/>
      <c r="K149" s="328"/>
      <c r="L149" s="330"/>
      <c r="M149" s="328"/>
      <c r="N149" s="328"/>
      <c r="O149" s="375"/>
      <c r="P149" s="328"/>
      <c r="Q149" s="290"/>
      <c r="R149" s="290"/>
      <c r="S149" s="290"/>
      <c r="T149" s="290"/>
      <c r="U149" s="290"/>
      <c r="V149" s="290"/>
      <c r="W149" s="290"/>
      <c r="X149" s="290"/>
      <c r="Y149" s="290"/>
      <c r="Z149" s="290"/>
      <c r="AA149" s="310"/>
      <c r="AB149" s="310"/>
      <c r="AC149" s="553"/>
      <c r="AD149" s="553"/>
      <c r="AE149" s="553"/>
      <c r="AF149" s="553"/>
      <c r="AG149" s="553"/>
      <c r="AH149" s="553"/>
      <c r="AI149" s="553"/>
      <c r="AJ149" s="553"/>
      <c r="AK149" s="553"/>
      <c r="AL149" s="553"/>
      <c r="AM149" s="553"/>
      <c r="AN149" s="553"/>
      <c r="AO149" s="553"/>
      <c r="AP149" s="553"/>
      <c r="AQ149" s="553"/>
      <c r="AR149" s="290"/>
      <c r="AS149" s="290"/>
      <c r="AT149" s="290"/>
      <c r="AU149" s="290"/>
      <c r="AV149" s="290"/>
      <c r="AW149" s="313"/>
      <c r="AX149" s="313"/>
      <c r="AY149" s="313"/>
      <c r="AZ149" s="313"/>
      <c r="BA149" s="313"/>
      <c r="BB149" s="313"/>
      <c r="BC149" s="313"/>
      <c r="BD149" s="313"/>
      <c r="BE149" s="313"/>
      <c r="BF149" s="313"/>
      <c r="BG149" s="313"/>
      <c r="BH149" s="313"/>
      <c r="BI149" s="313"/>
      <c r="BJ149" s="313"/>
      <c r="BK149" s="313"/>
      <c r="BL149" s="316"/>
      <c r="BM149" s="316"/>
      <c r="BN149" s="587" t="s">
        <v>272</v>
      </c>
      <c r="BO149" s="587"/>
      <c r="BP149" s="587"/>
      <c r="BQ149" s="587"/>
      <c r="BR149" s="587"/>
      <c r="BS149" s="587"/>
      <c r="BT149" s="587"/>
      <c r="BU149" s="587"/>
      <c r="BV149" s="597">
        <f>AG138-BQ146+BQ147</f>
        <v>1407.7499809251249</v>
      </c>
      <c r="BW149" s="597"/>
      <c r="BX149" s="597"/>
      <c r="BY149" s="597"/>
      <c r="BZ149" s="597"/>
      <c r="CA149" s="598"/>
    </row>
    <row r="150" spans="1:79" ht="15" customHeight="1">
      <c r="A150" s="334">
        <v>5</v>
      </c>
      <c r="B150" s="328">
        <v>29</v>
      </c>
      <c r="C150" s="328">
        <f t="shared" si="36"/>
        <v>149</v>
      </c>
      <c r="D150" s="360" t="e">
        <f>IF(I150='Jour Férié'!F$13,'Jour Férié'!E$13,""&amp;IF(I150='Jour Férié'!B$8,'Jour Férié'!A$8,""&amp;IF(I150='Jour Férié'!B$10,'Jour Férié'!A$10,""&amp;IF(I150='Jour Férié'!B$6,'Jour Férié'!A$6,""&amp;IF(I150='Jour Férié'!B$7,'Jour Férié'!A$7,""&amp;IF(MOD(MATCH(I150,vacances!$A$3:$A$202,1),2)=1,"vacances",""))))))</f>
        <v>#N/A</v>
      </c>
      <c r="E150" s="490"/>
      <c r="F150" s="490"/>
      <c r="G150" s="490"/>
      <c r="H150" s="624"/>
      <c r="I150" s="361">
        <f t="shared" si="30"/>
        <v>43249</v>
      </c>
      <c r="J150" s="332"/>
      <c r="K150" s="328"/>
      <c r="L150" s="330"/>
      <c r="M150" s="328"/>
      <c r="N150" s="328"/>
      <c r="O150" s="375"/>
      <c r="P150" s="328"/>
      <c r="Q150" s="304"/>
      <c r="R150" s="304"/>
      <c r="S150" s="304"/>
      <c r="T150" s="304"/>
      <c r="U150" s="304"/>
      <c r="V150" s="304"/>
      <c r="W150" s="304"/>
      <c r="X150" s="304"/>
      <c r="Y150" s="304"/>
      <c r="Z150" s="304"/>
      <c r="AA150" s="305"/>
      <c r="AB150" s="305"/>
      <c r="AC150" s="553"/>
      <c r="AD150" s="553"/>
      <c r="AE150" s="553"/>
      <c r="AF150" s="553"/>
      <c r="AG150" s="553"/>
      <c r="AH150" s="553"/>
      <c r="AI150" s="553"/>
      <c r="AJ150" s="553"/>
      <c r="AK150" s="553"/>
      <c r="AL150" s="553"/>
      <c r="AM150" s="553"/>
      <c r="AN150" s="553"/>
      <c r="AO150" s="553"/>
      <c r="AP150" s="553"/>
      <c r="AQ150" s="553"/>
      <c r="AR150" s="304"/>
      <c r="AS150" s="304"/>
      <c r="AT150" s="304"/>
      <c r="AU150" s="304"/>
      <c r="AV150" s="304"/>
      <c r="AW150" s="317"/>
      <c r="AX150" s="317"/>
      <c r="AY150" s="317"/>
      <c r="AZ150" s="317"/>
      <c r="BA150" s="317"/>
      <c r="BB150" s="317"/>
      <c r="BC150" s="317"/>
      <c r="BD150" s="317"/>
      <c r="BE150" s="317"/>
      <c r="BF150" s="317"/>
      <c r="BG150" s="317"/>
      <c r="BH150" s="317"/>
      <c r="BI150" s="317"/>
      <c r="BJ150" s="317"/>
      <c r="BK150" s="317"/>
      <c r="BL150" s="585" t="s">
        <v>273</v>
      </c>
      <c r="BM150" s="585"/>
      <c r="BN150" s="585"/>
      <c r="BO150" s="585"/>
      <c r="BP150" s="585"/>
      <c r="BQ150" s="585"/>
      <c r="BR150" s="585"/>
      <c r="BS150" s="585"/>
      <c r="BT150" s="585"/>
      <c r="BU150" s="586">
        <f>BV149-BQ146+BQ147</f>
        <v>964.36761185024989</v>
      </c>
      <c r="BV150" s="586"/>
      <c r="BW150" s="586"/>
      <c r="BX150" s="586"/>
      <c r="BY150" s="586"/>
      <c r="BZ150" s="586"/>
      <c r="CA150" s="341"/>
    </row>
    <row r="151" spans="1:79" ht="15" customHeight="1">
      <c r="A151" s="334">
        <v>5</v>
      </c>
      <c r="B151" s="328">
        <v>30</v>
      </c>
      <c r="C151" s="328">
        <f t="shared" si="36"/>
        <v>150</v>
      </c>
      <c r="D151" s="360" t="e">
        <f>IF(I151='Jour Férié'!F$13,'Jour Férié'!E$13,""&amp;IF(I151='Jour Férié'!B$8,'Jour Férié'!A$8,""&amp;IF(I151='Jour Férié'!B$10,'Jour Férié'!A$10,""&amp;IF(I151='Jour Férié'!B$6,'Jour Férié'!A$6,""&amp;IF(I151='Jour Férié'!B$7,'Jour Férié'!A$7,""&amp;IF(MOD(MATCH(I151,vacances!$A$3:$A$202,1),2)=1,"vacances",""))))))</f>
        <v>#N/A</v>
      </c>
      <c r="E151" s="490"/>
      <c r="F151" s="490"/>
      <c r="G151" s="490"/>
      <c r="H151" s="624"/>
      <c r="I151" s="361">
        <f t="shared" si="30"/>
        <v>43250</v>
      </c>
      <c r="J151" s="332"/>
      <c r="K151" s="328"/>
      <c r="L151" s="330"/>
      <c r="M151" s="328"/>
      <c r="N151" s="328"/>
      <c r="O151" s="375"/>
      <c r="P151" s="328"/>
      <c r="Q151" s="7"/>
      <c r="R151" s="7"/>
      <c r="S151" s="7"/>
      <c r="T151" s="7"/>
      <c r="U151" s="7"/>
      <c r="V151" s="7"/>
      <c r="W151" s="7"/>
      <c r="X151" s="7"/>
      <c r="Y151" s="7"/>
      <c r="Z151" s="7"/>
      <c r="AA151" s="340"/>
      <c r="AB151" s="340"/>
      <c r="AC151" s="340"/>
      <c r="AD151" s="351"/>
      <c r="AE151" s="351"/>
      <c r="AF151" s="351"/>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315"/>
    </row>
    <row r="152" spans="1:79" ht="15" customHeight="1" thickBot="1">
      <c r="A152" s="420">
        <v>5</v>
      </c>
      <c r="B152" s="329">
        <v>31</v>
      </c>
      <c r="C152" s="329">
        <f t="shared" si="36"/>
        <v>151</v>
      </c>
      <c r="D152" s="421" t="e">
        <f>IF(I152='Jour Férié'!F$13,'Jour Férié'!E$13,""&amp;IF(I152='Jour Férié'!B$8,'Jour Férié'!A$8,""&amp;IF(I152='Jour Férié'!B$10,'Jour Férié'!A$10,""&amp;IF(I152='Jour Férié'!B$6,'Jour Férié'!A$6,""&amp;IF(I152='Jour Férié'!B$7,'Jour Férié'!A$7,""&amp;IF(MOD(MATCH(I152,vacances!$A$3:$A$202,1),2)=1,"vacances",""))))))</f>
        <v>#N/A</v>
      </c>
      <c r="E152" s="491"/>
      <c r="F152" s="491"/>
      <c r="G152" s="491"/>
      <c r="H152" s="625"/>
      <c r="I152" s="422">
        <f t="shared" si="30"/>
        <v>43251</v>
      </c>
      <c r="J152" s="329"/>
      <c r="K152" s="329"/>
      <c r="L152" s="329"/>
      <c r="M152" s="329"/>
      <c r="N152" s="329"/>
      <c r="O152" s="423"/>
      <c r="P152" s="329"/>
      <c r="Q152" s="345"/>
      <c r="R152" s="345"/>
      <c r="S152" s="345"/>
      <c r="T152" s="345"/>
      <c r="U152" s="345"/>
      <c r="V152" s="345"/>
      <c r="W152" s="345"/>
      <c r="X152" s="345"/>
      <c r="Y152" s="345"/>
      <c r="Z152" s="345"/>
      <c r="AA152" s="346"/>
      <c r="AB152" s="346"/>
      <c r="AC152" s="346"/>
      <c r="AD152" s="352"/>
      <c r="AE152" s="352"/>
      <c r="AF152" s="352"/>
      <c r="AG152" s="345"/>
      <c r="AH152" s="345"/>
      <c r="AI152" s="345"/>
      <c r="AJ152" s="345"/>
      <c r="AK152" s="345"/>
      <c r="AL152" s="345"/>
      <c r="AM152" s="345"/>
      <c r="AN152" s="345"/>
      <c r="AO152" s="345"/>
      <c r="AP152" s="345"/>
      <c r="AQ152" s="345"/>
      <c r="AR152" s="345"/>
      <c r="AS152" s="345"/>
      <c r="AT152" s="345"/>
      <c r="AU152" s="345"/>
      <c r="AV152" s="345"/>
      <c r="AW152" s="345"/>
      <c r="AX152" s="345"/>
      <c r="AY152" s="345"/>
      <c r="AZ152" s="345"/>
      <c r="BA152" s="345"/>
      <c r="BB152" s="345"/>
      <c r="BC152" s="345"/>
      <c r="BD152" s="345"/>
      <c r="BE152" s="345"/>
      <c r="BF152" s="345"/>
      <c r="BG152" s="345"/>
      <c r="BH152" s="345"/>
      <c r="BI152" s="345"/>
      <c r="BJ152" s="345"/>
      <c r="BK152" s="345"/>
      <c r="BL152" s="345"/>
      <c r="BM152" s="345"/>
      <c r="BN152" s="345"/>
      <c r="BO152" s="345"/>
      <c r="BP152" s="345"/>
      <c r="BQ152" s="345"/>
      <c r="BR152" s="345"/>
      <c r="BS152" s="345"/>
      <c r="BT152" s="345"/>
      <c r="BU152" s="345"/>
      <c r="BV152" s="345"/>
      <c r="BW152" s="345"/>
      <c r="BX152" s="345"/>
      <c r="BY152" s="345"/>
      <c r="BZ152" s="345"/>
      <c r="CA152" s="353"/>
    </row>
    <row r="153" spans="1:79" ht="15" customHeight="1">
      <c r="A153" s="528">
        <v>6</v>
      </c>
      <c r="B153" s="527">
        <v>1</v>
      </c>
      <c r="C153" s="527">
        <f t="shared" si="36"/>
        <v>152</v>
      </c>
      <c r="D153" s="188" t="e">
        <f>IF(I153='Jour Férié'!F$6,'Jour Férié'!E$6,""&amp;IF(I153='Jour Férié'!F$7,'Jour Férié'!E$7,""&amp;IF(I153='Jour Férié'!F$8,'Jour Férié'!E$8,""&amp;IF(I153='Jour Férié'!B$8,'Jour Férié'!A$8,""&amp;IF(I153='Jour Férié'!B$10,'Jour Férié'!A$10,""&amp;IF(MOD(MATCH(I153,vacances!$A$3:$A$202,1),2)=1,"vacances",""))))))</f>
        <v>#N/A</v>
      </c>
      <c r="E153" s="529"/>
      <c r="F153" s="529"/>
      <c r="G153" s="529"/>
      <c r="H153" s="627" t="s">
        <v>49</v>
      </c>
      <c r="I153" s="530">
        <f>DATE(annee,6,1)</f>
        <v>43252</v>
      </c>
      <c r="J153" s="531" t="s">
        <v>201</v>
      </c>
      <c r="K153" s="532" t="s">
        <v>202</v>
      </c>
      <c r="L153" s="533"/>
      <c r="M153" s="534" t="s">
        <v>203</v>
      </c>
      <c r="N153" s="534"/>
      <c r="O153" s="535">
        <f>(COUNTIF($E153:$E182,$J153))</f>
        <v>0</v>
      </c>
      <c r="P153" s="527"/>
      <c r="Q153" s="560">
        <f>DATE(annee,1,1)</f>
        <v>43101</v>
      </c>
      <c r="R153" s="560"/>
      <c r="S153" s="560"/>
      <c r="T153" s="560"/>
      <c r="U153" s="560"/>
      <c r="V153" s="560"/>
      <c r="W153" s="560"/>
      <c r="X153" s="560"/>
      <c r="Y153" s="560"/>
      <c r="Z153" s="560"/>
      <c r="AA153" s="560"/>
      <c r="AB153" s="560"/>
      <c r="AC153" s="560"/>
      <c r="AD153" s="560"/>
      <c r="AE153" s="560"/>
      <c r="AF153" s="560"/>
      <c r="AG153" s="560"/>
      <c r="AH153" s="560"/>
      <c r="AI153" s="560"/>
      <c r="AJ153" s="560"/>
      <c r="AK153" s="560"/>
      <c r="AL153" s="560"/>
      <c r="AM153" s="560"/>
      <c r="AN153" s="560"/>
      <c r="AO153" s="560"/>
      <c r="AP153" s="560"/>
      <c r="AQ153" s="560"/>
      <c r="AR153" s="560"/>
      <c r="AS153" s="560"/>
      <c r="AT153" s="560"/>
      <c r="AU153" s="560"/>
      <c r="AV153" s="292"/>
      <c r="AW153" s="560">
        <f>Q153</f>
        <v>43101</v>
      </c>
      <c r="AX153" s="560"/>
      <c r="AY153" s="560"/>
      <c r="AZ153" s="560"/>
      <c r="BA153" s="560"/>
      <c r="BB153" s="560"/>
      <c r="BC153" s="560"/>
      <c r="BD153" s="560"/>
      <c r="BE153" s="560"/>
      <c r="BF153" s="560"/>
      <c r="BG153" s="560"/>
      <c r="BH153" s="560"/>
      <c r="BI153" s="560"/>
      <c r="BJ153" s="560"/>
      <c r="BK153" s="560"/>
      <c r="BL153" s="560"/>
      <c r="BM153" s="560"/>
      <c r="BN153" s="560"/>
      <c r="BO153" s="560"/>
      <c r="BP153" s="560"/>
      <c r="BQ153" s="560"/>
      <c r="BR153" s="560"/>
      <c r="BS153" s="560"/>
      <c r="BT153" s="560"/>
      <c r="BU153" s="560"/>
      <c r="BV153" s="560"/>
      <c r="BW153" s="560"/>
      <c r="BX153" s="560"/>
      <c r="BY153" s="560"/>
      <c r="BZ153" s="560"/>
      <c r="CA153" s="607"/>
    </row>
    <row r="154" spans="1:79" ht="15" customHeight="1">
      <c r="A154" s="355">
        <v>6</v>
      </c>
      <c r="B154" s="316">
        <v>2</v>
      </c>
      <c r="C154" s="316">
        <f>VLOOKUP(A154,Données,4)+B154-1</f>
        <v>153</v>
      </c>
      <c r="D154" s="153" t="e">
        <f>IF(I154='Jour Férié'!F$6,'Jour Férié'!E$6,""&amp;IF(I154='Jour Férié'!F$7,'Jour Férié'!E$7,""&amp;IF(I154='Jour Férié'!F$8,'Jour Férié'!E$8,""&amp;IF(I154='Jour Férié'!B$8,'Jour Férié'!A$8,""&amp;IF(I154='Jour Férié'!B$10,'Jour Férié'!A$10,""&amp;IF(MOD(MATCH(I154,vacances!$A$3:$A$202,1),2)=1,"vacances",""))))))</f>
        <v>#N/A</v>
      </c>
      <c r="E154" s="492"/>
      <c r="F154" s="492"/>
      <c r="G154" s="492"/>
      <c r="H154" s="628"/>
      <c r="I154" s="399">
        <f t="shared" ref="I154:I182" si="37">DATE(annee,6,1)+B153</f>
        <v>43253</v>
      </c>
      <c r="J154" s="400" t="s">
        <v>204</v>
      </c>
      <c r="K154" s="401" t="s">
        <v>205</v>
      </c>
      <c r="L154" s="354"/>
      <c r="M154" s="358" t="s">
        <v>206</v>
      </c>
      <c r="N154" s="358"/>
      <c r="O154" s="402">
        <f>(COUNTIF($E153:$E182,$J154))</f>
        <v>0</v>
      </c>
      <c r="P154" s="316"/>
      <c r="Q154" s="365"/>
      <c r="R154" s="365"/>
      <c r="S154" s="365"/>
      <c r="T154" s="365"/>
      <c r="U154" s="365"/>
      <c r="V154" s="365"/>
      <c r="W154" s="365"/>
      <c r="X154" s="365"/>
      <c r="Y154" s="365"/>
      <c r="Z154" s="365"/>
      <c r="AA154" s="366"/>
      <c r="AB154" s="366"/>
      <c r="AC154" s="366"/>
      <c r="AD154" s="367"/>
      <c r="AE154" s="367"/>
      <c r="AF154" s="367"/>
      <c r="AG154" s="365"/>
      <c r="AH154" s="365"/>
      <c r="AI154" s="365"/>
      <c r="AJ154" s="365"/>
      <c r="AK154" s="365"/>
      <c r="AL154" s="365"/>
      <c r="AM154" s="365"/>
      <c r="AN154" s="365"/>
      <c r="AO154" s="365"/>
      <c r="AP154" s="368"/>
      <c r="AQ154" s="368"/>
      <c r="AR154" s="368"/>
      <c r="AS154" s="368"/>
      <c r="AT154" s="368"/>
      <c r="AU154" s="368"/>
      <c r="AV154" s="290"/>
      <c r="AW154" s="608" t="s">
        <v>229</v>
      </c>
      <c r="AX154" s="608"/>
      <c r="AY154" s="608"/>
      <c r="AZ154" s="608"/>
      <c r="BA154" s="608"/>
      <c r="BB154" s="608"/>
      <c r="BC154" s="608"/>
      <c r="BD154" s="608"/>
      <c r="BE154" s="608"/>
      <c r="BF154" s="608"/>
      <c r="BG154" s="608"/>
      <c r="BH154" s="608"/>
      <c r="BI154" s="293"/>
      <c r="BJ154" s="293"/>
      <c r="BK154" s="293"/>
      <c r="BL154" s="585" t="s">
        <v>230</v>
      </c>
      <c r="BM154" s="585"/>
      <c r="BN154" s="585"/>
      <c r="BO154" s="585"/>
      <c r="BP154" s="585"/>
      <c r="BQ154" s="585"/>
      <c r="BR154" s="585"/>
      <c r="BS154" s="585"/>
      <c r="BT154" s="585"/>
      <c r="BU154" s="585" t="s">
        <v>231</v>
      </c>
      <c r="BV154" s="585"/>
      <c r="BW154" s="585"/>
      <c r="BX154" s="585"/>
      <c r="BY154" s="585"/>
      <c r="BZ154" s="585"/>
      <c r="CA154" s="609"/>
    </row>
    <row r="155" spans="1:79" ht="15" customHeight="1">
      <c r="A155" s="355">
        <v>6</v>
      </c>
      <c r="B155" s="316">
        <v>3</v>
      </c>
      <c r="C155" s="316">
        <f t="shared" si="36"/>
        <v>154</v>
      </c>
      <c r="D155" s="153" t="e">
        <f>IF(I155='Jour Férié'!F$6,'Jour Férié'!E$6,""&amp;IF(I155='Jour Férié'!F$7,'Jour Férié'!E$7,""&amp;IF(I155='Jour Férié'!F$8,'Jour Férié'!E$8,""&amp;IF(I155='Jour Férié'!B$8,'Jour Férié'!A$8,""&amp;IF(I155='Jour Férié'!B$10,'Jour Férié'!A$10,""&amp;IF(MOD(MATCH(I155,vacances!$A$3:$A$202,1),2)=1,"vacances",""))))))</f>
        <v>#N/A</v>
      </c>
      <c r="E155" s="492"/>
      <c r="F155" s="492"/>
      <c r="G155" s="492"/>
      <c r="H155" s="628"/>
      <c r="I155" s="399">
        <f t="shared" si="37"/>
        <v>43254</v>
      </c>
      <c r="J155" s="616" t="s">
        <v>207</v>
      </c>
      <c r="K155" s="616"/>
      <c r="L155" s="354"/>
      <c r="M155" s="358" t="s">
        <v>208</v>
      </c>
      <c r="N155" s="358"/>
      <c r="O155" s="402">
        <f>(COUNTIF($E153:$E182,$J155))</f>
        <v>0</v>
      </c>
      <c r="P155" s="316"/>
      <c r="Q155" s="555" t="str">
        <f>'FICHE DE PAIE'!A$4</f>
        <v>Salaire de base</v>
      </c>
      <c r="R155" s="555"/>
      <c r="S155" s="555"/>
      <c r="T155" s="555"/>
      <c r="U155" s="555"/>
      <c r="V155" s="555"/>
      <c r="W155" s="555"/>
      <c r="X155" s="555"/>
      <c r="Y155" s="555"/>
      <c r="Z155" s="494"/>
      <c r="AA155" s="556">
        <f>'FICHE DE PAIE'!$K$4</f>
        <v>151.66999999999999</v>
      </c>
      <c r="AB155" s="556"/>
      <c r="AC155" s="556"/>
      <c r="AD155" s="558">
        <f>'FICHE DE PAIE'!N$4</f>
        <v>12.074</v>
      </c>
      <c r="AE155" s="558"/>
      <c r="AF155" s="558"/>
      <c r="AG155" s="559">
        <f t="shared" ref="AG155:AG160" si="38">AA155*AD155</f>
        <v>1831.2635799999998</v>
      </c>
      <c r="AH155" s="559"/>
      <c r="AI155" s="559"/>
      <c r="AJ155" s="559"/>
      <c r="AK155" s="567" t="s">
        <v>233</v>
      </c>
      <c r="AL155" s="567"/>
      <c r="AM155" s="567"/>
      <c r="AN155" s="567"/>
      <c r="AO155" s="568">
        <v>2946</v>
      </c>
      <c r="AP155" s="568"/>
      <c r="AQ155" s="568"/>
      <c r="AR155" s="500"/>
      <c r="AS155" s="500"/>
      <c r="AT155" s="500"/>
      <c r="AU155" s="297"/>
      <c r="AV155" s="290"/>
      <c r="AW155" s="608"/>
      <c r="AX155" s="608"/>
      <c r="AY155" s="608"/>
      <c r="AZ155" s="608"/>
      <c r="BA155" s="608"/>
      <c r="BB155" s="608"/>
      <c r="BC155" s="608"/>
      <c r="BD155" s="608"/>
      <c r="BE155" s="608"/>
      <c r="BF155" s="608"/>
      <c r="BG155" s="608"/>
      <c r="BH155" s="608"/>
      <c r="BI155" s="611" t="s">
        <v>234</v>
      </c>
      <c r="BJ155" s="611"/>
      <c r="BK155" s="611"/>
      <c r="BL155" s="611"/>
      <c r="BM155" s="611" t="s">
        <v>235</v>
      </c>
      <c r="BN155" s="611"/>
      <c r="BO155" s="611"/>
      <c r="BP155" s="611"/>
      <c r="BQ155" s="611" t="s">
        <v>236</v>
      </c>
      <c r="BR155" s="611"/>
      <c r="BS155" s="611"/>
      <c r="BT155" s="611"/>
      <c r="BU155" s="611" t="s">
        <v>235</v>
      </c>
      <c r="BV155" s="611"/>
      <c r="BW155" s="611"/>
      <c r="BX155" s="611" t="s">
        <v>236</v>
      </c>
      <c r="BY155" s="611"/>
      <c r="BZ155" s="611"/>
      <c r="CA155" s="612"/>
    </row>
    <row r="156" spans="1:79" ht="15" customHeight="1">
      <c r="A156" s="355">
        <v>6</v>
      </c>
      <c r="B156" s="316">
        <v>4</v>
      </c>
      <c r="C156" s="316">
        <f t="shared" si="36"/>
        <v>155</v>
      </c>
      <c r="D156" s="153" t="str">
        <f>IF(I156='Jour Férié'!F$6,'Jour Férié'!E$6,""&amp;IF(I156='Jour Férié'!F$7,'Jour Férié'!E$7,""&amp;IF(I156='Jour Férié'!F$8,'Jour Férié'!E$8,""&amp;IF(I156='Jour Férié'!B$8,'Jour Férié'!A$8,""&amp;IF(I156='Jour Férié'!B$10,'Jour Férié'!A$10,""&amp;IF(MOD(MATCH(I156,vacances!$A$3:$A$202,1),2)=1,"vacances",""))))))</f>
        <v>Maël</v>
      </c>
      <c r="E156" s="492"/>
      <c r="F156" s="492"/>
      <c r="G156" s="492"/>
      <c r="H156" s="628"/>
      <c r="I156" s="399">
        <f t="shared" si="37"/>
        <v>43255</v>
      </c>
      <c r="J156" s="316"/>
      <c r="K156" s="403" t="s">
        <v>209</v>
      </c>
      <c r="L156" s="354"/>
      <c r="M156" s="358" t="s">
        <v>210</v>
      </c>
      <c r="N156" s="358"/>
      <c r="O156" s="402">
        <f>SUM(O153:O155)</f>
        <v>0</v>
      </c>
      <c r="P156" s="316"/>
      <c r="Q156" s="555" t="str">
        <f>'FICHE DE PAIE'!A$5</f>
        <v>HS à 25%</v>
      </c>
      <c r="R156" s="555"/>
      <c r="S156" s="555"/>
      <c r="T156" s="555"/>
      <c r="U156" s="555"/>
      <c r="V156" s="555"/>
      <c r="W156" s="555"/>
      <c r="X156" s="555"/>
      <c r="Y156" s="555"/>
      <c r="Z156" s="494"/>
      <c r="AA156" s="561"/>
      <c r="AB156" s="561"/>
      <c r="AC156" s="561"/>
      <c r="AD156" s="558">
        <f>'FICHE DE PAIE'!N$5</f>
        <v>15.092499999999999</v>
      </c>
      <c r="AE156" s="558"/>
      <c r="AF156" s="558"/>
      <c r="AG156" s="559">
        <f t="shared" si="38"/>
        <v>0</v>
      </c>
      <c r="AH156" s="559"/>
      <c r="AI156" s="559"/>
      <c r="AJ156" s="559"/>
      <c r="AK156" s="294"/>
      <c r="AL156" s="294"/>
      <c r="AM156" s="294"/>
      <c r="AN156" s="295"/>
      <c r="AO156" s="295"/>
      <c r="AP156" s="295"/>
      <c r="AQ156" s="295"/>
      <c r="AR156" s="295"/>
      <c r="AS156" s="295"/>
      <c r="AT156" s="295"/>
      <c r="AU156" s="295"/>
      <c r="AV156" s="290"/>
      <c r="AW156" s="591" t="s">
        <v>238</v>
      </c>
      <c r="AX156" s="591"/>
      <c r="AY156" s="591"/>
      <c r="AZ156" s="591"/>
      <c r="BA156" s="591"/>
      <c r="BB156" s="591"/>
      <c r="BC156" s="591"/>
      <c r="BD156" s="591"/>
      <c r="BE156" s="591"/>
      <c r="BF156" s="591"/>
      <c r="BG156" s="591"/>
      <c r="BH156" s="591"/>
      <c r="BI156" s="590">
        <f>$AG$17</f>
        <v>1952.5539499999998</v>
      </c>
      <c r="BJ156" s="590"/>
      <c r="BK156" s="590"/>
      <c r="BL156" s="590"/>
      <c r="BM156" s="594">
        <f>'FICHE DE PAIE'!AW$5</f>
        <v>4.0000000000000001E-3</v>
      </c>
      <c r="BN156" s="594"/>
      <c r="BO156" s="594"/>
      <c r="BP156" s="594"/>
      <c r="BQ156" s="592">
        <f>BI156*BM156</f>
        <v>7.810215799999999</v>
      </c>
      <c r="BR156" s="592"/>
      <c r="BS156" s="592"/>
      <c r="BT156" s="592"/>
      <c r="BU156" s="594">
        <f>'FICHE DE PAIE'!BE$5</f>
        <v>0.152</v>
      </c>
      <c r="BV156" s="594"/>
      <c r="BW156" s="594"/>
      <c r="BX156" s="592">
        <f>BI156*BU156</f>
        <v>296.78820039999994</v>
      </c>
      <c r="BY156" s="592"/>
      <c r="BZ156" s="592"/>
      <c r="CA156" s="593"/>
    </row>
    <row r="157" spans="1:79" ht="15" customHeight="1">
      <c r="A157" s="355">
        <v>6</v>
      </c>
      <c r="B157" s="316">
        <v>5</v>
      </c>
      <c r="C157" s="316">
        <f t="shared" si="36"/>
        <v>156</v>
      </c>
      <c r="D157" s="153" t="e">
        <f>IF(I157='Jour Férié'!F$6,'Jour Férié'!E$6,""&amp;IF(I157='Jour Férié'!F$7,'Jour Férié'!E$7,""&amp;IF(I157='Jour Férié'!F$8,'Jour Férié'!E$8,""&amp;IF(I157='Jour Férié'!B$8,'Jour Férié'!A$8,""&amp;IF(I157='Jour Férié'!B$10,'Jour Férié'!A$10,""&amp;IF(MOD(MATCH(I157,vacances!$A$3:$A$202,1),2)=1,"vacances",""))))))</f>
        <v>#N/A</v>
      </c>
      <c r="E157" s="492"/>
      <c r="F157" s="492"/>
      <c r="G157" s="492"/>
      <c r="H157" s="628"/>
      <c r="I157" s="399">
        <f t="shared" si="37"/>
        <v>43256</v>
      </c>
      <c r="J157" s="316"/>
      <c r="K157" s="316"/>
      <c r="L157" s="354"/>
      <c r="M157" s="358" t="s">
        <v>211</v>
      </c>
      <c r="N157" s="358"/>
      <c r="O157" s="402">
        <f ca="1">(COUNTIF(I153:I161,dimanche(COUNTIF($E153:$E182,$J154))))</f>
        <v>0</v>
      </c>
      <c r="P157" s="316"/>
      <c r="Q157" s="555" t="str">
        <f>'FICHE DE PAIE'!A$6</f>
        <v>HS à 50%</v>
      </c>
      <c r="R157" s="555"/>
      <c r="S157" s="555"/>
      <c r="T157" s="555"/>
      <c r="U157" s="555"/>
      <c r="V157" s="555"/>
      <c r="W157" s="555"/>
      <c r="X157" s="555"/>
      <c r="Y157" s="555"/>
      <c r="Z157" s="494"/>
      <c r="AA157" s="561"/>
      <c r="AB157" s="561"/>
      <c r="AC157" s="561"/>
      <c r="AD157" s="558">
        <f>'FICHE DE PAIE'!N$6</f>
        <v>18.111000000000001</v>
      </c>
      <c r="AE157" s="558"/>
      <c r="AF157" s="558"/>
      <c r="AG157" s="559">
        <f t="shared" si="38"/>
        <v>0</v>
      </c>
      <c r="AH157" s="559"/>
      <c r="AI157" s="559"/>
      <c r="AJ157" s="559"/>
      <c r="AK157" s="294"/>
      <c r="AL157" s="294"/>
      <c r="AM157" s="294"/>
      <c r="AN157" s="295"/>
      <c r="AO157" s="295"/>
      <c r="AP157" s="295"/>
      <c r="AQ157" s="295"/>
      <c r="AR157" s="295"/>
      <c r="AS157" s="295"/>
      <c r="AT157" s="295"/>
      <c r="AU157" s="295"/>
      <c r="AV157" s="290"/>
      <c r="AW157" s="591" t="s">
        <v>240</v>
      </c>
      <c r="AX157" s="591"/>
      <c r="AY157" s="591"/>
      <c r="AZ157" s="591"/>
      <c r="BA157" s="591"/>
      <c r="BB157" s="591"/>
      <c r="BC157" s="591"/>
      <c r="BD157" s="591"/>
      <c r="BE157" s="591"/>
      <c r="BF157" s="591"/>
      <c r="BG157" s="591"/>
      <c r="BH157" s="591"/>
      <c r="BI157" s="590">
        <f t="shared" ref="BI157:BI168" si="39">$AG$17</f>
        <v>1952.5539499999998</v>
      </c>
      <c r="BJ157" s="590"/>
      <c r="BK157" s="590"/>
      <c r="BL157" s="590"/>
      <c r="BM157" s="594">
        <f>'FICHE DE PAIE'!AW$6</f>
        <v>6.9000000000000006E-2</v>
      </c>
      <c r="BN157" s="594"/>
      <c r="BO157" s="594"/>
      <c r="BP157" s="594"/>
      <c r="BQ157" s="592">
        <f t="shared" ref="BQ157:BQ174" si="40">BI157*BM157</f>
        <v>134.72622254999999</v>
      </c>
      <c r="BR157" s="592"/>
      <c r="BS157" s="592"/>
      <c r="BT157" s="592"/>
      <c r="BU157" s="594">
        <f>'FICHE DE PAIE'!BE$6</f>
        <v>8.5500000000000007E-2</v>
      </c>
      <c r="BV157" s="594"/>
      <c r="BW157" s="594"/>
      <c r="BX157" s="592">
        <f t="shared" ref="BX157:BX176" si="41">BI157*BU157</f>
        <v>166.94336272499999</v>
      </c>
      <c r="BY157" s="592"/>
      <c r="BZ157" s="592"/>
      <c r="CA157" s="593"/>
    </row>
    <row r="158" spans="1:79" ht="15" customHeight="1">
      <c r="A158" s="355">
        <v>6</v>
      </c>
      <c r="B158" s="316">
        <v>6</v>
      </c>
      <c r="C158" s="316">
        <f t="shared" si="36"/>
        <v>157</v>
      </c>
      <c r="D158" s="153" t="str">
        <f>IF(I158='Jour Férié'!F$6,'Jour Férié'!E$6,""&amp;IF(I158='Jour Férié'!F$7,'Jour Férié'!E$7,""&amp;IF(I158='Jour Férié'!F$8,'Jour Férié'!E$8,""&amp;IF(I158='Jour Férié'!B$8,'Jour Férié'!A$8,""&amp;IF(I158='Jour Férié'!B$10,'Jour Férié'!A$10,""&amp;IF(MOD(MATCH(I158,vacances!$A$3:$A$202,1),2)=1,"vacances",""))))))</f>
        <v>Mamie Babeth</v>
      </c>
      <c r="E158" s="492"/>
      <c r="F158" s="492"/>
      <c r="G158" s="492"/>
      <c r="H158" s="628"/>
      <c r="I158" s="399">
        <f t="shared" si="37"/>
        <v>43257</v>
      </c>
      <c r="J158" s="316"/>
      <c r="K158" s="403" t="s">
        <v>212</v>
      </c>
      <c r="L158" s="354"/>
      <c r="M158" s="358" t="s">
        <v>213</v>
      </c>
      <c r="N158" s="358"/>
      <c r="O158" s="402">
        <f>SUM(O153:O154)</f>
        <v>0</v>
      </c>
      <c r="P158" s="316"/>
      <c r="Q158" s="555" t="str">
        <f>'FICHE DE PAIE'!A$7</f>
        <v>MAJORATION DIMANCHE</v>
      </c>
      <c r="R158" s="555"/>
      <c r="S158" s="555"/>
      <c r="T158" s="555"/>
      <c r="U158" s="555"/>
      <c r="V158" s="555"/>
      <c r="W158" s="555"/>
      <c r="X158" s="555"/>
      <c r="Y158" s="555"/>
      <c r="Z158" s="494"/>
      <c r="AA158" s="557">
        <f>O163</f>
        <v>0</v>
      </c>
      <c r="AB158" s="557"/>
      <c r="AC158" s="557"/>
      <c r="AD158" s="558">
        <f>'FICHE DE PAIE'!N$7</f>
        <v>1.2074</v>
      </c>
      <c r="AE158" s="558"/>
      <c r="AF158" s="558"/>
      <c r="AG158" s="559">
        <f t="shared" si="38"/>
        <v>0</v>
      </c>
      <c r="AH158" s="559"/>
      <c r="AI158" s="559"/>
      <c r="AJ158" s="559"/>
      <c r="AK158" s="294"/>
      <c r="AL158" s="294"/>
      <c r="AM158" s="294"/>
      <c r="AN158" s="295"/>
      <c r="AO158" s="295"/>
      <c r="AP158" s="295"/>
      <c r="AQ158" s="295"/>
      <c r="AR158" s="295"/>
      <c r="AS158" s="295"/>
      <c r="AT158" s="295"/>
      <c r="AU158" s="295"/>
      <c r="AV158" s="290"/>
      <c r="AW158" s="591" t="s">
        <v>242</v>
      </c>
      <c r="AX158" s="591"/>
      <c r="AY158" s="591"/>
      <c r="AZ158" s="591"/>
      <c r="BA158" s="591"/>
      <c r="BB158" s="591"/>
      <c r="BC158" s="591"/>
      <c r="BD158" s="591"/>
      <c r="BE158" s="591"/>
      <c r="BF158" s="591"/>
      <c r="BG158" s="591"/>
      <c r="BH158" s="591"/>
      <c r="BI158" s="590">
        <f t="shared" si="39"/>
        <v>1952.5539499999998</v>
      </c>
      <c r="BJ158" s="590"/>
      <c r="BK158" s="590"/>
      <c r="BL158" s="590"/>
      <c r="BM158" s="590"/>
      <c r="BN158" s="590"/>
      <c r="BO158" s="590"/>
      <c r="BP158" s="590"/>
      <c r="BQ158" s="592">
        <f t="shared" si="40"/>
        <v>0</v>
      </c>
      <c r="BR158" s="592"/>
      <c r="BS158" s="592"/>
      <c r="BT158" s="592"/>
      <c r="BU158" s="594">
        <f>'FICHE DE PAIE'!BE$7</f>
        <v>1E-3</v>
      </c>
      <c r="BV158" s="594"/>
      <c r="BW158" s="594"/>
      <c r="BX158" s="592">
        <f t="shared" si="41"/>
        <v>1.9525539499999998</v>
      </c>
      <c r="BY158" s="592"/>
      <c r="BZ158" s="592"/>
      <c r="CA158" s="593"/>
    </row>
    <row r="159" spans="1:79" ht="15" customHeight="1">
      <c r="A159" s="355">
        <v>6</v>
      </c>
      <c r="B159" s="316">
        <v>7</v>
      </c>
      <c r="C159" s="316">
        <f t="shared" si="36"/>
        <v>158</v>
      </c>
      <c r="D159" s="153" t="e">
        <f>IF(I159='Jour Férié'!F$6,'Jour Férié'!E$6,""&amp;IF(I159='Jour Férié'!F$7,'Jour Férié'!E$7,""&amp;IF(I159='Jour Férié'!F$8,'Jour Férié'!E$8,""&amp;IF(I159='Jour Férié'!B$8,'Jour Férié'!A$8,""&amp;IF(I159='Jour Férié'!B$10,'Jour Férié'!A$10,""&amp;IF(MOD(MATCH(I159,vacances!$A$3:$A$202,1),2)=1,"vacances",""))))))</f>
        <v>#N/A</v>
      </c>
      <c r="E159" s="492"/>
      <c r="F159" s="492"/>
      <c r="G159" s="492"/>
      <c r="H159" s="628"/>
      <c r="I159" s="399">
        <f t="shared" si="37"/>
        <v>43258</v>
      </c>
      <c r="J159" s="316"/>
      <c r="K159" s="316"/>
      <c r="L159" s="354"/>
      <c r="M159" s="401" t="s">
        <v>214</v>
      </c>
      <c r="N159" s="401"/>
      <c r="O159" s="404">
        <f>((6*COUNTIF(E152,J153))+(3*COUNTIF(E153,J153))+((6*COUNTIF(E153,J153))+(3*COUNTIF(E154,J153)))+((6*COUNTIF(E154,J153))+(3*COUNTIF(E155,J153)))+((6*COUNTIF(E155,J153))+(3*COUNTIF(E156,J153)))+((6*COUNTIF(E156,J153))+(3*COUNTIF(E157,J153)))+((6*COUNTIF(E157,J153))+(3*COUNTIF(E158,J153)))+((6*COUNTIF(E158,J153))+(3*COUNTIF(E159,J153)))+((6*COUNTIF(E159,J153))+(3*COUNTIF(E160,J153)))+((6*COUNTIF(E160,J153))+(3*COUNTIF(E161,J153)))+((6*COUNTIF(E161,J153))+(3*COUNTIF(E162,J153)))+((6*COUNTIF(E162,J153))+(3*COUNTIF(E163,J153)))+((6*COUNTIF(E163,J153))+(3*COUNTIF(E164,J153)))+((6*COUNTIF(E164,J153))+(3*COUNTIF(E165,J153)))+((6*COUNTIF(E165,J153))+(3*COUNTIF(E166,J153)))+((6*COUNTIF(E166,J153))+(3*COUNTIF(E167,J153)))+((6*COUNTIF(E167,J153))+(3*COUNTIF(E168,J153)))+((6*COUNTIF(E168,J153))+(3*COUNTIF(E169,J153)))+((6*COUNTIF(E169,J153))+(3*COUNTIF(E170,J153)))+((6*COUNTIF(E170,J153))+(3*COUNTIF(E171,J153)))+((6*COUNTIF(E171,J153))+(3*COUNTIF(E172,J153)))+((6*COUNTIF(E172,J153))+(3*COUNTIF(E173,J153)))+((6*COUNTIF(E173,J153))+(3*COUNTIF(E174,J153)))+((6*COUNTIF(E174,J153))+(3*COUNTIF(E175,J153)))+((6*COUNTIF(E175,J153))+(3*COUNTIF(E176,J153)))+((6*COUNTIF(E176,J153))+(3*COUNTIF(E177,J153)))+((6*COUNTIF(E177,J153))+(3*COUNTIF(E178,J153)))+((6*COUNTIF(E178,J153))+(3*COUNTIF(E179,J153)))+((6*COUNTIF(E179,J153))+(3*COUNTIF(E180,J153)))+((6*COUNTIF(E180,J153))+(3*COUNTIF(E181,J153)))+((6*COUNTIF(E181,J153))+(3*COUNTIF(E182,J153))))</f>
        <v>0</v>
      </c>
      <c r="P159" s="316"/>
      <c r="Q159" s="555" t="str">
        <f>'FICHE DE PAIE'!A$8</f>
        <v>MAJORATION NUIT</v>
      </c>
      <c r="R159" s="555"/>
      <c r="S159" s="555"/>
      <c r="T159" s="555"/>
      <c r="U159" s="555"/>
      <c r="V159" s="555"/>
      <c r="W159" s="555"/>
      <c r="X159" s="555"/>
      <c r="Y159" s="555"/>
      <c r="Z159" s="494"/>
      <c r="AA159" s="557">
        <f>O159</f>
        <v>0</v>
      </c>
      <c r="AB159" s="557"/>
      <c r="AC159" s="557"/>
      <c r="AD159" s="558">
        <f>'FICHE DE PAIE'!N$8</f>
        <v>1.2074</v>
      </c>
      <c r="AE159" s="558"/>
      <c r="AF159" s="558"/>
      <c r="AG159" s="559">
        <f t="shared" si="38"/>
        <v>0</v>
      </c>
      <c r="AH159" s="559"/>
      <c r="AI159" s="559"/>
      <c r="AJ159" s="559"/>
      <c r="AK159" s="294"/>
      <c r="AL159" s="294"/>
      <c r="AM159" s="294"/>
      <c r="AN159" s="295"/>
      <c r="AO159" s="295"/>
      <c r="AP159" s="295"/>
      <c r="AQ159" s="295"/>
      <c r="AR159" s="295"/>
      <c r="AS159" s="295"/>
      <c r="AT159" s="295"/>
      <c r="AU159" s="295"/>
      <c r="AV159" s="290"/>
      <c r="AW159" s="591" t="s">
        <v>244</v>
      </c>
      <c r="AX159" s="591"/>
      <c r="AY159" s="591"/>
      <c r="AZ159" s="591"/>
      <c r="BA159" s="591"/>
      <c r="BB159" s="591"/>
      <c r="BC159" s="591"/>
      <c r="BD159" s="591"/>
      <c r="BE159" s="591"/>
      <c r="BF159" s="591"/>
      <c r="BG159" s="591"/>
      <c r="BH159" s="591"/>
      <c r="BI159" s="590">
        <f t="shared" si="39"/>
        <v>1952.5539499999998</v>
      </c>
      <c r="BJ159" s="590"/>
      <c r="BK159" s="590"/>
      <c r="BL159" s="590"/>
      <c r="BM159" s="590"/>
      <c r="BN159" s="590"/>
      <c r="BO159" s="590"/>
      <c r="BP159" s="590"/>
      <c r="BQ159" s="592">
        <f t="shared" si="40"/>
        <v>0</v>
      </c>
      <c r="BR159" s="592"/>
      <c r="BS159" s="592"/>
      <c r="BT159" s="592"/>
      <c r="BU159" s="594">
        <f>'FICHE DE PAIE'!BE$8</f>
        <v>4.0000000000000001E-3</v>
      </c>
      <c r="BV159" s="594"/>
      <c r="BW159" s="594"/>
      <c r="BX159" s="592">
        <f t="shared" si="41"/>
        <v>7.810215799999999</v>
      </c>
      <c r="BY159" s="592"/>
      <c r="BZ159" s="592"/>
      <c r="CA159" s="593"/>
    </row>
    <row r="160" spans="1:79" ht="15" customHeight="1">
      <c r="A160" s="355">
        <v>6</v>
      </c>
      <c r="B160" s="316">
        <v>8</v>
      </c>
      <c r="C160" s="316">
        <f t="shared" ref="C160:C175" si="42">VLOOKUP(A160,Données,4)+B160-1</f>
        <v>159</v>
      </c>
      <c r="D160" s="153" t="e">
        <f>IF(I160='Jour Férié'!F$6,'Jour Férié'!E$6,""&amp;IF(I160='Jour Férié'!F$7,'Jour Férié'!E$7,""&amp;IF(I160='Jour Férié'!F$8,'Jour Férié'!E$8,""&amp;IF(I160='Jour Férié'!B$8,'Jour Férié'!A$8,""&amp;IF(I160='Jour Férié'!B$10,'Jour Férié'!A$10,""&amp;IF(MOD(MATCH(I160,vacances!$A$3:$A$202,1),2)=1,"vacances",""))))))</f>
        <v>#N/A</v>
      </c>
      <c r="E160" s="492"/>
      <c r="F160" s="492"/>
      <c r="G160" s="492"/>
      <c r="H160" s="628"/>
      <c r="I160" s="399">
        <f t="shared" si="37"/>
        <v>43259</v>
      </c>
      <c r="J160" s="405" t="s">
        <v>215</v>
      </c>
      <c r="K160" s="403" t="s">
        <v>216</v>
      </c>
      <c r="L160" s="354"/>
      <c r="M160" s="358" t="s">
        <v>217</v>
      </c>
      <c r="N160" s="358"/>
      <c r="O160" s="402">
        <f>O154*12</f>
        <v>0</v>
      </c>
      <c r="P160" s="316"/>
      <c r="Q160" s="555" t="str">
        <f>'FICHE DE PAIE'!A$9</f>
        <v>MAJORATION JOUR FERIE</v>
      </c>
      <c r="R160" s="555"/>
      <c r="S160" s="555"/>
      <c r="T160" s="555"/>
      <c r="U160" s="555"/>
      <c r="V160" s="555"/>
      <c r="W160" s="555"/>
      <c r="X160" s="555"/>
      <c r="Y160" s="555"/>
      <c r="Z160" s="494"/>
      <c r="AA160" s="557">
        <f>O165</f>
        <v>0</v>
      </c>
      <c r="AB160" s="557"/>
      <c r="AC160" s="557"/>
      <c r="AD160" s="558">
        <f>'FICHE DE PAIE'!N$9</f>
        <v>12.074</v>
      </c>
      <c r="AE160" s="558"/>
      <c r="AF160" s="558"/>
      <c r="AG160" s="559">
        <f t="shared" si="38"/>
        <v>0</v>
      </c>
      <c r="AH160" s="559"/>
      <c r="AI160" s="559"/>
      <c r="AJ160" s="559"/>
      <c r="AK160" s="294"/>
      <c r="AL160" s="294"/>
      <c r="AM160" s="294"/>
      <c r="AN160" s="295"/>
      <c r="AO160" s="295"/>
      <c r="AP160" s="295"/>
      <c r="AQ160" s="295"/>
      <c r="AR160" s="295"/>
      <c r="AS160" s="295"/>
      <c r="AT160" s="295"/>
      <c r="AU160" s="295"/>
      <c r="AV160" s="290"/>
      <c r="AW160" s="591" t="s">
        <v>246</v>
      </c>
      <c r="AX160" s="591"/>
      <c r="AY160" s="591"/>
      <c r="AZ160" s="591"/>
      <c r="BA160" s="591"/>
      <c r="BB160" s="591"/>
      <c r="BC160" s="591"/>
      <c r="BD160" s="591"/>
      <c r="BE160" s="591"/>
      <c r="BF160" s="591"/>
      <c r="BG160" s="591"/>
      <c r="BH160" s="591"/>
      <c r="BI160" s="590">
        <f t="shared" si="39"/>
        <v>1952.5539499999998</v>
      </c>
      <c r="BJ160" s="590"/>
      <c r="BK160" s="590"/>
      <c r="BL160" s="590"/>
      <c r="BM160" s="590"/>
      <c r="BN160" s="590"/>
      <c r="BO160" s="590"/>
      <c r="BP160" s="590"/>
      <c r="BQ160" s="592">
        <f t="shared" si="40"/>
        <v>0</v>
      </c>
      <c r="BR160" s="592"/>
      <c r="BS160" s="592"/>
      <c r="BT160" s="592"/>
      <c r="BU160" s="594">
        <f>'FICHE DE PAIE'!BE$9</f>
        <v>1.2999999999999999E-2</v>
      </c>
      <c r="BV160" s="594"/>
      <c r="BW160" s="594"/>
      <c r="BX160" s="592">
        <f t="shared" si="41"/>
        <v>25.383201349999997</v>
      </c>
      <c r="BY160" s="592"/>
      <c r="BZ160" s="592"/>
      <c r="CA160" s="593"/>
    </row>
    <row r="161" spans="1:79" ht="15" customHeight="1">
      <c r="A161" s="355">
        <v>6</v>
      </c>
      <c r="B161" s="316">
        <v>9</v>
      </c>
      <c r="C161" s="316">
        <f t="shared" si="42"/>
        <v>160</v>
      </c>
      <c r="D161" s="153" t="e">
        <f>IF(I161='Jour Férié'!F$6,'Jour Férié'!E$6,""&amp;IF(I161='Jour Férié'!F$7,'Jour Férié'!E$7,""&amp;IF(I161='Jour Férié'!F$8,'Jour Férié'!E$8,""&amp;IF(I161='Jour Férié'!B$8,'Jour Férié'!A$8,""&amp;IF(I161='Jour Férié'!B$10,'Jour Férié'!A$10,""&amp;IF(MOD(MATCH(I161,vacances!$A$3:$A$202,1),2)=1,"vacances",""))))))</f>
        <v>#N/A</v>
      </c>
      <c r="E161" s="492"/>
      <c r="F161" s="492"/>
      <c r="G161" s="492"/>
      <c r="H161" s="628"/>
      <c r="I161" s="399">
        <f t="shared" si="37"/>
        <v>43260</v>
      </c>
      <c r="J161" s="405" t="s">
        <v>218</v>
      </c>
      <c r="K161" s="359" t="s">
        <v>219</v>
      </c>
      <c r="L161" s="354"/>
      <c r="M161" s="358" t="s">
        <v>220</v>
      </c>
      <c r="N161" s="358"/>
      <c r="O161" s="402">
        <f>O155*7</f>
        <v>0</v>
      </c>
      <c r="P161" s="316"/>
      <c r="Q161" s="555" t="str">
        <f>'FICHE DE PAIE'!A$10</f>
        <v xml:space="preserve">PRIME ANCIENNETE </v>
      </c>
      <c r="R161" s="555"/>
      <c r="S161" s="555"/>
      <c r="T161" s="555"/>
      <c r="U161" s="555"/>
      <c r="V161" s="555"/>
      <c r="W161" s="555"/>
      <c r="X161" s="555"/>
      <c r="Y161" s="555"/>
      <c r="Z161" s="494"/>
      <c r="AA161" s="556">
        <v>1</v>
      </c>
      <c r="AB161" s="556"/>
      <c r="AC161" s="556"/>
      <c r="AD161" s="558">
        <f>'FICHE DE PAIE'!N$10</f>
        <v>36.630000000000003</v>
      </c>
      <c r="AE161" s="558"/>
      <c r="AF161" s="558"/>
      <c r="AG161" s="606"/>
      <c r="AH161" s="606"/>
      <c r="AI161" s="606"/>
      <c r="AJ161" s="606"/>
      <c r="AK161" s="294"/>
      <c r="AL161" s="294"/>
      <c r="AM161" s="294"/>
      <c r="AN161" s="295"/>
      <c r="AO161" s="295"/>
      <c r="AP161" s="295"/>
      <c r="AQ161" s="295"/>
      <c r="AR161" s="295"/>
      <c r="AS161" s="295"/>
      <c r="AT161" s="295"/>
      <c r="AU161" s="295"/>
      <c r="AV161" s="290"/>
      <c r="AW161" s="591" t="s">
        <v>248</v>
      </c>
      <c r="AX161" s="591"/>
      <c r="AY161" s="591"/>
      <c r="AZ161" s="591"/>
      <c r="BA161" s="591"/>
      <c r="BB161" s="591"/>
      <c r="BC161" s="591"/>
      <c r="BD161" s="591"/>
      <c r="BE161" s="591"/>
      <c r="BF161" s="591"/>
      <c r="BG161" s="591"/>
      <c r="BH161" s="591"/>
      <c r="BI161" s="590">
        <f t="shared" si="39"/>
        <v>1952.5539499999998</v>
      </c>
      <c r="BJ161" s="590"/>
      <c r="BK161" s="590"/>
      <c r="BL161" s="590"/>
      <c r="BM161" s="590"/>
      <c r="BN161" s="590"/>
      <c r="BO161" s="590"/>
      <c r="BP161" s="590"/>
      <c r="BQ161" s="592">
        <f t="shared" si="40"/>
        <v>0</v>
      </c>
      <c r="BR161" s="592"/>
      <c r="BS161" s="592"/>
      <c r="BT161" s="592"/>
      <c r="BU161" s="594">
        <f>'FICHE DE PAIE'!BE$10</f>
        <v>1.7600000000000001E-2</v>
      </c>
      <c r="BV161" s="594"/>
      <c r="BW161" s="594"/>
      <c r="BX161" s="592">
        <f t="shared" si="41"/>
        <v>34.364949519999996</v>
      </c>
      <c r="BY161" s="592"/>
      <c r="BZ161" s="592"/>
      <c r="CA161" s="593"/>
    </row>
    <row r="162" spans="1:79" ht="15" customHeight="1">
      <c r="A162" s="355">
        <v>6</v>
      </c>
      <c r="B162" s="316">
        <v>10</v>
      </c>
      <c r="C162" s="316">
        <f t="shared" si="42"/>
        <v>161</v>
      </c>
      <c r="D162" s="153" t="e">
        <f>IF(I162='Jour Férié'!F$6,'Jour Férié'!E$6,""&amp;IF(I162='Jour Férié'!F$7,'Jour Férié'!E$7,""&amp;IF(I162='Jour Férié'!F$8,'Jour Férié'!E$8,""&amp;IF(I162='Jour Férié'!B$8,'Jour Férié'!A$8,""&amp;IF(I162='Jour Férié'!B$10,'Jour Férié'!A$10,""&amp;IF(MOD(MATCH(I162,vacances!$A$3:$A$202,1),2)=1,"vacances",""))))))</f>
        <v>#N/A</v>
      </c>
      <c r="E162" s="492"/>
      <c r="F162" s="492"/>
      <c r="G162" s="492"/>
      <c r="H162" s="628"/>
      <c r="I162" s="399">
        <f t="shared" si="37"/>
        <v>43261</v>
      </c>
      <c r="J162" s="316" t="s">
        <v>221</v>
      </c>
      <c r="K162" s="359" t="s">
        <v>222</v>
      </c>
      <c r="L162" s="354"/>
      <c r="M162" s="401" t="s">
        <v>223</v>
      </c>
      <c r="N162" s="401"/>
      <c r="O162" s="404">
        <f>(O153+O154)*12</f>
        <v>0</v>
      </c>
      <c r="P162" s="316"/>
      <c r="Q162" s="555" t="str">
        <f>'FICHE DE PAIE'!A$11</f>
        <v>PRIME HABILLAGE</v>
      </c>
      <c r="R162" s="555"/>
      <c r="S162" s="555"/>
      <c r="T162" s="555"/>
      <c r="U162" s="555"/>
      <c r="V162" s="555"/>
      <c r="W162" s="555"/>
      <c r="X162" s="555"/>
      <c r="Y162" s="555"/>
      <c r="Z162" s="494"/>
      <c r="AA162" s="556">
        <f>AA155</f>
        <v>151.66999999999999</v>
      </c>
      <c r="AB162" s="556"/>
      <c r="AC162" s="556"/>
      <c r="AD162" s="558">
        <f>'FICHE DE PAIE'!N$11</f>
        <v>0.13100000000000001</v>
      </c>
      <c r="AE162" s="558"/>
      <c r="AF162" s="558"/>
      <c r="AG162" s="559">
        <f>AA162*AD162</f>
        <v>19.868769999999998</v>
      </c>
      <c r="AH162" s="559"/>
      <c r="AI162" s="559"/>
      <c r="AJ162" s="559"/>
      <c r="AK162" s="294"/>
      <c r="AL162" s="294"/>
      <c r="AM162" s="294"/>
      <c r="AN162" s="295"/>
      <c r="AO162" s="295"/>
      <c r="AP162" s="295"/>
      <c r="AQ162" s="295"/>
      <c r="AR162" s="295"/>
      <c r="AS162" s="295"/>
      <c r="AT162" s="295"/>
      <c r="AU162" s="295"/>
      <c r="AV162" s="290"/>
      <c r="AW162" s="591" t="s">
        <v>250</v>
      </c>
      <c r="AX162" s="591"/>
      <c r="AY162" s="591"/>
      <c r="AZ162" s="591"/>
      <c r="BA162" s="591"/>
      <c r="BB162" s="591"/>
      <c r="BC162" s="591"/>
      <c r="BD162" s="591"/>
      <c r="BE162" s="591"/>
      <c r="BF162" s="591"/>
      <c r="BG162" s="591"/>
      <c r="BH162" s="591"/>
      <c r="BI162" s="590">
        <f t="shared" si="39"/>
        <v>1952.5539499999998</v>
      </c>
      <c r="BJ162" s="590"/>
      <c r="BK162" s="590"/>
      <c r="BL162" s="590"/>
      <c r="BM162" s="590"/>
      <c r="BN162" s="590"/>
      <c r="BO162" s="590"/>
      <c r="BP162" s="590"/>
      <c r="BQ162" s="592">
        <f t="shared" si="40"/>
        <v>0</v>
      </c>
      <c r="BR162" s="592"/>
      <c r="BS162" s="592"/>
      <c r="BT162" s="592"/>
      <c r="BU162" s="594">
        <f>'FICHE DE PAIE'!BE$11</f>
        <v>3.4500000000000003E-2</v>
      </c>
      <c r="BV162" s="594"/>
      <c r="BW162" s="594"/>
      <c r="BX162" s="592">
        <f t="shared" si="41"/>
        <v>67.363111274999994</v>
      </c>
      <c r="BY162" s="592"/>
      <c r="BZ162" s="592"/>
      <c r="CA162" s="593"/>
    </row>
    <row r="163" spans="1:79" ht="15" customHeight="1">
      <c r="A163" s="355">
        <v>6</v>
      </c>
      <c r="B163" s="316">
        <v>11</v>
      </c>
      <c r="C163" s="316">
        <f t="shared" si="42"/>
        <v>162</v>
      </c>
      <c r="D163" s="153" t="str">
        <f>IF(I163='Jour Férié'!F$6,'Jour Férié'!E$6,""&amp;IF(I163='Jour Férié'!F$7,'Jour Férié'!E$7,""&amp;IF(I163='Jour Férié'!F$8,'Jour Férié'!E$8,""&amp;IF(I163='Jour Férié'!B$8,'Jour Férié'!A$8,""&amp;IF(I163='Jour Férié'!B$10,'Jour Férié'!A$10,""&amp;IF(MOD(MATCH(I163,vacances!$A$3:$A$202,1),2)=1,"vacances",""))))))</f>
        <v>Yannick</v>
      </c>
      <c r="E163" s="492"/>
      <c r="F163" s="492"/>
      <c r="G163" s="492"/>
      <c r="H163" s="628"/>
      <c r="I163" s="399">
        <f t="shared" si="37"/>
        <v>43262</v>
      </c>
      <c r="J163" s="354"/>
      <c r="K163" s="354"/>
      <c r="L163" s="354"/>
      <c r="M163" s="582" t="s">
        <v>224</v>
      </c>
      <c r="N163" s="406">
        <f>(IF(WEEKDAY(I153,2)=7,(7*COUNTIF(E152,J153))+(12*COUNTIF(E153,J154))+(5*COUNTIF(E153,J153))))+(IF(WEEKDAY(I154,2)=7,(7*COUNTIF(E153,J153))+(12*COUNTIF(E154,J154))+(5*COUNTIF(E154,J153))))+(IF(WEEKDAY(I155,2)=7,(7*COUNTIF(E154,J153))+(12*COUNTIF(E155,J154))+(5*COUNTIF(E155,J153))))+(IF(WEEKDAY(I156,2)=7,(7*COUNTIF(E155,J153))+(12*COUNTIF(E156,J154))+(5*COUNTIF(E156,J153))))+(IF(WEEKDAY(I157,2)=7,(7*COUNTIF(E156,J153))+(12*COUNTIF(E157,J154))+(5*COUNTIF(E157,J153))))+(IF(WEEKDAY(I158,2)=7,(7*COUNTIF(E157,J153))+(12*COUNTIF(E158,J154))+(5*COUNTIF(E158,J153))))+(IF(WEEKDAY(I159,2)=7,(7*COUNTIF(E158,J153))+(12*COUNTIF(E159,J154))+(5*COUNTIF(E159,J153))))+(IF(WEEKDAY(I160,2)=7,(7*COUNTIF(E159,J153))+(12*COUNTIF(E160,J154))+(5*COUNTIF(E160,J153))))+(IF(WEEKDAY(I161,2)=7,(7*COUNTIF(E160,J153))+(12*COUNTIF(E161,J154))+(5*COUNTIF(E161,J153))))+(IF(WEEKDAY(I162,2)=7,(7*COUNTIF(E161,J153))+(12*COUNTIF(E162,J154))+(5*COUNTIF(E162,J153))))+(IF(WEEKDAY(I163,2)=7,(7*COUNTIF(E162,J153))+(12*COUNTIF(E163,J154))+(5*COUNTIF(E163,J153))))+(IF(WEEKDAY(I164,2)=7,(7*COUNTIF(E163,J153))+(12*COUNTIF(E164,J154))+(5*COUNTIF(E164,J153))))+(IF(WEEKDAY(I165,2)=7,(7*COUNTIF(E164,J153))+(12*COUNTIF(E165,J154))+(5*COUNTIF(E165,J153))))+(IF(WEEKDAY(I166,2)=7,(7*COUNTIF(E165,J153))+(12*COUNTIF(E166,J154))+(5*COUNTIF(E166,J153))))</f>
        <v>0</v>
      </c>
      <c r="O163" s="626">
        <f>SUM(N163:N164)</f>
        <v>0</v>
      </c>
      <c r="P163" s="316"/>
      <c r="Q163" s="555" t="str">
        <f>'FICHE DE PAIE'!A$12</f>
        <v>PRIME ASTREINTE</v>
      </c>
      <c r="R163" s="555"/>
      <c r="S163" s="555"/>
      <c r="T163" s="555"/>
      <c r="U163" s="555"/>
      <c r="V163" s="555"/>
      <c r="W163" s="555"/>
      <c r="X163" s="555"/>
      <c r="Y163" s="555"/>
      <c r="Z163" s="494"/>
      <c r="AA163" s="561"/>
      <c r="AB163" s="561"/>
      <c r="AC163" s="561"/>
      <c r="AD163" s="558">
        <f>'FICHE DE PAIE'!N$12</f>
        <v>90</v>
      </c>
      <c r="AE163" s="558"/>
      <c r="AF163" s="558"/>
      <c r="AG163" s="559">
        <f>AA163*AD163</f>
        <v>0</v>
      </c>
      <c r="AH163" s="559"/>
      <c r="AI163" s="559"/>
      <c r="AJ163" s="559"/>
      <c r="AK163" s="294"/>
      <c r="AL163" s="294"/>
      <c r="AM163" s="294"/>
      <c r="AN163" s="295"/>
      <c r="AO163" s="295"/>
      <c r="AP163" s="295"/>
      <c r="AQ163" s="295"/>
      <c r="AR163" s="295"/>
      <c r="AS163" s="295"/>
      <c r="AT163" s="295"/>
      <c r="AU163" s="295"/>
      <c r="AV163" s="290"/>
      <c r="AW163" s="591" t="s">
        <v>252</v>
      </c>
      <c r="AX163" s="591"/>
      <c r="AY163" s="591"/>
      <c r="AZ163" s="591"/>
      <c r="BA163" s="591"/>
      <c r="BB163" s="591"/>
      <c r="BC163" s="591"/>
      <c r="BD163" s="591"/>
      <c r="BE163" s="591"/>
      <c r="BF163" s="591"/>
      <c r="BG163" s="591"/>
      <c r="BH163" s="591"/>
      <c r="BI163" s="590">
        <f t="shared" si="39"/>
        <v>1952.5539499999998</v>
      </c>
      <c r="BJ163" s="590"/>
      <c r="BK163" s="590"/>
      <c r="BL163" s="590"/>
      <c r="BM163" s="590"/>
      <c r="BN163" s="590"/>
      <c r="BO163" s="590"/>
      <c r="BP163" s="590"/>
      <c r="BQ163" s="592">
        <f t="shared" si="40"/>
        <v>0</v>
      </c>
      <c r="BR163" s="592"/>
      <c r="BS163" s="592"/>
      <c r="BT163" s="592"/>
      <c r="BU163" s="594">
        <f>'FICHE DE PAIE'!BE$12</f>
        <v>1.6000000000000001E-4</v>
      </c>
      <c r="BV163" s="594"/>
      <c r="BW163" s="594"/>
      <c r="BX163" s="592">
        <f t="shared" si="41"/>
        <v>0.31240863199999996</v>
      </c>
      <c r="BY163" s="592"/>
      <c r="BZ163" s="592"/>
      <c r="CA163" s="593"/>
    </row>
    <row r="164" spans="1:79" ht="15" customHeight="1">
      <c r="A164" s="355">
        <v>6</v>
      </c>
      <c r="B164" s="316">
        <v>12</v>
      </c>
      <c r="C164" s="316">
        <f t="shared" si="42"/>
        <v>163</v>
      </c>
      <c r="D164" s="153" t="e">
        <f>IF(I164='Jour Férié'!F$6,'Jour Férié'!E$6,""&amp;IF(I164='Jour Férié'!F$7,'Jour Férié'!E$7,""&amp;IF(I164='Jour Férié'!F$8,'Jour Férié'!E$8,""&amp;IF(I164='Jour Férié'!B$8,'Jour Férié'!A$8,""&amp;IF(I164='Jour Férié'!B$10,'Jour Férié'!A$10,""&amp;IF(MOD(MATCH(I164,vacances!$A$3:$A$202,1),2)=1,"vacances",""))))))</f>
        <v>#N/A</v>
      </c>
      <c r="E164" s="492"/>
      <c r="F164" s="492"/>
      <c r="G164" s="492"/>
      <c r="H164" s="628"/>
      <c r="I164" s="399">
        <f t="shared" si="37"/>
        <v>43263</v>
      </c>
      <c r="J164" s="316"/>
      <c r="K164" s="316"/>
      <c r="L164" s="316"/>
      <c r="M164" s="582"/>
      <c r="N164" s="407">
        <f>(IF(WEEKDAY(I167,2)=7,(7*COUNTIF(E166,J153))+(12*COUNTIF(E167,J154))+(5*COUNTIF(E167,J153))))+(IF(WEEKDAY(I168,2)=7,(7*COUNTIF(E167,J153))+(12*COUNTIF(E168,J154))+(5*COUNTIF(E168,J153))))+(IF(WEEKDAY(I169,2)=7,(7*COUNTIF(E168,J153))+(12*COUNTIF(E169,J154))+(5*COUNTIF(E169,J153))))+(IF(WEEKDAY(I170,2)=7,(7*COUNTIF(E169,J153))+(12*COUNTIF(E170,J154))+(5*COUNTIF(E170,J153))))+(IF(WEEKDAY(I171,2)=7,(7*COUNTIF(E170,J153))+(12*COUNTIF(E171,J154))+(5*COUNTIF(E171,J153))))+(IF(WEEKDAY(I172,2)=7,(7*COUNTIF(E171,J153))+(12*COUNTIF(E172,J154))+(5*COUNTIF(E172,J153))))+(IF(WEEKDAY(I173,2)=7,(7*COUNTIF(E172,J153))+(12*COUNTIF(E173,J154))+(5*COUNTIF(E173,J153))))+(IF(WEEKDAY(I174,2)=7,(7*COUNTIF(E173,J153))+(12*COUNTIF(E174,J154))+(5*COUNTIF(E174,J153))))+(IF(WEEKDAY(I175,2)=7,(7*COUNTIF(E174,J153))+(12*COUNTIF(E175,J154))+(5*COUNTIF(E175,J153))))+(IF(WEEKDAY(I176,2)=7,(7*COUNTIF(E175,J153))+(12*COUNTIF(E176,J154))+(5*COUNTIF(E176,J153))))+(IF(WEEKDAY(I177,2)=7,(7*COUNTIF(E176,J153))+(12*COUNTIF(E177,J154))+(5*COUNTIF(E177,J153))))+(IF(WEEKDAY(I178,2)=7,(7*COUNTIF(E177,J153))+(12*COUNTIF(E178,J154))+(5*COUNTIF(E178,J153))))+(IF(WEEKDAY(I179,2)=7,(7*COUNTIF(E178,J153))+(12*COUNTIF(E179,J154))+(5*COUNTIF(E179,J153))))+(IF(WEEKDAY(I180,2)=7,(7*COUNTIF(E179,J153))+(12*COUNTIF(E180,J154))+(5*COUNTIF(E180,J153))))+(IF(WEEKDAY(I181,2)=7,(7*COUNTIF(E180,J153))+(12*COUNTIF(E181,J154))+(5*COUNTIF(E181,J153))))+(IF(WEEKDAY(I182,2)=7,(7*COUNTIF(E181,J153))+(12*COUNTIF(E182,J154))+(5*COUNTIF(E182,J153))))+(IF(WEEKDAY(I183,2)=7,(7*COUNTIF(E182,J153))+(12*COUNTIF(E183,J154))+(5*COUNTIF(E183,J153))))</f>
        <v>0</v>
      </c>
      <c r="O164" s="626"/>
      <c r="P164" s="316"/>
      <c r="Q164" s="555" t="str">
        <f>'FICHE DE PAIE'!A$13</f>
        <v>AUTRE PRIME</v>
      </c>
      <c r="R164" s="555"/>
      <c r="S164" s="555"/>
      <c r="T164" s="555"/>
      <c r="U164" s="555"/>
      <c r="V164" s="555"/>
      <c r="W164" s="555"/>
      <c r="X164" s="555"/>
      <c r="Y164" s="555"/>
      <c r="Z164" s="494"/>
      <c r="AA164" s="561"/>
      <c r="AB164" s="561"/>
      <c r="AC164" s="561"/>
      <c r="AD164" s="605"/>
      <c r="AE164" s="605"/>
      <c r="AF164" s="605"/>
      <c r="AG164" s="559">
        <f>AA164*AD164</f>
        <v>0</v>
      </c>
      <c r="AH164" s="559"/>
      <c r="AI164" s="559"/>
      <c r="AJ164" s="559"/>
      <c r="AK164" s="294"/>
      <c r="AL164" s="294"/>
      <c r="AM164" s="294"/>
      <c r="AN164" s="295"/>
      <c r="AO164" s="296"/>
      <c r="AP164" s="296"/>
      <c r="AQ164" s="295"/>
      <c r="AR164" s="295"/>
      <c r="AS164" s="295"/>
      <c r="AT164" s="295"/>
      <c r="AU164" s="295"/>
      <c r="AV164" s="290"/>
      <c r="AW164" s="591" t="s">
        <v>254</v>
      </c>
      <c r="AX164" s="591"/>
      <c r="AY164" s="591"/>
      <c r="AZ164" s="591"/>
      <c r="BA164" s="591"/>
      <c r="BB164" s="591"/>
      <c r="BC164" s="591"/>
      <c r="BD164" s="591"/>
      <c r="BE164" s="591"/>
      <c r="BF164" s="591"/>
      <c r="BG164" s="591"/>
      <c r="BH164" s="591"/>
      <c r="BI164" s="590">
        <f t="shared" si="39"/>
        <v>1952.5539499999998</v>
      </c>
      <c r="BJ164" s="590"/>
      <c r="BK164" s="590"/>
      <c r="BL164" s="590"/>
      <c r="BM164" s="594">
        <f>'FICHE DE PAIE'!AW$13</f>
        <v>9.4999999999999998E-3</v>
      </c>
      <c r="BN164" s="594"/>
      <c r="BO164" s="594"/>
      <c r="BP164" s="594"/>
      <c r="BQ164" s="592">
        <f t="shared" si="40"/>
        <v>18.549262524999996</v>
      </c>
      <c r="BR164" s="592"/>
      <c r="BS164" s="592"/>
      <c r="BT164" s="592"/>
      <c r="BU164" s="594">
        <f>'FICHE DE PAIE'!BE$13</f>
        <v>4.0500000000000001E-2</v>
      </c>
      <c r="BV164" s="594"/>
      <c r="BW164" s="594"/>
      <c r="BX164" s="592">
        <f t="shared" si="41"/>
        <v>79.078434974999993</v>
      </c>
      <c r="BY164" s="592"/>
      <c r="BZ164" s="592"/>
      <c r="CA164" s="593"/>
    </row>
    <row r="165" spans="1:79" ht="15" customHeight="1">
      <c r="A165" s="355">
        <v>6</v>
      </c>
      <c r="B165" s="316">
        <v>13</v>
      </c>
      <c r="C165" s="316">
        <f t="shared" si="42"/>
        <v>164</v>
      </c>
      <c r="D165" s="153" t="e">
        <f>IF(I165='Jour Férié'!F$6,'Jour Férié'!E$6,""&amp;IF(I165='Jour Férié'!F$7,'Jour Férié'!E$7,""&amp;IF(I165='Jour Férié'!F$8,'Jour Férié'!E$8,""&amp;IF(I165='Jour Férié'!B$8,'Jour Férié'!A$8,""&amp;IF(I165='Jour Férié'!B$10,'Jour Férié'!A$10,""&amp;IF(MOD(MATCH(I165,vacances!$A$3:$A$202,1),2)=1,"vacances",""))))))</f>
        <v>#N/A</v>
      </c>
      <c r="E165" s="492"/>
      <c r="F165" s="492"/>
      <c r="G165" s="492"/>
      <c r="H165" s="628"/>
      <c r="I165" s="399">
        <f t="shared" si="37"/>
        <v>43264</v>
      </c>
      <c r="J165" s="316"/>
      <c r="K165" s="316"/>
      <c r="L165" s="316"/>
      <c r="M165" s="401" t="s">
        <v>225</v>
      </c>
      <c r="N165" s="401"/>
      <c r="O165" s="404">
        <f>(IF((I153)='Jour Férié'!B8,(7*COUNTIF(E152,J1))+(12*COUNTIF(E153,J2))+(5*COUNTIF(E153,J1))))+(IF((I154)='Jour Férié'!B8,(7*COUNTIF(E153,J1))+(12*COUNTIF(E154,J2))+(5*COUNTIF(E154,J1))))+(IF((I155)='Jour Férié'!B8,(7*COUNTIF(E154,J1))+(12*COUNTIF(E155,J2))+(5*COUNTIF(E155,J1))))+(IF((I156)='Jour Férié'!B8,(7*COUNTIF(E155,J1))+(12*COUNTIF(E156,J2))+(5*COUNTIF(E156,J1))))+(IF((I153)='Jour Férié'!B10,(5*COUNTIF(E152,J1))+(12*COUNTIF(E153,J2))+(5*COUNTIF(E153,J1))))+(IF((I154)='Jour Férié'!B10,(5*COUNTIF(E153,J1))+(12*COUNTIF(E154,J2))+(5*COUNTIF(E154,J1))))+(IF((I155)='Jour Férié'!B10,(5*COUNTIF(E154,J1))+(12*COUNTIF(E155,J2))+(5*COUNTIF(E155,J1))))+(IF((I156)='Jour Férié'!B10,(5*COUNTIF(E155,J1))+(12*COUNTIF(E156,J2))+(5*COUNTIF(E156,J1))))+(IF((I157)='Jour Férié'!B10,(5*COUNTIF(E156,J1))+(12*COUNTIF(E157,J2))+(5*COUNTIF(E157,J1))))+(IF((I158)='Jour Férié'!B10,(5*COUNTIF(E157,J1))+(12*COUNTIF(E158,J2))+(5*COUNTIF(E158,J1))))+(IF((I159)='Jour Férié'!B10,(5*COUNTIF(E158,J1))+(12*COUNTIF(E159,J2))+(5*COUNTIF(E159,J1))))+(IF((I160)='Jour Férié'!B10,(5*COUNTIF(E159,J1))+(12*COUNTIF(E160,J2))+(5*COUNTIF(E160,J1))))+(IF((I161)='Jour Férié'!B10,(5*COUNTIF(E160,J1))+(12*COUNTIF(E161,J2))+(5*COUNTIF(E161,J1))))+(IF((I162)='Jour Férié'!B10,(5*COUNTIF(E161,J1))+(12*COUNTIF(E162,J2))+(5*COUNTIF(E162,J1))))+(IF((I163)='Jour Férié'!B10,(5*COUNTIF(E162,J1))+(12*COUNTIF(E163,J2))+(5*COUNTIF(E163,J1))))+(IF((I164)='Jour Férié'!B10,(5*COUNTIF(E163,J1))+(12*COUNTIF(E164,J2))+(5*COUNTIF(E164,J1))))+(IF((I165)='Jour Férié'!B10,(5*COUNTIF(E164,J1))+(12*COUNTIF(E165,J2))+(5*COUNTIF(E165,J1))))+(IF((I166)='Jour Férié'!B10,(5*COUNTIF(E165,J1))+(12*COUNTIF(E166,J2))+(5*COUNTIF(E166,J1))))+(IF((I167)='Jour Férié'!B10,(5*COUNTIF(E166,J1))+(12*COUNTIF(E167,J2))+(5*COUNTIF(E167,J1))))+(IF((I168)='Jour Férié'!B10,(5*COUNTIF(E167,J1))+(12*COUNTIF(E168,J2))+(5*COUNTIF(E168,J1))))</f>
        <v>0</v>
      </c>
      <c r="P165" s="316"/>
      <c r="Q165" s="555" t="str">
        <f>'FICHE DE PAIE'!A$14</f>
        <v>Absence congé payé</v>
      </c>
      <c r="R165" s="555"/>
      <c r="S165" s="555"/>
      <c r="T165" s="555"/>
      <c r="U165" s="555"/>
      <c r="V165" s="555"/>
      <c r="W165" s="555"/>
      <c r="X165" s="555"/>
      <c r="Y165" s="555"/>
      <c r="Z165" s="494"/>
      <c r="AA165" s="557">
        <f>O167*35/6</f>
        <v>0</v>
      </c>
      <c r="AB165" s="557"/>
      <c r="AC165" s="557"/>
      <c r="AD165" s="558">
        <f>'FICHE DE PAIE'!N$14</f>
        <v>12.074</v>
      </c>
      <c r="AE165" s="558"/>
      <c r="AF165" s="558"/>
      <c r="AG165" s="559"/>
      <c r="AH165" s="559"/>
      <c r="AI165" s="559"/>
      <c r="AJ165" s="559"/>
      <c r="AK165" s="602">
        <f>AA165*AD165</f>
        <v>0</v>
      </c>
      <c r="AL165" s="602"/>
      <c r="AM165" s="602"/>
      <c r="AN165" s="602"/>
      <c r="AO165" s="294"/>
      <c r="AP165" s="296"/>
      <c r="AQ165" s="295"/>
      <c r="AR165" s="295"/>
      <c r="AS165" s="295"/>
      <c r="AT165" s="295"/>
      <c r="AU165" s="295"/>
      <c r="AV165" s="290"/>
      <c r="AW165" s="591" t="s">
        <v>256</v>
      </c>
      <c r="AX165" s="591"/>
      <c r="AY165" s="591"/>
      <c r="AZ165" s="591"/>
      <c r="BA165" s="591"/>
      <c r="BB165" s="591"/>
      <c r="BC165" s="591"/>
      <c r="BD165" s="591"/>
      <c r="BE165" s="591"/>
      <c r="BF165" s="591"/>
      <c r="BG165" s="591"/>
      <c r="BH165" s="591"/>
      <c r="BI165" s="590">
        <f t="shared" si="39"/>
        <v>1952.5539499999998</v>
      </c>
      <c r="BJ165" s="590"/>
      <c r="BK165" s="590"/>
      <c r="BL165" s="590"/>
      <c r="BM165" s="590"/>
      <c r="BN165" s="590"/>
      <c r="BO165" s="590"/>
      <c r="BP165" s="590"/>
      <c r="BQ165" s="592">
        <f t="shared" si="40"/>
        <v>0</v>
      </c>
      <c r="BR165" s="592"/>
      <c r="BS165" s="592"/>
      <c r="BT165" s="592"/>
      <c r="BU165" s="594">
        <f>'FICHE DE PAIE'!BE$14</f>
        <v>1.5E-3</v>
      </c>
      <c r="BV165" s="594"/>
      <c r="BW165" s="594"/>
      <c r="BX165" s="592">
        <f t="shared" si="41"/>
        <v>2.9288309249999998</v>
      </c>
      <c r="BY165" s="592"/>
      <c r="BZ165" s="592"/>
      <c r="CA165" s="593"/>
    </row>
    <row r="166" spans="1:79" ht="15" customHeight="1">
      <c r="A166" s="355">
        <v>6</v>
      </c>
      <c r="B166" s="316">
        <v>14</v>
      </c>
      <c r="C166" s="316">
        <f t="shared" si="42"/>
        <v>165</v>
      </c>
      <c r="D166" s="153" t="e">
        <f>IF(I166='Jour Férié'!F$6,'Jour Férié'!E$6,""&amp;IF(I166='Jour Férié'!F$7,'Jour Férié'!E$7,""&amp;IF(I166='Jour Férié'!F$8,'Jour Férié'!E$8,""&amp;IF(I166='Jour Férié'!B$8,'Jour Férié'!A$8,""&amp;IF(I166='Jour Férié'!B$10,'Jour Férié'!A$10,""&amp;IF(MOD(MATCH(I166,vacances!$A$3:$A$202,1),2)=1,"vacances",""))))))</f>
        <v>#N/A</v>
      </c>
      <c r="E166" s="492"/>
      <c r="F166" s="492"/>
      <c r="G166" s="492"/>
      <c r="H166" s="628"/>
      <c r="I166" s="399">
        <f t="shared" si="37"/>
        <v>43265</v>
      </c>
      <c r="J166" s="316"/>
      <c r="K166" s="316"/>
      <c r="L166" s="316"/>
      <c r="M166" s="395" t="s">
        <v>226</v>
      </c>
      <c r="N166" s="395"/>
      <c r="O166" s="402">
        <f>(COUNTIF($E153:$E183,$J162))</f>
        <v>0</v>
      </c>
      <c r="P166" s="316"/>
      <c r="Q166" s="555" t="str">
        <f>'FICHE DE PAIE'!A$15</f>
        <v>paiement congé payé</v>
      </c>
      <c r="R166" s="555"/>
      <c r="S166" s="555"/>
      <c r="T166" s="555"/>
      <c r="U166" s="555"/>
      <c r="V166" s="555"/>
      <c r="W166" s="555"/>
      <c r="X166" s="555"/>
      <c r="Y166" s="555"/>
      <c r="Z166" s="494"/>
      <c r="AA166" s="556"/>
      <c r="AB166" s="556"/>
      <c r="AC166" s="556"/>
      <c r="AD166" s="566"/>
      <c r="AE166" s="566"/>
      <c r="AF166" s="566"/>
      <c r="AG166" s="604"/>
      <c r="AH166" s="604"/>
      <c r="AI166" s="604"/>
      <c r="AJ166" s="604"/>
      <c r="AK166" s="297"/>
      <c r="AL166" s="297"/>
      <c r="AM166" s="297"/>
      <c r="AN166" s="298"/>
      <c r="AO166" s="299"/>
      <c r="AP166" s="296"/>
      <c r="AQ166" s="295"/>
      <c r="AR166" s="295"/>
      <c r="AS166" s="295"/>
      <c r="AT166" s="295"/>
      <c r="AU166" s="295"/>
      <c r="AV166" s="290"/>
      <c r="AW166" s="591" t="s">
        <v>258</v>
      </c>
      <c r="AX166" s="591"/>
      <c r="AY166" s="591"/>
      <c r="AZ166" s="591"/>
      <c r="BA166" s="591"/>
      <c r="BB166" s="591"/>
      <c r="BC166" s="591"/>
      <c r="BD166" s="591"/>
      <c r="BE166" s="591"/>
      <c r="BF166" s="591"/>
      <c r="BG166" s="591"/>
      <c r="BH166" s="591"/>
      <c r="BI166" s="590">
        <f t="shared" si="39"/>
        <v>1952.5539499999998</v>
      </c>
      <c r="BJ166" s="590"/>
      <c r="BK166" s="590"/>
      <c r="BL166" s="590"/>
      <c r="BM166" s="594">
        <f>'FICHE DE PAIE'!AW$15</f>
        <v>3.1E-2</v>
      </c>
      <c r="BN166" s="594"/>
      <c r="BO166" s="594"/>
      <c r="BP166" s="594"/>
      <c r="BQ166" s="592">
        <f t="shared" si="40"/>
        <v>60.52917244999999</v>
      </c>
      <c r="BR166" s="592"/>
      <c r="BS166" s="592"/>
      <c r="BT166" s="592"/>
      <c r="BU166" s="594">
        <f>'FICHE DE PAIE'!BE$15</f>
        <v>4.65E-2</v>
      </c>
      <c r="BV166" s="594"/>
      <c r="BW166" s="594"/>
      <c r="BX166" s="592">
        <f t="shared" si="41"/>
        <v>90.793758674999992</v>
      </c>
      <c r="BY166" s="592"/>
      <c r="BZ166" s="592"/>
      <c r="CA166" s="593"/>
    </row>
    <row r="167" spans="1:79" ht="15" customHeight="1">
      <c r="A167" s="355">
        <v>6</v>
      </c>
      <c r="B167" s="316">
        <v>15</v>
      </c>
      <c r="C167" s="316">
        <f>VLOOKUP(A167,Données,4)+B167-1</f>
        <v>166</v>
      </c>
      <c r="D167" s="153" t="e">
        <f>IF(I167='Jour Férié'!F$6,'Jour Férié'!E$6,""&amp;IF(I167='Jour Férié'!F$7,'Jour Férié'!E$7,""&amp;IF(I167='Jour Férié'!F$8,'Jour Férié'!E$8,""&amp;IF(I167='Jour Férié'!B$8,'Jour Férié'!A$8,""&amp;IF(I167='Jour Férié'!B$10,'Jour Férié'!A$10,""&amp;IF(MOD(MATCH(I167,vacances!$A$3:$A$202,1),2)=1,"vacances",""))))))</f>
        <v>#N/A</v>
      </c>
      <c r="E167" s="492"/>
      <c r="F167" s="492"/>
      <c r="G167" s="492"/>
      <c r="H167" s="628"/>
      <c r="I167" s="399">
        <f t="shared" si="37"/>
        <v>43266</v>
      </c>
      <c r="J167" s="316"/>
      <c r="K167" s="316"/>
      <c r="L167" s="316"/>
      <c r="M167" s="395" t="s">
        <v>227</v>
      </c>
      <c r="N167" s="395"/>
      <c r="O167" s="402">
        <f>(COUNTIF($E153:$E183,$J160))</f>
        <v>0</v>
      </c>
      <c r="P167" s="316"/>
      <c r="Q167" s="555" t="str">
        <f>'FICHE DE PAIE'!A$16</f>
        <v>Absence maladie</v>
      </c>
      <c r="R167" s="555"/>
      <c r="S167" s="555"/>
      <c r="T167" s="555"/>
      <c r="U167" s="555"/>
      <c r="V167" s="555"/>
      <c r="W167" s="555"/>
      <c r="X167" s="555"/>
      <c r="Y167" s="555"/>
      <c r="Z167" s="494"/>
      <c r="AA167" s="556"/>
      <c r="AB167" s="556"/>
      <c r="AC167" s="556"/>
      <c r="AD167" s="566"/>
      <c r="AE167" s="566"/>
      <c r="AF167" s="566"/>
      <c r="AG167" s="559"/>
      <c r="AH167" s="559"/>
      <c r="AI167" s="559"/>
      <c r="AJ167" s="559"/>
      <c r="AK167" s="599"/>
      <c r="AL167" s="599"/>
      <c r="AM167" s="599"/>
      <c r="AN167" s="599"/>
      <c r="AO167" s="294"/>
      <c r="AP167" s="296"/>
      <c r="AQ167" s="295"/>
      <c r="AR167" s="295"/>
      <c r="AS167" s="295"/>
      <c r="AT167" s="295"/>
      <c r="AU167" s="295"/>
      <c r="AV167" s="290"/>
      <c r="AW167" s="591" t="s">
        <v>260</v>
      </c>
      <c r="AX167" s="591"/>
      <c r="AY167" s="591"/>
      <c r="AZ167" s="591"/>
      <c r="BA167" s="591"/>
      <c r="BB167" s="591"/>
      <c r="BC167" s="591"/>
      <c r="BD167" s="591"/>
      <c r="BE167" s="591"/>
      <c r="BF167" s="591"/>
      <c r="BG167" s="591"/>
      <c r="BH167" s="591"/>
      <c r="BI167" s="590">
        <f t="shared" si="39"/>
        <v>1952.5539499999998</v>
      </c>
      <c r="BJ167" s="590"/>
      <c r="BK167" s="590"/>
      <c r="BL167" s="590"/>
      <c r="BM167" s="594">
        <f>'FICHE DE PAIE'!AW$16</f>
        <v>8.0000000000000002E-3</v>
      </c>
      <c r="BN167" s="594"/>
      <c r="BO167" s="594"/>
      <c r="BP167" s="594"/>
      <c r="BQ167" s="592">
        <f t="shared" si="40"/>
        <v>15.620431599999998</v>
      </c>
      <c r="BR167" s="592"/>
      <c r="BS167" s="592"/>
      <c r="BT167" s="592"/>
      <c r="BU167" s="594">
        <f>'FICHE DE PAIE'!BE$16</f>
        <v>1.2E-2</v>
      </c>
      <c r="BV167" s="594"/>
      <c r="BW167" s="594"/>
      <c r="BX167" s="592">
        <f t="shared" si="41"/>
        <v>23.430647399999998</v>
      </c>
      <c r="BY167" s="592"/>
      <c r="BZ167" s="592"/>
      <c r="CA167" s="593"/>
    </row>
    <row r="168" spans="1:79" ht="15" customHeight="1">
      <c r="A168" s="355">
        <v>6</v>
      </c>
      <c r="B168" s="316">
        <v>16</v>
      </c>
      <c r="C168" s="316">
        <f t="shared" si="42"/>
        <v>167</v>
      </c>
      <c r="D168" s="153" t="e">
        <f>IF(I168='Jour Férié'!F$6,'Jour Férié'!E$6,""&amp;IF(I168='Jour Férié'!F$7,'Jour Férié'!E$7,""&amp;IF(I168='Jour Férié'!F$8,'Jour Férié'!E$8,""&amp;IF(I168='Jour Férié'!B$8,'Jour Férié'!A$8,""&amp;IF(I168='Jour Férié'!B$10,'Jour Férié'!A$10,""&amp;IF(MOD(MATCH(I168,vacances!$A$3:$A$202,1),2)=1,"vacances",""))))))</f>
        <v>#N/A</v>
      </c>
      <c r="E168" s="492"/>
      <c r="F168" s="492"/>
      <c r="G168" s="492"/>
      <c r="H168" s="628"/>
      <c r="I168" s="399">
        <f t="shared" si="37"/>
        <v>43267</v>
      </c>
      <c r="J168" s="316"/>
      <c r="K168" s="316"/>
      <c r="L168" s="316"/>
      <c r="M168" s="395" t="s">
        <v>228</v>
      </c>
      <c r="N168" s="395"/>
      <c r="O168" s="402">
        <f>(COUNTIF($E153:$E183,$J161))</f>
        <v>0</v>
      </c>
      <c r="P168" s="316"/>
      <c r="Q168" s="555"/>
      <c r="R168" s="555"/>
      <c r="S168" s="555"/>
      <c r="T168" s="555"/>
      <c r="U168" s="555"/>
      <c r="V168" s="555"/>
      <c r="W168" s="555"/>
      <c r="X168" s="555"/>
      <c r="Y168" s="555"/>
      <c r="Z168" s="494"/>
      <c r="AA168" s="556"/>
      <c r="AB168" s="556"/>
      <c r="AC168" s="556"/>
      <c r="AD168" s="600"/>
      <c r="AE168" s="600"/>
      <c r="AF168" s="600"/>
      <c r="AG168" s="559"/>
      <c r="AH168" s="559"/>
      <c r="AI168" s="559"/>
      <c r="AJ168" s="559"/>
      <c r="AK168" s="297"/>
      <c r="AL168" s="297"/>
      <c r="AM168" s="297"/>
      <c r="AN168" s="298"/>
      <c r="AO168" s="299"/>
      <c r="AP168" s="296"/>
      <c r="AQ168" s="295"/>
      <c r="AR168" s="295"/>
      <c r="AS168" s="295"/>
      <c r="AT168" s="295"/>
      <c r="AU168" s="295"/>
      <c r="AV168" s="290"/>
      <c r="AW168" s="499" t="s">
        <v>261</v>
      </c>
      <c r="AX168" s="499"/>
      <c r="AY168" s="499"/>
      <c r="AZ168" s="499"/>
      <c r="BA168" s="499"/>
      <c r="BB168" s="499"/>
      <c r="BC168" s="499"/>
      <c r="BD168" s="499"/>
      <c r="BE168" s="499"/>
      <c r="BF168" s="499"/>
      <c r="BG168" s="499"/>
      <c r="BH168" s="499"/>
      <c r="BI168" s="590">
        <f t="shared" si="39"/>
        <v>1952.5539499999998</v>
      </c>
      <c r="BJ168" s="590"/>
      <c r="BK168" s="590"/>
      <c r="BL168" s="590"/>
      <c r="BM168" s="594">
        <f>'FICHE DE PAIE'!AW$17</f>
        <v>5.4000000000000003E-3</v>
      </c>
      <c r="BN168" s="594"/>
      <c r="BO168" s="594"/>
      <c r="BP168" s="594"/>
      <c r="BQ168" s="592">
        <f t="shared" si="40"/>
        <v>10.543791329999999</v>
      </c>
      <c r="BR168" s="592"/>
      <c r="BS168" s="592"/>
      <c r="BT168" s="592"/>
      <c r="BU168" s="594">
        <f>'FICHE DE PAIE'!BE$17</f>
        <v>5.4000000000000003E-3</v>
      </c>
      <c r="BV168" s="594"/>
      <c r="BW168" s="594"/>
      <c r="BX168" s="592">
        <f t="shared" si="41"/>
        <v>10.543791329999999</v>
      </c>
      <c r="BY168" s="592"/>
      <c r="BZ168" s="592"/>
      <c r="CA168" s="593"/>
    </row>
    <row r="169" spans="1:79" ht="15" customHeight="1">
      <c r="A169" s="355">
        <v>6</v>
      </c>
      <c r="B169" s="316">
        <v>17</v>
      </c>
      <c r="C169" s="316">
        <f t="shared" si="42"/>
        <v>168</v>
      </c>
      <c r="D169" s="153" t="e">
        <f>IF(I169='Jour Férié'!F$6,'Jour Férié'!E$6,""&amp;IF(I169='Jour Férié'!F$7,'Jour Férié'!E$7,""&amp;IF(I169='Jour Férié'!F$8,'Jour Férié'!E$8,""&amp;IF(I169='Jour Férié'!B$8,'Jour Férié'!A$8,""&amp;IF(I169='Jour Férié'!B$10,'Jour Férié'!A$10,""&amp;IF(MOD(MATCH(I169,vacances!$A$3:$A$202,1),2)=1,"vacances",""))))))</f>
        <v>#N/A</v>
      </c>
      <c r="E169" s="492"/>
      <c r="F169" s="492"/>
      <c r="G169" s="492"/>
      <c r="H169" s="628"/>
      <c r="I169" s="399">
        <f t="shared" si="37"/>
        <v>43268</v>
      </c>
      <c r="J169" s="316"/>
      <c r="K169" s="316"/>
      <c r="L169" s="316"/>
      <c r="M169" s="316"/>
      <c r="N169" s="316"/>
      <c r="O169" s="408"/>
      <c r="P169" s="316"/>
      <c r="Q169" s="562" t="s">
        <v>262</v>
      </c>
      <c r="R169" s="562"/>
      <c r="S169" s="562"/>
      <c r="T169" s="562"/>
      <c r="U169" s="562"/>
      <c r="V169" s="562"/>
      <c r="W169" s="562"/>
      <c r="X169" s="563"/>
      <c r="Y169" s="563"/>
      <c r="Z169" s="563"/>
      <c r="AA169" s="563"/>
      <c r="AB169" s="563"/>
      <c r="AC169" s="563"/>
      <c r="AD169" s="563"/>
      <c r="AE169" s="563"/>
      <c r="AF169" s="563"/>
      <c r="AG169" s="564">
        <f>SUM(AG155:AJ164)+AG166-AK165-AK167</f>
        <v>1851.1323499999999</v>
      </c>
      <c r="AH169" s="564"/>
      <c r="AI169" s="564"/>
      <c r="AJ169" s="564"/>
      <c r="AK169" s="300"/>
      <c r="AL169" s="300"/>
      <c r="AM169" s="300"/>
      <c r="AN169" s="295"/>
      <c r="AO169" s="565">
        <f>AG169-AO155</f>
        <v>-1094.8676500000001</v>
      </c>
      <c r="AP169" s="565"/>
      <c r="AQ169" s="565"/>
      <c r="AR169" s="498"/>
      <c r="AS169" s="498"/>
      <c r="AT169" s="498"/>
      <c r="AU169" s="295"/>
      <c r="AV169" s="301"/>
      <c r="AW169" s="591" t="s">
        <v>263</v>
      </c>
      <c r="AX169" s="591"/>
      <c r="AY169" s="591"/>
      <c r="AZ169" s="591"/>
      <c r="BA169" s="591"/>
      <c r="BB169" s="591"/>
      <c r="BC169" s="591"/>
      <c r="BD169" s="591"/>
      <c r="BE169" s="591"/>
      <c r="BF169" s="591"/>
      <c r="BG169" s="591"/>
      <c r="BH169" s="591"/>
      <c r="BI169" s="601"/>
      <c r="BJ169" s="601"/>
      <c r="BK169" s="601"/>
      <c r="BL169" s="601"/>
      <c r="BM169" s="590"/>
      <c r="BN169" s="590"/>
      <c r="BO169" s="590"/>
      <c r="BP169" s="590"/>
      <c r="BQ169" s="592">
        <f t="shared" si="40"/>
        <v>0</v>
      </c>
      <c r="BR169" s="592"/>
      <c r="BS169" s="592"/>
      <c r="BT169" s="592"/>
      <c r="BU169" s="594">
        <f>'FICHE DE PAIE'!BE$18</f>
        <v>0.08</v>
      </c>
      <c r="BV169" s="594"/>
      <c r="BW169" s="594"/>
      <c r="BX169" s="592">
        <f t="shared" si="41"/>
        <v>0</v>
      </c>
      <c r="BY169" s="592"/>
      <c r="BZ169" s="592"/>
      <c r="CA169" s="593"/>
    </row>
    <row r="170" spans="1:79" ht="15" customHeight="1">
      <c r="A170" s="355">
        <v>6</v>
      </c>
      <c r="B170" s="316">
        <v>18</v>
      </c>
      <c r="C170" s="316">
        <f>VLOOKUP(A170,Données,4)+B170-1</f>
        <v>169</v>
      </c>
      <c r="D170" s="153" t="e">
        <f>IF(I170='Jour Férié'!F$6,'Jour Férié'!E$6,""&amp;IF(I170='Jour Férié'!F$7,'Jour Férié'!E$7,""&amp;IF(I170='Jour Férié'!F$8,'Jour Férié'!E$8,""&amp;IF(I170='Jour Férié'!B$8,'Jour Férié'!A$8,""&amp;IF(I170='Jour Férié'!B$10,'Jour Férié'!A$10,""&amp;IF(MOD(MATCH(I170,vacances!$A$3:$A$202,1),2)=1,"vacances",""))))))</f>
        <v>#N/A</v>
      </c>
      <c r="E170" s="492"/>
      <c r="F170" s="492"/>
      <c r="G170" s="492"/>
      <c r="H170" s="628"/>
      <c r="I170" s="399">
        <f t="shared" si="37"/>
        <v>43269</v>
      </c>
      <c r="J170" s="316"/>
      <c r="K170" s="316"/>
      <c r="L170" s="316"/>
      <c r="M170" s="579" t="s">
        <v>320</v>
      </c>
      <c r="N170" s="409">
        <f>(IF(WEEKDAY(I152,2)=6,(COUNTIF(E152,"*"))))*AND(IF(WEEKDAY(I153,2)=7,(COUNTIF(E153,"*"))))+(IF(WEEKDAY(I153,2)=6,(COUNTIF(E153,"*"))))*AND(IF(WEEKDAY(I154,2)=7,(COUNTIF(E154,"*"))))+(IF(WEEKDAY(I154,2)=6,(COUNTIF(E154,"*"))))*AND(IF(WEEKDAY(I155,2)=7,(COUNTIF(E155,"*"))))+(IF(WEEKDAY(I155,2)=6,(COUNTIF(E155,"*"))))*AND(IF(WEEKDAY(I156,2)=7,(COUNTIF(E156,"*"))))+(IF(WEEKDAY(I156,2)=6,(COUNTIF(E156,"*"))))*AND(IF(WEEKDAY(I157,2)=7,(COUNTIF(E157,"*"))))+(IF(WEEKDAY(I157,2)=6,(COUNTIF(E157,"*"))))*AND(IF(WEEKDAY(I158,2)=7,(COUNTIF(E158,"*"))))+(IF(WEEKDAY(I158,2)=6,(COUNTIF(E158,"*"))))*AND(IF(WEEKDAY(I159,2)=7,(COUNTIF(E159,"*"))))+(IF(WEEKDAY(I159,2)=6,(COUNTIF(E159,"*"))))*AND(IF(WEEKDAY(I160,2)=7,(COUNTIF(E160,"*"))))+(IF(WEEKDAY(I160,2)=6,(COUNTIF(E160,"*"))))*AND(IF(WEEKDAY(I161,2)=7,(COUNTIF(E161,"*"))))+(IF(WEEKDAY(I161,2)=6,(COUNTIF(E161,"*"))))*AND(IF(WEEKDAY(I162,2)=7,(COUNTIF(E162,"*"))))+(IF(WEEKDAY(I162,2)=6,(COUNTIF(E162,"*"))))*AND(IF(WEEKDAY(I163,2)=7,(COUNTIF(E163,"*"))))+(IF(WEEKDAY(I163,2)=6,(COUNTIF(E163,"*"))))*AND(IF(WEEKDAY(I164,2)=7,(COUNTIF(E164,"*"))))+(IF(WEEKDAY(I164,2)=6,(COUNTIF(E164,"*"))))*AND(IF(WEEKDAY(I165,2)=7,(COUNTIF(E165,"*"))))+(IF(WEEKDAY(I165,2)=6,(COUNTIF(E165,"*"))))*AND(IF(WEEKDAY(I166,2)=7,(COUNTIF(E166,"*"))))+(IF(WEEKDAY(I166,2)=6,(COUNTIF(E166,"*"))))*AND(IF(WEEKDAY(I167,2)=7,(COUNTIF(E167,"*"))))+(IF(WEEKDAY(I167,2)=6,(COUNTIF(E167,"*"))))*AND(IF(WEEKDAY(I168,2)=7,(COUNTIF(E168,"*"))))</f>
        <v>0</v>
      </c>
      <c r="O170" s="580">
        <f>SUM(N170:N171)</f>
        <v>0</v>
      </c>
      <c r="P170" s="316"/>
      <c r="Q170" s="376"/>
      <c r="R170" s="376"/>
      <c r="S170" s="376"/>
      <c r="T170" s="376"/>
      <c r="U170" s="376"/>
      <c r="V170" s="376"/>
      <c r="W170" s="376"/>
      <c r="X170" s="376"/>
      <c r="Y170" s="376"/>
      <c r="Z170" s="376"/>
      <c r="AA170" s="377"/>
      <c r="AB170" s="377"/>
      <c r="AC170" s="377"/>
      <c r="AD170" s="378"/>
      <c r="AE170" s="378"/>
      <c r="AF170" s="378"/>
      <c r="AG170" s="376"/>
      <c r="AH170" s="376"/>
      <c r="AI170" s="376"/>
      <c r="AJ170" s="379"/>
      <c r="AK170" s="379"/>
      <c r="AL170" s="379"/>
      <c r="AM170" s="379"/>
      <c r="AN170" s="365"/>
      <c r="AO170" s="365"/>
      <c r="AP170" s="365"/>
      <c r="AQ170" s="365"/>
      <c r="AR170" s="365"/>
      <c r="AS170" s="365"/>
      <c r="AT170" s="365"/>
      <c r="AU170" s="365"/>
      <c r="AV170" s="302"/>
      <c r="AW170" s="591" t="s">
        <v>264</v>
      </c>
      <c r="AX170" s="591"/>
      <c r="AY170" s="591"/>
      <c r="AZ170" s="591"/>
      <c r="BA170" s="591"/>
      <c r="BB170" s="591"/>
      <c r="BC170" s="591"/>
      <c r="BD170" s="591"/>
      <c r="BE170" s="591"/>
      <c r="BF170" s="591"/>
      <c r="BG170" s="591"/>
      <c r="BH170" s="591"/>
      <c r="BI170" s="590">
        <f>$AG$17*98.25%</f>
        <v>1918.3842558749998</v>
      </c>
      <c r="BJ170" s="590"/>
      <c r="BK170" s="590"/>
      <c r="BL170" s="590"/>
      <c r="BM170" s="594">
        <f>'FICHE DE PAIE'!AW$19</f>
        <v>6.8000000000000005E-2</v>
      </c>
      <c r="BN170" s="594"/>
      <c r="BO170" s="594"/>
      <c r="BP170" s="594"/>
      <c r="BQ170" s="592">
        <f t="shared" si="40"/>
        <v>130.45012939949999</v>
      </c>
      <c r="BR170" s="592"/>
      <c r="BS170" s="592"/>
      <c r="BT170" s="592"/>
      <c r="BU170" s="595"/>
      <c r="BV170" s="595"/>
      <c r="BW170" s="595"/>
      <c r="BX170" s="592">
        <f t="shared" si="41"/>
        <v>0</v>
      </c>
      <c r="BY170" s="592"/>
      <c r="BZ170" s="592"/>
      <c r="CA170" s="593"/>
    </row>
    <row r="171" spans="1:79" ht="15" customHeight="1">
      <c r="A171" s="355">
        <v>6</v>
      </c>
      <c r="B171" s="316">
        <v>19</v>
      </c>
      <c r="C171" s="316">
        <f t="shared" si="42"/>
        <v>170</v>
      </c>
      <c r="D171" s="153" t="e">
        <f>IF(I171='Jour Férié'!F$6,'Jour Férié'!E$6,""&amp;IF(I171='Jour Férié'!F$7,'Jour Férié'!E$7,""&amp;IF(I171='Jour Férié'!F$8,'Jour Férié'!E$8,""&amp;IF(I171='Jour Férié'!B$8,'Jour Férié'!A$8,""&amp;IF(I171='Jour Férié'!B$10,'Jour Férié'!A$10,""&amp;IF(MOD(MATCH(I171,vacances!$A$3:$A$202,1),2)=1,"vacances",""))))))</f>
        <v>#N/A</v>
      </c>
      <c r="E171" s="492"/>
      <c r="F171" s="492"/>
      <c r="G171" s="492"/>
      <c r="H171" s="628"/>
      <c r="I171" s="399">
        <f t="shared" si="37"/>
        <v>43270</v>
      </c>
      <c r="J171" s="316"/>
      <c r="K171" s="316"/>
      <c r="L171" s="316"/>
      <c r="M171" s="579"/>
      <c r="N171" s="410">
        <f>(IF(WEEKDAY(I168,2)=6,(COUNTIF(E168,"*"))))*AND(IF(WEEKDAY(I169,2)=7,(COUNTIF(E169,"*"))))+(IF(WEEKDAY(I169,2)=6,(COUNTIF(E169,"*"))))*AND(IF(WEEKDAY(I170,2)=7,(COUNTIF(E170,"*"))))+(IF(WEEKDAY(I170,2)=6,(COUNTIF(E170,"*"))))*AND(IF(WEEKDAY(I171,2)=7,(COUNTIF(E171,"*"))))+(IF(WEEKDAY(I171,2)=6,(COUNTIF(E171,"*"))))*AND(IF(WEEKDAY(I172,2)=7,(COUNTIF(E172,"*"))))+(IF(WEEKDAY(I172,2)=6,(COUNTIF(E172,"*"))))*AND(IF(WEEKDAY(I173,2)=7,(COUNTIF(E173,"*"))))+(IF(WEEKDAY(I173,2)=6,(COUNTIF(E173,"*"))))*AND(IF(WEEKDAY(I174,2)=7,(COUNTIF(E174,"*"))))+(IF(WEEKDAY(I174,2)=6,(COUNTIF(E174,"*"))))*AND(IF(WEEKDAY(I175,2)=7,(COUNTIF(E175,"*"))))+(IF(WEEKDAY(I175,2)=6,(COUNTIF(E175,"*"))))*AND(IF(WEEKDAY(I176,2)=7,(COUNTIF(E176,"*"))))+(IF(WEEKDAY(I176,2)=6,(COUNTIF(E176,"*"))))*AND(IF(WEEKDAY(I177,2)=7,(COUNTIF(E177,"*"))))+(IF(WEEKDAY(I177,2)=6,(COUNTIF(E177,"*"))))*AND(IF(WEEKDAY(I178,2)=7,(COUNTIF(E178,"*"))))+(IF(WEEKDAY(I178,2)=6,(COUNTIF(E178,"*"))))*AND(IF(WEEKDAY(I179,2)=7,(COUNTIF(E179,"*"))))+(IF(WEEKDAY(I179,2)=6,(COUNTIF(E179,"*"))))*AND(IF(WEEKDAY(I180,2)=7,(COUNTIF(E180,"*"))))+(IF(WEEKDAY(I180,2)=6,(COUNTIF(E180,"*"))))*AND(IF(WEEKDAY(I181,2)=7,(COUNTIF(E181,"*"))))+(IF(WEEKDAY(I181,2)=6,(COUNTIF(E181,"*"))))*AND(IF(WEEKDAY(I182,2)=7,(COUNTIF(E182,"*"))))+(IF(WEEKDAY(I182,2)=6,(COUNTIF(E182,"*"))))*AND(IF(WEEKDAY(I183,2)=7,(COUNTIF(E183,"*"))))</f>
        <v>0</v>
      </c>
      <c r="O171" s="580"/>
      <c r="P171" s="316"/>
      <c r="Q171" s="550">
        <f>Q153</f>
        <v>43101</v>
      </c>
      <c r="R171" s="550"/>
      <c r="S171" s="550"/>
      <c r="T171" s="550"/>
      <c r="U171" s="550"/>
      <c r="V171" s="550"/>
      <c r="W171" s="550"/>
      <c r="X171" s="550"/>
      <c r="Y171" s="550"/>
      <c r="Z171" s="550"/>
      <c r="AA171" s="550"/>
      <c r="AB171" s="550"/>
      <c r="AC171" s="550"/>
      <c r="AD171" s="550"/>
      <c r="AE171" s="550"/>
      <c r="AF171" s="550"/>
      <c r="AG171" s="550"/>
      <c r="AH171" s="550"/>
      <c r="AI171" s="550"/>
      <c r="AJ171" s="550"/>
      <c r="AK171" s="550"/>
      <c r="AL171" s="550"/>
      <c r="AM171" s="550"/>
      <c r="AN171" s="550"/>
      <c r="AO171" s="550"/>
      <c r="AP171" s="550"/>
      <c r="AQ171" s="550"/>
      <c r="AR171" s="550"/>
      <c r="AS171" s="550"/>
      <c r="AT171" s="550"/>
      <c r="AU171" s="550"/>
      <c r="AV171" s="303"/>
      <c r="AW171" s="591" t="s">
        <v>265</v>
      </c>
      <c r="AX171" s="591"/>
      <c r="AY171" s="591"/>
      <c r="AZ171" s="591"/>
      <c r="BA171" s="591"/>
      <c r="BB171" s="591"/>
      <c r="BC171" s="591"/>
      <c r="BD171" s="591"/>
      <c r="BE171" s="591"/>
      <c r="BF171" s="591"/>
      <c r="BG171" s="591"/>
      <c r="BH171" s="591"/>
      <c r="BI171" s="590">
        <f>$AG$17*98.25%</f>
        <v>1918.3842558749998</v>
      </c>
      <c r="BJ171" s="590"/>
      <c r="BK171" s="590"/>
      <c r="BL171" s="590"/>
      <c r="BM171" s="594">
        <f>'FICHE DE PAIE'!AW$20</f>
        <v>2.4E-2</v>
      </c>
      <c r="BN171" s="594"/>
      <c r="BO171" s="594"/>
      <c r="BP171" s="594"/>
      <c r="BQ171" s="592">
        <f t="shared" si="40"/>
        <v>46.041222140999999</v>
      </c>
      <c r="BR171" s="592"/>
      <c r="BS171" s="592"/>
      <c r="BT171" s="592"/>
      <c r="BU171" s="595"/>
      <c r="BV171" s="595"/>
      <c r="BW171" s="595"/>
      <c r="BX171" s="592">
        <f t="shared" si="41"/>
        <v>0</v>
      </c>
      <c r="BY171" s="592"/>
      <c r="BZ171" s="592"/>
      <c r="CA171" s="593"/>
    </row>
    <row r="172" spans="1:79" ht="15" customHeight="1">
      <c r="A172" s="355">
        <v>6</v>
      </c>
      <c r="B172" s="316">
        <v>20</v>
      </c>
      <c r="C172" s="316">
        <f t="shared" si="42"/>
        <v>171</v>
      </c>
      <c r="D172" s="153" t="e">
        <f>IF(I172='Jour Férié'!F$6,'Jour Férié'!E$6,""&amp;IF(I172='Jour Férié'!F$7,'Jour Férié'!E$7,""&amp;IF(I172='Jour Férié'!F$8,'Jour Férié'!E$8,""&amp;IF(I172='Jour Férié'!B$8,'Jour Férié'!A$8,""&amp;IF(I172='Jour Férié'!B$10,'Jour Férié'!A$10,""&amp;IF(MOD(MATCH(I172,vacances!$A$3:$A$202,1),2)=1,"vacances",""))))))</f>
        <v>#N/A</v>
      </c>
      <c r="E172" s="492"/>
      <c r="F172" s="492"/>
      <c r="G172" s="492"/>
      <c r="H172" s="628"/>
      <c r="I172" s="399">
        <f t="shared" si="37"/>
        <v>43271</v>
      </c>
      <c r="J172" s="316"/>
      <c r="K172" s="316"/>
      <c r="L172" s="316"/>
      <c r="M172" s="579" t="s">
        <v>321</v>
      </c>
      <c r="N172" s="410">
        <f>(IF(WEEKDAY(I152,2)=5,(COUNTIF(E152,$J$1))))*AND(IF(WEEKDAY(I155,2)=1,(COUNTIF(E155,"*"))))+(IF(WEEKDAY(I153,2)=5,(COUNTIF(E153,$J$1))))*AND(IF(WEEKDAY(I156,2)=1,(COUNTIF(E156,"*"))))+(IF(WEEKDAY(I154,2)=5,(COUNTIF(E154,$J$1))))*AND(IF(WEEKDAY(I157,2)=1,(COUNTIF(E157,"*"))))+(IF(WEEKDAY(I155,2)=5,(COUNTIF(E155,$J$1))))*AND(IF(WEEKDAY(I158,2)=1,(COUNTIF(E158,"*"))))+(IF(WEEKDAY(I156,2)=5,(COUNTIF(E156,$J$1))))*AND(IF(WEEKDAY(I159,2)=1,(COUNTIF(E159,"*"))))+(IF(WEEKDAY(I157,2)=5,(COUNTIF(E157,$J$1))))*AND(IF(WEEKDAY(I160,2)=1,(COUNTIF(E160,"*"))))+(IF(WEEKDAY(I158,2)=5,(COUNTIF(E158,$J$1))))*AND(IF(WEEKDAY(I161,2)=1,(COUNTIF(E161,"*"))))+(IF(WEEKDAY(I159,2)=5,(COUNTIF(E159,$J$1))))*AND(IF(WEEKDAY(I162,2)=1,(COUNTIF(E162,"*"))))+(IF(WEEKDAY(I160,2)=5,(COUNTIF(E160,$J$1))))*AND(IF(WEEKDAY(I163,2)=1,(COUNTIF(E163,"*"))))+(IF(WEEKDAY(I161,2)=5,(COUNTIF(E161,$J$1))))*AND(IF(WEEKDAY(I164,2)=1,(COUNTIF(E164,"*"))))+(IF(WEEKDAY(I162,2)=5,(COUNTIF(E162,$J$1))))*AND(IF(WEEKDAY(I165,2)=1,(COUNTIF(E165,"*"))))+(IF(WEEKDAY(I163,2)=5,(COUNTIF(E163,$J$1))))*AND(IF(WEEKDAY(I166,2)=1,(COUNTIF(E166,"*"))))+(IF(WEEKDAY(I164,2)=5,(COUNTIF(E164,$J$1))))*AND(IF(WEEKDAY(I167,2)=1,(COUNTIF(E167,"*"))))+(IF(WEEKDAY(I165,2)=5,(COUNTIF(E165,$J$1))))*AND(IF(WEEKDAY(I168,2)=1,(COUNTIF(E168,"*"))))+(IF(WEEKDAY(I166,2)=5,(COUNTIF(E166,$J$1))))*AND(IF(WEEKDAY(I169,2)=1,(COUNTIF(E169,"*"))))+(IF(WEEKDAY(I167,2)=5,(COUNTIF(E167,$J$1))))*AND(IF(WEEKDAY(I170,2)=1,(COUNTIF(E170,"*"))))+(IF(WEEKDAY(I168,2)=5,(COUNTIF(E168,$J$1))))*AND(IF(WEEKDAY(I171,2)=1,(COUNTIF(E171,"*"))))+(IF(WEEKDAY(I169,2)=5,(COUNTIF(E169,$J$1))))*AND(IF(WEEKDAY(I172,2)=1,(COUNTIF(E172,"*"))))</f>
        <v>0</v>
      </c>
      <c r="O172" s="580">
        <f>SUM(N172:N173)</f>
        <v>0</v>
      </c>
      <c r="P172" s="316"/>
      <c r="Q172" s="281"/>
      <c r="R172" s="281"/>
      <c r="S172" s="281"/>
      <c r="T172" s="281"/>
      <c r="U172" s="281"/>
      <c r="V172" s="281"/>
      <c r="W172" s="281"/>
      <c r="X172" s="304"/>
      <c r="Y172" s="304"/>
      <c r="Z172" s="304"/>
      <c r="AA172" s="305"/>
      <c r="AB172" s="305"/>
      <c r="AC172" s="305"/>
      <c r="AD172" s="306"/>
      <c r="AE172" s="306"/>
      <c r="AF172" s="306"/>
      <c r="AG172" s="304"/>
      <c r="AH172" s="304"/>
      <c r="AI172" s="304"/>
      <c r="AJ172" s="304"/>
      <c r="AK172" s="304"/>
      <c r="AL172" s="304"/>
      <c r="AM172" s="304"/>
      <c r="AN172" s="304"/>
      <c r="AO172" s="304"/>
      <c r="AP172" s="304"/>
      <c r="AQ172" s="304"/>
      <c r="AR172" s="304"/>
      <c r="AS172" s="304"/>
      <c r="AT172" s="304"/>
      <c r="AU172" s="304"/>
      <c r="AV172" s="304"/>
      <c r="AW172" s="499" t="s">
        <v>266</v>
      </c>
      <c r="AX172" s="499"/>
      <c r="AY172" s="499"/>
      <c r="AZ172" s="499"/>
      <c r="BA172" s="499"/>
      <c r="BB172" s="499"/>
      <c r="BC172" s="499"/>
      <c r="BD172" s="499"/>
      <c r="BE172" s="499"/>
      <c r="BF172" s="499"/>
      <c r="BG172" s="499"/>
      <c r="BH172" s="499"/>
      <c r="BI172" s="590">
        <f>$AG$17*98.25%</f>
        <v>1918.3842558749998</v>
      </c>
      <c r="BJ172" s="590"/>
      <c r="BK172" s="590"/>
      <c r="BL172" s="590"/>
      <c r="BM172" s="594">
        <f>'FICHE DE PAIE'!AW$21</f>
        <v>5.0000000000000001E-3</v>
      </c>
      <c r="BN172" s="594"/>
      <c r="BO172" s="594"/>
      <c r="BP172" s="594"/>
      <c r="BQ172" s="592">
        <f t="shared" si="40"/>
        <v>9.5919212793749988</v>
      </c>
      <c r="BR172" s="592"/>
      <c r="BS172" s="592"/>
      <c r="BT172" s="592"/>
      <c r="BU172" s="595"/>
      <c r="BV172" s="595"/>
      <c r="BW172" s="595"/>
      <c r="BX172" s="592">
        <f t="shared" si="41"/>
        <v>0</v>
      </c>
      <c r="BY172" s="592"/>
      <c r="BZ172" s="592"/>
      <c r="CA172" s="593"/>
    </row>
    <row r="173" spans="1:79" ht="15" customHeight="1">
      <c r="A173" s="355">
        <v>6</v>
      </c>
      <c r="B173" s="316">
        <v>21</v>
      </c>
      <c r="C173" s="316">
        <f t="shared" si="42"/>
        <v>172</v>
      </c>
      <c r="D173" s="153" t="e">
        <f>IF(I173='Jour Férié'!F$6,'Jour Férié'!E$6,""&amp;IF(I173='Jour Férié'!F$7,'Jour Férié'!E$7,""&amp;IF(I173='Jour Férié'!F$8,'Jour Férié'!E$8,""&amp;IF(I173='Jour Férié'!B$8,'Jour Férié'!A$8,""&amp;IF(I173='Jour Férié'!B$10,'Jour Férié'!A$10,""&amp;IF(MOD(MATCH(I173,vacances!$A$3:$A$202,1),2)=1,"vacances",""))))))</f>
        <v>#N/A</v>
      </c>
      <c r="E173" s="492"/>
      <c r="F173" s="492"/>
      <c r="G173" s="492"/>
      <c r="H173" s="628"/>
      <c r="I173" s="399">
        <f t="shared" si="37"/>
        <v>43272</v>
      </c>
      <c r="J173" s="316"/>
      <c r="K173" s="316"/>
      <c r="L173" s="316"/>
      <c r="M173" s="579"/>
      <c r="N173" s="410">
        <f>(IF(WEEKDAY(I170,2)=5,(COUNTIF(E170,$J$1))))*AND(IF(WEEKDAY(I173,2)=1,(COUNTIF(E173,"*"))))+(IF(WEEKDAY(I171,2)=5,(COUNTIF(E171,$J$1))))*AND(IF(WEEKDAY(I174,2)=1,(COUNTIF(E174,"*"))))+(IF(WEEKDAY(I172,2)=5,(COUNTIF(E172,$J$1))))*AND(IF(WEEKDAY(I175,2)=1,(COUNTIF(E175,"*"))))+(IF(WEEKDAY(I173,2)=5,(COUNTIF(E173,$J$1))))*AND(IF(WEEKDAY(I176,2)=1,(COUNTIF(E176,"*"))))+(IF(WEEKDAY(I174,2)=5,(COUNTIF(E174,$J$1))))*AND(IF(WEEKDAY(I177,2)=1,(COUNTIF(E177,"*"))))+(IF(WEEKDAY(I175,2)=5,(COUNTIF(E175,$J$1))))*AND(IF(WEEKDAY(I178,2)=1,(COUNTIF(E178,"*"))))+(IF(WEEKDAY(I176,2)=5,(COUNTIF(E176,$J$1))))*AND(IF(WEEKDAY(I179,2)=1,(COUNTIF(E179,"*"))))+(IF(WEEKDAY(I177,2)=5,(COUNTIF(E177,$J$1))))*AND(IF(WEEKDAY(I180,2)=1,(COUNTIF(E180,"*"))))+(IF(WEEKDAY(I178,2)=5,(COUNTIF(E178,$J$1))))*AND(IF(WEEKDAY(I181,2)=1,(COUNTIF(E181,"*"))))+(IF(WEEKDAY(I179,2)=5,(COUNTIF(E179,$J$1))))*AND(IF(WEEKDAY(I182,2)=1,(COUNTIF(E182,"*"))))+(IF(WEEKDAY(I180,2)=5,(COUNTIF(E180,$J$1))))*AND(IF(WEEKDAY(I183,2)=1,(COUNTIF(E183,"*"))))+(IF(WEEKDAY(I181,2)=5,(COUNTIF(E181,$J$1))))*AND(IF(WEEKDAY(I184,2)=1,(COUNTIF(E184,"*"))))+(IF(WEEKDAY(I182,2)=5,(COUNTIF(E182,$J$1))))*AND(IF(WEEKDAY(I185,2)=1,(COUNTIF(E185,"*"))))</f>
        <v>0</v>
      </c>
      <c r="O173" s="580"/>
      <c r="P173" s="316"/>
      <c r="Q173" s="281"/>
      <c r="R173" s="281"/>
      <c r="S173" s="281"/>
      <c r="T173" s="281"/>
      <c r="U173" s="281"/>
      <c r="V173" s="281"/>
      <c r="W173" s="281"/>
      <c r="X173" s="307"/>
      <c r="Y173" s="307"/>
      <c r="Z173" s="307"/>
      <c r="AA173" s="308"/>
      <c r="AB173" s="308"/>
      <c r="AC173" s="308"/>
      <c r="AD173" s="309"/>
      <c r="AE173" s="309"/>
      <c r="AF173" s="309"/>
      <c r="AG173" s="307"/>
      <c r="AH173" s="307"/>
      <c r="AI173" s="307"/>
      <c r="AJ173" s="307"/>
      <c r="AK173" s="307"/>
      <c r="AL173" s="307"/>
      <c r="AM173" s="307"/>
      <c r="AN173" s="307"/>
      <c r="AO173" s="307"/>
      <c r="AP173" s="307"/>
      <c r="AQ173" s="307"/>
      <c r="AR173" s="307"/>
      <c r="AS173" s="307"/>
      <c r="AT173" s="307"/>
      <c r="AU173" s="307"/>
      <c r="AV173" s="307"/>
      <c r="AW173" s="499" t="s">
        <v>267</v>
      </c>
      <c r="AX173" s="499"/>
      <c r="AY173" s="499"/>
      <c r="AZ173" s="499"/>
      <c r="BA173" s="499"/>
      <c r="BB173" s="499"/>
      <c r="BC173" s="499"/>
      <c r="BD173" s="499"/>
      <c r="BE173" s="499"/>
      <c r="BF173" s="499"/>
      <c r="BG173" s="499"/>
      <c r="BH173" s="499"/>
      <c r="BI173" s="596">
        <f>BI169</f>
        <v>0</v>
      </c>
      <c r="BJ173" s="596"/>
      <c r="BK173" s="596"/>
      <c r="BL173" s="596"/>
      <c r="BM173" s="594">
        <f>'FICHE DE PAIE'!AW$22</f>
        <v>6.8000000000000005E-2</v>
      </c>
      <c r="BN173" s="594"/>
      <c r="BO173" s="594"/>
      <c r="BP173" s="594"/>
      <c r="BQ173" s="592">
        <f t="shared" si="40"/>
        <v>0</v>
      </c>
      <c r="BR173" s="592"/>
      <c r="BS173" s="592"/>
      <c r="BT173" s="592"/>
      <c r="BU173" s="595"/>
      <c r="BV173" s="595"/>
      <c r="BW173" s="595"/>
      <c r="BX173" s="592">
        <f t="shared" si="41"/>
        <v>0</v>
      </c>
      <c r="BY173" s="592"/>
      <c r="BZ173" s="592"/>
      <c r="CA173" s="593"/>
    </row>
    <row r="174" spans="1:79" ht="15" customHeight="1">
      <c r="A174" s="355">
        <v>6</v>
      </c>
      <c r="B174" s="316">
        <v>22</v>
      </c>
      <c r="C174" s="316">
        <f t="shared" si="42"/>
        <v>173</v>
      </c>
      <c r="D174" s="153" t="e">
        <f>IF(I174='Jour Férié'!F$6,'Jour Férié'!E$6,""&amp;IF(I174='Jour Férié'!F$7,'Jour Férié'!E$7,""&amp;IF(I174='Jour Férié'!F$8,'Jour Férié'!E$8,""&amp;IF(I174='Jour Férié'!B$8,'Jour Férié'!A$8,""&amp;IF(I174='Jour Férié'!B$10,'Jour Férié'!A$10,""&amp;IF(MOD(MATCH(I174,vacances!$A$3:$A$202,1),2)=1,"vacances",""))))))</f>
        <v>#N/A</v>
      </c>
      <c r="E174" s="492"/>
      <c r="F174" s="492"/>
      <c r="G174" s="492"/>
      <c r="H174" s="628"/>
      <c r="I174" s="399">
        <f t="shared" si="37"/>
        <v>43273</v>
      </c>
      <c r="J174" s="316"/>
      <c r="K174" s="316"/>
      <c r="L174" s="316"/>
      <c r="M174" s="579" t="s">
        <v>322</v>
      </c>
      <c r="N174" s="410">
        <f>((IF(WEEKDAY(I152,2)=7,(COUNTIF(E152,"*"))))*AND(IF(WEEKDAY(I153,2)=1,(COUNTIF(E153,"*")))))*AND(COUNTBLANK(E151))+((IF(WEEKDAY(I153,2)=7,(COUNTIF(E153,"*"))))*AND(IF(WEEKDAY(I154,2)=1,(COUNTIF(E154,"*")))))*AND(COUNTBLANK(E152))+((IF(WEEKDAY(I154,2)=7,(COUNTIF(E154,"*"))))*AND(IF(WEEKDAY(I155,2)=1,(COUNTIF(E155,"*"))))*AND(COUNTBLANK(E153)))+((IF(WEEKDAY(I155,2)=7,(COUNTIF(E155,"*"))))*AND(IF(WEEKDAY(I156,2)=1,(COUNTIF(E156,"*"))))*AND(COUNTBLANK(E154)))+((IF(WEEKDAY(I156,2)=7,(COUNTIF(E156,"*"))))*AND(IF(WEEKDAY(I157,2)=1,(COUNTIF(E157,"*"))))*AND(COUNTBLANK(E155)))+((IF(WEEKDAY(I157,2)=7,(COUNTIF(E157,"*"))))*AND(IF(WEEKDAY(I158,2)=1,(COUNTIF(E158,"*"))))*AND(COUNTBLANK(E156)))+((IF(WEEKDAY(I158,2)=7,(COUNTIF(E158,"*"))))*AND(IF(WEEKDAY(I159,2)=1,(COUNTIF(E159,"*"))))*AND(COUNTBLANK(E157)))+((IF(WEEKDAY(I159,2)=7,(COUNTIF(E159,"*"))))*AND(IF(WEEKDAY(I160,2)=1,(COUNTIF(E160,"*"))))*AND(COUNTBLANK(E158)))+((IF(WEEKDAY(I160,2)=7,(COUNTIF(E160,"*"))))*AND(IF(WEEKDAY(I161,2)=1,(COUNTIF(E161,"*"))))*AND(COUNTBLANK(E159)))</f>
        <v>0</v>
      </c>
      <c r="O174" s="580">
        <f>SUM(N174:N176)</f>
        <v>0</v>
      </c>
      <c r="P174" s="316"/>
      <c r="Q174" s="281"/>
      <c r="R174" s="281"/>
      <c r="S174" s="281"/>
      <c r="T174" s="552" t="s">
        <v>272</v>
      </c>
      <c r="U174" s="552"/>
      <c r="V174" s="552"/>
      <c r="W174" s="552"/>
      <c r="X174" s="552"/>
      <c r="Y174" s="552"/>
      <c r="Z174" s="552"/>
      <c r="AA174" s="552"/>
      <c r="AB174" s="552"/>
      <c r="AC174" s="553">
        <f>BV180</f>
        <v>1407.7499809251249</v>
      </c>
      <c r="AD174" s="553"/>
      <c r="AE174" s="553"/>
      <c r="AF174" s="553"/>
      <c r="AG174" s="553"/>
      <c r="AH174" s="553"/>
      <c r="AI174" s="553"/>
      <c r="AJ174" s="553"/>
      <c r="AK174" s="553"/>
      <c r="AL174" s="553"/>
      <c r="AM174" s="553"/>
      <c r="AN174" s="553"/>
      <c r="AO174" s="553"/>
      <c r="AP174" s="553"/>
      <c r="AQ174" s="553"/>
      <c r="AR174" s="290"/>
      <c r="AS174" s="290"/>
      <c r="AT174" s="290"/>
      <c r="AU174" s="290"/>
      <c r="AV174" s="290"/>
      <c r="AW174" s="499" t="s">
        <v>268</v>
      </c>
      <c r="AX174" s="499"/>
      <c r="AY174" s="499"/>
      <c r="AZ174" s="499"/>
      <c r="BA174" s="499"/>
      <c r="BB174" s="499"/>
      <c r="BC174" s="499"/>
      <c r="BD174" s="499"/>
      <c r="BE174" s="499"/>
      <c r="BF174" s="499"/>
      <c r="BG174" s="499"/>
      <c r="BH174" s="499"/>
      <c r="BI174" s="596">
        <f>BI169</f>
        <v>0</v>
      </c>
      <c r="BJ174" s="596"/>
      <c r="BK174" s="596"/>
      <c r="BL174" s="596"/>
      <c r="BM174" s="594">
        <f>'FICHE DE PAIE'!AW$23</f>
        <v>2.9000000000000001E-2</v>
      </c>
      <c r="BN174" s="594"/>
      <c r="BO174" s="594"/>
      <c r="BP174" s="594"/>
      <c r="BQ174" s="592">
        <f t="shared" si="40"/>
        <v>0</v>
      </c>
      <c r="BR174" s="592"/>
      <c r="BS174" s="592"/>
      <c r="BT174" s="592"/>
      <c r="BU174" s="595"/>
      <c r="BV174" s="595"/>
      <c r="BW174" s="595"/>
      <c r="BX174" s="592">
        <f t="shared" si="41"/>
        <v>0</v>
      </c>
      <c r="BY174" s="592"/>
      <c r="BZ174" s="592"/>
      <c r="CA174" s="593"/>
    </row>
    <row r="175" spans="1:79" ht="15" customHeight="1">
      <c r="A175" s="355">
        <v>6</v>
      </c>
      <c r="B175" s="316">
        <v>23</v>
      </c>
      <c r="C175" s="316">
        <f t="shared" si="42"/>
        <v>174</v>
      </c>
      <c r="D175" s="153" t="e">
        <f>IF(I175='Jour Férié'!F$6,'Jour Férié'!E$6,""&amp;IF(I175='Jour Férié'!F$7,'Jour Férié'!E$7,""&amp;IF(I175='Jour Férié'!F$8,'Jour Férié'!E$8,""&amp;IF(I175='Jour Férié'!B$8,'Jour Férié'!A$8,""&amp;IF(I175='Jour Férié'!B$10,'Jour Férié'!A$10,""&amp;IF(MOD(MATCH(I175,vacances!$A$3:$A$202,1),2)=1,"vacances",""))))))</f>
        <v>#N/A</v>
      </c>
      <c r="E175" s="492"/>
      <c r="F175" s="492"/>
      <c r="G175" s="492"/>
      <c r="H175" s="628"/>
      <c r="I175" s="399">
        <f t="shared" si="37"/>
        <v>43274</v>
      </c>
      <c r="J175" s="581"/>
      <c r="K175" s="581"/>
      <c r="L175" s="581"/>
      <c r="M175" s="579"/>
      <c r="N175" s="409">
        <f>((IF(WEEKDAY(I161,2)=7,(COUNTIF(E161,"*"))))*AND(IF(WEEKDAY(I162,2)=1,(COUNTIF(E162,"*"))))*AND(COUNTBLANK(E160)))+((IF(WEEKDAY(I162,2)=7,(COUNTIF(E162,"*"))))*AND(IF(WEEKDAY(I163,2)=1,(COUNTIF(E163,"*"))))*AND(COUNTBLANK(E161)))+((IF(WEEKDAY(I163,2)=7,(COUNTIF(E163,"*"))))*AND(IF(WEEKDAY(I164,2)=1,(COUNTIF(E164,"*"))))*AND(COUNTBLANK(E162)))+((IF(WEEKDAY(I164,2)=7,(COUNTIF(E164,"*"))))*AND(IF(WEEKDAY(I165,2)=1,(COUNTIF(E165,"*"))))*AND(COUNTBLANK(E163)))+((IF(WEEKDAY(I165,2)=7,(COUNTIF(E165,"*"))))*AND(IF(WEEKDAY(I166,2)=1,(COUNTIF(E166,"*"))))*AND(COUNTBLANK(E164)))+((IF(WEEKDAY(I166,2)=7,(COUNTIF(E166,"*"))))*AND(IF(WEEKDAY(I167,2)=1,(COUNTIF(E167,"*"))))*AND(COUNTBLANK(E165)))+((IF(WEEKDAY(I167,2)=7,(COUNTIF(E167,"*"))))*AND(IF(WEEKDAY(I168,2)=1,(COUNTIF(E168,"*"))))*AND(COUNTBLANK(E166)))+((IF(WEEKDAY(I168,2)=7,(COUNTIF(E168,"*"))))*AND(IF(WEEKDAY(I169,2)=1,(COUNTIF(E169,"*"))))*AND(COUNTBLANK(E167)))+((IF(WEEKDAY(I169,2)=7,(COUNTIF(E169,"*"))))*AND(IF(WEEKDAY(I170,2)=1,(COUNTIF(E170,"*"))))*AND(COUNTBLANK(E168)))+((IF(WEEKDAY(I170,2)=7,(COUNTIF(E170,"*"))))*AND(IF(WEEKDAY(I171,2)=1,(COUNTIF(E171,"*"))))*AND(COUNTBLANK(E169)))+((IF(WEEKDAY(I171,2)=7,(COUNTIF(E171,"*"))))*AND(IF(WEEKDAY(I172,2)=1,(COUNTIF(E172,"*"))))*AND(COUNTBLANK(E169)))+((IF(WEEKDAY(I172,2)=7,(COUNTIF(E172,"*"))))*AND(IF(WEEKDAY(I173,2)=1,(COUNTIF(E173,"*"))))*AND(COUNTBLANK(E170)))+((IF(WEEKDAY(I173,2)=7,(COUNTIF(E173,"*"))))*AND(IF(WEEKDAY(I174,2)=1,(COUNTIF(E174,"*"))))*AND(COUNTBLANK(E171)))</f>
        <v>0</v>
      </c>
      <c r="O175" s="580"/>
      <c r="P175" s="316"/>
      <c r="Q175" s="304"/>
      <c r="R175" s="304"/>
      <c r="S175" s="304"/>
      <c r="T175" s="552"/>
      <c r="U175" s="552"/>
      <c r="V175" s="552"/>
      <c r="W175" s="552"/>
      <c r="X175" s="552"/>
      <c r="Y175" s="552"/>
      <c r="Z175" s="552"/>
      <c r="AA175" s="552"/>
      <c r="AB175" s="552"/>
      <c r="AC175" s="553"/>
      <c r="AD175" s="553"/>
      <c r="AE175" s="553"/>
      <c r="AF175" s="553"/>
      <c r="AG175" s="553"/>
      <c r="AH175" s="553"/>
      <c r="AI175" s="553"/>
      <c r="AJ175" s="553"/>
      <c r="AK175" s="553"/>
      <c r="AL175" s="553"/>
      <c r="AM175" s="553"/>
      <c r="AN175" s="553"/>
      <c r="AO175" s="553"/>
      <c r="AP175" s="553"/>
      <c r="AQ175" s="553"/>
      <c r="AR175" s="304"/>
      <c r="AS175" s="304"/>
      <c r="AT175" s="304"/>
      <c r="AU175" s="304"/>
      <c r="AV175" s="304"/>
      <c r="AW175" s="499" t="s">
        <v>269</v>
      </c>
      <c r="AX175" s="499"/>
      <c r="AY175" s="499"/>
      <c r="AZ175" s="499"/>
      <c r="BA175" s="499"/>
      <c r="BB175" s="499"/>
      <c r="BC175" s="499"/>
      <c r="BD175" s="499"/>
      <c r="BE175" s="499"/>
      <c r="BF175" s="499"/>
      <c r="BG175" s="499"/>
      <c r="BH175" s="499"/>
      <c r="BI175" s="596"/>
      <c r="BJ175" s="596"/>
      <c r="BK175" s="596"/>
      <c r="BL175" s="596"/>
      <c r="BM175" s="590"/>
      <c r="BN175" s="590"/>
      <c r="BO175" s="590"/>
      <c r="BP175" s="590"/>
      <c r="BQ175" s="592">
        <v>9.52</v>
      </c>
      <c r="BR175" s="592"/>
      <c r="BS175" s="592"/>
      <c r="BT175" s="592"/>
      <c r="BU175" s="595"/>
      <c r="BV175" s="595"/>
      <c r="BW175" s="595"/>
      <c r="BX175" s="592">
        <f t="shared" si="41"/>
        <v>0</v>
      </c>
      <c r="BY175" s="592"/>
      <c r="BZ175" s="592"/>
      <c r="CA175" s="593"/>
    </row>
    <row r="176" spans="1:79" ht="15" customHeight="1">
      <c r="A176" s="355">
        <v>6</v>
      </c>
      <c r="B176" s="316">
        <v>24</v>
      </c>
      <c r="C176" s="316">
        <f t="shared" ref="C176:C181" si="43">VLOOKUP(A176,Données,4)+B176-1</f>
        <v>175</v>
      </c>
      <c r="D176" s="153" t="e">
        <f>IF(I176='Jour Férié'!F$6,'Jour Férié'!E$6,""&amp;IF(I176='Jour Férié'!F$7,'Jour Férié'!E$7,""&amp;IF(I176='Jour Férié'!F$8,'Jour Férié'!E$8,""&amp;IF(I176='Jour Férié'!B$8,'Jour Férié'!A$8,""&amp;IF(I176='Jour Férié'!B$10,'Jour Férié'!A$10,""&amp;IF(MOD(MATCH(I176,vacances!$A$3:$A$202,1),2)=1,"vacances",""))))))</f>
        <v>#N/A</v>
      </c>
      <c r="E176" s="492"/>
      <c r="F176" s="492"/>
      <c r="G176" s="492"/>
      <c r="H176" s="628"/>
      <c r="I176" s="399">
        <f t="shared" si="37"/>
        <v>43275</v>
      </c>
      <c r="J176" s="581"/>
      <c r="K176" s="581"/>
      <c r="L176" s="316"/>
      <c r="M176" s="579"/>
      <c r="N176" s="409">
        <f>((IF(WEEKDAY(I174,2)=7,(COUNTIF(E174,"*"))))*AND(IF(WEEKDAY(I175,2)=1,(COUNTIF(E175,"*"))))*AND(COUNTBLANK(E172)))+((IF(WEEKDAY(I175,2)=7,(COUNTIF(E175,"*"))))*AND(IF(WEEKDAY(I176,2)=1,(COUNTIF(E176,"*"))))*AND(COUNTBLANK(E173)))+((IF(WEEKDAY(I176,2)=7,(COUNTIF(E176,"*"))))*AND(IF(WEEKDAY(I177,2)=1,(COUNTIF(E177,"*"))))*AND(COUNTBLANK(E173)))+((IF(WEEKDAY(I177,2)=7,(COUNTIF(E177,"*"))))*AND(IF(WEEKDAY(I178,2)=1,(COUNTIF(E178,"*"))))*AND(COUNTBLANK(E175)))+((IF(WEEKDAY(I178,2)=7,(COUNTIF(E178,"*"))))*AND(IF(WEEKDAY(I179,2)=1,(COUNTIF(E179,"*"))))*AND(COUNTBLANK(E176)))+((IF(WEEKDAY(I179,2)=7,(COUNTIF(E179,"*"))))*AND(IF(WEEKDAY(I180,2)=1,(COUNTIF(E180,"*"))))*AND(COUNTBLANK(E177)))+((IF(WEEKDAY(I180,2)=7,(COUNTIF(E180,"*"))))*AND(IF(WEEKDAY(I181,2)=1,(COUNTIF(E181,"*"))))*AND(COUNTBLANK(E178)))+((IF(WEEKDAY(I181,2)=7,(COUNTIF(E181,"*"))))*AND(IF(WEEKDAY(I182,2)=1,(COUNTIF(E182,"*"))))*AND(COUNTBLANK(E179)))+((IF(WEEKDAY(I182,2)=7,(COUNTIF(E182,"*"))))*AND(IF(WEEKDAY(I183,2)=1,(COUNTIF(E183,"*"))))*AND(COUNTBLANK(E180)))</f>
        <v>0</v>
      </c>
      <c r="O176" s="580"/>
      <c r="P176" s="316"/>
      <c r="Q176" s="307"/>
      <c r="R176" s="307"/>
      <c r="S176" s="307"/>
      <c r="T176" s="552"/>
      <c r="U176" s="552"/>
      <c r="V176" s="552"/>
      <c r="W176" s="552"/>
      <c r="X176" s="552"/>
      <c r="Y176" s="552"/>
      <c r="Z176" s="552"/>
      <c r="AA176" s="552"/>
      <c r="AB176" s="552"/>
      <c r="AC176" s="553"/>
      <c r="AD176" s="553"/>
      <c r="AE176" s="553"/>
      <c r="AF176" s="553"/>
      <c r="AG176" s="553"/>
      <c r="AH176" s="553"/>
      <c r="AI176" s="553"/>
      <c r="AJ176" s="553"/>
      <c r="AK176" s="553"/>
      <c r="AL176" s="553"/>
      <c r="AM176" s="553"/>
      <c r="AN176" s="553"/>
      <c r="AO176" s="553"/>
      <c r="AP176" s="553"/>
      <c r="AQ176" s="553"/>
      <c r="AR176" s="307"/>
      <c r="AS176" s="307"/>
      <c r="AT176" s="307"/>
      <c r="AU176" s="307"/>
      <c r="AV176" s="307"/>
      <c r="AW176" s="591"/>
      <c r="AX176" s="591"/>
      <c r="AY176" s="591"/>
      <c r="AZ176" s="591"/>
      <c r="BA176" s="591"/>
      <c r="BB176" s="591"/>
      <c r="BC176" s="591"/>
      <c r="BD176" s="591"/>
      <c r="BE176" s="591"/>
      <c r="BF176" s="591"/>
      <c r="BG176" s="591"/>
      <c r="BH176" s="591"/>
      <c r="BI176" s="590">
        <f>$Y$28</f>
        <v>0</v>
      </c>
      <c r="BJ176" s="590"/>
      <c r="BK176" s="590"/>
      <c r="BL176" s="590"/>
      <c r="BM176" s="590"/>
      <c r="BN176" s="590"/>
      <c r="BO176" s="590"/>
      <c r="BP176" s="590"/>
      <c r="BQ176" s="592">
        <f>BI176*BM176</f>
        <v>0</v>
      </c>
      <c r="BR176" s="592"/>
      <c r="BS176" s="592"/>
      <c r="BT176" s="592"/>
      <c r="BU176" s="595"/>
      <c r="BV176" s="595"/>
      <c r="BW176" s="595"/>
      <c r="BX176" s="592">
        <f t="shared" si="41"/>
        <v>0</v>
      </c>
      <c r="BY176" s="592"/>
      <c r="BZ176" s="592"/>
      <c r="CA176" s="593"/>
    </row>
    <row r="177" spans="1:79" ht="15" customHeight="1">
      <c r="A177" s="355">
        <v>6</v>
      </c>
      <c r="B177" s="316">
        <v>25</v>
      </c>
      <c r="C177" s="316">
        <f t="shared" si="43"/>
        <v>176</v>
      </c>
      <c r="D177" s="153" t="e">
        <f>IF(I177='Jour Férié'!F$6,'Jour Férié'!E$6,""&amp;IF(I177='Jour Férié'!F$7,'Jour Férié'!E$7,""&amp;IF(I177='Jour Férié'!F$8,'Jour Férié'!E$8,""&amp;IF(I177='Jour Férié'!B$8,'Jour Férié'!A$8,""&amp;IF(I177='Jour Férié'!B$10,'Jour Férié'!A$10,""&amp;IF(MOD(MATCH(I177,vacances!$A$3:$A$202,1),2)=1,"vacances",""))))))</f>
        <v>#N/A</v>
      </c>
      <c r="E177" s="492"/>
      <c r="F177" s="492"/>
      <c r="G177" s="492"/>
      <c r="H177" s="628"/>
      <c r="I177" s="399">
        <f t="shared" si="37"/>
        <v>43276</v>
      </c>
      <c r="J177" s="357"/>
      <c r="K177" s="357"/>
      <c r="L177" s="356"/>
      <c r="M177" s="316"/>
      <c r="N177" s="316"/>
      <c r="O177" s="408"/>
      <c r="P177" s="316"/>
      <c r="Q177" s="290"/>
      <c r="R177" s="290"/>
      <c r="S177" s="290"/>
      <c r="T177" s="290"/>
      <c r="U177" s="290"/>
      <c r="V177" s="290"/>
      <c r="W177" s="290"/>
      <c r="X177" s="290"/>
      <c r="Y177" s="290"/>
      <c r="Z177" s="290"/>
      <c r="AA177" s="310"/>
      <c r="AB177" s="310"/>
      <c r="AC177" s="553"/>
      <c r="AD177" s="553"/>
      <c r="AE177" s="553"/>
      <c r="AF177" s="553"/>
      <c r="AG177" s="553"/>
      <c r="AH177" s="553"/>
      <c r="AI177" s="553"/>
      <c r="AJ177" s="553"/>
      <c r="AK177" s="553"/>
      <c r="AL177" s="553"/>
      <c r="AM177" s="553"/>
      <c r="AN177" s="553"/>
      <c r="AO177" s="553"/>
      <c r="AP177" s="553"/>
      <c r="AQ177" s="553"/>
      <c r="AR177" s="290"/>
      <c r="AS177" s="290"/>
      <c r="AT177" s="290"/>
      <c r="AU177" s="290"/>
      <c r="AV177" s="290"/>
      <c r="AW177" s="562" t="s">
        <v>270</v>
      </c>
      <c r="AX177" s="562"/>
      <c r="AY177" s="562"/>
      <c r="AZ177" s="562"/>
      <c r="BA177" s="562"/>
      <c r="BB177" s="562"/>
      <c r="BC177" s="562"/>
      <c r="BD177" s="562"/>
      <c r="BE177" s="562"/>
      <c r="BF177" s="562"/>
      <c r="BG177" s="562"/>
      <c r="BH177" s="562"/>
      <c r="BI177" s="587"/>
      <c r="BJ177" s="587"/>
      <c r="BK177" s="587"/>
      <c r="BL177" s="587"/>
      <c r="BM177" s="588">
        <f>SUM(BM156:BP176)</f>
        <v>0.32090000000000002</v>
      </c>
      <c r="BN177" s="588"/>
      <c r="BO177" s="588"/>
      <c r="BP177" s="588"/>
      <c r="BQ177" s="586">
        <f>SUM(BQ156:BT176)</f>
        <v>443.38236907487493</v>
      </c>
      <c r="BR177" s="586"/>
      <c r="BS177" s="586"/>
      <c r="BT177" s="586"/>
      <c r="BU177" s="311"/>
      <c r="BV177" s="7"/>
      <c r="BW177" s="7"/>
      <c r="BX177" s="586">
        <f>SUM(BX156:CA176)</f>
        <v>807.69346695699983</v>
      </c>
      <c r="BY177" s="586"/>
      <c r="BZ177" s="586"/>
      <c r="CA177" s="589"/>
    </row>
    <row r="178" spans="1:79" ht="15" customHeight="1">
      <c r="A178" s="355">
        <v>6</v>
      </c>
      <c r="B178" s="316">
        <v>26</v>
      </c>
      <c r="C178" s="316">
        <f t="shared" si="43"/>
        <v>177</v>
      </c>
      <c r="D178" s="153" t="e">
        <f>IF(I178='Jour Férié'!F$6,'Jour Férié'!E$6,""&amp;IF(I178='Jour Férié'!F$7,'Jour Férié'!E$7,""&amp;IF(I178='Jour Férié'!F$8,'Jour Férié'!E$8,""&amp;IF(I178='Jour Férié'!B$8,'Jour Férié'!A$8,""&amp;IF(I178='Jour Férié'!B$10,'Jour Férié'!A$10,""&amp;IF(MOD(MATCH(I178,vacances!$A$3:$A$202,1),2)=1,"vacances",""))))))</f>
        <v>#N/A</v>
      </c>
      <c r="E178" s="492"/>
      <c r="F178" s="492"/>
      <c r="G178" s="492"/>
      <c r="H178" s="628"/>
      <c r="I178" s="399">
        <f t="shared" si="37"/>
        <v>43277</v>
      </c>
      <c r="J178" s="357"/>
      <c r="K178" s="357"/>
      <c r="L178" s="358"/>
      <c r="M178" s="411" t="s">
        <v>323</v>
      </c>
      <c r="N178" s="581">
        <f>SUM(O170:O176)</f>
        <v>0</v>
      </c>
      <c r="O178" s="581"/>
      <c r="P178" s="316"/>
      <c r="Q178" s="304"/>
      <c r="R178" s="304"/>
      <c r="S178" s="304"/>
      <c r="T178" s="304"/>
      <c r="U178" s="304"/>
      <c r="V178" s="304"/>
      <c r="W178" s="304"/>
      <c r="X178" s="304"/>
      <c r="Y178" s="304"/>
      <c r="Z178" s="304"/>
      <c r="AA178" s="305"/>
      <c r="AB178" s="305"/>
      <c r="AC178" s="553"/>
      <c r="AD178" s="553"/>
      <c r="AE178" s="553"/>
      <c r="AF178" s="553"/>
      <c r="AG178" s="553"/>
      <c r="AH178" s="553"/>
      <c r="AI178" s="553"/>
      <c r="AJ178" s="553"/>
      <c r="AK178" s="553"/>
      <c r="AL178" s="553"/>
      <c r="AM178" s="553"/>
      <c r="AN178" s="553"/>
      <c r="AO178" s="553"/>
      <c r="AP178" s="553"/>
      <c r="AQ178" s="553"/>
      <c r="AR178" s="304"/>
      <c r="AS178" s="304"/>
      <c r="AT178" s="304"/>
      <c r="AU178" s="304"/>
      <c r="AV178" s="304"/>
      <c r="AW178" s="312" t="s">
        <v>271</v>
      </c>
      <c r="AX178" s="312"/>
      <c r="AY178" s="312"/>
      <c r="AZ178" s="312"/>
      <c r="BA178" s="312"/>
      <c r="BB178" s="312"/>
      <c r="BC178" s="312"/>
      <c r="BD178" s="313"/>
      <c r="BE178" s="313"/>
      <c r="BF178" s="313"/>
      <c r="BG178" s="313"/>
      <c r="BH178" s="313"/>
      <c r="BI178" s="569">
        <f>O156</f>
        <v>0</v>
      </c>
      <c r="BJ178" s="569"/>
      <c r="BK178" s="569"/>
      <c r="BL178" s="569"/>
      <c r="BM178" s="590">
        <f>'FICHE DE PAIE'!AW$27</f>
        <v>3.5259999999999998</v>
      </c>
      <c r="BN178" s="590"/>
      <c r="BO178" s="590"/>
      <c r="BP178" s="590"/>
      <c r="BQ178" s="381">
        <f>BI178*BM178</f>
        <v>0</v>
      </c>
      <c r="BR178" s="381"/>
      <c r="BS178" s="381"/>
      <c r="BT178" s="381"/>
      <c r="BU178" s="314"/>
      <c r="BV178" s="7"/>
      <c r="BW178" s="7"/>
      <c r="BX178" s="7"/>
      <c r="BY178" s="7"/>
      <c r="BZ178" s="7"/>
      <c r="CA178" s="315"/>
    </row>
    <row r="179" spans="1:79" ht="15" customHeight="1">
      <c r="A179" s="355">
        <v>6</v>
      </c>
      <c r="B179" s="316">
        <v>27</v>
      </c>
      <c r="C179" s="316">
        <f t="shared" si="43"/>
        <v>178</v>
      </c>
      <c r="D179" s="153" t="e">
        <f>IF(I179='Jour Férié'!F$6,'Jour Férié'!E$6,""&amp;IF(I179='Jour Férié'!F$7,'Jour Férié'!E$7,""&amp;IF(I179='Jour Férié'!F$8,'Jour Férié'!E$8,""&amp;IF(I179='Jour Férié'!B$8,'Jour Férié'!A$8,""&amp;IF(I179='Jour Férié'!B$10,'Jour Férié'!A$10,""&amp;IF(MOD(MATCH(I179,vacances!$A$3:$A$202,1),2)=1,"vacances",""))))))</f>
        <v>#N/A</v>
      </c>
      <c r="E179" s="492"/>
      <c r="F179" s="492"/>
      <c r="G179" s="492"/>
      <c r="H179" s="628"/>
      <c r="I179" s="399">
        <f t="shared" si="37"/>
        <v>43278</v>
      </c>
      <c r="J179" s="357"/>
      <c r="K179" s="316"/>
      <c r="L179" s="359"/>
      <c r="M179" s="316"/>
      <c r="N179" s="316"/>
      <c r="O179" s="408"/>
      <c r="P179" s="316"/>
      <c r="Q179" s="307"/>
      <c r="R179" s="307"/>
      <c r="S179" s="307"/>
      <c r="T179" s="307"/>
      <c r="U179" s="307"/>
      <c r="V179" s="307"/>
      <c r="W179" s="307"/>
      <c r="X179" s="307"/>
      <c r="Y179" s="307"/>
      <c r="Z179" s="307"/>
      <c r="AA179" s="308"/>
      <c r="AB179" s="308"/>
      <c r="AC179" s="553"/>
      <c r="AD179" s="553"/>
      <c r="AE179" s="553"/>
      <c r="AF179" s="553"/>
      <c r="AG179" s="553"/>
      <c r="AH179" s="553"/>
      <c r="AI179" s="553"/>
      <c r="AJ179" s="553"/>
      <c r="AK179" s="553"/>
      <c r="AL179" s="553"/>
      <c r="AM179" s="553"/>
      <c r="AN179" s="553"/>
      <c r="AO179" s="553"/>
      <c r="AP179" s="553"/>
      <c r="AQ179" s="553"/>
      <c r="AR179" s="307"/>
      <c r="AS179" s="307"/>
      <c r="AT179" s="307"/>
      <c r="AU179" s="307"/>
      <c r="AV179" s="307"/>
      <c r="AW179" s="550">
        <f>Q153</f>
        <v>43101</v>
      </c>
      <c r="AX179" s="550"/>
      <c r="AY179" s="550"/>
      <c r="AZ179" s="550"/>
      <c r="BA179" s="550"/>
      <c r="BB179" s="550"/>
      <c r="BC179" s="550"/>
      <c r="BD179" s="550"/>
      <c r="BE179" s="550"/>
      <c r="BF179" s="550"/>
      <c r="BG179" s="550"/>
      <c r="BH179" s="550"/>
      <c r="BI179" s="550"/>
      <c r="BJ179" s="550"/>
      <c r="BK179" s="550"/>
      <c r="BL179" s="550"/>
      <c r="BM179" s="550"/>
      <c r="BN179" s="550"/>
      <c r="BO179" s="550"/>
      <c r="BP179" s="550"/>
      <c r="BQ179" s="550"/>
      <c r="BR179" s="550"/>
      <c r="BS179" s="550"/>
      <c r="BT179" s="550"/>
      <c r="BU179" s="550"/>
      <c r="BV179" s="550"/>
      <c r="BW179" s="550"/>
      <c r="BX179" s="550"/>
      <c r="BY179" s="550"/>
      <c r="BZ179" s="550"/>
      <c r="CA179" s="551"/>
    </row>
    <row r="180" spans="1:79" ht="15" customHeight="1">
      <c r="A180" s="355">
        <v>6</v>
      </c>
      <c r="B180" s="316">
        <v>28</v>
      </c>
      <c r="C180" s="316">
        <f t="shared" si="43"/>
        <v>179</v>
      </c>
      <c r="D180" s="153" t="e">
        <f>IF(I180='Jour Férié'!F$6,'Jour Férié'!E$6,""&amp;IF(I180='Jour Férié'!F$7,'Jour Férié'!E$7,""&amp;IF(I180='Jour Férié'!F$8,'Jour Férié'!E$8,""&amp;IF(I180='Jour Férié'!B$8,'Jour Férié'!A$8,""&amp;IF(I180='Jour Férié'!B$10,'Jour Férié'!A$10,""&amp;IF(MOD(MATCH(I180,vacances!$A$3:$A$202,1),2)=1,"vacances",""))))))</f>
        <v>#N/A</v>
      </c>
      <c r="E180" s="492"/>
      <c r="F180" s="492"/>
      <c r="G180" s="492"/>
      <c r="H180" s="628"/>
      <c r="I180" s="399">
        <f t="shared" si="37"/>
        <v>43279</v>
      </c>
      <c r="J180" s="357"/>
      <c r="K180" s="316"/>
      <c r="L180" s="359"/>
      <c r="M180" s="316"/>
      <c r="N180" s="316"/>
      <c r="O180" s="408"/>
      <c r="P180" s="316"/>
      <c r="Q180" s="290"/>
      <c r="R180" s="290"/>
      <c r="S180" s="290"/>
      <c r="T180" s="290"/>
      <c r="U180" s="290"/>
      <c r="V180" s="290"/>
      <c r="W180" s="290"/>
      <c r="X180" s="290"/>
      <c r="Y180" s="290"/>
      <c r="Z180" s="290"/>
      <c r="AA180" s="310"/>
      <c r="AB180" s="310"/>
      <c r="AC180" s="553"/>
      <c r="AD180" s="553"/>
      <c r="AE180" s="553"/>
      <c r="AF180" s="553"/>
      <c r="AG180" s="553"/>
      <c r="AH180" s="553"/>
      <c r="AI180" s="553"/>
      <c r="AJ180" s="553"/>
      <c r="AK180" s="553"/>
      <c r="AL180" s="553"/>
      <c r="AM180" s="553"/>
      <c r="AN180" s="553"/>
      <c r="AO180" s="553"/>
      <c r="AP180" s="553"/>
      <c r="AQ180" s="553"/>
      <c r="AR180" s="290"/>
      <c r="AS180" s="290"/>
      <c r="AT180" s="290"/>
      <c r="AU180" s="290"/>
      <c r="AV180" s="290"/>
      <c r="AW180" s="313"/>
      <c r="AX180" s="313"/>
      <c r="AY180" s="313"/>
      <c r="AZ180" s="313"/>
      <c r="BA180" s="313"/>
      <c r="BB180" s="313"/>
      <c r="BC180" s="313"/>
      <c r="BD180" s="313"/>
      <c r="BE180" s="313"/>
      <c r="BF180" s="313"/>
      <c r="BG180" s="313"/>
      <c r="BH180" s="313"/>
      <c r="BI180" s="313"/>
      <c r="BJ180" s="313"/>
      <c r="BK180" s="313"/>
      <c r="BL180" s="316"/>
      <c r="BM180" s="316"/>
      <c r="BN180" s="587" t="s">
        <v>272</v>
      </c>
      <c r="BO180" s="587"/>
      <c r="BP180" s="587"/>
      <c r="BQ180" s="587"/>
      <c r="BR180" s="587"/>
      <c r="BS180" s="587"/>
      <c r="BT180" s="587"/>
      <c r="BU180" s="587"/>
      <c r="BV180" s="597">
        <f>AG169-BQ177+BQ178</f>
        <v>1407.7499809251249</v>
      </c>
      <c r="BW180" s="597"/>
      <c r="BX180" s="597"/>
      <c r="BY180" s="597"/>
      <c r="BZ180" s="597"/>
      <c r="CA180" s="598"/>
    </row>
    <row r="181" spans="1:79" ht="15" customHeight="1">
      <c r="A181" s="355">
        <v>6</v>
      </c>
      <c r="B181" s="316">
        <v>29</v>
      </c>
      <c r="C181" s="316">
        <f t="shared" si="43"/>
        <v>180</v>
      </c>
      <c r="D181" s="153" t="e">
        <f>IF(I181='Jour Férié'!F$6,'Jour Férié'!E$6,""&amp;IF(I181='Jour Férié'!F$7,'Jour Férié'!E$7,""&amp;IF(I181='Jour Férié'!F$8,'Jour Férié'!E$8,""&amp;IF(I181='Jour Férié'!B$8,'Jour Férié'!A$8,""&amp;IF(I181='Jour Férié'!B$10,'Jour Férié'!A$10,""&amp;IF(MOD(MATCH(I181,vacances!$A$3:$A$202,1),2)=1,"vacances",""))))))</f>
        <v>#N/A</v>
      </c>
      <c r="E181" s="492"/>
      <c r="F181" s="492"/>
      <c r="G181" s="492"/>
      <c r="H181" s="628"/>
      <c r="I181" s="399">
        <f t="shared" si="37"/>
        <v>43280</v>
      </c>
      <c r="J181" s="357"/>
      <c r="K181" s="316"/>
      <c r="L181" s="359"/>
      <c r="M181" s="316"/>
      <c r="N181" s="316"/>
      <c r="O181" s="408"/>
      <c r="P181" s="316"/>
      <c r="Q181" s="304"/>
      <c r="R181" s="304"/>
      <c r="S181" s="304"/>
      <c r="T181" s="304"/>
      <c r="U181" s="304"/>
      <c r="V181" s="304"/>
      <c r="W181" s="304"/>
      <c r="X181" s="304"/>
      <c r="Y181" s="304"/>
      <c r="Z181" s="304"/>
      <c r="AA181" s="305"/>
      <c r="AB181" s="305"/>
      <c r="AC181" s="553"/>
      <c r="AD181" s="553"/>
      <c r="AE181" s="553"/>
      <c r="AF181" s="553"/>
      <c r="AG181" s="553"/>
      <c r="AH181" s="553"/>
      <c r="AI181" s="553"/>
      <c r="AJ181" s="553"/>
      <c r="AK181" s="553"/>
      <c r="AL181" s="553"/>
      <c r="AM181" s="553"/>
      <c r="AN181" s="553"/>
      <c r="AO181" s="553"/>
      <c r="AP181" s="553"/>
      <c r="AQ181" s="553"/>
      <c r="AR181" s="304"/>
      <c r="AS181" s="304"/>
      <c r="AT181" s="304"/>
      <c r="AU181" s="304"/>
      <c r="AV181" s="304"/>
      <c r="AW181" s="317"/>
      <c r="AX181" s="317"/>
      <c r="AY181" s="317"/>
      <c r="AZ181" s="317"/>
      <c r="BA181" s="317"/>
      <c r="BB181" s="317"/>
      <c r="BC181" s="317"/>
      <c r="BD181" s="317"/>
      <c r="BE181" s="317"/>
      <c r="BF181" s="317"/>
      <c r="BG181" s="317"/>
      <c r="BH181" s="317"/>
      <c r="BI181" s="317"/>
      <c r="BJ181" s="317"/>
      <c r="BK181" s="317"/>
      <c r="BL181" s="585" t="s">
        <v>273</v>
      </c>
      <c r="BM181" s="585"/>
      <c r="BN181" s="585"/>
      <c r="BO181" s="585"/>
      <c r="BP181" s="585"/>
      <c r="BQ181" s="585"/>
      <c r="BR181" s="585"/>
      <c r="BS181" s="585"/>
      <c r="BT181" s="585"/>
      <c r="BU181" s="586">
        <f>BV180-BQ177+BQ178</f>
        <v>964.36761185024989</v>
      </c>
      <c r="BV181" s="586"/>
      <c r="BW181" s="586"/>
      <c r="BX181" s="586"/>
      <c r="BY181" s="586"/>
      <c r="BZ181" s="586"/>
      <c r="CA181" s="341"/>
    </row>
    <row r="182" spans="1:79" ht="15" customHeight="1" thickBot="1">
      <c r="A182" s="536">
        <v>6</v>
      </c>
      <c r="B182" s="537">
        <v>30</v>
      </c>
      <c r="C182" s="537">
        <f>VLOOKUP(A182,Données,4)+B182-1</f>
        <v>181</v>
      </c>
      <c r="D182" s="538" t="e">
        <f>IF(I182='Jour Férié'!F$6,'Jour Férié'!E$6,""&amp;IF(I182='Jour Férié'!F$7,'Jour Férié'!E$7,""&amp;IF(I182='Jour Férié'!F$8,'Jour Férié'!E$8,""&amp;IF(I182='Jour Férié'!B$8,'Jour Férié'!A$8,""&amp;IF(I182='Jour Férié'!B$10,'Jour Férié'!A$10,""&amp;IF(MOD(MATCH(I182,vacances!$A$3:$A$202,1),2)=1,"vacances",""))))))</f>
        <v>#N/A</v>
      </c>
      <c r="E182" s="493"/>
      <c r="F182" s="493"/>
      <c r="G182" s="493"/>
      <c r="H182" s="629"/>
      <c r="I182" s="539">
        <f t="shared" si="37"/>
        <v>43281</v>
      </c>
      <c r="J182" s="537"/>
      <c r="K182" s="537"/>
      <c r="L182" s="537"/>
      <c r="M182" s="537"/>
      <c r="N182" s="537"/>
      <c r="O182" s="540"/>
      <c r="P182" s="537"/>
      <c r="Q182" s="541"/>
      <c r="R182" s="541"/>
      <c r="S182" s="541"/>
      <c r="T182" s="541"/>
      <c r="U182" s="541"/>
      <c r="V182" s="541"/>
      <c r="W182" s="541"/>
      <c r="X182" s="541"/>
      <c r="Y182" s="541"/>
      <c r="Z182" s="541"/>
      <c r="AA182" s="542"/>
      <c r="AB182" s="542"/>
      <c r="AC182" s="542"/>
      <c r="AD182" s="543"/>
      <c r="AE182" s="543"/>
      <c r="AF182" s="543"/>
      <c r="AG182" s="541"/>
      <c r="AH182" s="541"/>
      <c r="AI182" s="541"/>
      <c r="AJ182" s="541"/>
      <c r="AK182" s="541"/>
      <c r="AL182" s="541"/>
      <c r="AM182" s="541"/>
      <c r="AN182" s="541"/>
      <c r="AO182" s="541"/>
      <c r="AP182" s="541"/>
      <c r="AQ182" s="541"/>
      <c r="AR182" s="541"/>
      <c r="AS182" s="541"/>
      <c r="AT182" s="541"/>
      <c r="AU182" s="541"/>
      <c r="AV182" s="541"/>
      <c r="AW182" s="345"/>
      <c r="AX182" s="345"/>
      <c r="AY182" s="345"/>
      <c r="AZ182" s="345"/>
      <c r="BA182" s="345"/>
      <c r="BB182" s="345"/>
      <c r="BC182" s="345"/>
      <c r="BD182" s="345"/>
      <c r="BE182" s="345"/>
      <c r="BF182" s="345"/>
      <c r="BG182" s="345"/>
      <c r="BH182" s="345"/>
      <c r="BI182" s="345"/>
      <c r="BJ182" s="345"/>
      <c r="BK182" s="345"/>
      <c r="BL182" s="345"/>
      <c r="BM182" s="345"/>
      <c r="BN182" s="345"/>
      <c r="BO182" s="345"/>
      <c r="BP182" s="345"/>
      <c r="BQ182" s="345"/>
      <c r="BR182" s="345"/>
      <c r="BS182" s="345"/>
      <c r="BT182" s="345"/>
      <c r="BU182" s="345"/>
      <c r="BV182" s="345"/>
      <c r="BW182" s="345"/>
      <c r="BX182" s="345"/>
      <c r="BY182" s="345"/>
      <c r="BZ182" s="345"/>
      <c r="CA182" s="353"/>
    </row>
    <row r="183" spans="1:79" ht="15" customHeight="1">
      <c r="A183" s="326">
        <v>7</v>
      </c>
      <c r="B183" s="327">
        <v>1</v>
      </c>
      <c r="C183" s="327">
        <f t="shared" ref="C183:C198" si="44">VLOOKUP(A183,Données,4)+B183-1</f>
        <v>182</v>
      </c>
      <c r="D183" s="413" t="e">
        <f>IF(I183='Jour Férié'!F$13,'Jour Férié'!E$13,""&amp;IF(I183='Jour Férié'!F$14,'Jour Férié'!E$14,""&amp;IF(I183='Jour Férié'!F$15,'Jour Férié'!E$15,""&amp;IF(I183='Jour Férié'!F$9,'Jour Férié'!E$9,""&amp;IF(I183='Jour Férié'!B$11,'Jour Férié'!A$11,""&amp;IF(MOD(MATCH(I183,vacances!$A$3:$A$202,1),2)=1,"vacances",""))))))</f>
        <v>#N/A</v>
      </c>
      <c r="E183" s="489"/>
      <c r="F183" s="489"/>
      <c r="G183" s="489"/>
      <c r="H183" s="623" t="s">
        <v>197</v>
      </c>
      <c r="I183" s="414">
        <f>DATE(annee,7,1)</f>
        <v>43282</v>
      </c>
      <c r="J183" s="415" t="s">
        <v>201</v>
      </c>
      <c r="K183" s="416" t="s">
        <v>202</v>
      </c>
      <c r="L183" s="325"/>
      <c r="M183" s="417" t="s">
        <v>203</v>
      </c>
      <c r="N183" s="417"/>
      <c r="O183" s="418">
        <f>(COUNTIF($E183:$E213,$J183))</f>
        <v>0</v>
      </c>
      <c r="P183" s="327"/>
      <c r="Q183" s="560">
        <f>DATE(annee,7,1)</f>
        <v>43282</v>
      </c>
      <c r="R183" s="560"/>
      <c r="S183" s="560"/>
      <c r="T183" s="560"/>
      <c r="U183" s="560"/>
      <c r="V183" s="560"/>
      <c r="W183" s="560"/>
      <c r="X183" s="560"/>
      <c r="Y183" s="560"/>
      <c r="Z183" s="560"/>
      <c r="AA183" s="560"/>
      <c r="AB183" s="560"/>
      <c r="AC183" s="560"/>
      <c r="AD183" s="560"/>
      <c r="AE183" s="560"/>
      <c r="AF183" s="560"/>
      <c r="AG183" s="560"/>
      <c r="AH183" s="560"/>
      <c r="AI183" s="560"/>
      <c r="AJ183" s="560"/>
      <c r="AK183" s="560"/>
      <c r="AL183" s="560"/>
      <c r="AM183" s="560"/>
      <c r="AN183" s="560"/>
      <c r="AO183" s="560"/>
      <c r="AP183" s="560"/>
      <c r="AQ183" s="560"/>
      <c r="AR183" s="560"/>
      <c r="AS183" s="560"/>
      <c r="AT183" s="560"/>
      <c r="AU183" s="560"/>
      <c r="AV183" s="292"/>
      <c r="AW183" s="560">
        <f>Q183</f>
        <v>43282</v>
      </c>
      <c r="AX183" s="560"/>
      <c r="AY183" s="560"/>
      <c r="AZ183" s="560"/>
      <c r="BA183" s="560"/>
      <c r="BB183" s="560"/>
      <c r="BC183" s="560"/>
      <c r="BD183" s="560"/>
      <c r="BE183" s="560"/>
      <c r="BF183" s="560"/>
      <c r="BG183" s="560"/>
      <c r="BH183" s="560"/>
      <c r="BI183" s="560"/>
      <c r="BJ183" s="560"/>
      <c r="BK183" s="560"/>
      <c r="BL183" s="560"/>
      <c r="BM183" s="560"/>
      <c r="BN183" s="560"/>
      <c r="BO183" s="560"/>
      <c r="BP183" s="560"/>
      <c r="BQ183" s="560"/>
      <c r="BR183" s="560"/>
      <c r="BS183" s="560"/>
      <c r="BT183" s="560"/>
      <c r="BU183" s="560"/>
      <c r="BV183" s="560"/>
      <c r="BW183" s="560"/>
      <c r="BX183" s="560"/>
      <c r="BY183" s="560"/>
      <c r="BZ183" s="560"/>
      <c r="CA183" s="607"/>
    </row>
    <row r="184" spans="1:79" ht="15" customHeight="1">
      <c r="A184" s="334">
        <v>7</v>
      </c>
      <c r="B184" s="328">
        <v>2</v>
      </c>
      <c r="C184" s="328">
        <f t="shared" si="44"/>
        <v>183</v>
      </c>
      <c r="D184" s="360" t="e">
        <f>IF(I184='Jour Férié'!F$13,'Jour Férié'!E$13,""&amp;IF(I184='Jour Férié'!F$14,'Jour Férié'!E$14,""&amp;IF(I184='Jour Férié'!F$15,'Jour Férié'!E$15,""&amp;IF(I184='Jour Férié'!F$9,'Jour Férié'!E$9,""&amp;IF(I184='Jour Férié'!B$11,'Jour Férié'!A$11,""&amp;IF(MOD(MATCH(I184,vacances!$A$3:$A$202,1),2)=1,"vacances",""))))))</f>
        <v>#N/A</v>
      </c>
      <c r="E184" s="490"/>
      <c r="F184" s="490"/>
      <c r="G184" s="490"/>
      <c r="H184" s="624"/>
      <c r="I184" s="361">
        <f t="shared" ref="I184:I213" si="45">DATE(annee,7,1)+B183</f>
        <v>43283</v>
      </c>
      <c r="J184" s="362" t="s">
        <v>204</v>
      </c>
      <c r="K184" s="363" t="s">
        <v>205</v>
      </c>
      <c r="L184" s="324"/>
      <c r="M184" s="333" t="s">
        <v>206</v>
      </c>
      <c r="N184" s="333"/>
      <c r="O184" s="364">
        <f>(COUNTIF($E183:$E213,$J184))</f>
        <v>0</v>
      </c>
      <c r="P184" s="328"/>
      <c r="Q184" s="365"/>
      <c r="R184" s="365"/>
      <c r="S184" s="365"/>
      <c r="T184" s="365"/>
      <c r="U184" s="365"/>
      <c r="V184" s="365"/>
      <c r="W184" s="365"/>
      <c r="X184" s="365"/>
      <c r="Y184" s="365"/>
      <c r="Z184" s="365"/>
      <c r="AA184" s="366"/>
      <c r="AB184" s="366"/>
      <c r="AC184" s="366"/>
      <c r="AD184" s="367"/>
      <c r="AE184" s="367"/>
      <c r="AF184" s="367"/>
      <c r="AG184" s="365"/>
      <c r="AH184" s="365"/>
      <c r="AI184" s="365"/>
      <c r="AJ184" s="365"/>
      <c r="AK184" s="365"/>
      <c r="AL184" s="365"/>
      <c r="AM184" s="365"/>
      <c r="AN184" s="365"/>
      <c r="AO184" s="365"/>
      <c r="AP184" s="368"/>
      <c r="AQ184" s="368"/>
      <c r="AR184" s="368"/>
      <c r="AS184" s="368"/>
      <c r="AT184" s="368"/>
      <c r="AU184" s="368"/>
      <c r="AV184" s="290"/>
      <c r="AW184" s="608" t="s">
        <v>229</v>
      </c>
      <c r="AX184" s="608"/>
      <c r="AY184" s="608"/>
      <c r="AZ184" s="608"/>
      <c r="BA184" s="608"/>
      <c r="BB184" s="608"/>
      <c r="BC184" s="608"/>
      <c r="BD184" s="608"/>
      <c r="BE184" s="608"/>
      <c r="BF184" s="608"/>
      <c r="BG184" s="608"/>
      <c r="BH184" s="608"/>
      <c r="BI184" s="293"/>
      <c r="BJ184" s="293"/>
      <c r="BK184" s="293"/>
      <c r="BL184" s="585" t="s">
        <v>230</v>
      </c>
      <c r="BM184" s="585"/>
      <c r="BN184" s="585"/>
      <c r="BO184" s="585"/>
      <c r="BP184" s="585"/>
      <c r="BQ184" s="585"/>
      <c r="BR184" s="585"/>
      <c r="BS184" s="585"/>
      <c r="BT184" s="585"/>
      <c r="BU184" s="585" t="s">
        <v>231</v>
      </c>
      <c r="BV184" s="585"/>
      <c r="BW184" s="585"/>
      <c r="BX184" s="585"/>
      <c r="BY184" s="585"/>
      <c r="BZ184" s="585"/>
      <c r="CA184" s="609"/>
    </row>
    <row r="185" spans="1:79" ht="15" customHeight="1">
      <c r="A185" s="334">
        <v>7</v>
      </c>
      <c r="B185" s="328">
        <v>3</v>
      </c>
      <c r="C185" s="328">
        <f>VLOOKUP(A185,Données,4)+B185-1</f>
        <v>184</v>
      </c>
      <c r="D185" s="360" t="e">
        <f>IF(I185='Jour Férié'!F$13,'Jour Férié'!E$13,""&amp;IF(I185='Jour Férié'!F$14,'Jour Férié'!E$14,""&amp;IF(I185='Jour Férié'!F$15,'Jour Férié'!E$15,""&amp;IF(I185='Jour Férié'!F$9,'Jour Férié'!E$9,""&amp;IF(I185='Jour Férié'!B$11,'Jour Férié'!A$11,""&amp;IF(MOD(MATCH(I185,vacances!$A$3:$A$202,1),2)=1,"vacances",""))))))</f>
        <v>#N/A</v>
      </c>
      <c r="E185" s="490"/>
      <c r="F185" s="490"/>
      <c r="G185" s="490"/>
      <c r="H185" s="624"/>
      <c r="I185" s="361">
        <f t="shared" si="45"/>
        <v>43284</v>
      </c>
      <c r="J185" s="613" t="s">
        <v>207</v>
      </c>
      <c r="K185" s="613"/>
      <c r="L185" s="324"/>
      <c r="M185" s="333" t="s">
        <v>208</v>
      </c>
      <c r="N185" s="333"/>
      <c r="O185" s="364">
        <f>(COUNTIF($E183:$E213,$J185))</f>
        <v>0</v>
      </c>
      <c r="P185" s="328"/>
      <c r="Q185" s="555" t="str">
        <f>'FICHE DE PAIE'!A$4</f>
        <v>Salaire de base</v>
      </c>
      <c r="R185" s="555"/>
      <c r="S185" s="555"/>
      <c r="T185" s="555"/>
      <c r="U185" s="555"/>
      <c r="V185" s="555"/>
      <c r="W185" s="555"/>
      <c r="X185" s="555"/>
      <c r="Y185" s="555"/>
      <c r="Z185" s="494"/>
      <c r="AA185" s="556">
        <f>'FICHE DE PAIE'!$K$4</f>
        <v>151.66999999999999</v>
      </c>
      <c r="AB185" s="556"/>
      <c r="AC185" s="556"/>
      <c r="AD185" s="558">
        <f>'FICHE DE PAIE'!N$4</f>
        <v>12.074</v>
      </c>
      <c r="AE185" s="558"/>
      <c r="AF185" s="558"/>
      <c r="AG185" s="559">
        <f t="shared" ref="AG185:AG190" si="46">AA185*AD185</f>
        <v>1831.2635799999998</v>
      </c>
      <c r="AH185" s="559"/>
      <c r="AI185" s="559"/>
      <c r="AJ185" s="559"/>
      <c r="AK185" s="567" t="s">
        <v>233</v>
      </c>
      <c r="AL185" s="567"/>
      <c r="AM185" s="567"/>
      <c r="AN185" s="567"/>
      <c r="AO185" s="568">
        <v>2946</v>
      </c>
      <c r="AP185" s="568"/>
      <c r="AQ185" s="568"/>
      <c r="AR185" s="500"/>
      <c r="AS185" s="500"/>
      <c r="AT185" s="500"/>
      <c r="AU185" s="297"/>
      <c r="AV185" s="290"/>
      <c r="AW185" s="608"/>
      <c r="AX185" s="608"/>
      <c r="AY185" s="608"/>
      <c r="AZ185" s="608"/>
      <c r="BA185" s="608"/>
      <c r="BB185" s="608"/>
      <c r="BC185" s="608"/>
      <c r="BD185" s="608"/>
      <c r="BE185" s="608"/>
      <c r="BF185" s="608"/>
      <c r="BG185" s="608"/>
      <c r="BH185" s="608"/>
      <c r="BI185" s="611" t="s">
        <v>234</v>
      </c>
      <c r="BJ185" s="611"/>
      <c r="BK185" s="611"/>
      <c r="BL185" s="611"/>
      <c r="BM185" s="611" t="s">
        <v>235</v>
      </c>
      <c r="BN185" s="611"/>
      <c r="BO185" s="611"/>
      <c r="BP185" s="611"/>
      <c r="BQ185" s="611" t="s">
        <v>236</v>
      </c>
      <c r="BR185" s="611"/>
      <c r="BS185" s="611"/>
      <c r="BT185" s="611"/>
      <c r="BU185" s="611" t="s">
        <v>235</v>
      </c>
      <c r="BV185" s="611"/>
      <c r="BW185" s="611"/>
      <c r="BX185" s="611" t="s">
        <v>236</v>
      </c>
      <c r="BY185" s="611"/>
      <c r="BZ185" s="611"/>
      <c r="CA185" s="612"/>
    </row>
    <row r="186" spans="1:79" ht="15" customHeight="1">
      <c r="A186" s="334">
        <v>7</v>
      </c>
      <c r="B186" s="328">
        <v>4</v>
      </c>
      <c r="C186" s="328">
        <f t="shared" si="44"/>
        <v>185</v>
      </c>
      <c r="D186" s="360" t="e">
        <f>IF(I186='Jour Férié'!F$13,'Jour Férié'!E$13,""&amp;IF(I186='Jour Férié'!F$14,'Jour Férié'!E$14,""&amp;IF(I186='Jour Férié'!F$15,'Jour Férié'!E$15,""&amp;IF(I186='Jour Férié'!F$9,'Jour Férié'!E$9,""&amp;IF(I186='Jour Férié'!B$11,'Jour Férié'!A$11,""&amp;IF(MOD(MATCH(I186,vacances!$A$3:$A$202,1),2)=1,"vacances",""))))))</f>
        <v>#N/A</v>
      </c>
      <c r="E186" s="490"/>
      <c r="F186" s="490"/>
      <c r="G186" s="490"/>
      <c r="H186" s="624"/>
      <c r="I186" s="361">
        <f t="shared" si="45"/>
        <v>43285</v>
      </c>
      <c r="J186" s="328"/>
      <c r="K186" s="369" t="s">
        <v>209</v>
      </c>
      <c r="L186" s="324"/>
      <c r="M186" s="333" t="s">
        <v>210</v>
      </c>
      <c r="N186" s="333"/>
      <c r="O186" s="364">
        <f>SUM(O183:O185)</f>
        <v>0</v>
      </c>
      <c r="P186" s="328"/>
      <c r="Q186" s="555" t="str">
        <f>'FICHE DE PAIE'!A$5</f>
        <v>HS à 25%</v>
      </c>
      <c r="R186" s="555"/>
      <c r="S186" s="555"/>
      <c r="T186" s="555"/>
      <c r="U186" s="555"/>
      <c r="V186" s="555"/>
      <c r="W186" s="555"/>
      <c r="X186" s="555"/>
      <c r="Y186" s="555"/>
      <c r="Z186" s="494"/>
      <c r="AA186" s="561"/>
      <c r="AB186" s="561"/>
      <c r="AC186" s="561"/>
      <c r="AD186" s="558">
        <f>'FICHE DE PAIE'!N$5</f>
        <v>15.092499999999999</v>
      </c>
      <c r="AE186" s="558"/>
      <c r="AF186" s="558"/>
      <c r="AG186" s="559">
        <f t="shared" si="46"/>
        <v>0</v>
      </c>
      <c r="AH186" s="559"/>
      <c r="AI186" s="559"/>
      <c r="AJ186" s="559"/>
      <c r="AK186" s="294"/>
      <c r="AL186" s="294"/>
      <c r="AM186" s="294"/>
      <c r="AN186" s="295"/>
      <c r="AO186" s="295"/>
      <c r="AP186" s="295"/>
      <c r="AQ186" s="295"/>
      <c r="AR186" s="295"/>
      <c r="AS186" s="295"/>
      <c r="AT186" s="295"/>
      <c r="AU186" s="295"/>
      <c r="AV186" s="290"/>
      <c r="AW186" s="591" t="s">
        <v>238</v>
      </c>
      <c r="AX186" s="591"/>
      <c r="AY186" s="591"/>
      <c r="AZ186" s="591"/>
      <c r="BA186" s="591"/>
      <c r="BB186" s="591"/>
      <c r="BC186" s="591"/>
      <c r="BD186" s="591"/>
      <c r="BE186" s="591"/>
      <c r="BF186" s="591"/>
      <c r="BG186" s="591"/>
      <c r="BH186" s="591"/>
      <c r="BI186" s="590">
        <f>$AG$17</f>
        <v>1952.5539499999998</v>
      </c>
      <c r="BJ186" s="590"/>
      <c r="BK186" s="590"/>
      <c r="BL186" s="590"/>
      <c r="BM186" s="594">
        <f>'FICHE DE PAIE'!AW$5</f>
        <v>4.0000000000000001E-3</v>
      </c>
      <c r="BN186" s="594"/>
      <c r="BO186" s="594"/>
      <c r="BP186" s="594"/>
      <c r="BQ186" s="592">
        <f>BI186*BM186</f>
        <v>7.810215799999999</v>
      </c>
      <c r="BR186" s="592"/>
      <c r="BS186" s="592"/>
      <c r="BT186" s="592"/>
      <c r="BU186" s="594">
        <f>'FICHE DE PAIE'!BE$5</f>
        <v>0.152</v>
      </c>
      <c r="BV186" s="594"/>
      <c r="BW186" s="594"/>
      <c r="BX186" s="592">
        <f>BI186*BU186</f>
        <v>296.78820039999994</v>
      </c>
      <c r="BY186" s="592"/>
      <c r="BZ186" s="592"/>
      <c r="CA186" s="593"/>
    </row>
    <row r="187" spans="1:79" ht="15" customHeight="1">
      <c r="A187" s="334">
        <v>7</v>
      </c>
      <c r="B187" s="328">
        <v>5</v>
      </c>
      <c r="C187" s="328">
        <f t="shared" si="44"/>
        <v>186</v>
      </c>
      <c r="D187" s="360" t="e">
        <f>IF(I187='Jour Férié'!F$13,'Jour Férié'!E$13,""&amp;IF(I187='Jour Férié'!F$14,'Jour Férié'!E$14,""&amp;IF(I187='Jour Férié'!F$15,'Jour Férié'!E$15,""&amp;IF(I187='Jour Férié'!F$9,'Jour Férié'!E$9,""&amp;IF(I187='Jour Férié'!B$11,'Jour Férié'!A$11,""&amp;IF(MOD(MATCH(I187,vacances!$A$3:$A$202,1),2)=1,"vacances",""))))))</f>
        <v>#N/A</v>
      </c>
      <c r="E187" s="490"/>
      <c r="F187" s="490"/>
      <c r="G187" s="490"/>
      <c r="H187" s="624"/>
      <c r="I187" s="361">
        <f t="shared" si="45"/>
        <v>43286</v>
      </c>
      <c r="J187" s="328"/>
      <c r="K187" s="328"/>
      <c r="L187" s="324"/>
      <c r="M187" s="333" t="s">
        <v>211</v>
      </c>
      <c r="N187" s="333"/>
      <c r="O187" s="364">
        <f ca="1">(COUNTIF(I183:I191,dimanche(COUNTIF($E183:$E213,$J184))))</f>
        <v>0</v>
      </c>
      <c r="P187" s="328"/>
      <c r="Q187" s="555" t="str">
        <f>'FICHE DE PAIE'!A$6</f>
        <v>HS à 50%</v>
      </c>
      <c r="R187" s="555"/>
      <c r="S187" s="555"/>
      <c r="T187" s="555"/>
      <c r="U187" s="555"/>
      <c r="V187" s="555"/>
      <c r="W187" s="555"/>
      <c r="X187" s="555"/>
      <c r="Y187" s="555"/>
      <c r="Z187" s="494"/>
      <c r="AA187" s="561"/>
      <c r="AB187" s="561"/>
      <c r="AC187" s="561"/>
      <c r="AD187" s="558">
        <f>'FICHE DE PAIE'!N$6</f>
        <v>18.111000000000001</v>
      </c>
      <c r="AE187" s="558"/>
      <c r="AF187" s="558"/>
      <c r="AG187" s="559">
        <f t="shared" si="46"/>
        <v>0</v>
      </c>
      <c r="AH187" s="559"/>
      <c r="AI187" s="559"/>
      <c r="AJ187" s="559"/>
      <c r="AK187" s="294"/>
      <c r="AL187" s="294"/>
      <c r="AM187" s="294"/>
      <c r="AN187" s="295"/>
      <c r="AO187" s="295"/>
      <c r="AP187" s="295"/>
      <c r="AQ187" s="295"/>
      <c r="AR187" s="295"/>
      <c r="AS187" s="295"/>
      <c r="AT187" s="295"/>
      <c r="AU187" s="295"/>
      <c r="AV187" s="290"/>
      <c r="AW187" s="591" t="s">
        <v>240</v>
      </c>
      <c r="AX187" s="591"/>
      <c r="AY187" s="591"/>
      <c r="AZ187" s="591"/>
      <c r="BA187" s="591"/>
      <c r="BB187" s="591"/>
      <c r="BC187" s="591"/>
      <c r="BD187" s="591"/>
      <c r="BE187" s="591"/>
      <c r="BF187" s="591"/>
      <c r="BG187" s="591"/>
      <c r="BH187" s="591"/>
      <c r="BI187" s="590">
        <f t="shared" ref="BI187:BI198" si="47">$AG$17</f>
        <v>1952.5539499999998</v>
      </c>
      <c r="BJ187" s="590"/>
      <c r="BK187" s="590"/>
      <c r="BL187" s="590"/>
      <c r="BM187" s="594">
        <f>'FICHE DE PAIE'!AW$6</f>
        <v>6.9000000000000006E-2</v>
      </c>
      <c r="BN187" s="594"/>
      <c r="BO187" s="594"/>
      <c r="BP187" s="594"/>
      <c r="BQ187" s="592">
        <f t="shared" ref="BQ187:BQ204" si="48">BI187*BM187</f>
        <v>134.72622254999999</v>
      </c>
      <c r="BR187" s="592"/>
      <c r="BS187" s="592"/>
      <c r="BT187" s="592"/>
      <c r="BU187" s="594">
        <f>'FICHE DE PAIE'!BE$6</f>
        <v>8.5500000000000007E-2</v>
      </c>
      <c r="BV187" s="594"/>
      <c r="BW187" s="594"/>
      <c r="BX187" s="592">
        <f t="shared" ref="BX187:BX206" si="49">BI187*BU187</f>
        <v>166.94336272499999</v>
      </c>
      <c r="BY187" s="592"/>
      <c r="BZ187" s="592"/>
      <c r="CA187" s="593"/>
    </row>
    <row r="188" spans="1:79" ht="15" customHeight="1">
      <c r="A188" s="334">
        <v>7</v>
      </c>
      <c r="B188" s="328">
        <v>6</v>
      </c>
      <c r="C188" s="328">
        <f t="shared" si="44"/>
        <v>187</v>
      </c>
      <c r="D188" s="360" t="e">
        <f>IF(I188='Jour Férié'!F$13,'Jour Férié'!E$13,""&amp;IF(I188='Jour Férié'!F$14,'Jour Férié'!E$14,""&amp;IF(I188='Jour Férié'!F$15,'Jour Férié'!E$15,""&amp;IF(I188='Jour Férié'!F$9,'Jour Férié'!E$9,""&amp;IF(I188='Jour Férié'!B$11,'Jour Férié'!A$11,""&amp;IF(MOD(MATCH(I188,vacances!$A$3:$A$202,1),2)=1,"vacances",""))))))</f>
        <v>#N/A</v>
      </c>
      <c r="E188" s="490"/>
      <c r="F188" s="490"/>
      <c r="G188" s="490"/>
      <c r="H188" s="624"/>
      <c r="I188" s="361">
        <f t="shared" si="45"/>
        <v>43287</v>
      </c>
      <c r="J188" s="328"/>
      <c r="K188" s="369" t="s">
        <v>212</v>
      </c>
      <c r="L188" s="324"/>
      <c r="M188" s="333" t="s">
        <v>213</v>
      </c>
      <c r="N188" s="333"/>
      <c r="O188" s="364">
        <f>SUM(O183:O184)</f>
        <v>0</v>
      </c>
      <c r="P188" s="328"/>
      <c r="Q188" s="555" t="str">
        <f>'FICHE DE PAIE'!A$7</f>
        <v>MAJORATION DIMANCHE</v>
      </c>
      <c r="R188" s="555"/>
      <c r="S188" s="555"/>
      <c r="T188" s="555"/>
      <c r="U188" s="555"/>
      <c r="V188" s="555"/>
      <c r="W188" s="555"/>
      <c r="X188" s="555"/>
      <c r="Y188" s="555"/>
      <c r="Z188" s="494"/>
      <c r="AA188" s="557">
        <f>O193</f>
        <v>0</v>
      </c>
      <c r="AB188" s="557"/>
      <c r="AC188" s="557"/>
      <c r="AD188" s="558">
        <f>'FICHE DE PAIE'!N$7</f>
        <v>1.2074</v>
      </c>
      <c r="AE188" s="558"/>
      <c r="AF188" s="558"/>
      <c r="AG188" s="559">
        <f t="shared" si="46"/>
        <v>0</v>
      </c>
      <c r="AH188" s="559"/>
      <c r="AI188" s="559"/>
      <c r="AJ188" s="559"/>
      <c r="AK188" s="294"/>
      <c r="AL188" s="294"/>
      <c r="AM188" s="294"/>
      <c r="AN188" s="295"/>
      <c r="AO188" s="295"/>
      <c r="AP188" s="295"/>
      <c r="AQ188" s="295"/>
      <c r="AR188" s="295"/>
      <c r="AS188" s="295"/>
      <c r="AT188" s="295"/>
      <c r="AU188" s="295"/>
      <c r="AV188" s="290"/>
      <c r="AW188" s="591" t="s">
        <v>242</v>
      </c>
      <c r="AX188" s="591"/>
      <c r="AY188" s="591"/>
      <c r="AZ188" s="591"/>
      <c r="BA188" s="591"/>
      <c r="BB188" s="591"/>
      <c r="BC188" s="591"/>
      <c r="BD188" s="591"/>
      <c r="BE188" s="591"/>
      <c r="BF188" s="591"/>
      <c r="BG188" s="591"/>
      <c r="BH188" s="591"/>
      <c r="BI188" s="590">
        <f t="shared" si="47"/>
        <v>1952.5539499999998</v>
      </c>
      <c r="BJ188" s="590"/>
      <c r="BK188" s="590"/>
      <c r="BL188" s="590"/>
      <c r="BM188" s="590"/>
      <c r="BN188" s="590"/>
      <c r="BO188" s="590"/>
      <c r="BP188" s="590"/>
      <c r="BQ188" s="592">
        <f t="shared" si="48"/>
        <v>0</v>
      </c>
      <c r="BR188" s="592"/>
      <c r="BS188" s="592"/>
      <c r="BT188" s="592"/>
      <c r="BU188" s="594">
        <f>'FICHE DE PAIE'!BE$7</f>
        <v>1E-3</v>
      </c>
      <c r="BV188" s="594"/>
      <c r="BW188" s="594"/>
      <c r="BX188" s="592">
        <f t="shared" si="49"/>
        <v>1.9525539499999998</v>
      </c>
      <c r="BY188" s="592"/>
      <c r="BZ188" s="592"/>
      <c r="CA188" s="593"/>
    </row>
    <row r="189" spans="1:79" ht="15" customHeight="1">
      <c r="A189" s="334">
        <v>7</v>
      </c>
      <c r="B189" s="328">
        <v>7</v>
      </c>
      <c r="C189" s="328">
        <f t="shared" si="44"/>
        <v>188</v>
      </c>
      <c r="D189" s="360" t="str">
        <f>IF(I189='Jour Férié'!F$13,'Jour Férié'!E$13,""&amp;IF(I189='Jour Férié'!F$14,'Jour Férié'!E$14,""&amp;IF(I189='Jour Férié'!F$15,'Jour Férié'!E$15,""&amp;IF(I189='Jour Férié'!F$9,'Jour Férié'!E$9,""&amp;IF(I189='Jour Férié'!B$11,'Jour Férié'!A$11,""&amp;IF(MOD(MATCH(I189,vacances!$A$3:$A$202,1),2)=1,"vacances",""))))))</f>
        <v>vacances</v>
      </c>
      <c r="E189" s="490"/>
      <c r="F189" s="490"/>
      <c r="G189" s="490"/>
      <c r="H189" s="624"/>
      <c r="I189" s="361">
        <f t="shared" si="45"/>
        <v>43288</v>
      </c>
      <c r="J189" s="328"/>
      <c r="K189" s="328"/>
      <c r="L189" s="324"/>
      <c r="M189" s="363" t="s">
        <v>214</v>
      </c>
      <c r="N189" s="363"/>
      <c r="O189" s="370">
        <f>((6*COUNTIF(E182,J183))+(3*COUNTIF(E183,J183))+((6*COUNTIF(E183,J183))+(3*COUNTIF(E184,J183)))+((6*COUNTIF(E184,J183))+(3*COUNTIF(E185,J183)))+((6*COUNTIF(E185,J183))+(3*COUNTIF(E186,J183)))+((6*COUNTIF(E186,J183))+(3*COUNTIF(E187,J183)))+((6*COUNTIF(E187,J183))+(3*COUNTIF(E188,J183)))+((6*COUNTIF(E188,J183))+(3*COUNTIF(E189,J183)))+((6*COUNTIF(E189,J183))+(3*COUNTIF(E190,J183)))+((6*COUNTIF(E190,J183))+(3*COUNTIF(E191,J183)))+((6*COUNTIF(E191,J183))+(3*COUNTIF(E192,J183)))+((6*COUNTIF(E192,J183))+(3*COUNTIF(E193,J183)))+((6*COUNTIF(E193,J183))+(3*COUNTIF(E194,J183)))+((6*COUNTIF(E194,J183))+(3*COUNTIF(E195,J183)))+((6*COUNTIF(E195,J183))+(3*COUNTIF(E196,J183)))+((6*COUNTIF(E196,J183))+(3*COUNTIF(E197,J183)))+((6*COUNTIF(E197,J183))+(3*COUNTIF(E198,J183)))+((6*COUNTIF(E198,J183))+(3*COUNTIF(E199,J183)))+((6*COUNTIF(E199,J183))+(3*COUNTIF(E200,J183)))+((6*COUNTIF(E200,J183))+(3*COUNTIF(E201,J183)))+((6*COUNTIF(E201,J183))+(3*COUNTIF(E202,J183)))+((6*COUNTIF(E202,J183))+(3*COUNTIF(E203,J183)))+((6*COUNTIF(E203,J183))+(3*COUNTIF(E204,J183)))+((6*COUNTIF(E204,J183))+(3*COUNTIF(E205,J183)))+((6*COUNTIF(E205,J183))+(3*COUNTIF(E206,J183)))+((6*COUNTIF(E206,J183))+(3*COUNTIF(E207,J183)))+((6*COUNTIF(E207,J183))+(3*COUNTIF(E208,J183)))+((6*COUNTIF(E208,J183))+(3*COUNTIF(E209,J183)))+((6*COUNTIF(E209,J183))+(3*COUNTIF(E210,J183)))+((6*COUNTIF(E210,J183))+(3*COUNTIF(E211,J183)))+((6*COUNTIF(E211,J183))+(3*COUNTIF(E212,J183)))+((6*COUNTIF(E212,J183))+(3*COUNTIF(E213,J183)))+((6*COUNTIF(E213,J183))))</f>
        <v>0</v>
      </c>
      <c r="P189" s="328"/>
      <c r="Q189" s="555" t="str">
        <f>'FICHE DE PAIE'!A$8</f>
        <v>MAJORATION NUIT</v>
      </c>
      <c r="R189" s="555"/>
      <c r="S189" s="555"/>
      <c r="T189" s="555"/>
      <c r="U189" s="555"/>
      <c r="V189" s="555"/>
      <c r="W189" s="555"/>
      <c r="X189" s="555"/>
      <c r="Y189" s="555"/>
      <c r="Z189" s="494"/>
      <c r="AA189" s="557">
        <f>O189</f>
        <v>0</v>
      </c>
      <c r="AB189" s="557"/>
      <c r="AC189" s="557"/>
      <c r="AD189" s="558">
        <f>'FICHE DE PAIE'!N$8</f>
        <v>1.2074</v>
      </c>
      <c r="AE189" s="558"/>
      <c r="AF189" s="558"/>
      <c r="AG189" s="559">
        <f t="shared" si="46"/>
        <v>0</v>
      </c>
      <c r="AH189" s="559"/>
      <c r="AI189" s="559"/>
      <c r="AJ189" s="559"/>
      <c r="AK189" s="294"/>
      <c r="AL189" s="294"/>
      <c r="AM189" s="294"/>
      <c r="AN189" s="295"/>
      <c r="AO189" s="295"/>
      <c r="AP189" s="295"/>
      <c r="AQ189" s="295"/>
      <c r="AR189" s="295"/>
      <c r="AS189" s="295"/>
      <c r="AT189" s="295"/>
      <c r="AU189" s="295"/>
      <c r="AV189" s="290"/>
      <c r="AW189" s="591" t="s">
        <v>244</v>
      </c>
      <c r="AX189" s="591"/>
      <c r="AY189" s="591"/>
      <c r="AZ189" s="591"/>
      <c r="BA189" s="591"/>
      <c r="BB189" s="591"/>
      <c r="BC189" s="591"/>
      <c r="BD189" s="591"/>
      <c r="BE189" s="591"/>
      <c r="BF189" s="591"/>
      <c r="BG189" s="591"/>
      <c r="BH189" s="591"/>
      <c r="BI189" s="590">
        <f t="shared" si="47"/>
        <v>1952.5539499999998</v>
      </c>
      <c r="BJ189" s="590"/>
      <c r="BK189" s="590"/>
      <c r="BL189" s="590"/>
      <c r="BM189" s="590"/>
      <c r="BN189" s="590"/>
      <c r="BO189" s="590"/>
      <c r="BP189" s="590"/>
      <c r="BQ189" s="592">
        <f t="shared" si="48"/>
        <v>0</v>
      </c>
      <c r="BR189" s="592"/>
      <c r="BS189" s="592"/>
      <c r="BT189" s="592"/>
      <c r="BU189" s="594">
        <f>'FICHE DE PAIE'!BE$8</f>
        <v>4.0000000000000001E-3</v>
      </c>
      <c r="BV189" s="594"/>
      <c r="BW189" s="594"/>
      <c r="BX189" s="592">
        <f t="shared" si="49"/>
        <v>7.810215799999999</v>
      </c>
      <c r="BY189" s="592"/>
      <c r="BZ189" s="592"/>
      <c r="CA189" s="593"/>
    </row>
    <row r="190" spans="1:79" ht="15" customHeight="1">
      <c r="A190" s="334">
        <v>7</v>
      </c>
      <c r="B190" s="328">
        <v>8</v>
      </c>
      <c r="C190" s="328">
        <f t="shared" si="44"/>
        <v>189</v>
      </c>
      <c r="D190" s="360" t="str">
        <f>IF(I190='Jour Férié'!F$13,'Jour Férié'!E$13,""&amp;IF(I190='Jour Férié'!F$14,'Jour Férié'!E$14,""&amp;IF(I190='Jour Férié'!F$15,'Jour Férié'!E$15,""&amp;IF(I190='Jour Férié'!F$9,'Jour Férié'!E$9,""&amp;IF(I190='Jour Férié'!B$11,'Jour Férié'!A$11,""&amp;IF(MOD(MATCH(I190,vacances!$A$3:$A$202,1),2)=1,"vacances",""))))))</f>
        <v>vacances</v>
      </c>
      <c r="E190" s="490"/>
      <c r="F190" s="490"/>
      <c r="G190" s="490"/>
      <c r="H190" s="624"/>
      <c r="I190" s="361">
        <f t="shared" si="45"/>
        <v>43289</v>
      </c>
      <c r="J190" s="371" t="s">
        <v>215</v>
      </c>
      <c r="K190" s="369" t="s">
        <v>216</v>
      </c>
      <c r="L190" s="324"/>
      <c r="M190" s="333" t="s">
        <v>217</v>
      </c>
      <c r="N190" s="333"/>
      <c r="O190" s="364">
        <f>O184*12</f>
        <v>0</v>
      </c>
      <c r="P190" s="328"/>
      <c r="Q190" s="555" t="str">
        <f>'FICHE DE PAIE'!A$9</f>
        <v>MAJORATION JOUR FERIE</v>
      </c>
      <c r="R190" s="555"/>
      <c r="S190" s="555"/>
      <c r="T190" s="555"/>
      <c r="U190" s="555"/>
      <c r="V190" s="555"/>
      <c r="W190" s="555"/>
      <c r="X190" s="555"/>
      <c r="Y190" s="555"/>
      <c r="Z190" s="494"/>
      <c r="AA190" s="557">
        <f>O195</f>
        <v>0</v>
      </c>
      <c r="AB190" s="557"/>
      <c r="AC190" s="557"/>
      <c r="AD190" s="558">
        <f>'FICHE DE PAIE'!N$9</f>
        <v>12.074</v>
      </c>
      <c r="AE190" s="558"/>
      <c r="AF190" s="558"/>
      <c r="AG190" s="559">
        <f t="shared" si="46"/>
        <v>0</v>
      </c>
      <c r="AH190" s="559"/>
      <c r="AI190" s="559"/>
      <c r="AJ190" s="559"/>
      <c r="AK190" s="294"/>
      <c r="AL190" s="294"/>
      <c r="AM190" s="294"/>
      <c r="AN190" s="295"/>
      <c r="AO190" s="295"/>
      <c r="AP190" s="295"/>
      <c r="AQ190" s="295"/>
      <c r="AR190" s="295"/>
      <c r="AS190" s="295"/>
      <c r="AT190" s="295"/>
      <c r="AU190" s="295"/>
      <c r="AV190" s="290"/>
      <c r="AW190" s="591" t="s">
        <v>246</v>
      </c>
      <c r="AX190" s="591"/>
      <c r="AY190" s="591"/>
      <c r="AZ190" s="591"/>
      <c r="BA190" s="591"/>
      <c r="BB190" s="591"/>
      <c r="BC190" s="591"/>
      <c r="BD190" s="591"/>
      <c r="BE190" s="591"/>
      <c r="BF190" s="591"/>
      <c r="BG190" s="591"/>
      <c r="BH190" s="591"/>
      <c r="BI190" s="590">
        <f t="shared" si="47"/>
        <v>1952.5539499999998</v>
      </c>
      <c r="BJ190" s="590"/>
      <c r="BK190" s="590"/>
      <c r="BL190" s="590"/>
      <c r="BM190" s="590"/>
      <c r="BN190" s="590"/>
      <c r="BO190" s="590"/>
      <c r="BP190" s="590"/>
      <c r="BQ190" s="592">
        <f t="shared" si="48"/>
        <v>0</v>
      </c>
      <c r="BR190" s="592"/>
      <c r="BS190" s="592"/>
      <c r="BT190" s="592"/>
      <c r="BU190" s="594">
        <f>'FICHE DE PAIE'!BE$9</f>
        <v>1.2999999999999999E-2</v>
      </c>
      <c r="BV190" s="594"/>
      <c r="BW190" s="594"/>
      <c r="BX190" s="592">
        <f t="shared" si="49"/>
        <v>25.383201349999997</v>
      </c>
      <c r="BY190" s="592"/>
      <c r="BZ190" s="592"/>
      <c r="CA190" s="593"/>
    </row>
    <row r="191" spans="1:79" ht="15" customHeight="1">
      <c r="A191" s="334">
        <v>7</v>
      </c>
      <c r="B191" s="328">
        <v>9</v>
      </c>
      <c r="C191" s="328">
        <f t="shared" si="44"/>
        <v>190</v>
      </c>
      <c r="D191" s="360" t="str">
        <f>IF(I191='Jour Férié'!F$13,'Jour Férié'!E$13,""&amp;IF(I191='Jour Férié'!F$14,'Jour Férié'!E$14,""&amp;IF(I191='Jour Férié'!F$15,'Jour Férié'!E$15,""&amp;IF(I191='Jour Férié'!F$9,'Jour Férié'!E$9,""&amp;IF(I191='Jour Férié'!B$11,'Jour Férié'!A$11,""&amp;IF(MOD(MATCH(I191,vacances!$A$3:$A$202,1),2)=1,"vacances",""))))))</f>
        <v>vacances</v>
      </c>
      <c r="E191" s="490"/>
      <c r="F191" s="490"/>
      <c r="G191" s="490"/>
      <c r="H191" s="624"/>
      <c r="I191" s="361">
        <f t="shared" si="45"/>
        <v>43290</v>
      </c>
      <c r="J191" s="371" t="s">
        <v>218</v>
      </c>
      <c r="K191" s="330" t="s">
        <v>219</v>
      </c>
      <c r="L191" s="324"/>
      <c r="M191" s="333" t="s">
        <v>220</v>
      </c>
      <c r="N191" s="333"/>
      <c r="O191" s="364">
        <f>O185*7</f>
        <v>0</v>
      </c>
      <c r="P191" s="328"/>
      <c r="Q191" s="555" t="str">
        <f>'FICHE DE PAIE'!A$10</f>
        <v xml:space="preserve">PRIME ANCIENNETE </v>
      </c>
      <c r="R191" s="555"/>
      <c r="S191" s="555"/>
      <c r="T191" s="555"/>
      <c r="U191" s="555"/>
      <c r="V191" s="555"/>
      <c r="W191" s="555"/>
      <c r="X191" s="555"/>
      <c r="Y191" s="555"/>
      <c r="Z191" s="494"/>
      <c r="AA191" s="556">
        <v>1</v>
      </c>
      <c r="AB191" s="556"/>
      <c r="AC191" s="556"/>
      <c r="AD191" s="558">
        <f>'FICHE DE PAIE'!N$10</f>
        <v>36.630000000000003</v>
      </c>
      <c r="AE191" s="558"/>
      <c r="AF191" s="558"/>
      <c r="AG191" s="606"/>
      <c r="AH191" s="606"/>
      <c r="AI191" s="606"/>
      <c r="AJ191" s="606"/>
      <c r="AK191" s="294"/>
      <c r="AL191" s="294"/>
      <c r="AM191" s="294"/>
      <c r="AN191" s="295"/>
      <c r="AO191" s="295"/>
      <c r="AP191" s="295"/>
      <c r="AQ191" s="295"/>
      <c r="AR191" s="295"/>
      <c r="AS191" s="295"/>
      <c r="AT191" s="295"/>
      <c r="AU191" s="295"/>
      <c r="AV191" s="290"/>
      <c r="AW191" s="591" t="s">
        <v>248</v>
      </c>
      <c r="AX191" s="591"/>
      <c r="AY191" s="591"/>
      <c r="AZ191" s="591"/>
      <c r="BA191" s="591"/>
      <c r="BB191" s="591"/>
      <c r="BC191" s="591"/>
      <c r="BD191" s="591"/>
      <c r="BE191" s="591"/>
      <c r="BF191" s="591"/>
      <c r="BG191" s="591"/>
      <c r="BH191" s="591"/>
      <c r="BI191" s="590">
        <f t="shared" si="47"/>
        <v>1952.5539499999998</v>
      </c>
      <c r="BJ191" s="590"/>
      <c r="BK191" s="590"/>
      <c r="BL191" s="590"/>
      <c r="BM191" s="590"/>
      <c r="BN191" s="590"/>
      <c r="BO191" s="590"/>
      <c r="BP191" s="590"/>
      <c r="BQ191" s="592">
        <f t="shared" si="48"/>
        <v>0</v>
      </c>
      <c r="BR191" s="592"/>
      <c r="BS191" s="592"/>
      <c r="BT191" s="592"/>
      <c r="BU191" s="594">
        <f>'FICHE DE PAIE'!BE$10</f>
        <v>1.7600000000000001E-2</v>
      </c>
      <c r="BV191" s="594"/>
      <c r="BW191" s="594"/>
      <c r="BX191" s="592">
        <f t="shared" si="49"/>
        <v>34.364949519999996</v>
      </c>
      <c r="BY191" s="592"/>
      <c r="BZ191" s="592"/>
      <c r="CA191" s="593"/>
    </row>
    <row r="192" spans="1:79" ht="15" customHeight="1">
      <c r="A192" s="334">
        <v>7</v>
      </c>
      <c r="B192" s="328">
        <v>10</v>
      </c>
      <c r="C192" s="328">
        <f t="shared" si="44"/>
        <v>191</v>
      </c>
      <c r="D192" s="360" t="str">
        <f>IF(I192='Jour Férié'!F$13,'Jour Férié'!E$13,""&amp;IF(I192='Jour Férié'!F$14,'Jour Férié'!E$14,""&amp;IF(I192='Jour Férié'!F$15,'Jour Férié'!E$15,""&amp;IF(I192='Jour Férié'!F$9,'Jour Férié'!E$9,""&amp;IF(I192='Jour Férié'!B$11,'Jour Férié'!A$11,""&amp;IF(MOD(MATCH(I192,vacances!$A$3:$A$202,1),2)=1,"vacances",""))))))</f>
        <v>vacances</v>
      </c>
      <c r="E192" s="490"/>
      <c r="F192" s="490"/>
      <c r="G192" s="490"/>
      <c r="H192" s="624"/>
      <c r="I192" s="361">
        <f t="shared" si="45"/>
        <v>43291</v>
      </c>
      <c r="J192" s="328" t="s">
        <v>221</v>
      </c>
      <c r="K192" s="330" t="s">
        <v>222</v>
      </c>
      <c r="L192" s="324"/>
      <c r="M192" s="363" t="s">
        <v>223</v>
      </c>
      <c r="N192" s="363"/>
      <c r="O192" s="370">
        <f>(O183+O184)*12</f>
        <v>0</v>
      </c>
      <c r="P192" s="328"/>
      <c r="Q192" s="555" t="str">
        <f>'FICHE DE PAIE'!A$11</f>
        <v>PRIME HABILLAGE</v>
      </c>
      <c r="R192" s="555"/>
      <c r="S192" s="555"/>
      <c r="T192" s="555"/>
      <c r="U192" s="555"/>
      <c r="V192" s="555"/>
      <c r="W192" s="555"/>
      <c r="X192" s="555"/>
      <c r="Y192" s="555"/>
      <c r="Z192" s="494"/>
      <c r="AA192" s="556">
        <f>AA185</f>
        <v>151.66999999999999</v>
      </c>
      <c r="AB192" s="556"/>
      <c r="AC192" s="556"/>
      <c r="AD192" s="558">
        <f>'FICHE DE PAIE'!N$11</f>
        <v>0.13100000000000001</v>
      </c>
      <c r="AE192" s="558"/>
      <c r="AF192" s="558"/>
      <c r="AG192" s="559">
        <f>AA192*AD192</f>
        <v>19.868769999999998</v>
      </c>
      <c r="AH192" s="559"/>
      <c r="AI192" s="559"/>
      <c r="AJ192" s="559"/>
      <c r="AK192" s="294"/>
      <c r="AL192" s="294"/>
      <c r="AM192" s="294"/>
      <c r="AN192" s="295"/>
      <c r="AO192" s="295"/>
      <c r="AP192" s="295"/>
      <c r="AQ192" s="295"/>
      <c r="AR192" s="295"/>
      <c r="AS192" s="295"/>
      <c r="AT192" s="295"/>
      <c r="AU192" s="295"/>
      <c r="AV192" s="290"/>
      <c r="AW192" s="591" t="s">
        <v>250</v>
      </c>
      <c r="AX192" s="591"/>
      <c r="AY192" s="591"/>
      <c r="AZ192" s="591"/>
      <c r="BA192" s="591"/>
      <c r="BB192" s="591"/>
      <c r="BC192" s="591"/>
      <c r="BD192" s="591"/>
      <c r="BE192" s="591"/>
      <c r="BF192" s="591"/>
      <c r="BG192" s="591"/>
      <c r="BH192" s="591"/>
      <c r="BI192" s="590">
        <f t="shared" si="47"/>
        <v>1952.5539499999998</v>
      </c>
      <c r="BJ192" s="590"/>
      <c r="BK192" s="590"/>
      <c r="BL192" s="590"/>
      <c r="BM192" s="590"/>
      <c r="BN192" s="590"/>
      <c r="BO192" s="590"/>
      <c r="BP192" s="590"/>
      <c r="BQ192" s="592">
        <f t="shared" si="48"/>
        <v>0</v>
      </c>
      <c r="BR192" s="592"/>
      <c r="BS192" s="592"/>
      <c r="BT192" s="592"/>
      <c r="BU192" s="594">
        <f>'FICHE DE PAIE'!BE$11</f>
        <v>3.4500000000000003E-2</v>
      </c>
      <c r="BV192" s="594"/>
      <c r="BW192" s="594"/>
      <c r="BX192" s="592">
        <f t="shared" si="49"/>
        <v>67.363111274999994</v>
      </c>
      <c r="BY192" s="592"/>
      <c r="BZ192" s="592"/>
      <c r="CA192" s="593"/>
    </row>
    <row r="193" spans="1:79" ht="15" customHeight="1">
      <c r="A193" s="334">
        <v>7</v>
      </c>
      <c r="B193" s="328">
        <v>11</v>
      </c>
      <c r="C193" s="328">
        <f t="shared" si="44"/>
        <v>192</v>
      </c>
      <c r="D193" s="360" t="str">
        <f>IF(I193='Jour Férié'!F$13,'Jour Férié'!E$13,""&amp;IF(I193='Jour Férié'!F$14,'Jour Férié'!E$14,""&amp;IF(I193='Jour Férié'!F$15,'Jour Férié'!E$15,""&amp;IF(I193='Jour Férié'!F$9,'Jour Férié'!E$9,""&amp;IF(I193='Jour Férié'!B$11,'Jour Férié'!A$11,""&amp;IF(MOD(MATCH(I193,vacances!$A$3:$A$202,1),2)=1,"vacances",""))))))</f>
        <v>vacances</v>
      </c>
      <c r="E193" s="490"/>
      <c r="F193" s="490"/>
      <c r="G193" s="490"/>
      <c r="H193" s="624"/>
      <c r="I193" s="361">
        <f t="shared" si="45"/>
        <v>43292</v>
      </c>
      <c r="J193" s="324"/>
      <c r="K193" s="324"/>
      <c r="L193" s="324"/>
      <c r="M193" s="577" t="s">
        <v>224</v>
      </c>
      <c r="N193" s="372">
        <f>(IF(WEEKDAY(I183,2)=7,(7*COUNTIF(E182,J183))+(12*COUNTIF(E183,J184))+(5*COUNTIF(E183,J183))))+(IF(WEEKDAY(I184,2)=7,(7*COUNTIF(E183,J183))+(12*COUNTIF(E184,J184))+(5*COUNTIF(E184,J183))))+(IF(WEEKDAY(I185,2)=7,(7*COUNTIF(E184,J183))+(12*COUNTIF(E185,J184))+(5*COUNTIF(E185,J183))))+(IF(WEEKDAY(I186,2)=7,(7*COUNTIF(E185,J183))+(12*COUNTIF(E186,J184))+(5*COUNTIF(E186,J183))))+(IF(WEEKDAY(I187,2)=7,(7*COUNTIF(E186,J183))+(12*COUNTIF(E187,J184))+(5*COUNTIF(E187,J183))))+(IF(WEEKDAY(I188,2)=7,(7*COUNTIF(E187,J183))+(12*COUNTIF(E188,J184))+(5*COUNTIF(E188,J183))))+(IF(WEEKDAY(I189,2)=7,(7*COUNTIF(E188,J183))+(12*COUNTIF(E189,J184))+(5*COUNTIF(E189,J183))))+(IF(WEEKDAY(I190,2)=7,(7*COUNTIF(E189,J183))+(12*COUNTIF(E190,J184))+(5*COUNTIF(E190,J183))))+(IF(WEEKDAY(I191,2)=7,(7*COUNTIF(E190,J183))+(12*COUNTIF(E191,J184))+(5*COUNTIF(E191,J183))))+(IF(WEEKDAY(I192,2)=7,(7*COUNTIF(E191,J183))+(12*COUNTIF(E192,J184))+(5*COUNTIF(E192,J183))))+(IF(WEEKDAY(I193,2)=7,(7*COUNTIF(E192,J183))+(12*COUNTIF(E193,J184))+(5*COUNTIF(E193,J183))))+(IF(WEEKDAY(I194,2)=7,(7*COUNTIF(E193,J183))+(12*COUNTIF(E194,J184))+(5*COUNTIF(E194,J183))))+(IF(WEEKDAY(I195,2)=7,(7*COUNTIF(E194,J183))+(12*COUNTIF(E195,J184))+(5*COUNTIF(E195,J183))))+(IF(WEEKDAY(I196,2)=7,(7*COUNTIF(E195,J183))+(12*COUNTIF(E196,J184))+(5*COUNTIF(E196,J183))))</f>
        <v>0</v>
      </c>
      <c r="O193" s="584">
        <f>SUM(N193:N194)</f>
        <v>0</v>
      </c>
      <c r="P193" s="328"/>
      <c r="Q193" s="555" t="str">
        <f>'FICHE DE PAIE'!A$12</f>
        <v>PRIME ASTREINTE</v>
      </c>
      <c r="R193" s="555"/>
      <c r="S193" s="555"/>
      <c r="T193" s="555"/>
      <c r="U193" s="555"/>
      <c r="V193" s="555"/>
      <c r="W193" s="555"/>
      <c r="X193" s="555"/>
      <c r="Y193" s="555"/>
      <c r="Z193" s="494"/>
      <c r="AA193" s="561"/>
      <c r="AB193" s="561"/>
      <c r="AC193" s="561"/>
      <c r="AD193" s="558">
        <f>'FICHE DE PAIE'!N$12</f>
        <v>90</v>
      </c>
      <c r="AE193" s="558"/>
      <c r="AF193" s="558"/>
      <c r="AG193" s="559">
        <f>AA193*AD193</f>
        <v>0</v>
      </c>
      <c r="AH193" s="559"/>
      <c r="AI193" s="559"/>
      <c r="AJ193" s="559"/>
      <c r="AK193" s="294"/>
      <c r="AL193" s="294"/>
      <c r="AM193" s="294"/>
      <c r="AN193" s="295"/>
      <c r="AO193" s="295"/>
      <c r="AP193" s="295"/>
      <c r="AQ193" s="295"/>
      <c r="AR193" s="295"/>
      <c r="AS193" s="295"/>
      <c r="AT193" s="295"/>
      <c r="AU193" s="295"/>
      <c r="AV193" s="290"/>
      <c r="AW193" s="591" t="s">
        <v>252</v>
      </c>
      <c r="AX193" s="591"/>
      <c r="AY193" s="591"/>
      <c r="AZ193" s="591"/>
      <c r="BA193" s="591"/>
      <c r="BB193" s="591"/>
      <c r="BC193" s="591"/>
      <c r="BD193" s="591"/>
      <c r="BE193" s="591"/>
      <c r="BF193" s="591"/>
      <c r="BG193" s="591"/>
      <c r="BH193" s="591"/>
      <c r="BI193" s="590">
        <f t="shared" si="47"/>
        <v>1952.5539499999998</v>
      </c>
      <c r="BJ193" s="590"/>
      <c r="BK193" s="590"/>
      <c r="BL193" s="590"/>
      <c r="BM193" s="590"/>
      <c r="BN193" s="590"/>
      <c r="BO193" s="590"/>
      <c r="BP193" s="590"/>
      <c r="BQ193" s="592">
        <f t="shared" si="48"/>
        <v>0</v>
      </c>
      <c r="BR193" s="592"/>
      <c r="BS193" s="592"/>
      <c r="BT193" s="592"/>
      <c r="BU193" s="594">
        <f>'FICHE DE PAIE'!BE$12</f>
        <v>1.6000000000000001E-4</v>
      </c>
      <c r="BV193" s="594"/>
      <c r="BW193" s="594"/>
      <c r="BX193" s="592">
        <f t="shared" si="49"/>
        <v>0.31240863199999996</v>
      </c>
      <c r="BY193" s="592"/>
      <c r="BZ193" s="592"/>
      <c r="CA193" s="593"/>
    </row>
    <row r="194" spans="1:79" ht="15" customHeight="1">
      <c r="A194" s="334">
        <v>7</v>
      </c>
      <c r="B194" s="328">
        <v>12</v>
      </c>
      <c r="C194" s="328">
        <f t="shared" si="44"/>
        <v>193</v>
      </c>
      <c r="D194" s="360" t="str">
        <f>IF(I194='Jour Férié'!F$13,'Jour Férié'!E$13,""&amp;IF(I194='Jour Férié'!F$14,'Jour Férié'!E$14,""&amp;IF(I194='Jour Férié'!F$15,'Jour Férié'!E$15,""&amp;IF(I194='Jour Férié'!F$9,'Jour Férié'!E$9,""&amp;IF(I194='Jour Férié'!B$11,'Jour Férié'!A$11,""&amp;IF(MOD(MATCH(I194,vacances!$A$3:$A$202,1),2)=1,"vacances",""))))))</f>
        <v>Nina</v>
      </c>
      <c r="E194" s="490"/>
      <c r="F194" s="490"/>
      <c r="G194" s="490"/>
      <c r="H194" s="624"/>
      <c r="I194" s="361">
        <f t="shared" si="45"/>
        <v>43293</v>
      </c>
      <c r="J194" s="328"/>
      <c r="K194" s="328"/>
      <c r="L194" s="328"/>
      <c r="M194" s="577"/>
      <c r="N194" s="373">
        <f>(IF(WEEKDAY(I197,2)=7,(7*COUNTIF(E196,J183))+(12*COUNTIF(E197,J184))+(5*COUNTIF(E197,J183))))+(IF(WEEKDAY(I198,2)=7,(7*COUNTIF(E197,J183))+(12*COUNTIF(E198,J184))+(5*COUNTIF(E198,J183))))+(IF(WEEKDAY(I199,2)=7,(7*COUNTIF(E198,J183))+(12*COUNTIF(E199,J184))+(5*COUNTIF(E199,J183))))+(IF(WEEKDAY(I200,2)=7,(7*COUNTIF(E199,J183))+(12*COUNTIF(E200,J184))+(5*COUNTIF(E200,J183))))+(IF(WEEKDAY(I201,2)=7,(7*COUNTIF(E200,J183))+(12*COUNTIF(E201,J184))+(5*COUNTIF(E201,J183))))+(IF(WEEKDAY(I202,2)=7,(7*COUNTIF(E201,J183))+(12*COUNTIF(E202,J184))+(5*COUNTIF(E202,J183))))+(IF(WEEKDAY(I203,2)=7,(7*COUNTIF(E202,J183))+(12*COUNTIF(E203,J184))+(5*COUNTIF(E203,J183))))+(IF(WEEKDAY(I204,2)=7,(7*COUNTIF(E203,J183))+(12*COUNTIF(E204,J184))+(5*COUNTIF(E204,J183))))+(IF(WEEKDAY(I205,2)=7,(7*COUNTIF(E204,J183))+(12*COUNTIF(E205,J184))+(5*COUNTIF(E205,J183))))+(IF(WEEKDAY(I206,2)=7,(7*COUNTIF(E205,J183))+(12*COUNTIF(E206,J184))+(5*COUNTIF(E206,J183))))+(IF(WEEKDAY(I207,2)=7,(7*COUNTIF(E206,J183))+(12*COUNTIF(E207,J184))+(5*COUNTIF(E207,J183))))+(IF(WEEKDAY(I208,2)=7,(7*COUNTIF(E207,J183))+(12*COUNTIF(E208,J184))+(5*COUNTIF(E208,J183))))+(IF(WEEKDAY(I209,2)=7,(7*COUNTIF(E208,J183))+(12*COUNTIF(E209,J184))+(5*COUNTIF(E209,J183))))+(IF(WEEKDAY(I210,2)=7,(7*COUNTIF(E209,J183))+(12*COUNTIF(E210,J184))+(5*COUNTIF(E210,J183))))+(IF(WEEKDAY(I211,2)=7,(7*COUNTIF(E210,J183))+(12*COUNTIF(E211,J184))+(5*COUNTIF(E211,J183))))+(IF(WEEKDAY(I212,2)=7,(7*COUNTIF(E211,J183))+(12*COUNTIF(E212,J184))+(5*COUNTIF(E212,J183))))+(IF(WEEKDAY(I213,2)=7,(7*COUNTIF(E212,J183))+(12*COUNTIF(E213,J184))+(5*COUNTIF(E213,J183))))</f>
        <v>0</v>
      </c>
      <c r="O194" s="584"/>
      <c r="P194" s="328"/>
      <c r="Q194" s="555" t="str">
        <f>'FICHE DE PAIE'!A$13</f>
        <v>AUTRE PRIME</v>
      </c>
      <c r="R194" s="555"/>
      <c r="S194" s="555"/>
      <c r="T194" s="555"/>
      <c r="U194" s="555"/>
      <c r="V194" s="555"/>
      <c r="W194" s="555"/>
      <c r="X194" s="555"/>
      <c r="Y194" s="555"/>
      <c r="Z194" s="494"/>
      <c r="AA194" s="561"/>
      <c r="AB194" s="561"/>
      <c r="AC194" s="561"/>
      <c r="AD194" s="605"/>
      <c r="AE194" s="605"/>
      <c r="AF194" s="605"/>
      <c r="AG194" s="559">
        <f>AA194*AD194</f>
        <v>0</v>
      </c>
      <c r="AH194" s="559"/>
      <c r="AI194" s="559"/>
      <c r="AJ194" s="559"/>
      <c r="AK194" s="294"/>
      <c r="AL194" s="294"/>
      <c r="AM194" s="294"/>
      <c r="AN194" s="295"/>
      <c r="AO194" s="296"/>
      <c r="AP194" s="296"/>
      <c r="AQ194" s="295"/>
      <c r="AR194" s="295"/>
      <c r="AS194" s="295"/>
      <c r="AT194" s="295"/>
      <c r="AU194" s="295"/>
      <c r="AV194" s="290"/>
      <c r="AW194" s="591" t="s">
        <v>254</v>
      </c>
      <c r="AX194" s="591"/>
      <c r="AY194" s="591"/>
      <c r="AZ194" s="591"/>
      <c r="BA194" s="591"/>
      <c r="BB194" s="591"/>
      <c r="BC194" s="591"/>
      <c r="BD194" s="591"/>
      <c r="BE194" s="591"/>
      <c r="BF194" s="591"/>
      <c r="BG194" s="591"/>
      <c r="BH194" s="591"/>
      <c r="BI194" s="590">
        <f t="shared" si="47"/>
        <v>1952.5539499999998</v>
      </c>
      <c r="BJ194" s="590"/>
      <c r="BK194" s="590"/>
      <c r="BL194" s="590"/>
      <c r="BM194" s="594">
        <f>'FICHE DE PAIE'!AW$13</f>
        <v>9.4999999999999998E-3</v>
      </c>
      <c r="BN194" s="594"/>
      <c r="BO194" s="594"/>
      <c r="BP194" s="594"/>
      <c r="BQ194" s="592">
        <f t="shared" si="48"/>
        <v>18.549262524999996</v>
      </c>
      <c r="BR194" s="592"/>
      <c r="BS194" s="592"/>
      <c r="BT194" s="592"/>
      <c r="BU194" s="594">
        <f>'FICHE DE PAIE'!BE$13</f>
        <v>4.0500000000000001E-2</v>
      </c>
      <c r="BV194" s="594"/>
      <c r="BW194" s="594"/>
      <c r="BX194" s="592">
        <f t="shared" si="49"/>
        <v>79.078434974999993</v>
      </c>
      <c r="BY194" s="592"/>
      <c r="BZ194" s="592"/>
      <c r="CA194" s="593"/>
    </row>
    <row r="195" spans="1:79" ht="15" customHeight="1">
      <c r="A195" s="334">
        <v>7</v>
      </c>
      <c r="B195" s="328">
        <v>13</v>
      </c>
      <c r="C195" s="328">
        <f t="shared" si="44"/>
        <v>194</v>
      </c>
      <c r="D195" s="360" t="str">
        <f>IF(I195='Jour Férié'!F$13,'Jour Férié'!E$13,""&amp;IF(I195='Jour Férié'!F$14,'Jour Férié'!E$14,""&amp;IF(I195='Jour Férié'!F$15,'Jour Férié'!E$15,""&amp;IF(I195='Jour Férié'!F$9,'Jour Férié'!E$9,""&amp;IF(I195='Jour Férié'!B$11,'Jour Férié'!A$11,""&amp;IF(MOD(MATCH(I195,vacances!$A$3:$A$202,1),2)=1,"vacances",""))))))</f>
        <v>vacances</v>
      </c>
      <c r="E195" s="490"/>
      <c r="F195" s="490"/>
      <c r="G195" s="490"/>
      <c r="H195" s="624"/>
      <c r="I195" s="361">
        <f t="shared" si="45"/>
        <v>43294</v>
      </c>
      <c r="J195" s="328"/>
      <c r="K195" s="328"/>
      <c r="L195" s="328"/>
      <c r="M195" s="363" t="s">
        <v>225</v>
      </c>
      <c r="N195" s="363"/>
      <c r="O195" s="370">
        <f>(IF((I196)='Jour Férié'!B11,(5*COUNTIF(E195,J$1))+(12*COUNTIF(E196,J$2))+(5*COUNTIF(E196,J$1))))+(IF((I197)='Jour Férié'!B11,(5*COUNTIF(E196,J$1))+(12*COUNTIF(E197,J$2))+(5*COUNTIF(E197,J$1))))</f>
        <v>0</v>
      </c>
      <c r="P195" s="328"/>
      <c r="Q195" s="555" t="str">
        <f>'FICHE DE PAIE'!A$14</f>
        <v>Absence congé payé</v>
      </c>
      <c r="R195" s="555"/>
      <c r="S195" s="555"/>
      <c r="T195" s="555"/>
      <c r="U195" s="555"/>
      <c r="V195" s="555"/>
      <c r="W195" s="555"/>
      <c r="X195" s="555"/>
      <c r="Y195" s="555"/>
      <c r="Z195" s="494"/>
      <c r="AA195" s="557">
        <f>O197*35/6</f>
        <v>0</v>
      </c>
      <c r="AB195" s="557"/>
      <c r="AC195" s="557"/>
      <c r="AD195" s="558">
        <f>'FICHE DE PAIE'!N$14</f>
        <v>12.074</v>
      </c>
      <c r="AE195" s="558"/>
      <c r="AF195" s="558"/>
      <c r="AG195" s="559"/>
      <c r="AH195" s="559"/>
      <c r="AI195" s="559"/>
      <c r="AJ195" s="559"/>
      <c r="AK195" s="602">
        <f>AA195*AD195</f>
        <v>0</v>
      </c>
      <c r="AL195" s="602"/>
      <c r="AM195" s="602"/>
      <c r="AN195" s="602"/>
      <c r="AO195" s="294"/>
      <c r="AP195" s="296"/>
      <c r="AQ195" s="295"/>
      <c r="AR195" s="295"/>
      <c r="AS195" s="295"/>
      <c r="AT195" s="295"/>
      <c r="AU195" s="295"/>
      <c r="AV195" s="290"/>
      <c r="AW195" s="591" t="s">
        <v>256</v>
      </c>
      <c r="AX195" s="591"/>
      <c r="AY195" s="591"/>
      <c r="AZ195" s="591"/>
      <c r="BA195" s="591"/>
      <c r="BB195" s="591"/>
      <c r="BC195" s="591"/>
      <c r="BD195" s="591"/>
      <c r="BE195" s="591"/>
      <c r="BF195" s="591"/>
      <c r="BG195" s="591"/>
      <c r="BH195" s="591"/>
      <c r="BI195" s="590">
        <f t="shared" si="47"/>
        <v>1952.5539499999998</v>
      </c>
      <c r="BJ195" s="590"/>
      <c r="BK195" s="590"/>
      <c r="BL195" s="590"/>
      <c r="BM195" s="590"/>
      <c r="BN195" s="590"/>
      <c r="BO195" s="590"/>
      <c r="BP195" s="590"/>
      <c r="BQ195" s="592">
        <f t="shared" si="48"/>
        <v>0</v>
      </c>
      <c r="BR195" s="592"/>
      <c r="BS195" s="592"/>
      <c r="BT195" s="592"/>
      <c r="BU195" s="594">
        <f>'FICHE DE PAIE'!BE$14</f>
        <v>1.5E-3</v>
      </c>
      <c r="BV195" s="594"/>
      <c r="BW195" s="594"/>
      <c r="BX195" s="592">
        <f t="shared" si="49"/>
        <v>2.9288309249999998</v>
      </c>
      <c r="BY195" s="592"/>
      <c r="BZ195" s="592"/>
      <c r="CA195" s="593"/>
    </row>
    <row r="196" spans="1:79" ht="15" customHeight="1">
      <c r="A196" s="334">
        <v>7</v>
      </c>
      <c r="B196" s="328">
        <v>14</v>
      </c>
      <c r="C196" s="328">
        <f t="shared" si="44"/>
        <v>195</v>
      </c>
      <c r="D196" s="360" t="str">
        <f>IF(I196='Jour Férié'!F$13,'Jour Férié'!E$13,""&amp;IF(I196='Jour Férié'!F$14,'Jour Férié'!E$14,""&amp;IF(I196='Jour Férié'!F$15,'Jour Férié'!E$15,""&amp;IF(I196='Jour Férié'!F$9,'Jour Férié'!E$9,""&amp;IF(I196='Jour Férié'!B$11,'Jour Férié'!A$11,""&amp;IF(MOD(MATCH(I196,vacances!$A$3:$A$202,1),2)=1,"vacances",""))))))</f>
        <v>Fête Nationale</v>
      </c>
      <c r="E196" s="490"/>
      <c r="F196" s="490"/>
      <c r="G196" s="490"/>
      <c r="H196" s="624"/>
      <c r="I196" s="361">
        <f t="shared" si="45"/>
        <v>43295</v>
      </c>
      <c r="J196" s="328"/>
      <c r="K196" s="328"/>
      <c r="L196" s="328"/>
      <c r="M196" s="374" t="s">
        <v>226</v>
      </c>
      <c r="N196" s="374"/>
      <c r="O196" s="364">
        <f>(COUNTIF($E183:$E211,$J192))</f>
        <v>0</v>
      </c>
      <c r="P196" s="328"/>
      <c r="Q196" s="555" t="str">
        <f>'FICHE DE PAIE'!A$15</f>
        <v>paiement congé payé</v>
      </c>
      <c r="R196" s="555"/>
      <c r="S196" s="555"/>
      <c r="T196" s="555"/>
      <c r="U196" s="555"/>
      <c r="V196" s="555"/>
      <c r="W196" s="555"/>
      <c r="X196" s="555"/>
      <c r="Y196" s="555"/>
      <c r="Z196" s="494"/>
      <c r="AA196" s="556"/>
      <c r="AB196" s="556"/>
      <c r="AC196" s="556"/>
      <c r="AD196" s="566"/>
      <c r="AE196" s="566"/>
      <c r="AF196" s="566"/>
      <c r="AG196" s="604"/>
      <c r="AH196" s="604"/>
      <c r="AI196" s="604"/>
      <c r="AJ196" s="604"/>
      <c r="AK196" s="297"/>
      <c r="AL196" s="297"/>
      <c r="AM196" s="297"/>
      <c r="AN196" s="298"/>
      <c r="AO196" s="299"/>
      <c r="AP196" s="296"/>
      <c r="AQ196" s="295"/>
      <c r="AR196" s="295"/>
      <c r="AS196" s="295"/>
      <c r="AT196" s="295"/>
      <c r="AU196" s="295"/>
      <c r="AV196" s="290"/>
      <c r="AW196" s="591" t="s">
        <v>258</v>
      </c>
      <c r="AX196" s="591"/>
      <c r="AY196" s="591"/>
      <c r="AZ196" s="591"/>
      <c r="BA196" s="591"/>
      <c r="BB196" s="591"/>
      <c r="BC196" s="591"/>
      <c r="BD196" s="591"/>
      <c r="BE196" s="591"/>
      <c r="BF196" s="591"/>
      <c r="BG196" s="591"/>
      <c r="BH196" s="591"/>
      <c r="BI196" s="590">
        <f t="shared" si="47"/>
        <v>1952.5539499999998</v>
      </c>
      <c r="BJ196" s="590"/>
      <c r="BK196" s="590"/>
      <c r="BL196" s="590"/>
      <c r="BM196" s="594">
        <f>'FICHE DE PAIE'!AW$15</f>
        <v>3.1E-2</v>
      </c>
      <c r="BN196" s="594"/>
      <c r="BO196" s="594"/>
      <c r="BP196" s="594"/>
      <c r="BQ196" s="592">
        <f t="shared" si="48"/>
        <v>60.52917244999999</v>
      </c>
      <c r="BR196" s="592"/>
      <c r="BS196" s="592"/>
      <c r="BT196" s="592"/>
      <c r="BU196" s="594">
        <f>'FICHE DE PAIE'!BE$15</f>
        <v>4.65E-2</v>
      </c>
      <c r="BV196" s="594"/>
      <c r="BW196" s="594"/>
      <c r="BX196" s="592">
        <f t="shared" si="49"/>
        <v>90.793758674999992</v>
      </c>
      <c r="BY196" s="592"/>
      <c r="BZ196" s="592"/>
      <c r="CA196" s="593"/>
    </row>
    <row r="197" spans="1:79" ht="15" customHeight="1">
      <c r="A197" s="334">
        <v>7</v>
      </c>
      <c r="B197" s="328">
        <v>15</v>
      </c>
      <c r="C197" s="328">
        <f t="shared" si="44"/>
        <v>196</v>
      </c>
      <c r="D197" s="360" t="str">
        <f>IF(I197='Jour Férié'!F$13,'Jour Férié'!E$13,""&amp;IF(I197='Jour Férié'!F$14,'Jour Férié'!E$14,""&amp;IF(I197='Jour Férié'!F$15,'Jour Férié'!E$15,""&amp;IF(I197='Jour Férié'!F$9,'Jour Férié'!E$9,""&amp;IF(I197='Jour Férié'!B$11,'Jour Férié'!A$11,""&amp;IF(MOD(MATCH(I197,vacances!$A$3:$A$202,1),2)=1,"vacances",""))))))</f>
        <v>vacances</v>
      </c>
      <c r="E197" s="490"/>
      <c r="F197" s="490"/>
      <c r="G197" s="490"/>
      <c r="H197" s="624"/>
      <c r="I197" s="361">
        <f t="shared" si="45"/>
        <v>43296</v>
      </c>
      <c r="J197" s="328"/>
      <c r="K197" s="328"/>
      <c r="L197" s="328"/>
      <c r="M197" s="374" t="s">
        <v>227</v>
      </c>
      <c r="N197" s="374"/>
      <c r="O197" s="364">
        <f>(COUNTIF($E183:$E211,$J190))</f>
        <v>0</v>
      </c>
      <c r="P197" s="328"/>
      <c r="Q197" s="555" t="str">
        <f>'FICHE DE PAIE'!A$16</f>
        <v>Absence maladie</v>
      </c>
      <c r="R197" s="555"/>
      <c r="S197" s="555"/>
      <c r="T197" s="555"/>
      <c r="U197" s="555"/>
      <c r="V197" s="555"/>
      <c r="W197" s="555"/>
      <c r="X197" s="555"/>
      <c r="Y197" s="555"/>
      <c r="Z197" s="494"/>
      <c r="AA197" s="556"/>
      <c r="AB197" s="556"/>
      <c r="AC197" s="556"/>
      <c r="AD197" s="566"/>
      <c r="AE197" s="566"/>
      <c r="AF197" s="566"/>
      <c r="AG197" s="559"/>
      <c r="AH197" s="559"/>
      <c r="AI197" s="559"/>
      <c r="AJ197" s="559"/>
      <c r="AK197" s="599"/>
      <c r="AL197" s="599"/>
      <c r="AM197" s="599"/>
      <c r="AN197" s="599"/>
      <c r="AO197" s="294"/>
      <c r="AP197" s="296"/>
      <c r="AQ197" s="295"/>
      <c r="AR197" s="295"/>
      <c r="AS197" s="295"/>
      <c r="AT197" s="295"/>
      <c r="AU197" s="295"/>
      <c r="AV197" s="290"/>
      <c r="AW197" s="591" t="s">
        <v>260</v>
      </c>
      <c r="AX197" s="591"/>
      <c r="AY197" s="591"/>
      <c r="AZ197" s="591"/>
      <c r="BA197" s="591"/>
      <c r="BB197" s="591"/>
      <c r="BC197" s="591"/>
      <c r="BD197" s="591"/>
      <c r="BE197" s="591"/>
      <c r="BF197" s="591"/>
      <c r="BG197" s="591"/>
      <c r="BH197" s="591"/>
      <c r="BI197" s="590">
        <f t="shared" si="47"/>
        <v>1952.5539499999998</v>
      </c>
      <c r="BJ197" s="590"/>
      <c r="BK197" s="590"/>
      <c r="BL197" s="590"/>
      <c r="BM197" s="594">
        <f>'FICHE DE PAIE'!AW$16</f>
        <v>8.0000000000000002E-3</v>
      </c>
      <c r="BN197" s="594"/>
      <c r="BO197" s="594"/>
      <c r="BP197" s="594"/>
      <c r="BQ197" s="592">
        <f t="shared" si="48"/>
        <v>15.620431599999998</v>
      </c>
      <c r="BR197" s="592"/>
      <c r="BS197" s="592"/>
      <c r="BT197" s="592"/>
      <c r="BU197" s="594">
        <f>'FICHE DE PAIE'!BE$16</f>
        <v>1.2E-2</v>
      </c>
      <c r="BV197" s="594"/>
      <c r="BW197" s="594"/>
      <c r="BX197" s="592">
        <f t="shared" si="49"/>
        <v>23.430647399999998</v>
      </c>
      <c r="BY197" s="592"/>
      <c r="BZ197" s="592"/>
      <c r="CA197" s="593"/>
    </row>
    <row r="198" spans="1:79" ht="15" customHeight="1">
      <c r="A198" s="334">
        <v>7</v>
      </c>
      <c r="B198" s="328">
        <v>16</v>
      </c>
      <c r="C198" s="328">
        <f t="shared" si="44"/>
        <v>197</v>
      </c>
      <c r="D198" s="360" t="str">
        <f>IF(I198='Jour Férié'!F$13,'Jour Férié'!E$13,""&amp;IF(I198='Jour Férié'!F$14,'Jour Férié'!E$14,""&amp;IF(I198='Jour Férié'!F$15,'Jour Férié'!E$15,""&amp;IF(I198='Jour Férié'!F$9,'Jour Férié'!E$9,""&amp;IF(I198='Jour Férié'!B$11,'Jour Férié'!A$11,""&amp;IF(MOD(MATCH(I198,vacances!$A$3:$A$202,1),2)=1,"vacances",""))))))</f>
        <v>vacances</v>
      </c>
      <c r="E198" s="490"/>
      <c r="F198" s="490"/>
      <c r="G198" s="490"/>
      <c r="H198" s="624"/>
      <c r="I198" s="361">
        <f t="shared" si="45"/>
        <v>43297</v>
      </c>
      <c r="J198" s="328"/>
      <c r="K198" s="328"/>
      <c r="L198" s="328"/>
      <c r="M198" s="374" t="s">
        <v>228</v>
      </c>
      <c r="N198" s="374"/>
      <c r="O198" s="364">
        <f>(COUNTIF($E183:$E211,$J191))</f>
        <v>0</v>
      </c>
      <c r="P198" s="328"/>
      <c r="Q198" s="555"/>
      <c r="R198" s="555"/>
      <c r="S198" s="555"/>
      <c r="T198" s="555"/>
      <c r="U198" s="555"/>
      <c r="V198" s="555"/>
      <c r="W198" s="555"/>
      <c r="X198" s="555"/>
      <c r="Y198" s="555"/>
      <c r="Z198" s="494"/>
      <c r="AA198" s="556"/>
      <c r="AB198" s="556"/>
      <c r="AC198" s="556"/>
      <c r="AD198" s="600"/>
      <c r="AE198" s="600"/>
      <c r="AF198" s="600"/>
      <c r="AG198" s="559"/>
      <c r="AH198" s="559"/>
      <c r="AI198" s="559"/>
      <c r="AJ198" s="559"/>
      <c r="AK198" s="297"/>
      <c r="AL198" s="297"/>
      <c r="AM198" s="297"/>
      <c r="AN198" s="298"/>
      <c r="AO198" s="299"/>
      <c r="AP198" s="296"/>
      <c r="AQ198" s="295"/>
      <c r="AR198" s="295"/>
      <c r="AS198" s="295"/>
      <c r="AT198" s="295"/>
      <c r="AU198" s="295"/>
      <c r="AV198" s="290"/>
      <c r="AW198" s="499" t="s">
        <v>261</v>
      </c>
      <c r="AX198" s="499"/>
      <c r="AY198" s="499"/>
      <c r="AZ198" s="499"/>
      <c r="BA198" s="499"/>
      <c r="BB198" s="499"/>
      <c r="BC198" s="499"/>
      <c r="BD198" s="499"/>
      <c r="BE198" s="499"/>
      <c r="BF198" s="499"/>
      <c r="BG198" s="499"/>
      <c r="BH198" s="499"/>
      <c r="BI198" s="590">
        <f t="shared" si="47"/>
        <v>1952.5539499999998</v>
      </c>
      <c r="BJ198" s="590"/>
      <c r="BK198" s="590"/>
      <c r="BL198" s="590"/>
      <c r="BM198" s="594">
        <f>'FICHE DE PAIE'!AW$17</f>
        <v>5.4000000000000003E-3</v>
      </c>
      <c r="BN198" s="594"/>
      <c r="BO198" s="594"/>
      <c r="BP198" s="594"/>
      <c r="BQ198" s="592">
        <f t="shared" si="48"/>
        <v>10.543791329999999</v>
      </c>
      <c r="BR198" s="592"/>
      <c r="BS198" s="592"/>
      <c r="BT198" s="592"/>
      <c r="BU198" s="594">
        <f>'FICHE DE PAIE'!BE$17</f>
        <v>5.4000000000000003E-3</v>
      </c>
      <c r="BV198" s="594"/>
      <c r="BW198" s="594"/>
      <c r="BX198" s="592">
        <f t="shared" si="49"/>
        <v>10.543791329999999</v>
      </c>
      <c r="BY198" s="592"/>
      <c r="BZ198" s="592"/>
      <c r="CA198" s="593"/>
    </row>
    <row r="199" spans="1:79" ht="15" customHeight="1">
      <c r="A199" s="334">
        <v>7</v>
      </c>
      <c r="B199" s="328">
        <v>17</v>
      </c>
      <c r="C199" s="328">
        <f t="shared" ref="C199:C207" si="50">VLOOKUP(A199,Données,4)+B199-1</f>
        <v>198</v>
      </c>
      <c r="D199" s="360" t="str">
        <f>IF(I199='Jour Férié'!F$13,'Jour Férié'!E$13,""&amp;IF(I199='Jour Férié'!F$14,'Jour Férié'!E$14,""&amp;IF(I199='Jour Férié'!F$15,'Jour Férié'!E$15,""&amp;IF(I199='Jour Férié'!F$9,'Jour Férié'!E$9,""&amp;IF(I199='Jour Férié'!B$11,'Jour Férié'!A$11,""&amp;IF(MOD(MATCH(I199,vacances!$A$3:$A$202,1),2)=1,"vacances",""))))))</f>
        <v>vacances</v>
      </c>
      <c r="E199" s="490"/>
      <c r="F199" s="490"/>
      <c r="G199" s="490"/>
      <c r="H199" s="624"/>
      <c r="I199" s="361">
        <f t="shared" si="45"/>
        <v>43298</v>
      </c>
      <c r="J199" s="328"/>
      <c r="K199" s="328"/>
      <c r="L199" s="328"/>
      <c r="M199" s="328"/>
      <c r="N199" s="328"/>
      <c r="O199" s="375"/>
      <c r="P199" s="328"/>
      <c r="Q199" s="562" t="s">
        <v>262</v>
      </c>
      <c r="R199" s="562"/>
      <c r="S199" s="562"/>
      <c r="T199" s="562"/>
      <c r="U199" s="562"/>
      <c r="V199" s="562"/>
      <c r="W199" s="562"/>
      <c r="X199" s="563"/>
      <c r="Y199" s="563"/>
      <c r="Z199" s="563"/>
      <c r="AA199" s="563"/>
      <c r="AB199" s="563"/>
      <c r="AC199" s="563"/>
      <c r="AD199" s="563"/>
      <c r="AE199" s="563"/>
      <c r="AF199" s="563"/>
      <c r="AG199" s="564">
        <f>SUM(AG185:AJ194)+AG196-AK195-AK197</f>
        <v>1851.1323499999999</v>
      </c>
      <c r="AH199" s="564"/>
      <c r="AI199" s="564"/>
      <c r="AJ199" s="564"/>
      <c r="AK199" s="300"/>
      <c r="AL199" s="300"/>
      <c r="AM199" s="300"/>
      <c r="AN199" s="295"/>
      <c r="AO199" s="565">
        <f>AG199-AO185</f>
        <v>-1094.8676500000001</v>
      </c>
      <c r="AP199" s="565"/>
      <c r="AQ199" s="565"/>
      <c r="AR199" s="498"/>
      <c r="AS199" s="498"/>
      <c r="AT199" s="498"/>
      <c r="AU199" s="295"/>
      <c r="AV199" s="301"/>
      <c r="AW199" s="591" t="s">
        <v>263</v>
      </c>
      <c r="AX199" s="591"/>
      <c r="AY199" s="591"/>
      <c r="AZ199" s="591"/>
      <c r="BA199" s="591"/>
      <c r="BB199" s="591"/>
      <c r="BC199" s="591"/>
      <c r="BD199" s="591"/>
      <c r="BE199" s="591"/>
      <c r="BF199" s="591"/>
      <c r="BG199" s="591"/>
      <c r="BH199" s="591"/>
      <c r="BI199" s="601"/>
      <c r="BJ199" s="601"/>
      <c r="BK199" s="601"/>
      <c r="BL199" s="601"/>
      <c r="BM199" s="590"/>
      <c r="BN199" s="590"/>
      <c r="BO199" s="590"/>
      <c r="BP199" s="590"/>
      <c r="BQ199" s="592">
        <f t="shared" si="48"/>
        <v>0</v>
      </c>
      <c r="BR199" s="592"/>
      <c r="BS199" s="592"/>
      <c r="BT199" s="592"/>
      <c r="BU199" s="594">
        <f>'FICHE DE PAIE'!BE$18</f>
        <v>0.08</v>
      </c>
      <c r="BV199" s="594"/>
      <c r="BW199" s="594"/>
      <c r="BX199" s="592">
        <f t="shared" si="49"/>
        <v>0</v>
      </c>
      <c r="BY199" s="592"/>
      <c r="BZ199" s="592"/>
      <c r="CA199" s="593"/>
    </row>
    <row r="200" spans="1:79" ht="15" customHeight="1">
      <c r="A200" s="334">
        <v>7</v>
      </c>
      <c r="B200" s="328">
        <v>18</v>
      </c>
      <c r="C200" s="328">
        <f t="shared" si="50"/>
        <v>199</v>
      </c>
      <c r="D200" s="360" t="str">
        <f>IF(I200='Jour Férié'!F$13,'Jour Férié'!E$13,""&amp;IF(I200='Jour Férié'!F$14,'Jour Férié'!E$14,""&amp;IF(I200='Jour Férié'!F$15,'Jour Férié'!E$15,""&amp;IF(I200='Jour Férié'!F$9,'Jour Férié'!E$9,""&amp;IF(I200='Jour Férié'!B$11,'Jour Férié'!A$11,""&amp;IF(MOD(MATCH(I200,vacances!$A$3:$A$202,1),2)=1,"vacances",""))))))</f>
        <v>vacances</v>
      </c>
      <c r="E200" s="490"/>
      <c r="F200" s="490"/>
      <c r="G200" s="490"/>
      <c r="H200" s="624"/>
      <c r="I200" s="361">
        <f t="shared" si="45"/>
        <v>43299</v>
      </c>
      <c r="J200" s="328"/>
      <c r="K200" s="328"/>
      <c r="L200" s="328"/>
      <c r="M200" s="575" t="s">
        <v>320</v>
      </c>
      <c r="N200" s="335">
        <f>(IF(WEEKDAY(I182,2)=6,(COUNTIF(E182,"*"))))*AND(IF(WEEKDAY(I183,2)=7,(COUNTIF(E183,"*"))))+(IF(WEEKDAY(I183,2)=6,(COUNTIF(E183,"*"))))*AND(IF(WEEKDAY(I184,2)=7,(COUNTIF(E184,"*"))))+(IF(WEEKDAY(I184,2)=6,(COUNTIF(E184,"*"))))*AND(IF(WEEKDAY(I185,2)=7,(COUNTIF(E185,"*"))))+(IF(WEEKDAY(I185,2)=6,(COUNTIF(E185,"*"))))*AND(IF(WEEKDAY(I186,2)=7,(COUNTIF(E186,"*"))))+(IF(WEEKDAY(I186,2)=6,(COUNTIF(E186,"*"))))*AND(IF(WEEKDAY(I187,2)=7,(COUNTIF(E187,"*"))))+(IF(WEEKDAY(I187,2)=6,(COUNTIF(E187,"*"))))*AND(IF(WEEKDAY(I188,2)=7,(COUNTIF(E188,"*"))))+(IF(WEEKDAY(I188,2)=6,(COUNTIF(E188,"*"))))*AND(IF(WEEKDAY(I189,2)=7,(COUNTIF(E189,"*"))))+(IF(WEEKDAY(I189,2)=6,(COUNTIF(E189,"*"))))*AND(IF(WEEKDAY(I190,2)=7,(COUNTIF(E190,"*"))))+(IF(WEEKDAY(I190,2)=6,(COUNTIF(E190,"*"))))*AND(IF(WEEKDAY(I191,2)=7,(COUNTIF(E191,"*"))))+(IF(WEEKDAY(I191,2)=6,(COUNTIF(E191,"*"))))*AND(IF(WEEKDAY(I192,2)=7,(COUNTIF(E192,"*"))))+(IF(WEEKDAY(I192,2)=6,(COUNTIF(E192,"*"))))*AND(IF(WEEKDAY(I193,2)=7,(COUNTIF(E193,"*"))))+(IF(WEEKDAY(I193,2)=6,(COUNTIF(E193,"*"))))*AND(IF(WEEKDAY(I194,2)=7,(COUNTIF(E194,"*"))))+(IF(WEEKDAY(I194,2)=6,(COUNTIF(E194,"*"))))*AND(IF(WEEKDAY(I195,2)=7,(COUNTIF(E195,"*"))))+(IF(WEEKDAY(I195,2)=6,(COUNTIF(E195,"*"))))*AND(IF(WEEKDAY(I196,2)=7,(COUNTIF(E196,"*"))))+(IF(WEEKDAY(I196,2)=6,(COUNTIF(E196,"*"))))*AND(IF(WEEKDAY(I197,2)=7,(COUNTIF(E197,"*"))))+(IF(WEEKDAY(I197,2)=6,(COUNTIF(E197,"*"))))*AND(IF(WEEKDAY(I198,2)=7,(COUNTIF(E198,"*"))))</f>
        <v>0</v>
      </c>
      <c r="O200" s="576">
        <f>SUM(N200:N201)</f>
        <v>0</v>
      </c>
      <c r="P200" s="328"/>
      <c r="Q200" s="376"/>
      <c r="R200" s="376"/>
      <c r="S200" s="376"/>
      <c r="T200" s="376"/>
      <c r="U200" s="376"/>
      <c r="V200" s="376"/>
      <c r="W200" s="376"/>
      <c r="X200" s="376"/>
      <c r="Y200" s="376"/>
      <c r="Z200" s="376"/>
      <c r="AA200" s="377"/>
      <c r="AB200" s="377"/>
      <c r="AC200" s="377"/>
      <c r="AD200" s="378"/>
      <c r="AE200" s="378"/>
      <c r="AF200" s="378"/>
      <c r="AG200" s="376"/>
      <c r="AH200" s="376"/>
      <c r="AI200" s="376"/>
      <c r="AJ200" s="379"/>
      <c r="AK200" s="379"/>
      <c r="AL200" s="379"/>
      <c r="AM200" s="379"/>
      <c r="AN200" s="365"/>
      <c r="AO200" s="365"/>
      <c r="AP200" s="365"/>
      <c r="AQ200" s="365"/>
      <c r="AR200" s="365"/>
      <c r="AS200" s="365"/>
      <c r="AT200" s="365"/>
      <c r="AU200" s="365"/>
      <c r="AV200" s="302"/>
      <c r="AW200" s="591" t="s">
        <v>264</v>
      </c>
      <c r="AX200" s="591"/>
      <c r="AY200" s="591"/>
      <c r="AZ200" s="591"/>
      <c r="BA200" s="591"/>
      <c r="BB200" s="591"/>
      <c r="BC200" s="591"/>
      <c r="BD200" s="591"/>
      <c r="BE200" s="591"/>
      <c r="BF200" s="591"/>
      <c r="BG200" s="591"/>
      <c r="BH200" s="591"/>
      <c r="BI200" s="590">
        <f>$AG$17*98.25%</f>
        <v>1918.3842558749998</v>
      </c>
      <c r="BJ200" s="590"/>
      <c r="BK200" s="590"/>
      <c r="BL200" s="590"/>
      <c r="BM200" s="594">
        <f>'FICHE DE PAIE'!AW$19</f>
        <v>6.8000000000000005E-2</v>
      </c>
      <c r="BN200" s="594"/>
      <c r="BO200" s="594"/>
      <c r="BP200" s="594"/>
      <c r="BQ200" s="592">
        <f t="shared" si="48"/>
        <v>130.45012939949999</v>
      </c>
      <c r="BR200" s="592"/>
      <c r="BS200" s="592"/>
      <c r="BT200" s="592"/>
      <c r="BU200" s="595"/>
      <c r="BV200" s="595"/>
      <c r="BW200" s="595"/>
      <c r="BX200" s="592">
        <f t="shared" si="49"/>
        <v>0</v>
      </c>
      <c r="BY200" s="592"/>
      <c r="BZ200" s="592"/>
      <c r="CA200" s="593"/>
    </row>
    <row r="201" spans="1:79" ht="15" customHeight="1">
      <c r="A201" s="334">
        <v>7</v>
      </c>
      <c r="B201" s="328">
        <v>19</v>
      </c>
      <c r="C201" s="328">
        <f t="shared" si="50"/>
        <v>200</v>
      </c>
      <c r="D201" s="360" t="str">
        <f>IF(I201='Jour Férié'!F$13,'Jour Férié'!E$13,""&amp;IF(I201='Jour Férié'!F$14,'Jour Férié'!E$14,""&amp;IF(I201='Jour Férié'!F$15,'Jour Férié'!E$15,""&amp;IF(I201='Jour Férié'!F$9,'Jour Férié'!E$9,""&amp;IF(I201='Jour Férié'!B$11,'Jour Férié'!A$11,""&amp;IF(MOD(MATCH(I201,vacances!$A$3:$A$202,1),2)=1,"vacances",""))))))</f>
        <v>vacances</v>
      </c>
      <c r="E201" s="490"/>
      <c r="F201" s="490"/>
      <c r="G201" s="490"/>
      <c r="H201" s="624"/>
      <c r="I201" s="361">
        <f t="shared" si="45"/>
        <v>43300</v>
      </c>
      <c r="J201" s="328"/>
      <c r="K201" s="328"/>
      <c r="L201" s="328"/>
      <c r="M201" s="575"/>
      <c r="N201" s="338">
        <f>(IF(WEEKDAY(I198,2)=6,(COUNTIF(E198,"*"))))*AND(IF(WEEKDAY(I199,2)=7,(COUNTIF(E199,"*"))))+(IF(WEEKDAY(I199,2)=6,(COUNTIF(E199,"*"))))*AND(IF(WEEKDAY(I200,2)=7,(COUNTIF(E200,"*"))))+(IF(WEEKDAY(I200,2)=6,(COUNTIF(E200,"*"))))*AND(IF(WEEKDAY(I201,2)=7,(COUNTIF(E201,"*"))))+(IF(WEEKDAY(I201,2)=6,(COUNTIF(E201,"*"))))*AND(IF(WEEKDAY(I202,2)=7,(COUNTIF(E202,"*"))))+(IF(WEEKDAY(I202,2)=6,(COUNTIF(E202,"*"))))*AND(IF(WEEKDAY(I203,2)=7,(COUNTIF(E203,"*"))))+(IF(WEEKDAY(I203,2)=6,(COUNTIF(E203,"*"))))*AND(IF(WEEKDAY(I204,2)=7,(COUNTIF(E204,"*"))))+(IF(WEEKDAY(I204,2)=6,(COUNTIF(E204,"*"))))*AND(IF(WEEKDAY(I205,2)=7,(COUNTIF(E205,"*"))))+(IF(WEEKDAY(I205,2)=6,(COUNTIF(E205,"*"))))*AND(IF(WEEKDAY(I206,2)=7,(COUNTIF(E206,"*"))))+(IF(WEEKDAY(I206,2)=6,(COUNTIF(E206,"*"))))*AND(IF(WEEKDAY(I207,2)=7,(COUNTIF(E207,"*"))))+(IF(WEEKDAY(I207,2)=6,(COUNTIF(E207,"*"))))*AND(IF(WEEKDAY(I208,2)=7,(COUNTIF(E208,"*"))))+(IF(WEEKDAY(I208,2)=6,(COUNTIF(E208,"*"))))*AND(IF(WEEKDAY(I209,2)=7,(COUNTIF(E209,"*"))))+(IF(WEEKDAY(I209,2)=6,(COUNTIF(E209,"*"))))*AND(IF(WEEKDAY(I210,2)=7,(COUNTIF(E210,"*"))))+(IF(WEEKDAY(I210,2)=6,(COUNTIF(E210,"*"))))*AND(IF(WEEKDAY(I211,2)=7,(COUNTIF(E211,"*"))))+(IF(WEEKDAY(I211,2)=6,(COUNTIF(E211,"*"))))*AND(IF(WEEKDAY(I212,2)=7,(COUNTIF(E212,"*"))))+(IF(WEEKDAY(I212,2)=6,(COUNTIF(E212,"*"))))*AND(IF(WEEKDAY(I213,2)=7,(COUNTIF(E213,"*"))))+(IF(WEEKDAY(I213,2)=6,(COUNTIF(E213,"*"))))*AND(IF(WEEKDAY(I214,2)=7,(COUNTIF(E214,"*"))))</f>
        <v>0</v>
      </c>
      <c r="O201" s="576"/>
      <c r="P201" s="328"/>
      <c r="Q201" s="550">
        <f>Q183</f>
        <v>43282</v>
      </c>
      <c r="R201" s="550"/>
      <c r="S201" s="550"/>
      <c r="T201" s="550"/>
      <c r="U201" s="550"/>
      <c r="V201" s="550"/>
      <c r="W201" s="550"/>
      <c r="X201" s="550"/>
      <c r="Y201" s="550"/>
      <c r="Z201" s="550"/>
      <c r="AA201" s="550"/>
      <c r="AB201" s="550"/>
      <c r="AC201" s="550"/>
      <c r="AD201" s="550"/>
      <c r="AE201" s="550"/>
      <c r="AF201" s="550"/>
      <c r="AG201" s="550"/>
      <c r="AH201" s="550"/>
      <c r="AI201" s="550"/>
      <c r="AJ201" s="550"/>
      <c r="AK201" s="550"/>
      <c r="AL201" s="550"/>
      <c r="AM201" s="550"/>
      <c r="AN201" s="550"/>
      <c r="AO201" s="550"/>
      <c r="AP201" s="550"/>
      <c r="AQ201" s="550"/>
      <c r="AR201" s="550"/>
      <c r="AS201" s="550"/>
      <c r="AT201" s="550"/>
      <c r="AU201" s="550"/>
      <c r="AV201" s="303"/>
      <c r="AW201" s="591" t="s">
        <v>265</v>
      </c>
      <c r="AX201" s="591"/>
      <c r="AY201" s="591"/>
      <c r="AZ201" s="591"/>
      <c r="BA201" s="591"/>
      <c r="BB201" s="591"/>
      <c r="BC201" s="591"/>
      <c r="BD201" s="591"/>
      <c r="BE201" s="591"/>
      <c r="BF201" s="591"/>
      <c r="BG201" s="591"/>
      <c r="BH201" s="591"/>
      <c r="BI201" s="590">
        <f>$AG$17*98.25%</f>
        <v>1918.3842558749998</v>
      </c>
      <c r="BJ201" s="590"/>
      <c r="BK201" s="590"/>
      <c r="BL201" s="590"/>
      <c r="BM201" s="594">
        <f>'FICHE DE PAIE'!AW$20</f>
        <v>2.4E-2</v>
      </c>
      <c r="BN201" s="594"/>
      <c r="BO201" s="594"/>
      <c r="BP201" s="594"/>
      <c r="BQ201" s="592">
        <f t="shared" si="48"/>
        <v>46.041222140999999</v>
      </c>
      <c r="BR201" s="592"/>
      <c r="BS201" s="592"/>
      <c r="BT201" s="592"/>
      <c r="BU201" s="595"/>
      <c r="BV201" s="595"/>
      <c r="BW201" s="595"/>
      <c r="BX201" s="592">
        <f t="shared" si="49"/>
        <v>0</v>
      </c>
      <c r="BY201" s="592"/>
      <c r="BZ201" s="592"/>
      <c r="CA201" s="593"/>
    </row>
    <row r="202" spans="1:79" ht="15" customHeight="1">
      <c r="A202" s="334">
        <v>7</v>
      </c>
      <c r="B202" s="328">
        <v>20</v>
      </c>
      <c r="C202" s="328">
        <f t="shared" si="50"/>
        <v>201</v>
      </c>
      <c r="D202" s="360" t="str">
        <f>IF(I202='Jour Férié'!F$13,'Jour Férié'!E$13,""&amp;IF(I202='Jour Férié'!F$14,'Jour Férié'!E$14,""&amp;IF(I202='Jour Férié'!F$15,'Jour Férié'!E$15,""&amp;IF(I202='Jour Férié'!F$9,'Jour Férié'!E$9,""&amp;IF(I202='Jour Férié'!B$11,'Jour Férié'!A$11,""&amp;IF(MOD(MATCH(I202,vacances!$A$3:$A$202,1),2)=1,"vacances",""))))))</f>
        <v>vacances</v>
      </c>
      <c r="E202" s="490"/>
      <c r="F202" s="490"/>
      <c r="G202" s="490"/>
      <c r="H202" s="624"/>
      <c r="I202" s="361">
        <f t="shared" si="45"/>
        <v>43301</v>
      </c>
      <c r="J202" s="328"/>
      <c r="K202" s="328"/>
      <c r="L202" s="328"/>
      <c r="M202" s="575" t="s">
        <v>321</v>
      </c>
      <c r="N202" s="338">
        <f>(IF(WEEKDAY(I182,2)=5,(COUNTIF(E182,$J$1))))*AND(IF(WEEKDAY(I185,2)=1,(COUNTIF(E185,"*"))))+(IF(WEEKDAY(I183,2)=5,(COUNTIF(E183,$J$1))))*AND(IF(WEEKDAY(I186,2)=1,(COUNTIF(E186,"*"))))+(IF(WEEKDAY(I184,2)=5,(COUNTIF(E184,$J$1))))*AND(IF(WEEKDAY(I187,2)=1,(COUNTIF(E187,"*"))))+(IF(WEEKDAY(I185,2)=5,(COUNTIF(E185,$J$1))))*AND(IF(WEEKDAY(I188,2)=1,(COUNTIF(E188,"*"))))+(IF(WEEKDAY(I186,2)=5,(COUNTIF(E186,$J$1))))*AND(IF(WEEKDAY(I189,2)=1,(COUNTIF(E189,"*"))))+(IF(WEEKDAY(I187,2)=5,(COUNTIF(E187,$J$1))))*AND(IF(WEEKDAY(I190,2)=1,(COUNTIF(E190,"*"))))+(IF(WEEKDAY(I188,2)=5,(COUNTIF(E188,$J$1))))*AND(IF(WEEKDAY(I191,2)=1,(COUNTIF(E191,"*"))))+(IF(WEEKDAY(I189,2)=5,(COUNTIF(E189,$J$1))))*AND(IF(WEEKDAY(I192,2)=1,(COUNTIF(E192,"*"))))+(IF(WEEKDAY(I190,2)=5,(COUNTIF(E190,$J$1))))*AND(IF(WEEKDAY(I193,2)=1,(COUNTIF(E193,"*"))))+(IF(WEEKDAY(I191,2)=5,(COUNTIF(E191,$J$1))))*AND(IF(WEEKDAY(I194,2)=1,(COUNTIF(E194,"*"))))+(IF(WEEKDAY(I192,2)=5,(COUNTIF(E192,$J$1))))*AND(IF(WEEKDAY(I195,2)=1,(COUNTIF(E195,"*"))))+(IF(WEEKDAY(I193,2)=5,(COUNTIF(E193,$J$1))))*AND(IF(WEEKDAY(I196,2)=1,(COUNTIF(E196,"*"))))+(IF(WEEKDAY(I194,2)=5,(COUNTIF(E194,$J$1))))*AND(IF(WEEKDAY(I197,2)=1,(COUNTIF(E197,"*"))))+(IF(WEEKDAY(I195,2)=5,(COUNTIF(E195,$J$1))))*AND(IF(WEEKDAY(I198,2)=1,(COUNTIF(E198,"*"))))+(IF(WEEKDAY(I196,2)=5,(COUNTIF(E196,$J$1))))*AND(IF(WEEKDAY(I199,2)=1,(COUNTIF(E199,"*"))))+(IF(WEEKDAY(I197,2)=5,(COUNTIF(E197,$J$1))))*AND(IF(WEEKDAY(I200,2)=1,(COUNTIF(E200,"*"))))+(IF(WEEKDAY(I198,2)=5,(COUNTIF(E198,$J$1))))*AND(IF(WEEKDAY(I201,2)=1,(COUNTIF(E201,"*"))))+(IF(WEEKDAY(I199,2)=5,(COUNTIF(E199,$J$1))))*AND(IF(WEEKDAY(I202,2)=1,(COUNTIF(E202,"*"))))</f>
        <v>0</v>
      </c>
      <c r="O202" s="576">
        <f>SUM(N202:N203)</f>
        <v>0</v>
      </c>
      <c r="P202" s="328"/>
      <c r="Q202" s="281"/>
      <c r="R202" s="281"/>
      <c r="S202" s="281"/>
      <c r="T202" s="281"/>
      <c r="U202" s="281"/>
      <c r="V202" s="281"/>
      <c r="W202" s="281"/>
      <c r="X202" s="304"/>
      <c r="Y202" s="304"/>
      <c r="Z202" s="304"/>
      <c r="AA202" s="305"/>
      <c r="AB202" s="305"/>
      <c r="AC202" s="305"/>
      <c r="AD202" s="306"/>
      <c r="AE202" s="306"/>
      <c r="AF202" s="306"/>
      <c r="AG202" s="304"/>
      <c r="AH202" s="304"/>
      <c r="AI202" s="304"/>
      <c r="AJ202" s="304"/>
      <c r="AK202" s="304"/>
      <c r="AL202" s="304"/>
      <c r="AM202" s="304"/>
      <c r="AN202" s="304"/>
      <c r="AO202" s="304"/>
      <c r="AP202" s="304"/>
      <c r="AQ202" s="304"/>
      <c r="AR202" s="304"/>
      <c r="AS202" s="304"/>
      <c r="AT202" s="304"/>
      <c r="AU202" s="304"/>
      <c r="AV202" s="304"/>
      <c r="AW202" s="499" t="s">
        <v>266</v>
      </c>
      <c r="AX202" s="499"/>
      <c r="AY202" s="499"/>
      <c r="AZ202" s="499"/>
      <c r="BA202" s="499"/>
      <c r="BB202" s="499"/>
      <c r="BC202" s="499"/>
      <c r="BD202" s="499"/>
      <c r="BE202" s="499"/>
      <c r="BF202" s="499"/>
      <c r="BG202" s="499"/>
      <c r="BH202" s="499"/>
      <c r="BI202" s="590">
        <f>$AG$17*98.25%</f>
        <v>1918.3842558749998</v>
      </c>
      <c r="BJ202" s="590"/>
      <c r="BK202" s="590"/>
      <c r="BL202" s="590"/>
      <c r="BM202" s="594">
        <f>'FICHE DE PAIE'!AW$21</f>
        <v>5.0000000000000001E-3</v>
      </c>
      <c r="BN202" s="594"/>
      <c r="BO202" s="594"/>
      <c r="BP202" s="594"/>
      <c r="BQ202" s="592">
        <f t="shared" si="48"/>
        <v>9.5919212793749988</v>
      </c>
      <c r="BR202" s="592"/>
      <c r="BS202" s="592"/>
      <c r="BT202" s="592"/>
      <c r="BU202" s="595"/>
      <c r="BV202" s="595"/>
      <c r="BW202" s="595"/>
      <c r="BX202" s="592">
        <f t="shared" si="49"/>
        <v>0</v>
      </c>
      <c r="BY202" s="592"/>
      <c r="BZ202" s="592"/>
      <c r="CA202" s="593"/>
    </row>
    <row r="203" spans="1:79" ht="15" customHeight="1">
      <c r="A203" s="334">
        <v>7</v>
      </c>
      <c r="B203" s="328">
        <v>21</v>
      </c>
      <c r="C203" s="328">
        <f t="shared" si="50"/>
        <v>202</v>
      </c>
      <c r="D203" s="360" t="str">
        <f>IF(I203='Jour Férié'!F$13,'Jour Férié'!E$13,""&amp;IF(I203='Jour Férié'!F$14,'Jour Férié'!E$14,""&amp;IF(I203='Jour Férié'!F$15,'Jour Férié'!E$15,""&amp;IF(I203='Jour Férié'!F$9,'Jour Férié'!E$9,""&amp;IF(I203='Jour Férié'!B$11,'Jour Férié'!A$11,""&amp;IF(MOD(MATCH(I203,vacances!$A$3:$A$202,1),2)=1,"vacances",""))))))</f>
        <v>vacances</v>
      </c>
      <c r="E203" s="490"/>
      <c r="F203" s="490"/>
      <c r="G203" s="490"/>
      <c r="H203" s="624"/>
      <c r="I203" s="361">
        <f t="shared" si="45"/>
        <v>43302</v>
      </c>
      <c r="J203" s="328"/>
      <c r="K203" s="328"/>
      <c r="L203" s="328"/>
      <c r="M203" s="575"/>
      <c r="N203" s="338">
        <f>(IF(WEEKDAY(I200,2)=5,(COUNTIF(E200,$J$1))))*AND(IF(WEEKDAY(I203,2)=1,(COUNTIF(E203,"*"))))+(IF(WEEKDAY(I201,2)=5,(COUNTIF(E201,$J$1))))*AND(IF(WEEKDAY(I204,2)=1,(COUNTIF(E204,"*"))))+(IF(WEEKDAY(I202,2)=5,(COUNTIF(E202,$J$1))))*AND(IF(WEEKDAY(I205,2)=1,(COUNTIF(E205,"*"))))+(IF(WEEKDAY(I203,2)=5,(COUNTIF(E203,$J$1))))*AND(IF(WEEKDAY(I206,2)=1,(COUNTIF(E206,"*"))))+(IF(WEEKDAY(I204,2)=5,(COUNTIF(E204,$J$1))))*AND(IF(WEEKDAY(I207,2)=1,(COUNTIF(E207,"*"))))+(IF(WEEKDAY(I205,2)=5,(COUNTIF(E205,$J$1))))*AND(IF(WEEKDAY(I208,2)=1,(COUNTIF(E208,"*"))))+(IF(WEEKDAY(I206,2)=5,(COUNTIF(E206,$J$1))))*AND(IF(WEEKDAY(I209,2)=1,(COUNTIF(E209,"*"))))+(IF(WEEKDAY(I207,2)=5,(COUNTIF(E207,$J$1))))*AND(IF(WEEKDAY(I210,2)=1,(COUNTIF(E210,"*"))))+(IF(WEEKDAY(I208,2)=5,(COUNTIF(E208,$J$1))))*AND(IF(WEEKDAY(I211,2)=1,(COUNTIF(E211,"*"))))+(IF(WEEKDAY(I209,2)=5,(COUNTIF(E209,$J$1))))*AND(IF(WEEKDAY(I212,2)=1,(COUNTIF(E212,"*"))))+(IF(WEEKDAY(I210,2)=5,(COUNTIF(E210,$J$1))))*AND(IF(WEEKDAY(I213,2)=1,(COUNTIF(E213,"*"))))+(IF(WEEKDAY(I211,2)=5,(COUNTIF(E211,$J$1))))*AND(IF(WEEKDAY(I214,2)=1,(COUNTIF(E214,"*"))))+(IF(WEEKDAY(I212,2)=5,(COUNTIF(E212,$J$1))))*AND(IF(WEEKDAY(I215,2)=1,(COUNTIF(E215,"*"))))+(IF(WEEKDAY(I213,2)=5,(COUNTIF(E213,$J$1))))*AND(IF(WEEKDAY(I216,2)=1,(COUNTIF(E216,"*"))))</f>
        <v>0</v>
      </c>
      <c r="O203" s="576"/>
      <c r="P203" s="328"/>
      <c r="Q203" s="281"/>
      <c r="R203" s="281"/>
      <c r="S203" s="281"/>
      <c r="T203" s="281"/>
      <c r="U203" s="281"/>
      <c r="V203" s="281"/>
      <c r="W203" s="281"/>
      <c r="X203" s="307"/>
      <c r="Y203" s="307"/>
      <c r="Z203" s="307"/>
      <c r="AA203" s="308"/>
      <c r="AB203" s="308"/>
      <c r="AC203" s="308"/>
      <c r="AD203" s="309"/>
      <c r="AE203" s="309"/>
      <c r="AF203" s="309"/>
      <c r="AG203" s="307"/>
      <c r="AH203" s="307"/>
      <c r="AI203" s="307"/>
      <c r="AJ203" s="307"/>
      <c r="AK203" s="307"/>
      <c r="AL203" s="307"/>
      <c r="AM203" s="307"/>
      <c r="AN203" s="307"/>
      <c r="AO203" s="307"/>
      <c r="AP203" s="307"/>
      <c r="AQ203" s="307"/>
      <c r="AR203" s="307"/>
      <c r="AS203" s="307"/>
      <c r="AT203" s="307"/>
      <c r="AU203" s="307"/>
      <c r="AV203" s="307"/>
      <c r="AW203" s="499" t="s">
        <v>267</v>
      </c>
      <c r="AX203" s="499"/>
      <c r="AY203" s="499"/>
      <c r="AZ203" s="499"/>
      <c r="BA203" s="499"/>
      <c r="BB203" s="499"/>
      <c r="BC203" s="499"/>
      <c r="BD203" s="499"/>
      <c r="BE203" s="499"/>
      <c r="BF203" s="499"/>
      <c r="BG203" s="499"/>
      <c r="BH203" s="499"/>
      <c r="BI203" s="596">
        <f>BI199</f>
        <v>0</v>
      </c>
      <c r="BJ203" s="596"/>
      <c r="BK203" s="596"/>
      <c r="BL203" s="596"/>
      <c r="BM203" s="594">
        <f>'FICHE DE PAIE'!AW$22</f>
        <v>6.8000000000000005E-2</v>
      </c>
      <c r="BN203" s="594"/>
      <c r="BO203" s="594"/>
      <c r="BP203" s="594"/>
      <c r="BQ203" s="592">
        <f t="shared" si="48"/>
        <v>0</v>
      </c>
      <c r="BR203" s="592"/>
      <c r="BS203" s="592"/>
      <c r="BT203" s="592"/>
      <c r="BU203" s="595"/>
      <c r="BV203" s="595"/>
      <c r="BW203" s="595"/>
      <c r="BX203" s="592">
        <f t="shared" si="49"/>
        <v>0</v>
      </c>
      <c r="BY203" s="592"/>
      <c r="BZ203" s="592"/>
      <c r="CA203" s="593"/>
    </row>
    <row r="204" spans="1:79" ht="15" customHeight="1">
      <c r="A204" s="334">
        <v>7</v>
      </c>
      <c r="B204" s="328">
        <v>22</v>
      </c>
      <c r="C204" s="328">
        <f t="shared" si="50"/>
        <v>203</v>
      </c>
      <c r="D204" s="360" t="str">
        <f>IF(I204='Jour Férié'!F$13,'Jour Férié'!E$13,""&amp;IF(I204='Jour Férié'!F$14,'Jour Férié'!E$14,""&amp;IF(I204='Jour Férié'!F$15,'Jour Férié'!E$15,""&amp;IF(I204='Jour Férié'!F$9,'Jour Férié'!E$9,""&amp;IF(I204='Jour Férié'!B$11,'Jour Férié'!A$11,""&amp;IF(MOD(MATCH(I204,vacances!$A$3:$A$202,1),2)=1,"vacances",""))))))</f>
        <v>vacances</v>
      </c>
      <c r="E204" s="490"/>
      <c r="F204" s="490"/>
      <c r="G204" s="490"/>
      <c r="H204" s="624"/>
      <c r="I204" s="361">
        <f t="shared" si="45"/>
        <v>43303</v>
      </c>
      <c r="J204" s="328"/>
      <c r="K204" s="328"/>
      <c r="L204" s="328"/>
      <c r="M204" s="575" t="s">
        <v>322</v>
      </c>
      <c r="N204" s="338">
        <f>((IF(WEEKDAY(I182,2)=7,(COUNTIF(E182,"*"))))*AND(IF(WEEKDAY(I183,2)=1,(COUNTIF(E183,"*")))))*AND(COUNTBLANK(E181))+((IF(WEEKDAY(I183,2)=7,(COUNTIF(E183,"*"))))*AND(IF(WEEKDAY(I184,2)=1,(COUNTIF(E184,"*")))))*AND(COUNTBLANK(E182))+((IF(WEEKDAY(I184,2)=7,(COUNTIF(E184,"*"))))*AND(IF(WEEKDAY(I185,2)=1,(COUNTIF(E185,"*"))))*AND(COUNTBLANK(E183)))+((IF(WEEKDAY(I185,2)=7,(COUNTIF(E185,"*"))))*AND(IF(WEEKDAY(I186,2)=1,(COUNTIF(E186,"*"))))*AND(COUNTBLANK(E184)))+((IF(WEEKDAY(I186,2)=7,(COUNTIF(E186,"*"))))*AND(IF(WEEKDAY(I187,2)=1,(COUNTIF(E187,"*"))))*AND(COUNTBLANK(E185)))+((IF(WEEKDAY(I187,2)=7,(COUNTIF(E187,"*"))))*AND(IF(WEEKDAY(I188,2)=1,(COUNTIF(E188,"*"))))*AND(COUNTBLANK(E186)))+((IF(WEEKDAY(I188,2)=7,(COUNTIF(E188,"*"))))*AND(IF(WEEKDAY(I189,2)=1,(COUNTIF(E189,"*"))))*AND(COUNTBLANK(E187)))+((IF(WEEKDAY(I189,2)=7,(COUNTIF(E189,"*"))))*AND(IF(WEEKDAY(I190,2)=1,(COUNTIF(E190,"*"))))*AND(COUNTBLANK(E188)))+((IF(WEEKDAY(I190,2)=7,(COUNTIF(E190,"*"))))*AND(IF(WEEKDAY(I191,2)=1,(COUNTIF(E191,"*"))))*AND(COUNTBLANK(E189)))</f>
        <v>0</v>
      </c>
      <c r="O204" s="576">
        <f>SUM(N204:N206)</f>
        <v>0</v>
      </c>
      <c r="P204" s="328"/>
      <c r="Q204" s="281"/>
      <c r="R204" s="281"/>
      <c r="S204" s="281"/>
      <c r="T204" s="552" t="s">
        <v>272</v>
      </c>
      <c r="U204" s="552"/>
      <c r="V204" s="552"/>
      <c r="W204" s="552"/>
      <c r="X204" s="552"/>
      <c r="Y204" s="552"/>
      <c r="Z204" s="552"/>
      <c r="AA204" s="552"/>
      <c r="AB204" s="552"/>
      <c r="AC204" s="553">
        <f>BV210</f>
        <v>1407.7499809251249</v>
      </c>
      <c r="AD204" s="553"/>
      <c r="AE204" s="553"/>
      <c r="AF204" s="553"/>
      <c r="AG204" s="553"/>
      <c r="AH204" s="553"/>
      <c r="AI204" s="553"/>
      <c r="AJ204" s="553"/>
      <c r="AK204" s="553"/>
      <c r="AL204" s="553"/>
      <c r="AM204" s="553"/>
      <c r="AN204" s="553"/>
      <c r="AO204" s="553"/>
      <c r="AP204" s="553"/>
      <c r="AQ204" s="553"/>
      <c r="AR204" s="290"/>
      <c r="AS204" s="290"/>
      <c r="AT204" s="290"/>
      <c r="AU204" s="290"/>
      <c r="AV204" s="290"/>
      <c r="AW204" s="499" t="s">
        <v>268</v>
      </c>
      <c r="AX204" s="499"/>
      <c r="AY204" s="499"/>
      <c r="AZ204" s="499"/>
      <c r="BA204" s="499"/>
      <c r="BB204" s="499"/>
      <c r="BC204" s="499"/>
      <c r="BD204" s="499"/>
      <c r="BE204" s="499"/>
      <c r="BF204" s="499"/>
      <c r="BG204" s="499"/>
      <c r="BH204" s="499"/>
      <c r="BI204" s="596">
        <f>BI199</f>
        <v>0</v>
      </c>
      <c r="BJ204" s="596"/>
      <c r="BK204" s="596"/>
      <c r="BL204" s="596"/>
      <c r="BM204" s="594">
        <f>'FICHE DE PAIE'!AW$23</f>
        <v>2.9000000000000001E-2</v>
      </c>
      <c r="BN204" s="594"/>
      <c r="BO204" s="594"/>
      <c r="BP204" s="594"/>
      <c r="BQ204" s="592">
        <f t="shared" si="48"/>
        <v>0</v>
      </c>
      <c r="BR204" s="592"/>
      <c r="BS204" s="592"/>
      <c r="BT204" s="592"/>
      <c r="BU204" s="595"/>
      <c r="BV204" s="595"/>
      <c r="BW204" s="595"/>
      <c r="BX204" s="592">
        <f t="shared" si="49"/>
        <v>0</v>
      </c>
      <c r="BY204" s="592"/>
      <c r="BZ204" s="592"/>
      <c r="CA204" s="593"/>
    </row>
    <row r="205" spans="1:79" ht="15" customHeight="1">
      <c r="A205" s="334">
        <v>7</v>
      </c>
      <c r="B205" s="328">
        <v>23</v>
      </c>
      <c r="C205" s="328">
        <f t="shared" si="50"/>
        <v>204</v>
      </c>
      <c r="D205" s="360" t="str">
        <f>IF(I205='Jour Férié'!F$13,'Jour Férié'!E$13,""&amp;IF(I205='Jour Férié'!F$14,'Jour Férié'!E$14,""&amp;IF(I205='Jour Férié'!F$15,'Jour Férié'!E$15,""&amp;IF(I205='Jour Férié'!F$9,'Jour Férié'!E$9,""&amp;IF(I205='Jour Férié'!B$11,'Jour Férié'!A$11,""&amp;IF(MOD(MATCH(I205,vacances!$A$3:$A$202,1),2)=1,"vacances",""))))))</f>
        <v>vacances</v>
      </c>
      <c r="E205" s="490"/>
      <c r="F205" s="490"/>
      <c r="G205" s="490"/>
      <c r="H205" s="624"/>
      <c r="I205" s="361">
        <f t="shared" si="45"/>
        <v>43304</v>
      </c>
      <c r="J205" s="328"/>
      <c r="K205" s="328"/>
      <c r="L205" s="328"/>
      <c r="M205" s="575"/>
      <c r="N205" s="335">
        <f>((IF(WEEKDAY(I191,2)=7,(COUNTIF(E191,"*"))))*AND(IF(WEEKDAY(I192,2)=1,(COUNTIF(E192,"*"))))*AND(COUNTBLANK(E190)))+((IF(WEEKDAY(I192,2)=7,(COUNTIF(E192,"*"))))*AND(IF(WEEKDAY(I193,2)=1,(COUNTIF(E193,"*"))))*AND(COUNTBLANK(E191)))+((IF(WEEKDAY(I193,2)=7,(COUNTIF(E193,"*"))))*AND(IF(WEEKDAY(I194,2)=1,(COUNTIF(E194,"*"))))*AND(COUNTBLANK(E192)))+((IF(WEEKDAY(I194,2)=7,(COUNTIF(E194,"*"))))*AND(IF(WEEKDAY(I195,2)=1,(COUNTIF(E195,"*"))))*AND(COUNTBLANK(E193)))+((IF(WEEKDAY(I195,2)=7,(COUNTIF(E195,"*"))))*AND(IF(WEEKDAY(I196,2)=1,(COUNTIF(E196,"*"))))*AND(COUNTBLANK(E194)))+((IF(WEEKDAY(I196,2)=7,(COUNTIF(E196,"*"))))*AND(IF(WEEKDAY(I197,2)=1,(COUNTIF(E197,"*"))))*AND(COUNTBLANK(E195)))+((IF(WEEKDAY(I197,2)=7,(COUNTIF(E197,"*"))))*AND(IF(WEEKDAY(I198,2)=1,(COUNTIF(E198,"*"))))*AND(COUNTBLANK(E196)))+((IF(WEEKDAY(I198,2)=7,(COUNTIF(E198,"*"))))*AND(IF(WEEKDAY(I199,2)=1,(COUNTIF(E199,"*"))))*AND(COUNTBLANK(E197)))+((IF(WEEKDAY(I199,2)=7,(COUNTIF(E199,"*"))))*AND(IF(WEEKDAY(I200,2)=1,(COUNTIF(E200,"*"))))*AND(COUNTBLANK(E198)))+((IF(WEEKDAY(I200,2)=7,(COUNTIF(E200,"*"))))*AND(IF(WEEKDAY(I201,2)=1,(COUNTIF(E201,"*"))))*AND(COUNTBLANK(E199)))+((IF(WEEKDAY(I201,2)=7,(COUNTIF(E201,"*"))))*AND(IF(WEEKDAY(I202,2)=1,(COUNTIF(E202,"*"))))*AND(COUNTBLANK(E199)))+((IF(WEEKDAY(I202,2)=7,(COUNTIF(E202,"*"))))*AND(IF(WEEKDAY(I203,2)=1,(COUNTIF(E203,"*"))))*AND(COUNTBLANK(E200)))+((IF(WEEKDAY(I203,2)=7,(COUNTIF(E203,"*"))))*AND(IF(WEEKDAY(I204,2)=1,(COUNTIF(E204,"*"))))*AND(COUNTBLANK(E201)))</f>
        <v>0</v>
      </c>
      <c r="O205" s="576"/>
      <c r="P205" s="328"/>
      <c r="Q205" s="304"/>
      <c r="R205" s="304"/>
      <c r="S205" s="304"/>
      <c r="T205" s="552"/>
      <c r="U205" s="552"/>
      <c r="V205" s="552"/>
      <c r="W205" s="552"/>
      <c r="X205" s="552"/>
      <c r="Y205" s="552"/>
      <c r="Z205" s="552"/>
      <c r="AA205" s="552"/>
      <c r="AB205" s="552"/>
      <c r="AC205" s="553"/>
      <c r="AD205" s="553"/>
      <c r="AE205" s="553"/>
      <c r="AF205" s="553"/>
      <c r="AG205" s="553"/>
      <c r="AH205" s="553"/>
      <c r="AI205" s="553"/>
      <c r="AJ205" s="553"/>
      <c r="AK205" s="553"/>
      <c r="AL205" s="553"/>
      <c r="AM205" s="553"/>
      <c r="AN205" s="553"/>
      <c r="AO205" s="553"/>
      <c r="AP205" s="553"/>
      <c r="AQ205" s="553"/>
      <c r="AR205" s="304"/>
      <c r="AS205" s="304"/>
      <c r="AT205" s="304"/>
      <c r="AU205" s="304"/>
      <c r="AV205" s="304"/>
      <c r="AW205" s="499" t="s">
        <v>269</v>
      </c>
      <c r="AX205" s="499"/>
      <c r="AY205" s="499"/>
      <c r="AZ205" s="499"/>
      <c r="BA205" s="499"/>
      <c r="BB205" s="499"/>
      <c r="BC205" s="499"/>
      <c r="BD205" s="499"/>
      <c r="BE205" s="499"/>
      <c r="BF205" s="499"/>
      <c r="BG205" s="499"/>
      <c r="BH205" s="499"/>
      <c r="BI205" s="596"/>
      <c r="BJ205" s="596"/>
      <c r="BK205" s="596"/>
      <c r="BL205" s="596"/>
      <c r="BM205" s="590"/>
      <c r="BN205" s="590"/>
      <c r="BO205" s="590"/>
      <c r="BP205" s="590"/>
      <c r="BQ205" s="592">
        <v>9.52</v>
      </c>
      <c r="BR205" s="592"/>
      <c r="BS205" s="592"/>
      <c r="BT205" s="592"/>
      <c r="BU205" s="595"/>
      <c r="BV205" s="595"/>
      <c r="BW205" s="595"/>
      <c r="BX205" s="592">
        <f t="shared" si="49"/>
        <v>0</v>
      </c>
      <c r="BY205" s="592"/>
      <c r="BZ205" s="592"/>
      <c r="CA205" s="593"/>
    </row>
    <row r="206" spans="1:79" ht="15" customHeight="1">
      <c r="A206" s="334">
        <v>7</v>
      </c>
      <c r="B206" s="328">
        <v>24</v>
      </c>
      <c r="C206" s="328">
        <f t="shared" si="50"/>
        <v>205</v>
      </c>
      <c r="D206" s="360" t="str">
        <f>IF(I206='Jour Férié'!F$13,'Jour Férié'!E$13,""&amp;IF(I206='Jour Férié'!F$14,'Jour Férié'!E$14,""&amp;IF(I206='Jour Férié'!F$15,'Jour Férié'!E$15,""&amp;IF(I206='Jour Férié'!F$9,'Jour Férié'!E$9,""&amp;IF(I206='Jour Férié'!B$11,'Jour Férié'!A$11,""&amp;IF(MOD(MATCH(I206,vacances!$A$3:$A$202,1),2)=1,"vacances",""))))))</f>
        <v>vacances</v>
      </c>
      <c r="E206" s="490"/>
      <c r="F206" s="490"/>
      <c r="G206" s="490"/>
      <c r="H206" s="624"/>
      <c r="I206" s="361">
        <f t="shared" si="45"/>
        <v>43305</v>
      </c>
      <c r="J206" s="574"/>
      <c r="K206" s="574"/>
      <c r="L206" s="574"/>
      <c r="M206" s="575"/>
      <c r="N206" s="335">
        <f>((IF(WEEKDAY(I204,2)=7,(COUNTIF(E204,"*"))))*AND(IF(WEEKDAY(I205,2)=1,(COUNTIF(E205,"*"))))*AND(COUNTBLANK(E202)))+((IF(WEEKDAY(I205,2)=7,(COUNTIF(E205,"*"))))*AND(IF(WEEKDAY(I206,2)=1,(COUNTIF(E206,"*"))))*AND(COUNTBLANK(E203)))+((IF(WEEKDAY(I206,2)=7,(COUNTIF(E206,"*"))))*AND(IF(WEEKDAY(I207,2)=1,(COUNTIF(E207,"*"))))*AND(COUNTBLANK(E203)))+((IF(WEEKDAY(I207,2)=7,(COUNTIF(E207,"*"))))*AND(IF(WEEKDAY(I208,2)=1,(COUNTIF(E208,"*"))))*AND(COUNTBLANK(E205)))+((IF(WEEKDAY(I208,2)=7,(COUNTIF(E208,"*"))))*AND(IF(WEEKDAY(I209,2)=1,(COUNTIF(E209,"*"))))*AND(COUNTBLANK(E206)))+((IF(WEEKDAY(I209,2)=7,(COUNTIF(E209,"*"))))*AND(IF(WEEKDAY(I210,2)=1,(COUNTIF(E210,"*"))))*AND(COUNTBLANK(E207)))+((IF(WEEKDAY(I210,2)=7,(COUNTIF(E210,"*"))))*AND(IF(WEEKDAY(I211,2)=1,(COUNTIF(E211,"*"))))*AND(COUNTBLANK(E208)))+((IF(WEEKDAY(I211,2)=7,(COUNTIF(E211,"*"))))*AND(IF(WEEKDAY(I212,2)=1,(COUNTIF(E212,"*"))))*AND(COUNTBLANK(E209)))+((IF(WEEKDAY(I212,2)=7,(COUNTIF(E212,"*"))))*AND(IF(WEEKDAY(I213,2)=1,(COUNTIF(E213,"*"))))*AND(COUNTBLANK(E210)))+((IF(WEEKDAY(I213,2)=7,(COUNTIF(E213,"*"))))*AND(IF(WEEKDAY(I214,2)=1,(COUNTIF(E214,"*"))))*AND(COUNTBLANK(E211)))</f>
        <v>0</v>
      </c>
      <c r="O206" s="576"/>
      <c r="P206" s="328"/>
      <c r="Q206" s="307"/>
      <c r="R206" s="307"/>
      <c r="S206" s="307"/>
      <c r="T206" s="552"/>
      <c r="U206" s="552"/>
      <c r="V206" s="552"/>
      <c r="W206" s="552"/>
      <c r="X206" s="552"/>
      <c r="Y206" s="552"/>
      <c r="Z206" s="552"/>
      <c r="AA206" s="552"/>
      <c r="AB206" s="552"/>
      <c r="AC206" s="553"/>
      <c r="AD206" s="553"/>
      <c r="AE206" s="553"/>
      <c r="AF206" s="553"/>
      <c r="AG206" s="553"/>
      <c r="AH206" s="553"/>
      <c r="AI206" s="553"/>
      <c r="AJ206" s="553"/>
      <c r="AK206" s="553"/>
      <c r="AL206" s="553"/>
      <c r="AM206" s="553"/>
      <c r="AN206" s="553"/>
      <c r="AO206" s="553"/>
      <c r="AP206" s="553"/>
      <c r="AQ206" s="553"/>
      <c r="AR206" s="307"/>
      <c r="AS206" s="307"/>
      <c r="AT206" s="307"/>
      <c r="AU206" s="307"/>
      <c r="AV206" s="307"/>
      <c r="AW206" s="591"/>
      <c r="AX206" s="591"/>
      <c r="AY206" s="591"/>
      <c r="AZ206" s="591"/>
      <c r="BA206" s="591"/>
      <c r="BB206" s="591"/>
      <c r="BC206" s="591"/>
      <c r="BD206" s="591"/>
      <c r="BE206" s="591"/>
      <c r="BF206" s="591"/>
      <c r="BG206" s="591"/>
      <c r="BH206" s="591"/>
      <c r="BI206" s="590">
        <f>$Y$28</f>
        <v>0</v>
      </c>
      <c r="BJ206" s="590"/>
      <c r="BK206" s="590"/>
      <c r="BL206" s="590"/>
      <c r="BM206" s="590"/>
      <c r="BN206" s="590"/>
      <c r="BO206" s="590"/>
      <c r="BP206" s="590"/>
      <c r="BQ206" s="592">
        <f>BI206*BM206</f>
        <v>0</v>
      </c>
      <c r="BR206" s="592"/>
      <c r="BS206" s="592"/>
      <c r="BT206" s="592"/>
      <c r="BU206" s="595"/>
      <c r="BV206" s="595"/>
      <c r="BW206" s="595"/>
      <c r="BX206" s="592">
        <f t="shared" si="49"/>
        <v>0</v>
      </c>
      <c r="BY206" s="592"/>
      <c r="BZ206" s="592"/>
      <c r="CA206" s="593"/>
    </row>
    <row r="207" spans="1:79" ht="15" customHeight="1">
      <c r="A207" s="334">
        <v>7</v>
      </c>
      <c r="B207" s="328">
        <v>25</v>
      </c>
      <c r="C207" s="328">
        <f t="shared" si="50"/>
        <v>206</v>
      </c>
      <c r="D207" s="360" t="str">
        <f>IF(I207='Jour Férié'!F$13,'Jour Férié'!E$13,""&amp;IF(I207='Jour Férié'!F$14,'Jour Férié'!E$14,""&amp;IF(I207='Jour Férié'!F$15,'Jour Férié'!E$15,""&amp;IF(I207='Jour Férié'!F$9,'Jour Férié'!E$9,""&amp;IF(I207='Jour Férié'!B$11,'Jour Férié'!A$11,""&amp;IF(MOD(MATCH(I207,vacances!$A$3:$A$202,1),2)=1,"vacances",""))))))</f>
        <v>vacances</v>
      </c>
      <c r="E207" s="490"/>
      <c r="F207" s="490"/>
      <c r="G207" s="490"/>
      <c r="H207" s="624"/>
      <c r="I207" s="361">
        <f t="shared" si="45"/>
        <v>43306</v>
      </c>
      <c r="J207" s="574"/>
      <c r="K207" s="574"/>
      <c r="L207" s="328"/>
      <c r="M207" s="328"/>
      <c r="N207" s="328"/>
      <c r="O207" s="375"/>
      <c r="P207" s="328"/>
      <c r="Q207" s="290"/>
      <c r="R207" s="290"/>
      <c r="S207" s="290"/>
      <c r="T207" s="290"/>
      <c r="U207" s="290"/>
      <c r="V207" s="290"/>
      <c r="W207" s="290"/>
      <c r="X207" s="290"/>
      <c r="Y207" s="290"/>
      <c r="Z207" s="290"/>
      <c r="AA207" s="310"/>
      <c r="AB207" s="310"/>
      <c r="AC207" s="553"/>
      <c r="AD207" s="553"/>
      <c r="AE207" s="553"/>
      <c r="AF207" s="553"/>
      <c r="AG207" s="553"/>
      <c r="AH207" s="553"/>
      <c r="AI207" s="553"/>
      <c r="AJ207" s="553"/>
      <c r="AK207" s="553"/>
      <c r="AL207" s="553"/>
      <c r="AM207" s="553"/>
      <c r="AN207" s="553"/>
      <c r="AO207" s="553"/>
      <c r="AP207" s="553"/>
      <c r="AQ207" s="553"/>
      <c r="AR207" s="290"/>
      <c r="AS207" s="290"/>
      <c r="AT207" s="290"/>
      <c r="AU207" s="290"/>
      <c r="AV207" s="290"/>
      <c r="AW207" s="562" t="s">
        <v>270</v>
      </c>
      <c r="AX207" s="562"/>
      <c r="AY207" s="562"/>
      <c r="AZ207" s="562"/>
      <c r="BA207" s="562"/>
      <c r="BB207" s="562"/>
      <c r="BC207" s="562"/>
      <c r="BD207" s="562"/>
      <c r="BE207" s="562"/>
      <c r="BF207" s="562"/>
      <c r="BG207" s="562"/>
      <c r="BH207" s="562"/>
      <c r="BI207" s="587"/>
      <c r="BJ207" s="587"/>
      <c r="BK207" s="587"/>
      <c r="BL207" s="587"/>
      <c r="BM207" s="588">
        <f>SUM(BM186:BP206)</f>
        <v>0.32090000000000002</v>
      </c>
      <c r="BN207" s="588"/>
      <c r="BO207" s="588"/>
      <c r="BP207" s="588"/>
      <c r="BQ207" s="586">
        <f>SUM(BQ186:BT206)</f>
        <v>443.38236907487493</v>
      </c>
      <c r="BR207" s="586"/>
      <c r="BS207" s="586"/>
      <c r="BT207" s="586"/>
      <c r="BU207" s="311"/>
      <c r="BV207" s="7"/>
      <c r="BW207" s="7"/>
      <c r="BX207" s="586">
        <f>SUM(BX186:CA206)</f>
        <v>807.69346695699983</v>
      </c>
      <c r="BY207" s="586"/>
      <c r="BZ207" s="586"/>
      <c r="CA207" s="589"/>
    </row>
    <row r="208" spans="1:79" ht="15" customHeight="1">
      <c r="A208" s="334">
        <v>7</v>
      </c>
      <c r="B208" s="328">
        <v>26</v>
      </c>
      <c r="C208" s="328">
        <f>VLOOKUP(A208,Données,4)+B208-1</f>
        <v>207</v>
      </c>
      <c r="D208" s="360" t="str">
        <f>IF(I208='Jour Férié'!F$13,'Jour Férié'!E$13,""&amp;IF(I208='Jour Férié'!F$14,'Jour Férié'!E$14,""&amp;IF(I208='Jour Férié'!F$15,'Jour Férié'!E$15,""&amp;IF(I208='Jour Férié'!F$9,'Jour Férié'!E$9,""&amp;IF(I208='Jour Férié'!B$11,'Jour Férié'!A$11,""&amp;IF(MOD(MATCH(I208,vacances!$A$3:$A$202,1),2)=1,"vacances",""))))))</f>
        <v>vacances</v>
      </c>
      <c r="E208" s="490"/>
      <c r="F208" s="490"/>
      <c r="G208" s="490"/>
      <c r="H208" s="624"/>
      <c r="I208" s="361">
        <f t="shared" si="45"/>
        <v>43307</v>
      </c>
      <c r="J208" s="332"/>
      <c r="K208" s="332"/>
      <c r="L208" s="495"/>
      <c r="M208" s="380" t="s">
        <v>323</v>
      </c>
      <c r="N208" s="574">
        <f>SUM(O200:O206)</f>
        <v>0</v>
      </c>
      <c r="O208" s="574"/>
      <c r="P208" s="328"/>
      <c r="Q208" s="304"/>
      <c r="R208" s="304"/>
      <c r="S208" s="304"/>
      <c r="T208" s="304"/>
      <c r="U208" s="304"/>
      <c r="V208" s="304"/>
      <c r="W208" s="304"/>
      <c r="X208" s="304"/>
      <c r="Y208" s="304"/>
      <c r="Z208" s="304"/>
      <c r="AA208" s="305"/>
      <c r="AB208" s="305"/>
      <c r="AC208" s="553"/>
      <c r="AD208" s="553"/>
      <c r="AE208" s="553"/>
      <c r="AF208" s="553"/>
      <c r="AG208" s="553"/>
      <c r="AH208" s="553"/>
      <c r="AI208" s="553"/>
      <c r="AJ208" s="553"/>
      <c r="AK208" s="553"/>
      <c r="AL208" s="553"/>
      <c r="AM208" s="553"/>
      <c r="AN208" s="553"/>
      <c r="AO208" s="553"/>
      <c r="AP208" s="553"/>
      <c r="AQ208" s="553"/>
      <c r="AR208" s="304"/>
      <c r="AS208" s="304"/>
      <c r="AT208" s="304"/>
      <c r="AU208" s="304"/>
      <c r="AV208" s="304"/>
      <c r="AW208" s="312" t="s">
        <v>271</v>
      </c>
      <c r="AX208" s="312"/>
      <c r="AY208" s="312"/>
      <c r="AZ208" s="312"/>
      <c r="BA208" s="312"/>
      <c r="BB208" s="312"/>
      <c r="BC208" s="312"/>
      <c r="BD208" s="313"/>
      <c r="BE208" s="313"/>
      <c r="BF208" s="313"/>
      <c r="BG208" s="313"/>
      <c r="BH208" s="313"/>
      <c r="BI208" s="569">
        <f>O186</f>
        <v>0</v>
      </c>
      <c r="BJ208" s="569"/>
      <c r="BK208" s="569"/>
      <c r="BL208" s="569"/>
      <c r="BM208" s="590">
        <f>'FICHE DE PAIE'!AW$27</f>
        <v>3.5259999999999998</v>
      </c>
      <c r="BN208" s="590"/>
      <c r="BO208" s="590"/>
      <c r="BP208" s="590"/>
      <c r="BQ208" s="381">
        <f>BI208*BM208</f>
        <v>0</v>
      </c>
      <c r="BR208" s="381"/>
      <c r="BS208" s="381"/>
      <c r="BT208" s="381"/>
      <c r="BU208" s="314"/>
      <c r="BV208" s="7"/>
      <c r="BW208" s="7"/>
      <c r="BX208" s="7"/>
      <c r="BY208" s="7"/>
      <c r="BZ208" s="7"/>
      <c r="CA208" s="315"/>
    </row>
    <row r="209" spans="1:79" ht="15" customHeight="1">
      <c r="A209" s="419">
        <v>7</v>
      </c>
      <c r="B209" s="360">
        <v>27</v>
      </c>
      <c r="C209" s="328">
        <f>VLOOKUP(A209,Données,4)+B209-1</f>
        <v>208</v>
      </c>
      <c r="D209" s="360" t="str">
        <f>IF(I209='Jour Férié'!F$13,'Jour Férié'!E$13,""&amp;IF(I209='Jour Férié'!F$14,'Jour Férié'!E$14,""&amp;IF(I209='Jour Férié'!F$15,'Jour Férié'!E$15,""&amp;IF(I209='Jour Férié'!F$9,'Jour Férié'!E$9,""&amp;IF(I209='Jour Férié'!B$11,'Jour Férié'!A$11,""&amp;IF(MOD(MATCH(I209,vacances!$A$3:$A$202,1),2)=1,"vacances",""))))))</f>
        <v>vacances</v>
      </c>
      <c r="E209" s="490"/>
      <c r="F209" s="490"/>
      <c r="G209" s="490"/>
      <c r="H209" s="624"/>
      <c r="I209" s="361">
        <f t="shared" si="45"/>
        <v>43308</v>
      </c>
      <c r="J209" s="332"/>
      <c r="K209" s="332"/>
      <c r="L209" s="333"/>
      <c r="M209" s="328"/>
      <c r="N209" s="328"/>
      <c r="O209" s="375"/>
      <c r="P209" s="328"/>
      <c r="Q209" s="307"/>
      <c r="R209" s="307"/>
      <c r="S209" s="307"/>
      <c r="T209" s="307"/>
      <c r="U209" s="307"/>
      <c r="V209" s="307"/>
      <c r="W209" s="307"/>
      <c r="X209" s="307"/>
      <c r="Y209" s="307"/>
      <c r="Z209" s="307"/>
      <c r="AA209" s="308"/>
      <c r="AB209" s="308"/>
      <c r="AC209" s="553"/>
      <c r="AD209" s="553"/>
      <c r="AE209" s="553"/>
      <c r="AF209" s="553"/>
      <c r="AG209" s="553"/>
      <c r="AH209" s="553"/>
      <c r="AI209" s="553"/>
      <c r="AJ209" s="553"/>
      <c r="AK209" s="553"/>
      <c r="AL209" s="553"/>
      <c r="AM209" s="553"/>
      <c r="AN209" s="553"/>
      <c r="AO209" s="553"/>
      <c r="AP209" s="553"/>
      <c r="AQ209" s="553"/>
      <c r="AR209" s="307"/>
      <c r="AS209" s="307"/>
      <c r="AT209" s="307"/>
      <c r="AU209" s="307"/>
      <c r="AV209" s="307"/>
      <c r="AW209" s="550">
        <f>Q183</f>
        <v>43282</v>
      </c>
      <c r="AX209" s="550"/>
      <c r="AY209" s="550"/>
      <c r="AZ209" s="550"/>
      <c r="BA209" s="550"/>
      <c r="BB209" s="550"/>
      <c r="BC209" s="550"/>
      <c r="BD209" s="550"/>
      <c r="BE209" s="550"/>
      <c r="BF209" s="550"/>
      <c r="BG209" s="550"/>
      <c r="BH209" s="550"/>
      <c r="BI209" s="550"/>
      <c r="BJ209" s="550"/>
      <c r="BK209" s="550"/>
      <c r="BL209" s="550"/>
      <c r="BM209" s="550"/>
      <c r="BN209" s="550"/>
      <c r="BO209" s="550"/>
      <c r="BP209" s="550"/>
      <c r="BQ209" s="550"/>
      <c r="BR209" s="550"/>
      <c r="BS209" s="550"/>
      <c r="BT209" s="550"/>
      <c r="BU209" s="550"/>
      <c r="BV209" s="550"/>
      <c r="BW209" s="550"/>
      <c r="BX209" s="550"/>
      <c r="BY209" s="550"/>
      <c r="BZ209" s="550"/>
      <c r="CA209" s="551"/>
    </row>
    <row r="210" spans="1:79" ht="15" customHeight="1">
      <c r="A210" s="334">
        <v>7</v>
      </c>
      <c r="B210" s="328">
        <v>28</v>
      </c>
      <c r="C210" s="328">
        <f t="shared" ref="C210:C216" si="51">VLOOKUP(A210,Données,4)+B210-1</f>
        <v>209</v>
      </c>
      <c r="D210" s="360" t="str">
        <f>IF(I210='Jour Férié'!F$13,'Jour Férié'!E$13,""&amp;IF(I210='Jour Férié'!F$14,'Jour Férié'!E$14,""&amp;IF(I210='Jour Férié'!F$15,'Jour Férié'!E$15,""&amp;IF(I210='Jour Férié'!F$9,'Jour Férié'!E$9,""&amp;IF(I210='Jour Férié'!B$11,'Jour Férié'!A$11,""&amp;IF(MOD(MATCH(I210,vacances!$A$3:$A$202,1),2)=1,"vacances",""))))))</f>
        <v>vacances</v>
      </c>
      <c r="E210" s="490"/>
      <c r="F210" s="490"/>
      <c r="G210" s="490"/>
      <c r="H210" s="624"/>
      <c r="I210" s="361">
        <f t="shared" si="45"/>
        <v>43309</v>
      </c>
      <c r="J210" s="332"/>
      <c r="K210" s="328"/>
      <c r="L210" s="330"/>
      <c r="M210" s="328"/>
      <c r="N210" s="328"/>
      <c r="O210" s="375"/>
      <c r="P210" s="328"/>
      <c r="Q210" s="290"/>
      <c r="R210" s="290"/>
      <c r="S210" s="290"/>
      <c r="T210" s="290"/>
      <c r="U210" s="290"/>
      <c r="V210" s="290"/>
      <c r="W210" s="290"/>
      <c r="X210" s="290"/>
      <c r="Y210" s="290"/>
      <c r="Z210" s="290"/>
      <c r="AA210" s="310"/>
      <c r="AB210" s="310"/>
      <c r="AC210" s="553"/>
      <c r="AD210" s="553"/>
      <c r="AE210" s="553"/>
      <c r="AF210" s="553"/>
      <c r="AG210" s="553"/>
      <c r="AH210" s="553"/>
      <c r="AI210" s="553"/>
      <c r="AJ210" s="553"/>
      <c r="AK210" s="553"/>
      <c r="AL210" s="553"/>
      <c r="AM210" s="553"/>
      <c r="AN210" s="553"/>
      <c r="AO210" s="553"/>
      <c r="AP210" s="553"/>
      <c r="AQ210" s="553"/>
      <c r="AR210" s="290"/>
      <c r="AS210" s="290"/>
      <c r="AT210" s="290"/>
      <c r="AU210" s="290"/>
      <c r="AV210" s="290"/>
      <c r="AW210" s="313"/>
      <c r="AX210" s="313"/>
      <c r="AY210" s="313"/>
      <c r="AZ210" s="313"/>
      <c r="BA210" s="313"/>
      <c r="BB210" s="313"/>
      <c r="BC210" s="313"/>
      <c r="BD210" s="313"/>
      <c r="BE210" s="313"/>
      <c r="BF210" s="313"/>
      <c r="BG210" s="313"/>
      <c r="BH210" s="313"/>
      <c r="BI210" s="313"/>
      <c r="BJ210" s="313"/>
      <c r="BK210" s="313"/>
      <c r="BL210" s="316"/>
      <c r="BM210" s="316"/>
      <c r="BN210" s="587" t="s">
        <v>272</v>
      </c>
      <c r="BO210" s="587"/>
      <c r="BP210" s="587"/>
      <c r="BQ210" s="587"/>
      <c r="BR210" s="587"/>
      <c r="BS210" s="587"/>
      <c r="BT210" s="587"/>
      <c r="BU210" s="587"/>
      <c r="BV210" s="597">
        <f>AG199-BQ207+BQ208</f>
        <v>1407.7499809251249</v>
      </c>
      <c r="BW210" s="597"/>
      <c r="BX210" s="597"/>
      <c r="BY210" s="597"/>
      <c r="BZ210" s="597"/>
      <c r="CA210" s="598"/>
    </row>
    <row r="211" spans="1:79" ht="15" customHeight="1">
      <c r="A211" s="334">
        <v>7</v>
      </c>
      <c r="B211" s="328">
        <v>29</v>
      </c>
      <c r="C211" s="328">
        <f t="shared" si="51"/>
        <v>210</v>
      </c>
      <c r="D211" s="360" t="str">
        <f>IF(I211='Jour Férié'!F$13,'Jour Férié'!E$13,""&amp;IF(I211='Jour Férié'!F$14,'Jour Férié'!E$14,""&amp;IF(I211='Jour Férié'!F$15,'Jour Férié'!E$15,""&amp;IF(I211='Jour Férié'!F$9,'Jour Férié'!E$9,""&amp;IF(I211='Jour Férié'!B$11,'Jour Férié'!A$11,""&amp;IF(MOD(MATCH(I211,vacances!$A$3:$A$202,1),2)=1,"vacances",""))))))</f>
        <v>vacances</v>
      </c>
      <c r="E211" s="490"/>
      <c r="F211" s="490"/>
      <c r="G211" s="490"/>
      <c r="H211" s="624"/>
      <c r="I211" s="361">
        <f t="shared" si="45"/>
        <v>43310</v>
      </c>
      <c r="J211" s="332"/>
      <c r="K211" s="328"/>
      <c r="L211" s="330"/>
      <c r="M211" s="328"/>
      <c r="N211" s="328"/>
      <c r="O211" s="375"/>
      <c r="P211" s="328"/>
      <c r="Q211" s="304"/>
      <c r="R211" s="304"/>
      <c r="S211" s="304"/>
      <c r="T211" s="304"/>
      <c r="U211" s="304"/>
      <c r="V211" s="304"/>
      <c r="W211" s="304"/>
      <c r="X211" s="304"/>
      <c r="Y211" s="304"/>
      <c r="Z211" s="304"/>
      <c r="AA211" s="305"/>
      <c r="AB211" s="305"/>
      <c r="AC211" s="553"/>
      <c r="AD211" s="553"/>
      <c r="AE211" s="553"/>
      <c r="AF211" s="553"/>
      <c r="AG211" s="553"/>
      <c r="AH211" s="553"/>
      <c r="AI211" s="553"/>
      <c r="AJ211" s="553"/>
      <c r="AK211" s="553"/>
      <c r="AL211" s="553"/>
      <c r="AM211" s="553"/>
      <c r="AN211" s="553"/>
      <c r="AO211" s="553"/>
      <c r="AP211" s="553"/>
      <c r="AQ211" s="553"/>
      <c r="AR211" s="304"/>
      <c r="AS211" s="304"/>
      <c r="AT211" s="304"/>
      <c r="AU211" s="304"/>
      <c r="AV211" s="304"/>
      <c r="AW211" s="317"/>
      <c r="AX211" s="317"/>
      <c r="AY211" s="317"/>
      <c r="AZ211" s="317"/>
      <c r="BA211" s="317"/>
      <c r="BB211" s="317"/>
      <c r="BC211" s="317"/>
      <c r="BD211" s="317"/>
      <c r="BE211" s="317"/>
      <c r="BF211" s="317"/>
      <c r="BG211" s="317"/>
      <c r="BH211" s="317"/>
      <c r="BI211" s="317"/>
      <c r="BJ211" s="317"/>
      <c r="BK211" s="317"/>
      <c r="BL211" s="585" t="s">
        <v>273</v>
      </c>
      <c r="BM211" s="585"/>
      <c r="BN211" s="585"/>
      <c r="BO211" s="585"/>
      <c r="BP211" s="585"/>
      <c r="BQ211" s="585"/>
      <c r="BR211" s="585"/>
      <c r="BS211" s="585"/>
      <c r="BT211" s="585"/>
      <c r="BU211" s="586">
        <f>BV210-BQ207+BQ208</f>
        <v>964.36761185024989</v>
      </c>
      <c r="BV211" s="586"/>
      <c r="BW211" s="586"/>
      <c r="BX211" s="586"/>
      <c r="BY211" s="586"/>
      <c r="BZ211" s="586"/>
      <c r="CA211" s="341"/>
    </row>
    <row r="212" spans="1:79" ht="15" customHeight="1">
      <c r="A212" s="334">
        <v>7</v>
      </c>
      <c r="B212" s="328">
        <v>30</v>
      </c>
      <c r="C212" s="328">
        <f t="shared" si="51"/>
        <v>211</v>
      </c>
      <c r="D212" s="360" t="str">
        <f>IF(I212='Jour Férié'!F$13,'Jour Férié'!E$13,""&amp;IF(I212='Jour Férié'!F$14,'Jour Férié'!E$14,""&amp;IF(I212='Jour Férié'!F$15,'Jour Férié'!E$15,""&amp;IF(I212='Jour Férié'!F$9,'Jour Férié'!E$9,""&amp;IF(I212='Jour Férié'!B$11,'Jour Férié'!A$11,""&amp;IF(MOD(MATCH(I212,vacances!$A$3:$A$202,1),2)=1,"vacances",""))))))</f>
        <v>vacances</v>
      </c>
      <c r="E212" s="490"/>
      <c r="F212" s="490"/>
      <c r="G212" s="490"/>
      <c r="H212" s="624"/>
      <c r="I212" s="361">
        <f t="shared" si="45"/>
        <v>43311</v>
      </c>
      <c r="J212" s="332"/>
      <c r="K212" s="328"/>
      <c r="L212" s="330"/>
      <c r="M212" s="328"/>
      <c r="N212" s="328"/>
      <c r="O212" s="375"/>
      <c r="P212" s="328"/>
      <c r="Q212" s="7"/>
      <c r="R212" s="7"/>
      <c r="S212" s="7"/>
      <c r="T212" s="7"/>
      <c r="U212" s="7"/>
      <c r="V212" s="7"/>
      <c r="W212" s="7"/>
      <c r="X212" s="7"/>
      <c r="Y212" s="7"/>
      <c r="Z212" s="7"/>
      <c r="AA212" s="340"/>
      <c r="AB212" s="340"/>
      <c r="AC212" s="340"/>
      <c r="AD212" s="351"/>
      <c r="AE212" s="351"/>
      <c r="AF212" s="351"/>
      <c r="AG212" s="7"/>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315"/>
    </row>
    <row r="213" spans="1:79" ht="15" customHeight="1" thickBot="1">
      <c r="A213" s="420">
        <v>7</v>
      </c>
      <c r="B213" s="329">
        <v>31</v>
      </c>
      <c r="C213" s="329">
        <f t="shared" si="51"/>
        <v>212</v>
      </c>
      <c r="D213" s="421" t="str">
        <f>IF(I213='Jour Férié'!F$13,'Jour Férié'!E$13,""&amp;IF(I213='Jour Férié'!F$14,'Jour Férié'!E$14,""&amp;IF(I213='Jour Férié'!F$15,'Jour Férié'!E$15,""&amp;IF(I213='Jour Férié'!F$9,'Jour Férié'!E$9,""&amp;IF(I213='Jour Férié'!B$11,'Jour Férié'!A$11,""&amp;IF(MOD(MATCH(I213,vacances!$A$3:$A$202,1),2)=1,"vacances",""))))))</f>
        <v>vacances</v>
      </c>
      <c r="E213" s="491"/>
      <c r="F213" s="491"/>
      <c r="G213" s="491"/>
      <c r="H213" s="625"/>
      <c r="I213" s="422">
        <f t="shared" si="45"/>
        <v>43312</v>
      </c>
      <c r="J213" s="329"/>
      <c r="K213" s="329"/>
      <c r="L213" s="329"/>
      <c r="M213" s="329"/>
      <c r="N213" s="329"/>
      <c r="O213" s="423"/>
      <c r="P213" s="329"/>
      <c r="Q213" s="345"/>
      <c r="R213" s="345"/>
      <c r="S213" s="345"/>
      <c r="T213" s="345"/>
      <c r="U213" s="345"/>
      <c r="V213" s="345"/>
      <c r="W213" s="345"/>
      <c r="X213" s="345"/>
      <c r="Y213" s="345"/>
      <c r="Z213" s="345"/>
      <c r="AA213" s="346"/>
      <c r="AB213" s="346"/>
      <c r="AC213" s="346"/>
      <c r="AD213" s="352"/>
      <c r="AE213" s="352"/>
      <c r="AF213" s="352"/>
      <c r="AG213" s="345"/>
      <c r="AH213" s="345"/>
      <c r="AI213" s="345"/>
      <c r="AJ213" s="345"/>
      <c r="AK213" s="345"/>
      <c r="AL213" s="345"/>
      <c r="AM213" s="345"/>
      <c r="AN213" s="345"/>
      <c r="AO213" s="345"/>
      <c r="AP213" s="345"/>
      <c r="AQ213" s="345"/>
      <c r="AR213" s="345"/>
      <c r="AS213" s="345"/>
      <c r="AT213" s="345"/>
      <c r="AU213" s="345"/>
      <c r="AV213" s="345"/>
      <c r="AW213" s="345"/>
      <c r="AX213" s="345"/>
      <c r="AY213" s="345"/>
      <c r="AZ213" s="345"/>
      <c r="BA213" s="345"/>
      <c r="BB213" s="345"/>
      <c r="BC213" s="345"/>
      <c r="BD213" s="345"/>
      <c r="BE213" s="345"/>
      <c r="BF213" s="345"/>
      <c r="BG213" s="345"/>
      <c r="BH213" s="345"/>
      <c r="BI213" s="345"/>
      <c r="BJ213" s="345"/>
      <c r="BK213" s="345"/>
      <c r="BL213" s="345"/>
      <c r="BM213" s="345"/>
      <c r="BN213" s="345"/>
      <c r="BO213" s="345"/>
      <c r="BP213" s="345"/>
      <c r="BQ213" s="345"/>
      <c r="BR213" s="345"/>
      <c r="BS213" s="345"/>
      <c r="BT213" s="345"/>
      <c r="BU213" s="345"/>
      <c r="BV213" s="345"/>
      <c r="BW213" s="345"/>
      <c r="BX213" s="345"/>
      <c r="BY213" s="345"/>
      <c r="BZ213" s="345"/>
      <c r="CA213" s="353"/>
    </row>
    <row r="214" spans="1:79" ht="15" customHeight="1">
      <c r="A214" s="519">
        <v>8</v>
      </c>
      <c r="B214" s="520">
        <v>1</v>
      </c>
      <c r="C214" s="520">
        <f t="shared" si="51"/>
        <v>213</v>
      </c>
      <c r="D214" s="521" t="str">
        <f>IF(I214='Jour Férié'!F$13,'Jour Férié'!E$13,""&amp;IF(I214='Jour Férié'!F$14,'Jour Férié'!E$14,""&amp;IF(I214='Jour Férié'!F$15,'Jour Férié'!E$15,""&amp;IF(I214='Jour Férié'!B$12,'Jour Férié'!A$12,""&amp;IF(MOD(MATCH(I214,vacances!$A$3:$A$202,1),2)=1,"vacances","")))))</f>
        <v>vacances</v>
      </c>
      <c r="E214" s="489"/>
      <c r="F214" s="489"/>
      <c r="G214" s="489"/>
      <c r="H214" s="620" t="s">
        <v>198</v>
      </c>
      <c r="I214" s="522">
        <f>DATE(annee,8,1)</f>
        <v>43313</v>
      </c>
      <c r="J214" s="523" t="s">
        <v>201</v>
      </c>
      <c r="K214" s="524" t="s">
        <v>202</v>
      </c>
      <c r="L214" s="292"/>
      <c r="M214" s="525" t="s">
        <v>203</v>
      </c>
      <c r="N214" s="525"/>
      <c r="O214" s="526">
        <f>(COUNTIF($E214:$E244,$J214))</f>
        <v>0</v>
      </c>
      <c r="P214" s="527"/>
      <c r="Q214" s="560">
        <f>DATE(annee,8,1)</f>
        <v>43313</v>
      </c>
      <c r="R214" s="560"/>
      <c r="S214" s="560"/>
      <c r="T214" s="560"/>
      <c r="U214" s="560"/>
      <c r="V214" s="560"/>
      <c r="W214" s="560"/>
      <c r="X214" s="560"/>
      <c r="Y214" s="560"/>
      <c r="Z214" s="560"/>
      <c r="AA214" s="560"/>
      <c r="AB214" s="560"/>
      <c r="AC214" s="560"/>
      <c r="AD214" s="560"/>
      <c r="AE214" s="560"/>
      <c r="AF214" s="560"/>
      <c r="AG214" s="560"/>
      <c r="AH214" s="560"/>
      <c r="AI214" s="560"/>
      <c r="AJ214" s="560"/>
      <c r="AK214" s="560"/>
      <c r="AL214" s="560"/>
      <c r="AM214" s="560"/>
      <c r="AN214" s="560"/>
      <c r="AO214" s="560"/>
      <c r="AP214" s="560"/>
      <c r="AQ214" s="560"/>
      <c r="AR214" s="560"/>
      <c r="AS214" s="560"/>
      <c r="AT214" s="560"/>
      <c r="AU214" s="560"/>
      <c r="AV214" s="292"/>
      <c r="AW214" s="560">
        <f>Q214</f>
        <v>43313</v>
      </c>
      <c r="AX214" s="560"/>
      <c r="AY214" s="560"/>
      <c r="AZ214" s="560"/>
      <c r="BA214" s="560"/>
      <c r="BB214" s="560"/>
      <c r="BC214" s="560"/>
      <c r="BD214" s="560"/>
      <c r="BE214" s="560"/>
      <c r="BF214" s="560"/>
      <c r="BG214" s="560"/>
      <c r="BH214" s="560"/>
      <c r="BI214" s="560"/>
      <c r="BJ214" s="560"/>
      <c r="BK214" s="560"/>
      <c r="BL214" s="560"/>
      <c r="BM214" s="560"/>
      <c r="BN214" s="560"/>
      <c r="BO214" s="560"/>
      <c r="BP214" s="560"/>
      <c r="BQ214" s="560"/>
      <c r="BR214" s="560"/>
      <c r="BS214" s="560"/>
      <c r="BT214" s="560"/>
      <c r="BU214" s="560"/>
      <c r="BV214" s="560"/>
      <c r="BW214" s="560"/>
      <c r="BX214" s="560"/>
      <c r="BY214" s="560"/>
      <c r="BZ214" s="560"/>
      <c r="CA214" s="607"/>
    </row>
    <row r="215" spans="1:79" ht="15" customHeight="1">
      <c r="A215" s="424">
        <v>8</v>
      </c>
      <c r="B215" s="382">
        <v>2</v>
      </c>
      <c r="C215" s="382">
        <f t="shared" si="51"/>
        <v>214</v>
      </c>
      <c r="D215" s="383" t="str">
        <f>IF(I215='Jour Férié'!F$13,'Jour Férié'!E$13,""&amp;IF(I215='Jour Férié'!F$14,'Jour Férié'!E$14,""&amp;IF(I215='Jour Férié'!F$15,'Jour Férié'!E$15,""&amp;IF(I215='Jour Férié'!B$12,'Jour Férié'!A$12,""&amp;IF(MOD(MATCH(I215,vacances!$A$3:$A$202,1),2)=1,"vacances","")))))</f>
        <v>vacances</v>
      </c>
      <c r="E215" s="449"/>
      <c r="F215" s="449"/>
      <c r="G215" s="449"/>
      <c r="H215" s="621"/>
      <c r="I215" s="339">
        <f t="shared" ref="I215:I244" si="52">DATE(annee,8,1)+B214</f>
        <v>43314</v>
      </c>
      <c r="J215" s="384" t="s">
        <v>204</v>
      </c>
      <c r="K215" s="385" t="s">
        <v>205</v>
      </c>
      <c r="L215" s="290"/>
      <c r="M215" s="291" t="s">
        <v>206</v>
      </c>
      <c r="N215" s="291"/>
      <c r="O215" s="386">
        <f>(COUNTIF($E214:$E244,$J215))</f>
        <v>0</v>
      </c>
      <c r="P215" s="316"/>
      <c r="Q215" s="365"/>
      <c r="R215" s="365"/>
      <c r="S215" s="365"/>
      <c r="T215" s="365"/>
      <c r="U215" s="365"/>
      <c r="V215" s="365"/>
      <c r="W215" s="365"/>
      <c r="X215" s="365"/>
      <c r="Y215" s="365"/>
      <c r="Z215" s="365"/>
      <c r="AA215" s="366"/>
      <c r="AB215" s="366"/>
      <c r="AC215" s="366"/>
      <c r="AD215" s="367"/>
      <c r="AE215" s="367"/>
      <c r="AF215" s="367"/>
      <c r="AG215" s="365"/>
      <c r="AH215" s="365"/>
      <c r="AI215" s="365"/>
      <c r="AJ215" s="365"/>
      <c r="AK215" s="365"/>
      <c r="AL215" s="365"/>
      <c r="AM215" s="365"/>
      <c r="AN215" s="365"/>
      <c r="AO215" s="365"/>
      <c r="AP215" s="368"/>
      <c r="AQ215" s="368"/>
      <c r="AR215" s="368"/>
      <c r="AS215" s="368"/>
      <c r="AT215" s="368"/>
      <c r="AU215" s="368"/>
      <c r="AV215" s="290"/>
      <c r="AW215" s="608" t="s">
        <v>229</v>
      </c>
      <c r="AX215" s="608"/>
      <c r="AY215" s="608"/>
      <c r="AZ215" s="608"/>
      <c r="BA215" s="608"/>
      <c r="BB215" s="608"/>
      <c r="BC215" s="608"/>
      <c r="BD215" s="608"/>
      <c r="BE215" s="608"/>
      <c r="BF215" s="608"/>
      <c r="BG215" s="608"/>
      <c r="BH215" s="608"/>
      <c r="BI215" s="293"/>
      <c r="BJ215" s="293"/>
      <c r="BK215" s="293"/>
      <c r="BL215" s="585" t="s">
        <v>230</v>
      </c>
      <c r="BM215" s="585"/>
      <c r="BN215" s="585"/>
      <c r="BO215" s="585"/>
      <c r="BP215" s="585"/>
      <c r="BQ215" s="585"/>
      <c r="BR215" s="585"/>
      <c r="BS215" s="585"/>
      <c r="BT215" s="585"/>
      <c r="BU215" s="585" t="s">
        <v>231</v>
      </c>
      <c r="BV215" s="585"/>
      <c r="BW215" s="585"/>
      <c r="BX215" s="585"/>
      <c r="BY215" s="585"/>
      <c r="BZ215" s="585"/>
      <c r="CA215" s="609"/>
    </row>
    <row r="216" spans="1:79" ht="15" customHeight="1">
      <c r="A216" s="424">
        <v>8</v>
      </c>
      <c r="B216" s="382">
        <v>3</v>
      </c>
      <c r="C216" s="382">
        <f t="shared" si="51"/>
        <v>215</v>
      </c>
      <c r="D216" s="383" t="str">
        <f>IF(I216='Jour Férié'!F$13,'Jour Férié'!E$13,""&amp;IF(I216='Jour Férié'!F$14,'Jour Férié'!E$14,""&amp;IF(I216='Jour Férié'!F$15,'Jour Férié'!E$15,""&amp;IF(I216='Jour Férié'!B$12,'Jour Férié'!A$12,""&amp;IF(MOD(MATCH(I216,vacances!$A$3:$A$202,1),2)=1,"vacances","")))))</f>
        <v>vacances</v>
      </c>
      <c r="E216" s="449"/>
      <c r="F216" s="449"/>
      <c r="G216" s="449"/>
      <c r="H216" s="621"/>
      <c r="I216" s="339">
        <f t="shared" si="52"/>
        <v>43315</v>
      </c>
      <c r="J216" s="610" t="s">
        <v>207</v>
      </c>
      <c r="K216" s="610"/>
      <c r="L216" s="290"/>
      <c r="M216" s="291" t="s">
        <v>208</v>
      </c>
      <c r="N216" s="291"/>
      <c r="O216" s="386">
        <f>(COUNTIF($E214:$E244,$J216))</f>
        <v>0</v>
      </c>
      <c r="P216" s="316"/>
      <c r="Q216" s="555" t="str">
        <f>'FICHE DE PAIE'!A$4</f>
        <v>Salaire de base</v>
      </c>
      <c r="R216" s="555"/>
      <c r="S216" s="555"/>
      <c r="T216" s="555"/>
      <c r="U216" s="555"/>
      <c r="V216" s="555"/>
      <c r="W216" s="555"/>
      <c r="X216" s="555"/>
      <c r="Y216" s="555"/>
      <c r="Z216" s="494"/>
      <c r="AA216" s="556">
        <f>'FICHE DE PAIE'!$K$4</f>
        <v>151.66999999999999</v>
      </c>
      <c r="AB216" s="556"/>
      <c r="AC216" s="556"/>
      <c r="AD216" s="558">
        <f>'FICHE DE PAIE'!N$4</f>
        <v>12.074</v>
      </c>
      <c r="AE216" s="558"/>
      <c r="AF216" s="558"/>
      <c r="AG216" s="559">
        <f t="shared" ref="AG216:AG221" si="53">AA216*AD216</f>
        <v>1831.2635799999998</v>
      </c>
      <c r="AH216" s="559"/>
      <c r="AI216" s="559"/>
      <c r="AJ216" s="559"/>
      <c r="AK216" s="567" t="s">
        <v>233</v>
      </c>
      <c r="AL216" s="567"/>
      <c r="AM216" s="567"/>
      <c r="AN216" s="567"/>
      <c r="AO216" s="568">
        <v>2946</v>
      </c>
      <c r="AP216" s="568"/>
      <c r="AQ216" s="568"/>
      <c r="AR216" s="500"/>
      <c r="AS216" s="500"/>
      <c r="AT216" s="500"/>
      <c r="AU216" s="297"/>
      <c r="AV216" s="290"/>
      <c r="AW216" s="608"/>
      <c r="AX216" s="608"/>
      <c r="AY216" s="608"/>
      <c r="AZ216" s="608"/>
      <c r="BA216" s="608"/>
      <c r="BB216" s="608"/>
      <c r="BC216" s="608"/>
      <c r="BD216" s="608"/>
      <c r="BE216" s="608"/>
      <c r="BF216" s="608"/>
      <c r="BG216" s="608"/>
      <c r="BH216" s="608"/>
      <c r="BI216" s="611" t="s">
        <v>234</v>
      </c>
      <c r="BJ216" s="611"/>
      <c r="BK216" s="611"/>
      <c r="BL216" s="611"/>
      <c r="BM216" s="611" t="s">
        <v>235</v>
      </c>
      <c r="BN216" s="611"/>
      <c r="BO216" s="611"/>
      <c r="BP216" s="611"/>
      <c r="BQ216" s="611" t="s">
        <v>236</v>
      </c>
      <c r="BR216" s="611"/>
      <c r="BS216" s="611"/>
      <c r="BT216" s="611"/>
      <c r="BU216" s="611" t="s">
        <v>235</v>
      </c>
      <c r="BV216" s="611"/>
      <c r="BW216" s="611"/>
      <c r="BX216" s="611" t="s">
        <v>236</v>
      </c>
      <c r="BY216" s="611"/>
      <c r="BZ216" s="611"/>
      <c r="CA216" s="612"/>
    </row>
    <row r="217" spans="1:79" ht="15" customHeight="1">
      <c r="A217" s="425">
        <v>8</v>
      </c>
      <c r="B217" s="383">
        <v>4</v>
      </c>
      <c r="C217" s="382">
        <f t="shared" ref="C217:C223" si="54">VLOOKUP(A217,Données,4)+B217-1</f>
        <v>216</v>
      </c>
      <c r="D217" s="383" t="str">
        <f>IF(I217='Jour Férié'!F$13,'Jour Férié'!E$13,""&amp;IF(I217='Jour Férié'!F$14,'Jour Férié'!E$14,""&amp;IF(I217='Jour Férié'!F$15,'Jour Férié'!E$15,""&amp;IF(I217='Jour Férié'!B$12,'Jour Férié'!A$12,""&amp;IF(MOD(MATCH(I217,vacances!$A$3:$A$202,1),2)=1,"vacances","")))))</f>
        <v>vacances</v>
      </c>
      <c r="E217" s="449"/>
      <c r="F217" s="449"/>
      <c r="G217" s="449"/>
      <c r="H217" s="621"/>
      <c r="I217" s="339">
        <f t="shared" si="52"/>
        <v>43316</v>
      </c>
      <c r="J217" s="387"/>
      <c r="K217" s="388" t="s">
        <v>209</v>
      </c>
      <c r="L217" s="290"/>
      <c r="M217" s="291" t="s">
        <v>210</v>
      </c>
      <c r="N217" s="291"/>
      <c r="O217" s="386">
        <f>SUM(O214:O216)</f>
        <v>0</v>
      </c>
      <c r="P217" s="316"/>
      <c r="Q217" s="555" t="str">
        <f>'FICHE DE PAIE'!A$5</f>
        <v>HS à 25%</v>
      </c>
      <c r="R217" s="555"/>
      <c r="S217" s="555"/>
      <c r="T217" s="555"/>
      <c r="U217" s="555"/>
      <c r="V217" s="555"/>
      <c r="W217" s="555"/>
      <c r="X217" s="555"/>
      <c r="Y217" s="555"/>
      <c r="Z217" s="494"/>
      <c r="AA217" s="561"/>
      <c r="AB217" s="561"/>
      <c r="AC217" s="561"/>
      <c r="AD217" s="558">
        <f>'FICHE DE PAIE'!N$5</f>
        <v>15.092499999999999</v>
      </c>
      <c r="AE217" s="558"/>
      <c r="AF217" s="558"/>
      <c r="AG217" s="559">
        <f t="shared" si="53"/>
        <v>0</v>
      </c>
      <c r="AH217" s="559"/>
      <c r="AI217" s="559"/>
      <c r="AJ217" s="559"/>
      <c r="AK217" s="294"/>
      <c r="AL217" s="294"/>
      <c r="AM217" s="294"/>
      <c r="AN217" s="295"/>
      <c r="AO217" s="295"/>
      <c r="AP217" s="295"/>
      <c r="AQ217" s="295"/>
      <c r="AR217" s="295"/>
      <c r="AS217" s="295"/>
      <c r="AT217" s="295"/>
      <c r="AU217" s="295"/>
      <c r="AV217" s="290"/>
      <c r="AW217" s="591" t="s">
        <v>238</v>
      </c>
      <c r="AX217" s="591"/>
      <c r="AY217" s="591"/>
      <c r="AZ217" s="591"/>
      <c r="BA217" s="591"/>
      <c r="BB217" s="591"/>
      <c r="BC217" s="591"/>
      <c r="BD217" s="591"/>
      <c r="BE217" s="591"/>
      <c r="BF217" s="591"/>
      <c r="BG217" s="591"/>
      <c r="BH217" s="591"/>
      <c r="BI217" s="590">
        <f>$AG$17</f>
        <v>1952.5539499999998</v>
      </c>
      <c r="BJ217" s="590"/>
      <c r="BK217" s="590"/>
      <c r="BL217" s="590"/>
      <c r="BM217" s="594">
        <f>'FICHE DE PAIE'!AW$5</f>
        <v>4.0000000000000001E-3</v>
      </c>
      <c r="BN217" s="594"/>
      <c r="BO217" s="594"/>
      <c r="BP217" s="594"/>
      <c r="BQ217" s="592">
        <f>BI217*BM217</f>
        <v>7.810215799999999</v>
      </c>
      <c r="BR217" s="592"/>
      <c r="BS217" s="592"/>
      <c r="BT217" s="592"/>
      <c r="BU217" s="594">
        <f>'FICHE DE PAIE'!BE$5</f>
        <v>0.152</v>
      </c>
      <c r="BV217" s="594"/>
      <c r="BW217" s="594"/>
      <c r="BX217" s="592">
        <f>BI217*BU217</f>
        <v>296.78820039999994</v>
      </c>
      <c r="BY217" s="592"/>
      <c r="BZ217" s="592"/>
      <c r="CA217" s="593"/>
    </row>
    <row r="218" spans="1:79" ht="15" customHeight="1">
      <c r="A218" s="424">
        <v>8</v>
      </c>
      <c r="B218" s="382">
        <v>5</v>
      </c>
      <c r="C218" s="382">
        <f t="shared" si="54"/>
        <v>217</v>
      </c>
      <c r="D218" s="383" t="str">
        <f>IF(I218='Jour Férié'!F$13,'Jour Férié'!E$13,""&amp;IF(I218='Jour Férié'!F$14,'Jour Férié'!E$14,""&amp;IF(I218='Jour Férié'!F$15,'Jour Férié'!E$15,""&amp;IF(I218='Jour Férié'!B$12,'Jour Férié'!A$12,""&amp;IF(MOD(MATCH(I218,vacances!$A$3:$A$202,1),2)=1,"vacances","")))))</f>
        <v>vacances</v>
      </c>
      <c r="E218" s="449"/>
      <c r="F218" s="449"/>
      <c r="G218" s="449"/>
      <c r="H218" s="621"/>
      <c r="I218" s="339">
        <f t="shared" si="52"/>
        <v>43317</v>
      </c>
      <c r="J218" s="7"/>
      <c r="K218" s="7"/>
      <c r="L218" s="290"/>
      <c r="M218" s="291" t="s">
        <v>211</v>
      </c>
      <c r="N218" s="291"/>
      <c r="O218" s="386">
        <f ca="1">(COUNTIF(I214:I222,dimanche(COUNTIF($E214:$E244,$J215))))</f>
        <v>0</v>
      </c>
      <c r="P218" s="316"/>
      <c r="Q218" s="555" t="str">
        <f>'FICHE DE PAIE'!A$6</f>
        <v>HS à 50%</v>
      </c>
      <c r="R218" s="555"/>
      <c r="S218" s="555"/>
      <c r="T218" s="555"/>
      <c r="U218" s="555"/>
      <c r="V218" s="555"/>
      <c r="W218" s="555"/>
      <c r="X218" s="555"/>
      <c r="Y218" s="555"/>
      <c r="Z218" s="494"/>
      <c r="AA218" s="561"/>
      <c r="AB218" s="561"/>
      <c r="AC218" s="561"/>
      <c r="AD218" s="558">
        <f>'FICHE DE PAIE'!N$6</f>
        <v>18.111000000000001</v>
      </c>
      <c r="AE218" s="558"/>
      <c r="AF218" s="558"/>
      <c r="AG218" s="559">
        <f t="shared" si="53"/>
        <v>0</v>
      </c>
      <c r="AH218" s="559"/>
      <c r="AI218" s="559"/>
      <c r="AJ218" s="559"/>
      <c r="AK218" s="294"/>
      <c r="AL218" s="294"/>
      <c r="AM218" s="294"/>
      <c r="AN218" s="295"/>
      <c r="AO218" s="295"/>
      <c r="AP218" s="295"/>
      <c r="AQ218" s="295"/>
      <c r="AR218" s="295"/>
      <c r="AS218" s="295"/>
      <c r="AT218" s="295"/>
      <c r="AU218" s="295"/>
      <c r="AV218" s="290"/>
      <c r="AW218" s="591" t="s">
        <v>240</v>
      </c>
      <c r="AX218" s="591"/>
      <c r="AY218" s="591"/>
      <c r="AZ218" s="591"/>
      <c r="BA218" s="591"/>
      <c r="BB218" s="591"/>
      <c r="BC218" s="591"/>
      <c r="BD218" s="591"/>
      <c r="BE218" s="591"/>
      <c r="BF218" s="591"/>
      <c r="BG218" s="591"/>
      <c r="BH218" s="591"/>
      <c r="BI218" s="590">
        <f t="shared" ref="BI218:BI229" si="55">$AG$17</f>
        <v>1952.5539499999998</v>
      </c>
      <c r="BJ218" s="590"/>
      <c r="BK218" s="590"/>
      <c r="BL218" s="590"/>
      <c r="BM218" s="594">
        <f>'FICHE DE PAIE'!AW$6</f>
        <v>6.9000000000000006E-2</v>
      </c>
      <c r="BN218" s="594"/>
      <c r="BO218" s="594"/>
      <c r="BP218" s="594"/>
      <c r="BQ218" s="592">
        <f t="shared" ref="BQ218:BQ235" si="56">BI218*BM218</f>
        <v>134.72622254999999</v>
      </c>
      <c r="BR218" s="592"/>
      <c r="BS218" s="592"/>
      <c r="BT218" s="592"/>
      <c r="BU218" s="594">
        <f>'FICHE DE PAIE'!BE$6</f>
        <v>8.5500000000000007E-2</v>
      </c>
      <c r="BV218" s="594"/>
      <c r="BW218" s="594"/>
      <c r="BX218" s="592">
        <f t="shared" ref="BX218:BX237" si="57">BI218*BU218</f>
        <v>166.94336272499999</v>
      </c>
      <c r="BY218" s="592"/>
      <c r="BZ218" s="592"/>
      <c r="CA218" s="593"/>
    </row>
    <row r="219" spans="1:79" ht="15" customHeight="1">
      <c r="A219" s="424">
        <v>8</v>
      </c>
      <c r="B219" s="382">
        <v>6</v>
      </c>
      <c r="C219" s="382">
        <f t="shared" si="54"/>
        <v>218</v>
      </c>
      <c r="D219" s="383" t="str">
        <f>IF(I219='Jour Férié'!F$13,'Jour Férié'!E$13,""&amp;IF(I219='Jour Férié'!F$14,'Jour Férié'!E$14,""&amp;IF(I219='Jour Férié'!F$15,'Jour Férié'!E$15,""&amp;IF(I219='Jour Férié'!B$12,'Jour Férié'!A$12,""&amp;IF(MOD(MATCH(I219,vacances!$A$3:$A$202,1),2)=1,"vacances","")))))</f>
        <v>vacances</v>
      </c>
      <c r="E219" s="449"/>
      <c r="F219" s="449"/>
      <c r="G219" s="449"/>
      <c r="H219" s="621"/>
      <c r="I219" s="339">
        <f t="shared" si="52"/>
        <v>43318</v>
      </c>
      <c r="J219" s="389"/>
      <c r="K219" s="388" t="s">
        <v>212</v>
      </c>
      <c r="L219" s="290"/>
      <c r="M219" s="291" t="s">
        <v>213</v>
      </c>
      <c r="N219" s="291"/>
      <c r="O219" s="386">
        <f>SUM(O214:O215)</f>
        <v>0</v>
      </c>
      <c r="P219" s="316"/>
      <c r="Q219" s="555" t="str">
        <f>'FICHE DE PAIE'!A$7</f>
        <v>MAJORATION DIMANCHE</v>
      </c>
      <c r="R219" s="555"/>
      <c r="S219" s="555"/>
      <c r="T219" s="555"/>
      <c r="U219" s="555"/>
      <c r="V219" s="555"/>
      <c r="W219" s="555"/>
      <c r="X219" s="555"/>
      <c r="Y219" s="555"/>
      <c r="Z219" s="494"/>
      <c r="AA219" s="557">
        <f>O224</f>
        <v>0</v>
      </c>
      <c r="AB219" s="557"/>
      <c r="AC219" s="557"/>
      <c r="AD219" s="558">
        <f>'FICHE DE PAIE'!N$7</f>
        <v>1.2074</v>
      </c>
      <c r="AE219" s="558"/>
      <c r="AF219" s="558"/>
      <c r="AG219" s="559">
        <f t="shared" si="53"/>
        <v>0</v>
      </c>
      <c r="AH219" s="559"/>
      <c r="AI219" s="559"/>
      <c r="AJ219" s="559"/>
      <c r="AK219" s="294"/>
      <c r="AL219" s="294"/>
      <c r="AM219" s="294"/>
      <c r="AN219" s="295"/>
      <c r="AO219" s="295"/>
      <c r="AP219" s="295"/>
      <c r="AQ219" s="295"/>
      <c r="AR219" s="295"/>
      <c r="AS219" s="295"/>
      <c r="AT219" s="295"/>
      <c r="AU219" s="295"/>
      <c r="AV219" s="290"/>
      <c r="AW219" s="591" t="s">
        <v>242</v>
      </c>
      <c r="AX219" s="591"/>
      <c r="AY219" s="591"/>
      <c r="AZ219" s="591"/>
      <c r="BA219" s="591"/>
      <c r="BB219" s="591"/>
      <c r="BC219" s="591"/>
      <c r="BD219" s="591"/>
      <c r="BE219" s="591"/>
      <c r="BF219" s="591"/>
      <c r="BG219" s="591"/>
      <c r="BH219" s="591"/>
      <c r="BI219" s="590">
        <f t="shared" si="55"/>
        <v>1952.5539499999998</v>
      </c>
      <c r="BJ219" s="590"/>
      <c r="BK219" s="590"/>
      <c r="BL219" s="590"/>
      <c r="BM219" s="590"/>
      <c r="BN219" s="590"/>
      <c r="BO219" s="590"/>
      <c r="BP219" s="590"/>
      <c r="BQ219" s="592">
        <f t="shared" si="56"/>
        <v>0</v>
      </c>
      <c r="BR219" s="592"/>
      <c r="BS219" s="592"/>
      <c r="BT219" s="592"/>
      <c r="BU219" s="594">
        <f>'FICHE DE PAIE'!BE$7</f>
        <v>1E-3</v>
      </c>
      <c r="BV219" s="594"/>
      <c r="BW219" s="594"/>
      <c r="BX219" s="592">
        <f t="shared" si="57"/>
        <v>1.9525539499999998</v>
      </c>
      <c r="BY219" s="592"/>
      <c r="BZ219" s="592"/>
      <c r="CA219" s="593"/>
    </row>
    <row r="220" spans="1:79" ht="15" customHeight="1">
      <c r="A220" s="424">
        <v>8</v>
      </c>
      <c r="B220" s="382">
        <v>7</v>
      </c>
      <c r="C220" s="382">
        <f t="shared" si="54"/>
        <v>219</v>
      </c>
      <c r="D220" s="383" t="str">
        <f>IF(I220='Jour Férié'!F$13,'Jour Férié'!E$13,""&amp;IF(I220='Jour Férié'!F$14,'Jour Férié'!E$14,""&amp;IF(I220='Jour Férié'!F$15,'Jour Férié'!E$15,""&amp;IF(I220='Jour Férié'!B$12,'Jour Férié'!A$12,""&amp;IF(MOD(MATCH(I220,vacances!$A$3:$A$202,1),2)=1,"vacances","")))))</f>
        <v>vacances</v>
      </c>
      <c r="E220" s="449"/>
      <c r="F220" s="449"/>
      <c r="G220" s="449"/>
      <c r="H220" s="621"/>
      <c r="I220" s="339">
        <f t="shared" si="52"/>
        <v>43319</v>
      </c>
      <c r="J220" s="7"/>
      <c r="K220" s="7"/>
      <c r="L220" s="290"/>
      <c r="M220" s="385" t="s">
        <v>214</v>
      </c>
      <c r="N220" s="385"/>
      <c r="O220" s="390">
        <f>((6*COUNTIF(E213,J214))+(3*COUNTIF(E214,J214))+((6*COUNTIF(E214,J214))+(3*COUNTIF(E215,J214)))+((6*COUNTIF(E215,J214))+(3*COUNTIF(E216,J214)))+((6*COUNTIF(E216,J214))+(3*COUNTIF(E217,J214)))+((6*COUNTIF(E217,J214))+(3*COUNTIF(E218,J214)))+((6*COUNTIF(E218,J214))+(3*COUNTIF(E219,J214)))+((6*COUNTIF(E219,J214))+(3*COUNTIF(E220,J214)))+((6*COUNTIF(E220,J214))+(3*COUNTIF(E221,J214)))+((6*COUNTIF(E221,J214))+(3*COUNTIF(E222,J214)))+((6*COUNTIF(E222,J214))+(3*COUNTIF(E223,J214)))+((6*COUNTIF(E223,J214))+(3*COUNTIF(E224,J214)))+((6*COUNTIF(E224,J214))+(3*COUNTIF(E225,J214)))+((6*COUNTIF(E225,J214))+(3*COUNTIF(E226,J214)))+((6*COUNTIF(E226,J214))+(3*COUNTIF(E227,J214)))+((6*COUNTIF(E227,J214))+(3*COUNTIF(E228,J214)))+((6*COUNTIF(E228,J214))+(3*COUNTIF(E229,J214)))+((6*COUNTIF(E229,J214))+(3*COUNTIF(E230,J214)))+((6*COUNTIF(E230,J214))+(3*COUNTIF(E231,J214)))+((6*COUNTIF(E231,J214))+(3*COUNTIF(E232,J214)))+((6*COUNTIF(E232,J214))+(3*COUNTIF(E233,J214)))+((6*COUNTIF(E233,J214))+(3*COUNTIF(E234,J214)))+((6*COUNTIF(E234,J214))+(3*COUNTIF(E235,J214)))+((6*COUNTIF(E235,J214))+(3*COUNTIF(E236,J214)))+((6*COUNTIF(E236,J214))+(3*COUNTIF(E237,J214)))+((6*COUNTIF(E237,J214))+(3*COUNTIF(E238,J214)))+((6*COUNTIF(E238,J214))+(3*COUNTIF(E239,J214)))+((6*COUNTIF(E239,J214))+(3*COUNTIF(E240,J214)))+((6*COUNTIF(E240,J214))+(3*COUNTIF(E241,J214)))+((6*COUNTIF(E241,J214))+(3*COUNTIF(E242,J214)))+((6*COUNTIF(E242,J214))+(3*COUNTIF(E243,J214)))+((6*COUNTIF(E243,J214))+(3*COUNTIF(E244,J214)))+((6*COUNTIF(E244,J214))))</f>
        <v>0</v>
      </c>
      <c r="P220" s="316"/>
      <c r="Q220" s="555" t="str">
        <f>'FICHE DE PAIE'!A$8</f>
        <v>MAJORATION NUIT</v>
      </c>
      <c r="R220" s="555"/>
      <c r="S220" s="555"/>
      <c r="T220" s="555"/>
      <c r="U220" s="555"/>
      <c r="V220" s="555"/>
      <c r="W220" s="555"/>
      <c r="X220" s="555"/>
      <c r="Y220" s="555"/>
      <c r="Z220" s="494"/>
      <c r="AA220" s="557">
        <f>O220</f>
        <v>0</v>
      </c>
      <c r="AB220" s="557"/>
      <c r="AC220" s="557"/>
      <c r="AD220" s="558">
        <f>'FICHE DE PAIE'!N$8</f>
        <v>1.2074</v>
      </c>
      <c r="AE220" s="558"/>
      <c r="AF220" s="558"/>
      <c r="AG220" s="559">
        <f t="shared" si="53"/>
        <v>0</v>
      </c>
      <c r="AH220" s="559"/>
      <c r="AI220" s="559"/>
      <c r="AJ220" s="559"/>
      <c r="AK220" s="294"/>
      <c r="AL220" s="294"/>
      <c r="AM220" s="294"/>
      <c r="AN220" s="295"/>
      <c r="AO220" s="295"/>
      <c r="AP220" s="295"/>
      <c r="AQ220" s="295"/>
      <c r="AR220" s="295"/>
      <c r="AS220" s="295"/>
      <c r="AT220" s="295"/>
      <c r="AU220" s="295"/>
      <c r="AV220" s="290"/>
      <c r="AW220" s="591" t="s">
        <v>244</v>
      </c>
      <c r="AX220" s="591"/>
      <c r="AY220" s="591"/>
      <c r="AZ220" s="591"/>
      <c r="BA220" s="591"/>
      <c r="BB220" s="591"/>
      <c r="BC220" s="591"/>
      <c r="BD220" s="591"/>
      <c r="BE220" s="591"/>
      <c r="BF220" s="591"/>
      <c r="BG220" s="591"/>
      <c r="BH220" s="591"/>
      <c r="BI220" s="590">
        <f t="shared" si="55"/>
        <v>1952.5539499999998</v>
      </c>
      <c r="BJ220" s="590"/>
      <c r="BK220" s="590"/>
      <c r="BL220" s="590"/>
      <c r="BM220" s="590"/>
      <c r="BN220" s="590"/>
      <c r="BO220" s="590"/>
      <c r="BP220" s="590"/>
      <c r="BQ220" s="592">
        <f t="shared" si="56"/>
        <v>0</v>
      </c>
      <c r="BR220" s="592"/>
      <c r="BS220" s="592"/>
      <c r="BT220" s="592"/>
      <c r="BU220" s="594">
        <f>'FICHE DE PAIE'!BE$8</f>
        <v>4.0000000000000001E-3</v>
      </c>
      <c r="BV220" s="594"/>
      <c r="BW220" s="594"/>
      <c r="BX220" s="592">
        <f t="shared" si="57"/>
        <v>7.810215799999999</v>
      </c>
      <c r="BY220" s="592"/>
      <c r="BZ220" s="592"/>
      <c r="CA220" s="593"/>
    </row>
    <row r="221" spans="1:79" ht="15" customHeight="1">
      <c r="A221" s="424">
        <v>8</v>
      </c>
      <c r="B221" s="382">
        <v>8</v>
      </c>
      <c r="C221" s="382">
        <f t="shared" si="54"/>
        <v>220</v>
      </c>
      <c r="D221" s="383" t="str">
        <f>IF(I221='Jour Férié'!F$13,'Jour Férié'!E$13,""&amp;IF(I221='Jour Férié'!F$14,'Jour Férié'!E$14,""&amp;IF(I221='Jour Férié'!F$15,'Jour Férié'!E$15,""&amp;IF(I221='Jour Férié'!B$12,'Jour Férié'!A$12,""&amp;IF(MOD(MATCH(I221,vacances!$A$3:$A$202,1),2)=1,"vacances","")))))</f>
        <v>vacances</v>
      </c>
      <c r="E221" s="449"/>
      <c r="F221" s="449"/>
      <c r="G221" s="449"/>
      <c r="H221" s="621"/>
      <c r="I221" s="339">
        <f t="shared" si="52"/>
        <v>43320</v>
      </c>
      <c r="J221" s="391" t="s">
        <v>215</v>
      </c>
      <c r="K221" s="388" t="s">
        <v>216</v>
      </c>
      <c r="L221" s="290"/>
      <c r="M221" s="291" t="s">
        <v>217</v>
      </c>
      <c r="N221" s="291"/>
      <c r="O221" s="386">
        <f>O215*12</f>
        <v>0</v>
      </c>
      <c r="P221" s="316"/>
      <c r="Q221" s="555" t="str">
        <f>'FICHE DE PAIE'!A$9</f>
        <v>MAJORATION JOUR FERIE</v>
      </c>
      <c r="R221" s="555"/>
      <c r="S221" s="555"/>
      <c r="T221" s="555"/>
      <c r="U221" s="555"/>
      <c r="V221" s="555"/>
      <c r="W221" s="555"/>
      <c r="X221" s="555"/>
      <c r="Y221" s="555"/>
      <c r="Z221" s="494"/>
      <c r="AA221" s="557">
        <f>O226</f>
        <v>0</v>
      </c>
      <c r="AB221" s="557"/>
      <c r="AC221" s="557"/>
      <c r="AD221" s="558">
        <f>'FICHE DE PAIE'!N$9</f>
        <v>12.074</v>
      </c>
      <c r="AE221" s="558"/>
      <c r="AF221" s="558"/>
      <c r="AG221" s="559">
        <f t="shared" si="53"/>
        <v>0</v>
      </c>
      <c r="AH221" s="559"/>
      <c r="AI221" s="559"/>
      <c r="AJ221" s="559"/>
      <c r="AK221" s="294"/>
      <c r="AL221" s="294"/>
      <c r="AM221" s="294"/>
      <c r="AN221" s="295"/>
      <c r="AO221" s="295"/>
      <c r="AP221" s="295"/>
      <c r="AQ221" s="295"/>
      <c r="AR221" s="295"/>
      <c r="AS221" s="295"/>
      <c r="AT221" s="295"/>
      <c r="AU221" s="295"/>
      <c r="AV221" s="290"/>
      <c r="AW221" s="591" t="s">
        <v>246</v>
      </c>
      <c r="AX221" s="591"/>
      <c r="AY221" s="591"/>
      <c r="AZ221" s="591"/>
      <c r="BA221" s="591"/>
      <c r="BB221" s="591"/>
      <c r="BC221" s="591"/>
      <c r="BD221" s="591"/>
      <c r="BE221" s="591"/>
      <c r="BF221" s="591"/>
      <c r="BG221" s="591"/>
      <c r="BH221" s="591"/>
      <c r="BI221" s="590">
        <f t="shared" si="55"/>
        <v>1952.5539499999998</v>
      </c>
      <c r="BJ221" s="590"/>
      <c r="BK221" s="590"/>
      <c r="BL221" s="590"/>
      <c r="BM221" s="590"/>
      <c r="BN221" s="590"/>
      <c r="BO221" s="590"/>
      <c r="BP221" s="590"/>
      <c r="BQ221" s="592">
        <f t="shared" si="56"/>
        <v>0</v>
      </c>
      <c r="BR221" s="592"/>
      <c r="BS221" s="592"/>
      <c r="BT221" s="592"/>
      <c r="BU221" s="594">
        <f>'FICHE DE PAIE'!BE$9</f>
        <v>1.2999999999999999E-2</v>
      </c>
      <c r="BV221" s="594"/>
      <c r="BW221" s="594"/>
      <c r="BX221" s="592">
        <f t="shared" si="57"/>
        <v>25.383201349999997</v>
      </c>
      <c r="BY221" s="592"/>
      <c r="BZ221" s="592"/>
      <c r="CA221" s="593"/>
    </row>
    <row r="222" spans="1:79" ht="15" customHeight="1">
      <c r="A222" s="424">
        <v>8</v>
      </c>
      <c r="B222" s="382">
        <v>9</v>
      </c>
      <c r="C222" s="382">
        <f t="shared" si="54"/>
        <v>221</v>
      </c>
      <c r="D222" s="383" t="str">
        <f>IF(I222='Jour Férié'!F$13,'Jour Férié'!E$13,""&amp;IF(I222='Jour Férié'!F$14,'Jour Férié'!E$14,""&amp;IF(I222='Jour Férié'!F$15,'Jour Férié'!E$15,""&amp;IF(I222='Jour Férié'!B$12,'Jour Férié'!A$12,""&amp;IF(MOD(MATCH(I222,vacances!$A$3:$A$202,1),2)=1,"vacances","")))))</f>
        <v>vacances</v>
      </c>
      <c r="E222" s="449"/>
      <c r="F222" s="449"/>
      <c r="G222" s="449"/>
      <c r="H222" s="621"/>
      <c r="I222" s="339">
        <f t="shared" si="52"/>
        <v>43321</v>
      </c>
      <c r="J222" s="391" t="s">
        <v>218</v>
      </c>
      <c r="K222" s="281" t="s">
        <v>219</v>
      </c>
      <c r="L222" s="290"/>
      <c r="M222" s="291" t="s">
        <v>220</v>
      </c>
      <c r="N222" s="291"/>
      <c r="O222" s="386">
        <f>O216*7</f>
        <v>0</v>
      </c>
      <c r="P222" s="316"/>
      <c r="Q222" s="555" t="str">
        <f>'FICHE DE PAIE'!A$10</f>
        <v xml:space="preserve">PRIME ANCIENNETE </v>
      </c>
      <c r="R222" s="555"/>
      <c r="S222" s="555"/>
      <c r="T222" s="555"/>
      <c r="U222" s="555"/>
      <c r="V222" s="555"/>
      <c r="W222" s="555"/>
      <c r="X222" s="555"/>
      <c r="Y222" s="555"/>
      <c r="Z222" s="494"/>
      <c r="AA222" s="556">
        <v>1</v>
      </c>
      <c r="AB222" s="556"/>
      <c r="AC222" s="556"/>
      <c r="AD222" s="558">
        <f>'FICHE DE PAIE'!N$10</f>
        <v>36.630000000000003</v>
      </c>
      <c r="AE222" s="558"/>
      <c r="AF222" s="558"/>
      <c r="AG222" s="606"/>
      <c r="AH222" s="606"/>
      <c r="AI222" s="606"/>
      <c r="AJ222" s="606"/>
      <c r="AK222" s="294"/>
      <c r="AL222" s="294"/>
      <c r="AM222" s="294"/>
      <c r="AN222" s="295"/>
      <c r="AO222" s="295"/>
      <c r="AP222" s="295"/>
      <c r="AQ222" s="295"/>
      <c r="AR222" s="295"/>
      <c r="AS222" s="295"/>
      <c r="AT222" s="295"/>
      <c r="AU222" s="295"/>
      <c r="AV222" s="290"/>
      <c r="AW222" s="591" t="s">
        <v>248</v>
      </c>
      <c r="AX222" s="591"/>
      <c r="AY222" s="591"/>
      <c r="AZ222" s="591"/>
      <c r="BA222" s="591"/>
      <c r="BB222" s="591"/>
      <c r="BC222" s="591"/>
      <c r="BD222" s="591"/>
      <c r="BE222" s="591"/>
      <c r="BF222" s="591"/>
      <c r="BG222" s="591"/>
      <c r="BH222" s="591"/>
      <c r="BI222" s="590">
        <f t="shared" si="55"/>
        <v>1952.5539499999998</v>
      </c>
      <c r="BJ222" s="590"/>
      <c r="BK222" s="590"/>
      <c r="BL222" s="590"/>
      <c r="BM222" s="590"/>
      <c r="BN222" s="590"/>
      <c r="BO222" s="590"/>
      <c r="BP222" s="590"/>
      <c r="BQ222" s="592">
        <f t="shared" si="56"/>
        <v>0</v>
      </c>
      <c r="BR222" s="592"/>
      <c r="BS222" s="592"/>
      <c r="BT222" s="592"/>
      <c r="BU222" s="594">
        <f>'FICHE DE PAIE'!BE$10</f>
        <v>1.7600000000000001E-2</v>
      </c>
      <c r="BV222" s="594"/>
      <c r="BW222" s="594"/>
      <c r="BX222" s="592">
        <f t="shared" si="57"/>
        <v>34.364949519999996</v>
      </c>
      <c r="BY222" s="592"/>
      <c r="BZ222" s="592"/>
      <c r="CA222" s="593"/>
    </row>
    <row r="223" spans="1:79" ht="15" customHeight="1">
      <c r="A223" s="425">
        <v>8</v>
      </c>
      <c r="B223" s="383">
        <v>10</v>
      </c>
      <c r="C223" s="382">
        <f t="shared" si="54"/>
        <v>222</v>
      </c>
      <c r="D223" s="383" t="str">
        <f>IF(I223='Jour Férié'!F$13,'Jour Férié'!E$13,""&amp;IF(I223='Jour Férié'!F$14,'Jour Férié'!E$14,""&amp;IF(I223='Jour Férié'!F$15,'Jour Férié'!E$15,""&amp;IF(I223='Jour Férié'!B$12,'Jour Férié'!A$12,""&amp;IF(MOD(MATCH(I223,vacances!$A$3:$A$202,1),2)=1,"vacances","")))))</f>
        <v>vacances</v>
      </c>
      <c r="E223" s="449"/>
      <c r="F223" s="449"/>
      <c r="G223" s="449"/>
      <c r="H223" s="621"/>
      <c r="I223" s="339">
        <f t="shared" si="52"/>
        <v>43322</v>
      </c>
      <c r="J223" s="392" t="s">
        <v>221</v>
      </c>
      <c r="K223" s="281" t="s">
        <v>222</v>
      </c>
      <c r="L223" s="290"/>
      <c r="M223" s="385" t="s">
        <v>223</v>
      </c>
      <c r="N223" s="385"/>
      <c r="O223" s="390">
        <f>(O214+O215)*12</f>
        <v>0</v>
      </c>
      <c r="P223" s="316"/>
      <c r="Q223" s="555" t="str">
        <f>'FICHE DE PAIE'!A$11</f>
        <v>PRIME HABILLAGE</v>
      </c>
      <c r="R223" s="555"/>
      <c r="S223" s="555"/>
      <c r="T223" s="555"/>
      <c r="U223" s="555"/>
      <c r="V223" s="555"/>
      <c r="W223" s="555"/>
      <c r="X223" s="555"/>
      <c r="Y223" s="555"/>
      <c r="Z223" s="494"/>
      <c r="AA223" s="556">
        <f>AA216</f>
        <v>151.66999999999999</v>
      </c>
      <c r="AB223" s="556"/>
      <c r="AC223" s="556"/>
      <c r="AD223" s="558">
        <f>'FICHE DE PAIE'!N$11</f>
        <v>0.13100000000000001</v>
      </c>
      <c r="AE223" s="558"/>
      <c r="AF223" s="558"/>
      <c r="AG223" s="559">
        <f>AA223*AD223</f>
        <v>19.868769999999998</v>
      </c>
      <c r="AH223" s="559"/>
      <c r="AI223" s="559"/>
      <c r="AJ223" s="559"/>
      <c r="AK223" s="294"/>
      <c r="AL223" s="294"/>
      <c r="AM223" s="294"/>
      <c r="AN223" s="295"/>
      <c r="AO223" s="295"/>
      <c r="AP223" s="295"/>
      <c r="AQ223" s="295"/>
      <c r="AR223" s="295"/>
      <c r="AS223" s="295"/>
      <c r="AT223" s="295"/>
      <c r="AU223" s="295"/>
      <c r="AV223" s="290"/>
      <c r="AW223" s="591" t="s">
        <v>250</v>
      </c>
      <c r="AX223" s="591"/>
      <c r="AY223" s="591"/>
      <c r="AZ223" s="591"/>
      <c r="BA223" s="591"/>
      <c r="BB223" s="591"/>
      <c r="BC223" s="591"/>
      <c r="BD223" s="591"/>
      <c r="BE223" s="591"/>
      <c r="BF223" s="591"/>
      <c r="BG223" s="591"/>
      <c r="BH223" s="591"/>
      <c r="BI223" s="590">
        <f t="shared" si="55"/>
        <v>1952.5539499999998</v>
      </c>
      <c r="BJ223" s="590"/>
      <c r="BK223" s="590"/>
      <c r="BL223" s="590"/>
      <c r="BM223" s="590"/>
      <c r="BN223" s="590"/>
      <c r="BO223" s="590"/>
      <c r="BP223" s="590"/>
      <c r="BQ223" s="592">
        <f t="shared" si="56"/>
        <v>0</v>
      </c>
      <c r="BR223" s="592"/>
      <c r="BS223" s="592"/>
      <c r="BT223" s="592"/>
      <c r="BU223" s="594">
        <f>'FICHE DE PAIE'!BE$11</f>
        <v>3.4500000000000003E-2</v>
      </c>
      <c r="BV223" s="594"/>
      <c r="BW223" s="594"/>
      <c r="BX223" s="592">
        <f t="shared" si="57"/>
        <v>67.363111274999994</v>
      </c>
      <c r="BY223" s="592"/>
      <c r="BZ223" s="592"/>
      <c r="CA223" s="593"/>
    </row>
    <row r="224" spans="1:79" ht="15" customHeight="1">
      <c r="A224" s="424">
        <v>8</v>
      </c>
      <c r="B224" s="382">
        <v>11</v>
      </c>
      <c r="C224" s="382">
        <f t="shared" ref="C224:C239" si="58">VLOOKUP(A224,Données,4)+B224-1</f>
        <v>223</v>
      </c>
      <c r="D224" s="383" t="str">
        <f>IF(I224='Jour Férié'!F$13,'Jour Férié'!E$13,""&amp;IF(I224='Jour Férié'!F$14,'Jour Férié'!E$14,""&amp;IF(I224='Jour Férié'!F$15,'Jour Férié'!E$15,""&amp;IF(I224='Jour Férié'!B$12,'Jour Férié'!A$12,""&amp;IF(MOD(MATCH(I224,vacances!$A$3:$A$202,1),2)=1,"vacances","")))))</f>
        <v>vacances</v>
      </c>
      <c r="E224" s="449"/>
      <c r="F224" s="449"/>
      <c r="G224" s="449"/>
      <c r="H224" s="621"/>
      <c r="I224" s="339">
        <f t="shared" si="52"/>
        <v>43323</v>
      </c>
      <c r="J224" s="290"/>
      <c r="K224" s="290"/>
      <c r="L224" s="290"/>
      <c r="M224" s="578" t="s">
        <v>224</v>
      </c>
      <c r="N224" s="393">
        <f>(IF(WEEKDAY(I214,2)=7,(7*COUNTIF(E213,J214))+(12*COUNTIF(E214,J215))+(5*COUNTIF(E214,J214))))+(IF(WEEKDAY(I215,2)=7,(7*COUNTIF(E214,J214))+(12*COUNTIF(E215,J215))+(5*COUNTIF(E215,J214))))+(IF(WEEKDAY(I216,2)=7,(7*COUNTIF(E215,J214))+(12*COUNTIF(E216,J215))+(5*COUNTIF(E216,J214))))+(IF(WEEKDAY(I217,2)=7,(7*COUNTIF(E216,J214))+(12*COUNTIF(E217,J215))+(5*COUNTIF(E217,J214))))+(IF(WEEKDAY(I218,2)=7,(7*COUNTIF(E217,J214))+(12*COUNTIF(E218,J215))+(5*COUNTIF(E218,J214))))+(IF(WEEKDAY(I219,2)=7,(7*COUNTIF(E218,J214))+(12*COUNTIF(E219,J215))+(5*COUNTIF(E219,J214))))+(IF(WEEKDAY(I220,2)=7,(7*COUNTIF(E219,J214))+(12*COUNTIF(E220,J215))+(5*COUNTIF(E220,J214))))+(IF(WEEKDAY(I221,2)=7,(7*COUNTIF(E220,J214))+(12*COUNTIF(E221,J215))+(5*COUNTIF(E221,J214))))+(IF(WEEKDAY(I222,2)=7,(7*COUNTIF(E221,J214))+(12*COUNTIF(E222,J215))+(5*COUNTIF(E222,J214))))+(IF(WEEKDAY(I223,2)=7,(7*COUNTIF(E222,J214))+(12*COUNTIF(E223,J215))+(5*COUNTIF(E223,J214))))+(IF(WEEKDAY(I224,2)=7,(7*COUNTIF(E223,J214))+(12*COUNTIF(E224,J215))+(5*COUNTIF(E224,J214))))+(IF(WEEKDAY(I225,2)=7,(7*COUNTIF(E224,J214))+(12*COUNTIF(E225,J215))+(5*COUNTIF(E225,J214))))+(IF(WEEKDAY(I226,2)=7,(7*COUNTIF(E225,J214))+(12*COUNTIF(E226,J215))+(5*COUNTIF(E226,J214))))+(IF(WEEKDAY(I227,2)=7,(7*COUNTIF(E226,J214))+(12*COUNTIF(E227,J215))+(5*COUNTIF(E227,J214))))</f>
        <v>0</v>
      </c>
      <c r="O224" s="603">
        <f>SUM(N224:N225)</f>
        <v>0</v>
      </c>
      <c r="P224" s="316"/>
      <c r="Q224" s="555" t="str">
        <f>'FICHE DE PAIE'!A$12</f>
        <v>PRIME ASTREINTE</v>
      </c>
      <c r="R224" s="555"/>
      <c r="S224" s="555"/>
      <c r="T224" s="555"/>
      <c r="U224" s="555"/>
      <c r="V224" s="555"/>
      <c r="W224" s="555"/>
      <c r="X224" s="555"/>
      <c r="Y224" s="555"/>
      <c r="Z224" s="494"/>
      <c r="AA224" s="561"/>
      <c r="AB224" s="561"/>
      <c r="AC224" s="561"/>
      <c r="AD224" s="558">
        <f>'FICHE DE PAIE'!N$12</f>
        <v>90</v>
      </c>
      <c r="AE224" s="558"/>
      <c r="AF224" s="558"/>
      <c r="AG224" s="559">
        <f>AA224*AD224</f>
        <v>0</v>
      </c>
      <c r="AH224" s="559"/>
      <c r="AI224" s="559"/>
      <c r="AJ224" s="559"/>
      <c r="AK224" s="294"/>
      <c r="AL224" s="294"/>
      <c r="AM224" s="294"/>
      <c r="AN224" s="295"/>
      <c r="AO224" s="295"/>
      <c r="AP224" s="295"/>
      <c r="AQ224" s="295"/>
      <c r="AR224" s="295"/>
      <c r="AS224" s="295"/>
      <c r="AT224" s="295"/>
      <c r="AU224" s="295"/>
      <c r="AV224" s="290"/>
      <c r="AW224" s="591" t="s">
        <v>252</v>
      </c>
      <c r="AX224" s="591"/>
      <c r="AY224" s="591"/>
      <c r="AZ224" s="591"/>
      <c r="BA224" s="591"/>
      <c r="BB224" s="591"/>
      <c r="BC224" s="591"/>
      <c r="BD224" s="591"/>
      <c r="BE224" s="591"/>
      <c r="BF224" s="591"/>
      <c r="BG224" s="591"/>
      <c r="BH224" s="591"/>
      <c r="BI224" s="590">
        <f t="shared" si="55"/>
        <v>1952.5539499999998</v>
      </c>
      <c r="BJ224" s="590"/>
      <c r="BK224" s="590"/>
      <c r="BL224" s="590"/>
      <c r="BM224" s="590"/>
      <c r="BN224" s="590"/>
      <c r="BO224" s="590"/>
      <c r="BP224" s="590"/>
      <c r="BQ224" s="592">
        <f t="shared" si="56"/>
        <v>0</v>
      </c>
      <c r="BR224" s="592"/>
      <c r="BS224" s="592"/>
      <c r="BT224" s="592"/>
      <c r="BU224" s="594">
        <f>'FICHE DE PAIE'!BE$12</f>
        <v>1.6000000000000001E-4</v>
      </c>
      <c r="BV224" s="594"/>
      <c r="BW224" s="594"/>
      <c r="BX224" s="592">
        <f t="shared" si="57"/>
        <v>0.31240863199999996</v>
      </c>
      <c r="BY224" s="592"/>
      <c r="BZ224" s="592"/>
      <c r="CA224" s="593"/>
    </row>
    <row r="225" spans="1:79" ht="15" customHeight="1">
      <c r="A225" s="424">
        <v>8</v>
      </c>
      <c r="B225" s="382">
        <v>12</v>
      </c>
      <c r="C225" s="382">
        <f t="shared" si="58"/>
        <v>224</v>
      </c>
      <c r="D225" s="383" t="str">
        <f>IF(I225='Jour Férié'!F$13,'Jour Férié'!E$13,""&amp;IF(I225='Jour Férié'!F$14,'Jour Férié'!E$14,""&amp;IF(I225='Jour Férié'!F$15,'Jour Férié'!E$15,""&amp;IF(I225='Jour Férié'!B$12,'Jour Férié'!A$12,""&amp;IF(MOD(MATCH(I225,vacances!$A$3:$A$202,1),2)=1,"vacances","")))))</f>
        <v>vacances</v>
      </c>
      <c r="E225" s="449"/>
      <c r="F225" s="449"/>
      <c r="G225" s="449"/>
      <c r="H225" s="621"/>
      <c r="I225" s="339">
        <f t="shared" si="52"/>
        <v>43324</v>
      </c>
      <c r="J225" s="7"/>
      <c r="K225" s="7"/>
      <c r="L225" s="7"/>
      <c r="M225" s="578"/>
      <c r="N225" s="394">
        <f>(IF(WEEKDAY(I228,2)=7,(7*COUNTIF(E227,J214))+(12*COUNTIF(E228,J215))+(5*COUNTIF(E228,J214))))+(IF(WEEKDAY(I229,2)=7,(7*COUNTIF(E228,J214))+(12*COUNTIF(E229,J215))+(5*COUNTIF(E229,J214))))+(IF(WEEKDAY(I230,2)=7,(7*COUNTIF(E229,J214))+(12*COUNTIF(E230,J215))+(5*COUNTIF(E230,J214))))+(IF(WEEKDAY(I231,2)=7,(7*COUNTIF(E230,J214))+(12*COUNTIF(E231,J215))+(5*COUNTIF(E231,J214))))+(IF(WEEKDAY(I232,2)=7,(7*COUNTIF(E231,J214))+(12*COUNTIF(E232,J215))+(5*COUNTIF(E232,J214))))+(IF(WEEKDAY(I233,2)=7,(7*COUNTIF(E232,J214))+(12*COUNTIF(E233,J215))+(5*COUNTIF(E233,J214))))+(IF(WEEKDAY(I234,2)=7,(7*COUNTIF(E233,J214))+(12*COUNTIF(E234,J215))+(5*COUNTIF(E234,J214))))+(IF(WEEKDAY(I235,2)=7,(7*COUNTIF(E234,J214))+(12*COUNTIF(E235,J215))+(5*COUNTIF(E235,J214))))+(IF(WEEKDAY(I236,2)=7,(7*COUNTIF(E235,J214))+(12*COUNTIF(E236,J215))+(5*COUNTIF(E236,J214))))+(IF(WEEKDAY(I237,2)=7,(7*COUNTIF(E236,J214))+(12*COUNTIF(E237,J215))+(5*COUNTIF(E237,J214))))+(IF(WEEKDAY(I238,2)=7,(7*COUNTIF(E237,J214))+(12*COUNTIF(E238,J215))+(5*COUNTIF(E238,J214))))+(IF(WEEKDAY(I239,2)=7,(7*COUNTIF(E238,J214))+(12*COUNTIF(E239,J215))+(5*COUNTIF(E239,J214))))+(IF(WEEKDAY(I240,2)=7,(7*COUNTIF(E239,J214))+(12*COUNTIF(E240,J215))+(5*COUNTIF(E240,J214))))+(IF(WEEKDAY(I241,2)=7,(7*COUNTIF(E240,J214))+(12*COUNTIF(E241,J215))+(5*COUNTIF(E241,J214))))+(IF(WEEKDAY(I242,2)=7,(7*COUNTIF(E241,J214))+(12*COUNTIF(E242,J215))+(5*COUNTIF(E242,J214))))+(IF(WEEKDAY(I243,2)=7,(7*COUNTIF(E242,J214))+(12*COUNTIF(E243,J215))+(5*COUNTIF(E243,J214))))+(IF(WEEKDAY(I244,2)=7,(7*COUNTIF(E243,J214))+(12*COUNTIF(E244,J215))+(5*COUNTIF(E244,J214))))</f>
        <v>0</v>
      </c>
      <c r="O225" s="603"/>
      <c r="P225" s="316"/>
      <c r="Q225" s="555" t="str">
        <f>'FICHE DE PAIE'!A$13</f>
        <v>AUTRE PRIME</v>
      </c>
      <c r="R225" s="555"/>
      <c r="S225" s="555"/>
      <c r="T225" s="555"/>
      <c r="U225" s="555"/>
      <c r="V225" s="555"/>
      <c r="W225" s="555"/>
      <c r="X225" s="555"/>
      <c r="Y225" s="555"/>
      <c r="Z225" s="494"/>
      <c r="AA225" s="561"/>
      <c r="AB225" s="561"/>
      <c r="AC225" s="561"/>
      <c r="AD225" s="605"/>
      <c r="AE225" s="605"/>
      <c r="AF225" s="605"/>
      <c r="AG225" s="559">
        <f>AA225*AD225</f>
        <v>0</v>
      </c>
      <c r="AH225" s="559"/>
      <c r="AI225" s="559"/>
      <c r="AJ225" s="559"/>
      <c r="AK225" s="294"/>
      <c r="AL225" s="294"/>
      <c r="AM225" s="294"/>
      <c r="AN225" s="295"/>
      <c r="AO225" s="296"/>
      <c r="AP225" s="296"/>
      <c r="AQ225" s="295"/>
      <c r="AR225" s="295"/>
      <c r="AS225" s="295"/>
      <c r="AT225" s="295"/>
      <c r="AU225" s="295"/>
      <c r="AV225" s="290"/>
      <c r="AW225" s="591" t="s">
        <v>254</v>
      </c>
      <c r="AX225" s="591"/>
      <c r="AY225" s="591"/>
      <c r="AZ225" s="591"/>
      <c r="BA225" s="591"/>
      <c r="BB225" s="591"/>
      <c r="BC225" s="591"/>
      <c r="BD225" s="591"/>
      <c r="BE225" s="591"/>
      <c r="BF225" s="591"/>
      <c r="BG225" s="591"/>
      <c r="BH225" s="591"/>
      <c r="BI225" s="590">
        <f t="shared" si="55"/>
        <v>1952.5539499999998</v>
      </c>
      <c r="BJ225" s="590"/>
      <c r="BK225" s="590"/>
      <c r="BL225" s="590"/>
      <c r="BM225" s="594">
        <f>'FICHE DE PAIE'!AW$13</f>
        <v>9.4999999999999998E-3</v>
      </c>
      <c r="BN225" s="594"/>
      <c r="BO225" s="594"/>
      <c r="BP225" s="594"/>
      <c r="BQ225" s="592">
        <f t="shared" si="56"/>
        <v>18.549262524999996</v>
      </c>
      <c r="BR225" s="592"/>
      <c r="BS225" s="592"/>
      <c r="BT225" s="592"/>
      <c r="BU225" s="594">
        <f>'FICHE DE PAIE'!BE$13</f>
        <v>4.0500000000000001E-2</v>
      </c>
      <c r="BV225" s="594"/>
      <c r="BW225" s="594"/>
      <c r="BX225" s="592">
        <f t="shared" si="57"/>
        <v>79.078434974999993</v>
      </c>
      <c r="BY225" s="592"/>
      <c r="BZ225" s="592"/>
      <c r="CA225" s="593"/>
    </row>
    <row r="226" spans="1:79" ht="15" customHeight="1">
      <c r="A226" s="424">
        <v>8</v>
      </c>
      <c r="B226" s="382">
        <v>13</v>
      </c>
      <c r="C226" s="382">
        <f t="shared" si="58"/>
        <v>225</v>
      </c>
      <c r="D226" s="383" t="str">
        <f>IF(I226='Jour Férié'!F$13,'Jour Férié'!E$13,""&amp;IF(I226='Jour Férié'!F$14,'Jour Férié'!E$14,""&amp;IF(I226='Jour Férié'!F$15,'Jour Férié'!E$15,""&amp;IF(I226='Jour Férié'!B$12,'Jour Férié'!A$12,""&amp;IF(MOD(MATCH(I226,vacances!$A$3:$A$202,1),2)=1,"vacances","")))))</f>
        <v>vacances</v>
      </c>
      <c r="E226" s="449"/>
      <c r="F226" s="449"/>
      <c r="G226" s="449"/>
      <c r="H226" s="621"/>
      <c r="I226" s="339">
        <f t="shared" si="52"/>
        <v>43325</v>
      </c>
      <c r="J226" s="7"/>
      <c r="K226" s="7"/>
      <c r="L226" s="7"/>
      <c r="M226" s="385" t="s">
        <v>225</v>
      </c>
      <c r="N226" s="385"/>
      <c r="O226" s="390">
        <f>(IF((I227)='Jour Férié'!B12,(5*COUNTIF(E226,J$1))+(12*COUNTIF(E227,J$2))+(5*COUNTIF(E227,J$1))))+(IF((I228)='Jour Férié'!B12,(5*COUNTIF(E227,J$1))+(12*COUNTIF(E228,J$2))+(5*COUNTIF(E228,J$1))))</f>
        <v>0</v>
      </c>
      <c r="P226" s="316"/>
      <c r="Q226" s="555" t="str">
        <f>'FICHE DE PAIE'!A$14</f>
        <v>Absence congé payé</v>
      </c>
      <c r="R226" s="555"/>
      <c r="S226" s="555"/>
      <c r="T226" s="555"/>
      <c r="U226" s="555"/>
      <c r="V226" s="555"/>
      <c r="W226" s="555"/>
      <c r="X226" s="555"/>
      <c r="Y226" s="555"/>
      <c r="Z226" s="494"/>
      <c r="AA226" s="557">
        <f>O228*35/6</f>
        <v>0</v>
      </c>
      <c r="AB226" s="557"/>
      <c r="AC226" s="557"/>
      <c r="AD226" s="558">
        <f>'FICHE DE PAIE'!N$14</f>
        <v>12.074</v>
      </c>
      <c r="AE226" s="558"/>
      <c r="AF226" s="558"/>
      <c r="AG226" s="559"/>
      <c r="AH226" s="559"/>
      <c r="AI226" s="559"/>
      <c r="AJ226" s="559"/>
      <c r="AK226" s="602">
        <f>AA226*AD226</f>
        <v>0</v>
      </c>
      <c r="AL226" s="602"/>
      <c r="AM226" s="602"/>
      <c r="AN226" s="602"/>
      <c r="AO226" s="294"/>
      <c r="AP226" s="296"/>
      <c r="AQ226" s="295"/>
      <c r="AR226" s="295"/>
      <c r="AS226" s="295"/>
      <c r="AT226" s="295"/>
      <c r="AU226" s="295"/>
      <c r="AV226" s="290"/>
      <c r="AW226" s="591" t="s">
        <v>256</v>
      </c>
      <c r="AX226" s="591"/>
      <c r="AY226" s="591"/>
      <c r="AZ226" s="591"/>
      <c r="BA226" s="591"/>
      <c r="BB226" s="591"/>
      <c r="BC226" s="591"/>
      <c r="BD226" s="591"/>
      <c r="BE226" s="591"/>
      <c r="BF226" s="591"/>
      <c r="BG226" s="591"/>
      <c r="BH226" s="591"/>
      <c r="BI226" s="590">
        <f t="shared" si="55"/>
        <v>1952.5539499999998</v>
      </c>
      <c r="BJ226" s="590"/>
      <c r="BK226" s="590"/>
      <c r="BL226" s="590"/>
      <c r="BM226" s="590"/>
      <c r="BN226" s="590"/>
      <c r="BO226" s="590"/>
      <c r="BP226" s="590"/>
      <c r="BQ226" s="592">
        <f t="shared" si="56"/>
        <v>0</v>
      </c>
      <c r="BR226" s="592"/>
      <c r="BS226" s="592"/>
      <c r="BT226" s="592"/>
      <c r="BU226" s="594">
        <f>'FICHE DE PAIE'!BE$14</f>
        <v>1.5E-3</v>
      </c>
      <c r="BV226" s="594"/>
      <c r="BW226" s="594"/>
      <c r="BX226" s="592">
        <f t="shared" si="57"/>
        <v>2.9288309249999998</v>
      </c>
      <c r="BY226" s="592"/>
      <c r="BZ226" s="592"/>
      <c r="CA226" s="593"/>
    </row>
    <row r="227" spans="1:79" ht="15" customHeight="1">
      <c r="A227" s="424">
        <v>8</v>
      </c>
      <c r="B227" s="382">
        <v>14</v>
      </c>
      <c r="C227" s="382">
        <f t="shared" si="58"/>
        <v>226</v>
      </c>
      <c r="D227" s="383" t="str">
        <f>IF(I227='Jour Férié'!F$13,'Jour Férié'!E$13,""&amp;IF(I227='Jour Férié'!F$14,'Jour Férié'!E$14,""&amp;IF(I227='Jour Férié'!F$15,'Jour Férié'!E$15,""&amp;IF(I227='Jour Férié'!B$12,'Jour Férié'!A$12,""&amp;IF(MOD(MATCH(I227,vacances!$A$3:$A$202,1),2)=1,"vacances","")))))</f>
        <v>vacances</v>
      </c>
      <c r="E227" s="449"/>
      <c r="F227" s="449"/>
      <c r="G227" s="449"/>
      <c r="H227" s="621"/>
      <c r="I227" s="339">
        <f t="shared" si="52"/>
        <v>43326</v>
      </c>
      <c r="J227" s="7"/>
      <c r="K227" s="7"/>
      <c r="L227" s="7"/>
      <c r="M227" s="395" t="s">
        <v>226</v>
      </c>
      <c r="N227" s="395"/>
      <c r="O227" s="386">
        <f>(COUNTIF($E214:$E242,$J223))</f>
        <v>0</v>
      </c>
      <c r="P227" s="316"/>
      <c r="Q227" s="555" t="str">
        <f>'FICHE DE PAIE'!A$15</f>
        <v>paiement congé payé</v>
      </c>
      <c r="R227" s="555"/>
      <c r="S227" s="555"/>
      <c r="T227" s="555"/>
      <c r="U227" s="555"/>
      <c r="V227" s="555"/>
      <c r="W227" s="555"/>
      <c r="X227" s="555"/>
      <c r="Y227" s="555"/>
      <c r="Z227" s="494"/>
      <c r="AA227" s="556"/>
      <c r="AB227" s="556"/>
      <c r="AC227" s="556"/>
      <c r="AD227" s="566"/>
      <c r="AE227" s="566"/>
      <c r="AF227" s="566"/>
      <c r="AG227" s="604"/>
      <c r="AH227" s="604"/>
      <c r="AI227" s="604"/>
      <c r="AJ227" s="604"/>
      <c r="AK227" s="297"/>
      <c r="AL227" s="297"/>
      <c r="AM227" s="297"/>
      <c r="AN227" s="298"/>
      <c r="AO227" s="299"/>
      <c r="AP227" s="296"/>
      <c r="AQ227" s="295"/>
      <c r="AR227" s="295"/>
      <c r="AS227" s="295"/>
      <c r="AT227" s="295"/>
      <c r="AU227" s="295"/>
      <c r="AV227" s="290"/>
      <c r="AW227" s="591" t="s">
        <v>258</v>
      </c>
      <c r="AX227" s="591"/>
      <c r="AY227" s="591"/>
      <c r="AZ227" s="591"/>
      <c r="BA227" s="591"/>
      <c r="BB227" s="591"/>
      <c r="BC227" s="591"/>
      <c r="BD227" s="591"/>
      <c r="BE227" s="591"/>
      <c r="BF227" s="591"/>
      <c r="BG227" s="591"/>
      <c r="BH227" s="591"/>
      <c r="BI227" s="590">
        <f t="shared" si="55"/>
        <v>1952.5539499999998</v>
      </c>
      <c r="BJ227" s="590"/>
      <c r="BK227" s="590"/>
      <c r="BL227" s="590"/>
      <c r="BM227" s="594">
        <f>'FICHE DE PAIE'!AW$15</f>
        <v>3.1E-2</v>
      </c>
      <c r="BN227" s="594"/>
      <c r="BO227" s="594"/>
      <c r="BP227" s="594"/>
      <c r="BQ227" s="592">
        <f t="shared" si="56"/>
        <v>60.52917244999999</v>
      </c>
      <c r="BR227" s="592"/>
      <c r="BS227" s="592"/>
      <c r="BT227" s="592"/>
      <c r="BU227" s="594">
        <f>'FICHE DE PAIE'!BE$15</f>
        <v>4.65E-2</v>
      </c>
      <c r="BV227" s="594"/>
      <c r="BW227" s="594"/>
      <c r="BX227" s="592">
        <f t="shared" si="57"/>
        <v>90.793758674999992</v>
      </c>
      <c r="BY227" s="592"/>
      <c r="BZ227" s="592"/>
      <c r="CA227" s="593"/>
    </row>
    <row r="228" spans="1:79" ht="15" customHeight="1">
      <c r="A228" s="424">
        <v>8</v>
      </c>
      <c r="B228" s="382">
        <v>15</v>
      </c>
      <c r="C228" s="382">
        <f t="shared" si="58"/>
        <v>227</v>
      </c>
      <c r="D228" s="383" t="str">
        <f>IF(I228='Jour Férié'!F$13,'Jour Férié'!E$13,""&amp;IF(I228='Jour Férié'!F$14,'Jour Férié'!E$14,""&amp;IF(I228='Jour Férié'!F$15,'Jour Férié'!E$15,""&amp;IF(I228='Jour Férié'!B$12,'Jour Férié'!A$12,""&amp;IF(MOD(MATCH(I228,vacances!$A$3:$A$202,1),2)=1,"vacances","")))))</f>
        <v>Assomption</v>
      </c>
      <c r="E228" s="449"/>
      <c r="F228" s="449"/>
      <c r="G228" s="449"/>
      <c r="H228" s="621"/>
      <c r="I228" s="339">
        <f t="shared" si="52"/>
        <v>43327</v>
      </c>
      <c r="J228" s="7"/>
      <c r="K228" s="7"/>
      <c r="L228" s="7"/>
      <c r="M228" s="395" t="s">
        <v>227</v>
      </c>
      <c r="N228" s="395"/>
      <c r="O228" s="386">
        <f>(COUNTIF($E214:$E242,$J221))</f>
        <v>0</v>
      </c>
      <c r="P228" s="7"/>
      <c r="Q228" s="555" t="str">
        <f>'FICHE DE PAIE'!A$16</f>
        <v>Absence maladie</v>
      </c>
      <c r="R228" s="555"/>
      <c r="S228" s="555"/>
      <c r="T228" s="555"/>
      <c r="U228" s="555"/>
      <c r="V228" s="555"/>
      <c r="W228" s="555"/>
      <c r="X228" s="555"/>
      <c r="Y228" s="555"/>
      <c r="Z228" s="494"/>
      <c r="AA228" s="556"/>
      <c r="AB228" s="556"/>
      <c r="AC228" s="556"/>
      <c r="AD228" s="566"/>
      <c r="AE228" s="566"/>
      <c r="AF228" s="566"/>
      <c r="AG228" s="559"/>
      <c r="AH228" s="559"/>
      <c r="AI228" s="559"/>
      <c r="AJ228" s="559"/>
      <c r="AK228" s="599"/>
      <c r="AL228" s="599"/>
      <c r="AM228" s="599"/>
      <c r="AN228" s="599"/>
      <c r="AO228" s="294"/>
      <c r="AP228" s="296"/>
      <c r="AQ228" s="295"/>
      <c r="AR228" s="295"/>
      <c r="AS228" s="295"/>
      <c r="AT228" s="295"/>
      <c r="AU228" s="295"/>
      <c r="AV228" s="290"/>
      <c r="AW228" s="591" t="s">
        <v>260</v>
      </c>
      <c r="AX228" s="591"/>
      <c r="AY228" s="591"/>
      <c r="AZ228" s="591"/>
      <c r="BA228" s="591"/>
      <c r="BB228" s="591"/>
      <c r="BC228" s="591"/>
      <c r="BD228" s="591"/>
      <c r="BE228" s="591"/>
      <c r="BF228" s="591"/>
      <c r="BG228" s="591"/>
      <c r="BH228" s="591"/>
      <c r="BI228" s="590">
        <f t="shared" si="55"/>
        <v>1952.5539499999998</v>
      </c>
      <c r="BJ228" s="590"/>
      <c r="BK228" s="590"/>
      <c r="BL228" s="590"/>
      <c r="BM228" s="594">
        <f>'FICHE DE PAIE'!AW$16</f>
        <v>8.0000000000000002E-3</v>
      </c>
      <c r="BN228" s="594"/>
      <c r="BO228" s="594"/>
      <c r="BP228" s="594"/>
      <c r="BQ228" s="592">
        <f t="shared" si="56"/>
        <v>15.620431599999998</v>
      </c>
      <c r="BR228" s="592"/>
      <c r="BS228" s="592"/>
      <c r="BT228" s="592"/>
      <c r="BU228" s="594">
        <f>'FICHE DE PAIE'!BE$16</f>
        <v>1.2E-2</v>
      </c>
      <c r="BV228" s="594"/>
      <c r="BW228" s="594"/>
      <c r="BX228" s="592">
        <f t="shared" si="57"/>
        <v>23.430647399999998</v>
      </c>
      <c r="BY228" s="592"/>
      <c r="BZ228" s="592"/>
      <c r="CA228" s="593"/>
    </row>
    <row r="229" spans="1:79" ht="15" customHeight="1">
      <c r="A229" s="424">
        <v>8</v>
      </c>
      <c r="B229" s="382">
        <v>16</v>
      </c>
      <c r="C229" s="382">
        <f t="shared" si="58"/>
        <v>228</v>
      </c>
      <c r="D229" s="383" t="str">
        <f>IF(I229='Jour Férié'!F$13,'Jour Férié'!E$13,""&amp;IF(I229='Jour Férié'!F$14,'Jour Férié'!E$14,""&amp;IF(I229='Jour Férié'!F$15,'Jour Férié'!E$15,""&amp;IF(I229='Jour Férié'!B$12,'Jour Férié'!A$12,""&amp;IF(MOD(MATCH(I229,vacances!$A$3:$A$202,1),2)=1,"vacances","")))))</f>
        <v>vacances</v>
      </c>
      <c r="E229" s="449"/>
      <c r="F229" s="449"/>
      <c r="G229" s="449"/>
      <c r="H229" s="621"/>
      <c r="I229" s="339">
        <f t="shared" si="52"/>
        <v>43328</v>
      </c>
      <c r="J229" s="7"/>
      <c r="K229" s="7"/>
      <c r="L229" s="7"/>
      <c r="M229" s="395" t="s">
        <v>228</v>
      </c>
      <c r="N229" s="395"/>
      <c r="O229" s="386">
        <f>(COUNTIF($E214:$E242,$J222))</f>
        <v>0</v>
      </c>
      <c r="P229" s="7"/>
      <c r="Q229" s="555"/>
      <c r="R229" s="555"/>
      <c r="S229" s="555"/>
      <c r="T229" s="555"/>
      <c r="U229" s="555"/>
      <c r="V229" s="555"/>
      <c r="W229" s="555"/>
      <c r="X229" s="555"/>
      <c r="Y229" s="555"/>
      <c r="Z229" s="494"/>
      <c r="AA229" s="556"/>
      <c r="AB229" s="556"/>
      <c r="AC229" s="556"/>
      <c r="AD229" s="600"/>
      <c r="AE229" s="600"/>
      <c r="AF229" s="600"/>
      <c r="AG229" s="559"/>
      <c r="AH229" s="559"/>
      <c r="AI229" s="559"/>
      <c r="AJ229" s="559"/>
      <c r="AK229" s="297"/>
      <c r="AL229" s="297"/>
      <c r="AM229" s="297"/>
      <c r="AN229" s="298"/>
      <c r="AO229" s="299"/>
      <c r="AP229" s="296"/>
      <c r="AQ229" s="295"/>
      <c r="AR229" s="295"/>
      <c r="AS229" s="295"/>
      <c r="AT229" s="295"/>
      <c r="AU229" s="295"/>
      <c r="AV229" s="290"/>
      <c r="AW229" s="499" t="s">
        <v>261</v>
      </c>
      <c r="AX229" s="499"/>
      <c r="AY229" s="499"/>
      <c r="AZ229" s="499"/>
      <c r="BA229" s="499"/>
      <c r="BB229" s="499"/>
      <c r="BC229" s="499"/>
      <c r="BD229" s="499"/>
      <c r="BE229" s="499"/>
      <c r="BF229" s="499"/>
      <c r="BG229" s="499"/>
      <c r="BH229" s="499"/>
      <c r="BI229" s="590">
        <f t="shared" si="55"/>
        <v>1952.5539499999998</v>
      </c>
      <c r="BJ229" s="590"/>
      <c r="BK229" s="590"/>
      <c r="BL229" s="590"/>
      <c r="BM229" s="594">
        <f>'FICHE DE PAIE'!AW$17</f>
        <v>5.4000000000000003E-3</v>
      </c>
      <c r="BN229" s="594"/>
      <c r="BO229" s="594"/>
      <c r="BP229" s="594"/>
      <c r="BQ229" s="592">
        <f t="shared" si="56"/>
        <v>10.543791329999999</v>
      </c>
      <c r="BR229" s="592"/>
      <c r="BS229" s="592"/>
      <c r="BT229" s="592"/>
      <c r="BU229" s="594">
        <f>'FICHE DE PAIE'!BE$17</f>
        <v>5.4000000000000003E-3</v>
      </c>
      <c r="BV229" s="594"/>
      <c r="BW229" s="594"/>
      <c r="BX229" s="592">
        <f t="shared" si="57"/>
        <v>10.543791329999999</v>
      </c>
      <c r="BY229" s="592"/>
      <c r="BZ229" s="592"/>
      <c r="CA229" s="593"/>
    </row>
    <row r="230" spans="1:79" ht="15" customHeight="1">
      <c r="A230" s="424">
        <v>8</v>
      </c>
      <c r="B230" s="382">
        <v>17</v>
      </c>
      <c r="C230" s="382">
        <f t="shared" si="58"/>
        <v>229</v>
      </c>
      <c r="D230" s="383" t="str">
        <f>IF(I230='Jour Férié'!F$13,'Jour Férié'!E$13,""&amp;IF(I230='Jour Férié'!F$14,'Jour Férié'!E$14,""&amp;IF(I230='Jour Férié'!F$15,'Jour Férié'!E$15,""&amp;IF(I230='Jour Férié'!B$12,'Jour Férié'!A$12,""&amp;IF(MOD(MATCH(I230,vacances!$A$3:$A$202,1),2)=1,"vacances","")))))</f>
        <v>vacances</v>
      </c>
      <c r="E230" s="449"/>
      <c r="F230" s="449"/>
      <c r="G230" s="449"/>
      <c r="H230" s="621"/>
      <c r="I230" s="339">
        <f t="shared" si="52"/>
        <v>43329</v>
      </c>
      <c r="J230" s="7"/>
      <c r="K230" s="7"/>
      <c r="L230" s="7"/>
      <c r="M230" s="7"/>
      <c r="N230" s="7"/>
      <c r="O230" s="340"/>
      <c r="P230" s="7"/>
      <c r="Q230" s="562" t="s">
        <v>262</v>
      </c>
      <c r="R230" s="562"/>
      <c r="S230" s="562"/>
      <c r="T230" s="562"/>
      <c r="U230" s="562"/>
      <c r="V230" s="562"/>
      <c r="W230" s="562"/>
      <c r="X230" s="563"/>
      <c r="Y230" s="563"/>
      <c r="Z230" s="563"/>
      <c r="AA230" s="563"/>
      <c r="AB230" s="563"/>
      <c r="AC230" s="563"/>
      <c r="AD230" s="563"/>
      <c r="AE230" s="563"/>
      <c r="AF230" s="563"/>
      <c r="AG230" s="564">
        <f>SUM(AG216:AJ225)+AG227-AK226-AK228</f>
        <v>1851.1323499999999</v>
      </c>
      <c r="AH230" s="564"/>
      <c r="AI230" s="564"/>
      <c r="AJ230" s="564"/>
      <c r="AK230" s="300"/>
      <c r="AL230" s="300"/>
      <c r="AM230" s="300"/>
      <c r="AN230" s="295"/>
      <c r="AO230" s="565">
        <f>AG230-AO216</f>
        <v>-1094.8676500000001</v>
      </c>
      <c r="AP230" s="565"/>
      <c r="AQ230" s="565"/>
      <c r="AR230" s="498"/>
      <c r="AS230" s="498"/>
      <c r="AT230" s="498"/>
      <c r="AU230" s="295"/>
      <c r="AV230" s="301"/>
      <c r="AW230" s="591" t="s">
        <v>263</v>
      </c>
      <c r="AX230" s="591"/>
      <c r="AY230" s="591"/>
      <c r="AZ230" s="591"/>
      <c r="BA230" s="591"/>
      <c r="BB230" s="591"/>
      <c r="BC230" s="591"/>
      <c r="BD230" s="591"/>
      <c r="BE230" s="591"/>
      <c r="BF230" s="591"/>
      <c r="BG230" s="591"/>
      <c r="BH230" s="591"/>
      <c r="BI230" s="601"/>
      <c r="BJ230" s="601"/>
      <c r="BK230" s="601"/>
      <c r="BL230" s="601"/>
      <c r="BM230" s="590"/>
      <c r="BN230" s="590"/>
      <c r="BO230" s="590"/>
      <c r="BP230" s="590"/>
      <c r="BQ230" s="592">
        <f t="shared" si="56"/>
        <v>0</v>
      </c>
      <c r="BR230" s="592"/>
      <c r="BS230" s="592"/>
      <c r="BT230" s="592"/>
      <c r="BU230" s="594">
        <f>'FICHE DE PAIE'!BE$18</f>
        <v>0.08</v>
      </c>
      <c r="BV230" s="594"/>
      <c r="BW230" s="594"/>
      <c r="BX230" s="592">
        <f t="shared" si="57"/>
        <v>0</v>
      </c>
      <c r="BY230" s="592"/>
      <c r="BZ230" s="592"/>
      <c r="CA230" s="593"/>
    </row>
    <row r="231" spans="1:79" ht="15" customHeight="1">
      <c r="A231" s="424">
        <v>8</v>
      </c>
      <c r="B231" s="382">
        <v>18</v>
      </c>
      <c r="C231" s="382">
        <f t="shared" si="58"/>
        <v>230</v>
      </c>
      <c r="D231" s="383" t="str">
        <f>IF(I231='Jour Férié'!F$13,'Jour Férié'!E$13,""&amp;IF(I231='Jour Férié'!F$14,'Jour Férié'!E$14,""&amp;IF(I231='Jour Férié'!F$15,'Jour Férié'!E$15,""&amp;IF(I231='Jour Férié'!B$12,'Jour Férié'!A$12,""&amp;IF(MOD(MATCH(I231,vacances!$A$3:$A$202,1),2)=1,"vacances","")))))</f>
        <v>vacances</v>
      </c>
      <c r="E231" s="449"/>
      <c r="F231" s="449"/>
      <c r="G231" s="449"/>
      <c r="H231" s="621"/>
      <c r="I231" s="339">
        <f t="shared" si="52"/>
        <v>43330</v>
      </c>
      <c r="J231" s="7"/>
      <c r="K231" s="7"/>
      <c r="L231" s="7"/>
      <c r="M231" s="572" t="s">
        <v>320</v>
      </c>
      <c r="N231" s="321">
        <f>(IF(WEEKDAY(I213,2)=6,(COUNTIF(E213,"*"))))*AND(IF(WEEKDAY(I214,2)=7,(COUNTIF(E214,"*"))))+(IF(WEEKDAY(I214,2)=6,(COUNTIF(E214,"*"))))*AND(IF(WEEKDAY(I215,2)=7,(COUNTIF(E215,"*"))))+(IF(WEEKDAY(I215,2)=6,(COUNTIF(E215,"*"))))*AND(IF(WEEKDAY(I216,2)=7,(COUNTIF(E216,"*"))))+(IF(WEEKDAY(I216,2)=6,(COUNTIF(E216,"*"))))*AND(IF(WEEKDAY(I217,2)=7,(COUNTIF(E217,"*"))))+(IF(WEEKDAY(I217,2)=6,(COUNTIF(E217,"*"))))*AND(IF(WEEKDAY(I218,2)=7,(COUNTIF(E218,"*"))))+(IF(WEEKDAY(I218,2)=6,(COUNTIF(E218,"*"))))*AND(IF(WEEKDAY(I219,2)=7,(COUNTIF(E219,"*"))))+(IF(WEEKDAY(I219,2)=6,(COUNTIF(E219,"*"))))*AND(IF(WEEKDAY(I220,2)=7,(COUNTIF(E220,"*"))))+(IF(WEEKDAY(I220,2)=6,(COUNTIF(E220,"*"))))*AND(IF(WEEKDAY(I221,2)=7,(COUNTIF(E221,"*"))))+(IF(WEEKDAY(I221,2)=6,(COUNTIF(E221,"*"))))*AND(IF(WEEKDAY(I222,2)=7,(COUNTIF(E222,"*"))))+(IF(WEEKDAY(I222,2)=6,(COUNTIF(E222,"*"))))*AND(IF(WEEKDAY(I223,2)=7,(COUNTIF(E223,"*"))))+(IF(WEEKDAY(I223,2)=6,(COUNTIF(E223,"*"))))*AND(IF(WEEKDAY(I224,2)=7,(COUNTIF(E224,"*"))))+(IF(WEEKDAY(I224,2)=6,(COUNTIF(E224,"*"))))*AND(IF(WEEKDAY(I225,2)=7,(COUNTIF(E225,"*"))))+(IF(WEEKDAY(I225,2)=6,(COUNTIF(E225,"*"))))*AND(IF(WEEKDAY(I226,2)=7,(COUNTIF(E226,"*"))))+(IF(WEEKDAY(I226,2)=6,(COUNTIF(E226,"*"))))*AND(IF(WEEKDAY(I227,2)=7,(COUNTIF(E227,"*"))))+(IF(WEEKDAY(I227,2)=6,(COUNTIF(E227,"*"))))*AND(IF(WEEKDAY(I228,2)=7,(COUNTIF(E228,"*"))))+(IF(WEEKDAY(I228,2)=6,(COUNTIF(E228,"*"))))*AND(IF(WEEKDAY(I229,2)=7,(COUNTIF(E229,"*"))))</f>
        <v>0</v>
      </c>
      <c r="O231" s="573">
        <f>SUM(N231:N232)</f>
        <v>0</v>
      </c>
      <c r="P231" s="7"/>
      <c r="Q231" s="376"/>
      <c r="R231" s="376"/>
      <c r="S231" s="376"/>
      <c r="T231" s="376"/>
      <c r="U231" s="376"/>
      <c r="V231" s="376"/>
      <c r="W231" s="376"/>
      <c r="X231" s="376"/>
      <c r="Y231" s="376"/>
      <c r="Z231" s="376"/>
      <c r="AA231" s="377"/>
      <c r="AB231" s="377"/>
      <c r="AC231" s="377"/>
      <c r="AD231" s="378"/>
      <c r="AE231" s="378"/>
      <c r="AF231" s="378"/>
      <c r="AG231" s="376"/>
      <c r="AH231" s="376"/>
      <c r="AI231" s="376"/>
      <c r="AJ231" s="379"/>
      <c r="AK231" s="379"/>
      <c r="AL231" s="379"/>
      <c r="AM231" s="379"/>
      <c r="AN231" s="365"/>
      <c r="AO231" s="365"/>
      <c r="AP231" s="365"/>
      <c r="AQ231" s="365"/>
      <c r="AR231" s="365"/>
      <c r="AS231" s="365"/>
      <c r="AT231" s="365"/>
      <c r="AU231" s="365"/>
      <c r="AV231" s="302"/>
      <c r="AW231" s="591" t="s">
        <v>264</v>
      </c>
      <c r="AX231" s="591"/>
      <c r="AY231" s="591"/>
      <c r="AZ231" s="591"/>
      <c r="BA231" s="591"/>
      <c r="BB231" s="591"/>
      <c r="BC231" s="591"/>
      <c r="BD231" s="591"/>
      <c r="BE231" s="591"/>
      <c r="BF231" s="591"/>
      <c r="BG231" s="591"/>
      <c r="BH231" s="591"/>
      <c r="BI231" s="590">
        <f>$AG$17*98.25%</f>
        <v>1918.3842558749998</v>
      </c>
      <c r="BJ231" s="590"/>
      <c r="BK231" s="590"/>
      <c r="BL231" s="590"/>
      <c r="BM231" s="594">
        <f>'FICHE DE PAIE'!AW$19</f>
        <v>6.8000000000000005E-2</v>
      </c>
      <c r="BN231" s="594"/>
      <c r="BO231" s="594"/>
      <c r="BP231" s="594"/>
      <c r="BQ231" s="592">
        <f t="shared" si="56"/>
        <v>130.45012939949999</v>
      </c>
      <c r="BR231" s="592"/>
      <c r="BS231" s="592"/>
      <c r="BT231" s="592"/>
      <c r="BU231" s="595"/>
      <c r="BV231" s="595"/>
      <c r="BW231" s="595"/>
      <c r="BX231" s="592">
        <f t="shared" si="57"/>
        <v>0</v>
      </c>
      <c r="BY231" s="592"/>
      <c r="BZ231" s="592"/>
      <c r="CA231" s="593"/>
    </row>
    <row r="232" spans="1:79" ht="15" customHeight="1">
      <c r="A232" s="424">
        <v>8</v>
      </c>
      <c r="B232" s="382">
        <v>19</v>
      </c>
      <c r="C232" s="382">
        <f t="shared" si="58"/>
        <v>231</v>
      </c>
      <c r="D232" s="383" t="str">
        <f>IF(I232='Jour Férié'!F$13,'Jour Férié'!E$13,""&amp;IF(I232='Jour Férié'!F$14,'Jour Férié'!E$14,""&amp;IF(I232='Jour Férié'!F$15,'Jour Férié'!E$15,""&amp;IF(I232='Jour Férié'!B$12,'Jour Férié'!A$12,""&amp;IF(MOD(MATCH(I232,vacances!$A$3:$A$202,1),2)=1,"vacances","")))))</f>
        <v>vacances</v>
      </c>
      <c r="E232" s="449"/>
      <c r="F232" s="449"/>
      <c r="G232" s="449"/>
      <c r="H232" s="621"/>
      <c r="I232" s="339">
        <f t="shared" si="52"/>
        <v>43331</v>
      </c>
      <c r="J232" s="7"/>
      <c r="K232" s="7"/>
      <c r="L232" s="7"/>
      <c r="M232" s="572"/>
      <c r="N232" s="323">
        <f>(IF(WEEKDAY(I229,2)=6,(COUNTIF(E229,"*"))))*AND(IF(WEEKDAY(I230,2)=7,(COUNTIF(E230,"*"))))+(IF(WEEKDAY(I230,2)=6,(COUNTIF(E230,"*"))))*AND(IF(WEEKDAY(I231,2)=7,(COUNTIF(E231,"*"))))+(IF(WEEKDAY(I231,2)=6,(COUNTIF(E231,"*"))))*AND(IF(WEEKDAY(I232,2)=7,(COUNTIF(E232,"*"))))+(IF(WEEKDAY(I232,2)=6,(COUNTIF(E232,"*"))))*AND(IF(WEEKDAY(I233,2)=7,(COUNTIF(E233,"*"))))+(IF(WEEKDAY(I233,2)=6,(COUNTIF(E233,"*"))))*AND(IF(WEEKDAY(I234,2)=7,(COUNTIF(E234,"*"))))+(IF(WEEKDAY(I234,2)=6,(COUNTIF(E234,"*"))))*AND(IF(WEEKDAY(I235,2)=7,(COUNTIF(E235,"*"))))+(IF(WEEKDAY(I235,2)=6,(COUNTIF(E235,"*"))))*AND(IF(WEEKDAY(I236,2)=7,(COUNTIF(E236,"*"))))+(IF(WEEKDAY(I236,2)=6,(COUNTIF(E236,"*"))))*AND(IF(WEEKDAY(I237,2)=7,(COUNTIF(E237,"*"))))+(IF(WEEKDAY(I237,2)=6,(COUNTIF(E237,"*"))))*AND(IF(WEEKDAY(I238,2)=7,(COUNTIF(E238,"*"))))+(IF(WEEKDAY(I238,2)=6,(COUNTIF(E238,"*"))))*AND(IF(WEEKDAY(I239,2)=7,(COUNTIF(E239,"*"))))+(IF(WEEKDAY(I239,2)=6,(COUNTIF(E239,"*"))))*AND(IF(WEEKDAY(I240,2)=7,(COUNTIF(E240,"*"))))+(IF(WEEKDAY(I240,2)=6,(COUNTIF(E240,"*"))))*AND(IF(WEEKDAY(I241,2)=7,(COUNTIF(E241,"*"))))+(IF(WEEKDAY(I241,2)=6,(COUNTIF(E241,"*"))))*AND(IF(WEEKDAY(I242,2)=7,(COUNTIF(E242,"*"))))+(IF(WEEKDAY(I242,2)=6,(COUNTIF(E242,"*"))))*AND(IF(WEEKDAY(I243,2)=7,(COUNTIF(E243,"*"))))+(IF(WEEKDAY(I243,2)=6,(COUNTIF(E243,"*"))))*AND(IF(WEEKDAY(I244,2)=7,(COUNTIF(E244,"*"))))+(IF(WEEKDAY(I244,2)=6,(COUNTIF(E244,"*"))))*AND(IF(WEEKDAY(I245,2)=7,(COUNTIF(E245,"*"))))</f>
        <v>0</v>
      </c>
      <c r="O232" s="573"/>
      <c r="P232" s="7"/>
      <c r="Q232" s="550">
        <f>Q214</f>
        <v>43313</v>
      </c>
      <c r="R232" s="550"/>
      <c r="S232" s="550"/>
      <c r="T232" s="550"/>
      <c r="U232" s="550"/>
      <c r="V232" s="550"/>
      <c r="W232" s="550"/>
      <c r="X232" s="550"/>
      <c r="Y232" s="550"/>
      <c r="Z232" s="550"/>
      <c r="AA232" s="550"/>
      <c r="AB232" s="550"/>
      <c r="AC232" s="550"/>
      <c r="AD232" s="550"/>
      <c r="AE232" s="550"/>
      <c r="AF232" s="550"/>
      <c r="AG232" s="550"/>
      <c r="AH232" s="550"/>
      <c r="AI232" s="550"/>
      <c r="AJ232" s="550"/>
      <c r="AK232" s="550"/>
      <c r="AL232" s="550"/>
      <c r="AM232" s="550"/>
      <c r="AN232" s="550"/>
      <c r="AO232" s="550"/>
      <c r="AP232" s="550"/>
      <c r="AQ232" s="550"/>
      <c r="AR232" s="550"/>
      <c r="AS232" s="550"/>
      <c r="AT232" s="550"/>
      <c r="AU232" s="550"/>
      <c r="AV232" s="303"/>
      <c r="AW232" s="591" t="s">
        <v>265</v>
      </c>
      <c r="AX232" s="591"/>
      <c r="AY232" s="591"/>
      <c r="AZ232" s="591"/>
      <c r="BA232" s="591"/>
      <c r="BB232" s="591"/>
      <c r="BC232" s="591"/>
      <c r="BD232" s="591"/>
      <c r="BE232" s="591"/>
      <c r="BF232" s="591"/>
      <c r="BG232" s="591"/>
      <c r="BH232" s="591"/>
      <c r="BI232" s="590">
        <f>$AG$17*98.25%</f>
        <v>1918.3842558749998</v>
      </c>
      <c r="BJ232" s="590"/>
      <c r="BK232" s="590"/>
      <c r="BL232" s="590"/>
      <c r="BM232" s="594">
        <f>'FICHE DE PAIE'!AW$20</f>
        <v>2.4E-2</v>
      </c>
      <c r="BN232" s="594"/>
      <c r="BO232" s="594"/>
      <c r="BP232" s="594"/>
      <c r="BQ232" s="592">
        <f t="shared" si="56"/>
        <v>46.041222140999999</v>
      </c>
      <c r="BR232" s="592"/>
      <c r="BS232" s="592"/>
      <c r="BT232" s="592"/>
      <c r="BU232" s="595"/>
      <c r="BV232" s="595"/>
      <c r="BW232" s="595"/>
      <c r="BX232" s="592">
        <f t="shared" si="57"/>
        <v>0</v>
      </c>
      <c r="BY232" s="592"/>
      <c r="BZ232" s="592"/>
      <c r="CA232" s="593"/>
    </row>
    <row r="233" spans="1:79" ht="15" customHeight="1">
      <c r="A233" s="424">
        <v>8</v>
      </c>
      <c r="B233" s="382">
        <v>20</v>
      </c>
      <c r="C233" s="382">
        <f t="shared" si="58"/>
        <v>232</v>
      </c>
      <c r="D233" s="383" t="str">
        <f>IF(I233='Jour Férié'!F$13,'Jour Férié'!E$13,""&amp;IF(I233='Jour Férié'!F$14,'Jour Férié'!E$14,""&amp;IF(I233='Jour Férié'!F$15,'Jour Férié'!E$15,""&amp;IF(I233='Jour Férié'!B$12,'Jour Férié'!A$12,""&amp;IF(MOD(MATCH(I233,vacances!$A$3:$A$202,1),2)=1,"vacances","")))))</f>
        <v>vacances</v>
      </c>
      <c r="E233" s="449"/>
      <c r="F233" s="449"/>
      <c r="G233" s="449"/>
      <c r="H233" s="621"/>
      <c r="I233" s="339">
        <f t="shared" si="52"/>
        <v>43332</v>
      </c>
      <c r="J233" s="7"/>
      <c r="K233" s="7"/>
      <c r="L233" s="7"/>
      <c r="M233" s="572" t="s">
        <v>321</v>
      </c>
      <c r="N233" s="323">
        <f>(IF(WEEKDAY(I213,2)=5,(COUNTIF(E213,$J$1))))*AND(IF(WEEKDAY(I216,2)=1,(COUNTIF(E216,"*"))))+(IF(WEEKDAY(I214,2)=5,(COUNTIF(E214,$J$1))))*AND(IF(WEEKDAY(I217,2)=1,(COUNTIF(E217,"*"))))+(IF(WEEKDAY(I215,2)=5,(COUNTIF(E215,$J$1))))*AND(IF(WEEKDAY(I218,2)=1,(COUNTIF(E218,"*"))))+(IF(WEEKDAY(I216,2)=5,(COUNTIF(E216,$J$1))))*AND(IF(WEEKDAY(I219,2)=1,(COUNTIF(E219,"*"))))+(IF(WEEKDAY(I217,2)=5,(COUNTIF(E217,$J$1))))*AND(IF(WEEKDAY(I220,2)=1,(COUNTIF(E220,"*"))))+(IF(WEEKDAY(I218,2)=5,(COUNTIF(E218,$J$1))))*AND(IF(WEEKDAY(I221,2)=1,(COUNTIF(E221,"*"))))+(IF(WEEKDAY(I219,2)=5,(COUNTIF(E219,$J$1))))*AND(IF(WEEKDAY(I222,2)=1,(COUNTIF(E222,"*"))))+(IF(WEEKDAY(I220,2)=5,(COUNTIF(E220,$J$1))))*AND(IF(WEEKDAY(I223,2)=1,(COUNTIF(E223,"*"))))+(IF(WEEKDAY(I221,2)=5,(COUNTIF(E221,$J$1))))*AND(IF(WEEKDAY(I224,2)=1,(COUNTIF(E224,"*"))))+(IF(WEEKDAY(I222,2)=5,(COUNTIF(E222,$J$1))))*AND(IF(WEEKDAY(I225,2)=1,(COUNTIF(E225,"*"))))+(IF(WEEKDAY(I223,2)=5,(COUNTIF(E223,$J$1))))*AND(IF(WEEKDAY(I226,2)=1,(COUNTIF(E226,"*"))))+(IF(WEEKDAY(I224,2)=5,(COUNTIF(E224,$J$1))))*AND(IF(WEEKDAY(I227,2)=1,(COUNTIF(E227,"*"))))+(IF(WEEKDAY(I225,2)=5,(COUNTIF(E225,$J$1))))*AND(IF(WEEKDAY(I228,2)=1,(COUNTIF(E228,"*"))))+(IF(WEEKDAY(I226,2)=5,(COUNTIF(E226,$J$1))))*AND(IF(WEEKDAY(I229,2)=1,(COUNTIF(E229,"*"))))+(IF(WEEKDAY(I227,2)=5,(COUNTIF(E227,$J$1))))*AND(IF(WEEKDAY(I230,2)=1,(COUNTIF(E230,"*"))))+(IF(WEEKDAY(I228,2)=5,(COUNTIF(E228,$J$1))))*AND(IF(WEEKDAY(I231,2)=1,(COUNTIF(E231,"*"))))+(IF(WEEKDAY(I229,2)=5,(COUNTIF(E229,$J$1))))*AND(IF(WEEKDAY(I232,2)=1,(COUNTIF(E232,"*"))))+(IF(WEEKDAY(I230,2)=5,(COUNTIF(E230,$J$1))))*AND(IF(WEEKDAY(I233,2)=1,(COUNTIF(E233,"*"))))</f>
        <v>0</v>
      </c>
      <c r="O233" s="573">
        <f>SUM(N233:N234)</f>
        <v>0</v>
      </c>
      <c r="P233" s="7"/>
      <c r="Q233" s="281"/>
      <c r="R233" s="281"/>
      <c r="S233" s="281"/>
      <c r="T233" s="281"/>
      <c r="U233" s="281"/>
      <c r="V233" s="281"/>
      <c r="W233" s="281"/>
      <c r="X233" s="304"/>
      <c r="Y233" s="304"/>
      <c r="Z233" s="304"/>
      <c r="AA233" s="305"/>
      <c r="AB233" s="305"/>
      <c r="AC233" s="305"/>
      <c r="AD233" s="306"/>
      <c r="AE233" s="306"/>
      <c r="AF233" s="306"/>
      <c r="AG233" s="304"/>
      <c r="AH233" s="304"/>
      <c r="AI233" s="304"/>
      <c r="AJ233" s="304"/>
      <c r="AK233" s="304"/>
      <c r="AL233" s="304"/>
      <c r="AM233" s="304"/>
      <c r="AN233" s="304"/>
      <c r="AO233" s="304"/>
      <c r="AP233" s="304"/>
      <c r="AQ233" s="304"/>
      <c r="AR233" s="304"/>
      <c r="AS233" s="304"/>
      <c r="AT233" s="304"/>
      <c r="AU233" s="304"/>
      <c r="AV233" s="304"/>
      <c r="AW233" s="499" t="s">
        <v>266</v>
      </c>
      <c r="AX233" s="499"/>
      <c r="AY233" s="499"/>
      <c r="AZ233" s="499"/>
      <c r="BA233" s="499"/>
      <c r="BB233" s="499"/>
      <c r="BC233" s="499"/>
      <c r="BD233" s="499"/>
      <c r="BE233" s="499"/>
      <c r="BF233" s="499"/>
      <c r="BG233" s="499"/>
      <c r="BH233" s="499"/>
      <c r="BI233" s="590">
        <f>$AG$17*98.25%</f>
        <v>1918.3842558749998</v>
      </c>
      <c r="BJ233" s="590"/>
      <c r="BK233" s="590"/>
      <c r="BL233" s="590"/>
      <c r="BM233" s="594">
        <f>'FICHE DE PAIE'!AW$21</f>
        <v>5.0000000000000001E-3</v>
      </c>
      <c r="BN233" s="594"/>
      <c r="BO233" s="594"/>
      <c r="BP233" s="594"/>
      <c r="BQ233" s="592">
        <f t="shared" si="56"/>
        <v>9.5919212793749988</v>
      </c>
      <c r="BR233" s="592"/>
      <c r="BS233" s="592"/>
      <c r="BT233" s="592"/>
      <c r="BU233" s="595"/>
      <c r="BV233" s="595"/>
      <c r="BW233" s="595"/>
      <c r="BX233" s="592">
        <f t="shared" si="57"/>
        <v>0</v>
      </c>
      <c r="BY233" s="592"/>
      <c r="BZ233" s="592"/>
      <c r="CA233" s="593"/>
    </row>
    <row r="234" spans="1:79" ht="15" customHeight="1">
      <c r="A234" s="424">
        <v>8</v>
      </c>
      <c r="B234" s="382">
        <v>21</v>
      </c>
      <c r="C234" s="382">
        <f t="shared" si="58"/>
        <v>233</v>
      </c>
      <c r="D234" s="383" t="str">
        <f>IF(I234='Jour Férié'!F$13,'Jour Férié'!E$13,""&amp;IF(I234='Jour Férié'!F$14,'Jour Férié'!E$14,""&amp;IF(I234='Jour Férié'!F$15,'Jour Férié'!E$15,""&amp;IF(I234='Jour Férié'!B$12,'Jour Férié'!A$12,""&amp;IF(MOD(MATCH(I234,vacances!$A$3:$A$202,1),2)=1,"vacances","")))))</f>
        <v>vacances</v>
      </c>
      <c r="E234" s="449"/>
      <c r="F234" s="449"/>
      <c r="G234" s="449"/>
      <c r="H234" s="621"/>
      <c r="I234" s="339">
        <f t="shared" si="52"/>
        <v>43333</v>
      </c>
      <c r="J234" s="7"/>
      <c r="K234" s="7"/>
      <c r="L234" s="7"/>
      <c r="M234" s="572"/>
      <c r="N234" s="323">
        <f>(IF(WEEKDAY(I231,2)=5,(COUNTIF(E231,$J$1))))*AND(IF(WEEKDAY(I234,2)=1,(COUNTIF(E234,"*"))))+(IF(WEEKDAY(I232,2)=5,(COUNTIF(E232,$J$1))))*AND(IF(WEEKDAY(I235,2)=1,(COUNTIF(E235,"*"))))+(IF(WEEKDAY(I233,2)=5,(COUNTIF(E233,$J$1))))*AND(IF(WEEKDAY(I236,2)=1,(COUNTIF(E236,"*"))))+(IF(WEEKDAY(I234,2)=5,(COUNTIF(E234,$J$1))))*AND(IF(WEEKDAY(I237,2)=1,(COUNTIF(E237,"*"))))+(IF(WEEKDAY(I235,2)=5,(COUNTIF(E235,$J$1))))*AND(IF(WEEKDAY(I238,2)=1,(COUNTIF(E238,"*"))))+(IF(WEEKDAY(I236,2)=5,(COUNTIF(E236,$J$1))))*AND(IF(WEEKDAY(I239,2)=1,(COUNTIF(E239,"*"))))+(IF(WEEKDAY(I237,2)=5,(COUNTIF(E237,$J$1))))*AND(IF(WEEKDAY(I240,2)=1,(COUNTIF(E240,"*"))))+(IF(WEEKDAY(I238,2)=5,(COUNTIF(E238,$J$1))))*AND(IF(WEEKDAY(I241,2)=1,(COUNTIF(E241,"*"))))+(IF(WEEKDAY(I239,2)=5,(COUNTIF(E239,$J$1))))*AND(IF(WEEKDAY(I242,2)=1,(COUNTIF(E242,"*"))))+(IF(WEEKDAY(I240,2)=5,(COUNTIF(E240,$J$1))))*AND(IF(WEEKDAY(I243,2)=1,(COUNTIF(E243,"*"))))+(IF(WEEKDAY(I241,2)=5,(COUNTIF(E241,$J$1))))*AND(IF(WEEKDAY(I244,2)=1,(COUNTIF(E244,"*"))))+(IF(WEEKDAY(I242,2)=5,(COUNTIF(E242,$J$1))))*AND(IF(WEEKDAY(I245,2)=1,(COUNTIF(E245,"*"))))+(IF(WEEKDAY(I243,2)=5,(COUNTIF(E243,$J$1))))*AND(IF(WEEKDAY(I246,2)=1,(COUNTIF(E246,"*"))))+(IF(WEEKDAY(I244,2)=5,(COUNTIF(E244,$J$1))))*AND(IF(WEEKDAY(I247,2)=1,(COUNTIF(E247,"*"))))</f>
        <v>0</v>
      </c>
      <c r="O234" s="573"/>
      <c r="P234" s="7"/>
      <c r="Q234" s="281"/>
      <c r="R234" s="281"/>
      <c r="S234" s="281"/>
      <c r="T234" s="281"/>
      <c r="U234" s="281"/>
      <c r="V234" s="281"/>
      <c r="W234" s="281"/>
      <c r="X234" s="307"/>
      <c r="Y234" s="307"/>
      <c r="Z234" s="307"/>
      <c r="AA234" s="308"/>
      <c r="AB234" s="308"/>
      <c r="AC234" s="308"/>
      <c r="AD234" s="309"/>
      <c r="AE234" s="309"/>
      <c r="AF234" s="309"/>
      <c r="AG234" s="307"/>
      <c r="AH234" s="307"/>
      <c r="AI234" s="307"/>
      <c r="AJ234" s="307"/>
      <c r="AK234" s="307"/>
      <c r="AL234" s="307"/>
      <c r="AM234" s="307"/>
      <c r="AN234" s="307"/>
      <c r="AO234" s="307"/>
      <c r="AP234" s="307"/>
      <c r="AQ234" s="307"/>
      <c r="AR234" s="307"/>
      <c r="AS234" s="307"/>
      <c r="AT234" s="307"/>
      <c r="AU234" s="307"/>
      <c r="AV234" s="307"/>
      <c r="AW234" s="499" t="s">
        <v>267</v>
      </c>
      <c r="AX234" s="499"/>
      <c r="AY234" s="499"/>
      <c r="AZ234" s="499"/>
      <c r="BA234" s="499"/>
      <c r="BB234" s="499"/>
      <c r="BC234" s="499"/>
      <c r="BD234" s="499"/>
      <c r="BE234" s="499"/>
      <c r="BF234" s="499"/>
      <c r="BG234" s="499"/>
      <c r="BH234" s="499"/>
      <c r="BI234" s="596">
        <f>BI230</f>
        <v>0</v>
      </c>
      <c r="BJ234" s="596"/>
      <c r="BK234" s="596"/>
      <c r="BL234" s="596"/>
      <c r="BM234" s="594">
        <f>'FICHE DE PAIE'!AW$22</f>
        <v>6.8000000000000005E-2</v>
      </c>
      <c r="BN234" s="594"/>
      <c r="BO234" s="594"/>
      <c r="BP234" s="594"/>
      <c r="BQ234" s="592">
        <f t="shared" si="56"/>
        <v>0</v>
      </c>
      <c r="BR234" s="592"/>
      <c r="BS234" s="592"/>
      <c r="BT234" s="592"/>
      <c r="BU234" s="595"/>
      <c r="BV234" s="595"/>
      <c r="BW234" s="595"/>
      <c r="BX234" s="592">
        <f t="shared" si="57"/>
        <v>0</v>
      </c>
      <c r="BY234" s="592"/>
      <c r="BZ234" s="592"/>
      <c r="CA234" s="593"/>
    </row>
    <row r="235" spans="1:79" ht="15" customHeight="1">
      <c r="A235" s="424">
        <v>8</v>
      </c>
      <c r="B235" s="382">
        <v>22</v>
      </c>
      <c r="C235" s="382">
        <f t="shared" si="58"/>
        <v>234</v>
      </c>
      <c r="D235" s="383" t="str">
        <f>IF(I235='Jour Férié'!F$13,'Jour Férié'!E$13,""&amp;IF(I235='Jour Férié'!F$14,'Jour Férié'!E$14,""&amp;IF(I235='Jour Férié'!F$15,'Jour Férié'!E$15,""&amp;IF(I235='Jour Férié'!B$12,'Jour Férié'!A$12,""&amp;IF(MOD(MATCH(I235,vacances!$A$3:$A$202,1),2)=1,"vacances","")))))</f>
        <v>vacances</v>
      </c>
      <c r="E235" s="449"/>
      <c r="F235" s="449"/>
      <c r="G235" s="449"/>
      <c r="H235" s="621"/>
      <c r="I235" s="339">
        <f t="shared" si="52"/>
        <v>43334</v>
      </c>
      <c r="J235" s="7"/>
      <c r="K235" s="7"/>
      <c r="L235" s="7"/>
      <c r="M235" s="572" t="s">
        <v>322</v>
      </c>
      <c r="N235" s="323">
        <f>((IF(WEEKDAY(I213,2)=7,(COUNTIF(E213,"*"))))*AND(IF(WEEKDAY(I214,2)=1,(COUNTIF(E214,"*")))))*AND(COUNTBLANK(E212))+((IF(WEEKDAY(I214,2)=7,(COUNTIF(E214,"*"))))*AND(IF(WEEKDAY(I215,2)=1,(COUNTIF(E215,"*")))))*AND(COUNTBLANK(E213))+((IF(WEEKDAY(I215,2)=7,(COUNTIF(E215,"*"))))*AND(IF(WEEKDAY(I216,2)=1,(COUNTIF(E216,"*"))))*AND(COUNTBLANK(E214)))+((IF(WEEKDAY(I216,2)=7,(COUNTIF(E216,"*"))))*AND(IF(WEEKDAY(I217,2)=1,(COUNTIF(E217,"*"))))*AND(COUNTBLANK(E215)))+((IF(WEEKDAY(I217,2)=7,(COUNTIF(E217,"*"))))*AND(IF(WEEKDAY(I218,2)=1,(COUNTIF(E218,"*"))))*AND(COUNTBLANK(E216)))+((IF(WEEKDAY(I218,2)=7,(COUNTIF(E218,"*"))))*AND(IF(WEEKDAY(I219,2)=1,(COUNTIF(E219,"*"))))*AND(COUNTBLANK(E217)))+((IF(WEEKDAY(I219,2)=7,(COUNTIF(E219,"*"))))*AND(IF(WEEKDAY(I220,2)=1,(COUNTIF(E220,"*"))))*AND(COUNTBLANK(E218)))+((IF(WEEKDAY(I220,2)=7,(COUNTIF(E220,"*"))))*AND(IF(WEEKDAY(I221,2)=1,(COUNTIF(E221,"*"))))*AND(COUNTBLANK(E219)))+((IF(WEEKDAY(I221,2)=7,(COUNTIF(E221,"*"))))*AND(IF(WEEKDAY(I222,2)=1,(COUNTIF(E222,"*"))))*AND(COUNTBLANK(E220)))</f>
        <v>0</v>
      </c>
      <c r="O235" s="573">
        <f>SUM(N235:N237)</f>
        <v>0</v>
      </c>
      <c r="P235" s="7"/>
      <c r="Q235" s="281"/>
      <c r="R235" s="281"/>
      <c r="S235" s="281"/>
      <c r="T235" s="552" t="s">
        <v>272</v>
      </c>
      <c r="U235" s="552"/>
      <c r="V235" s="552"/>
      <c r="W235" s="552"/>
      <c r="X235" s="552"/>
      <c r="Y235" s="552"/>
      <c r="Z235" s="552"/>
      <c r="AA235" s="552"/>
      <c r="AB235" s="552"/>
      <c r="AC235" s="553">
        <f>BV241</f>
        <v>1407.7499809251249</v>
      </c>
      <c r="AD235" s="553"/>
      <c r="AE235" s="553"/>
      <c r="AF235" s="553"/>
      <c r="AG235" s="553"/>
      <c r="AH235" s="553"/>
      <c r="AI235" s="553"/>
      <c r="AJ235" s="553"/>
      <c r="AK235" s="553"/>
      <c r="AL235" s="553"/>
      <c r="AM235" s="553"/>
      <c r="AN235" s="553"/>
      <c r="AO235" s="553"/>
      <c r="AP235" s="553"/>
      <c r="AQ235" s="553"/>
      <c r="AR235" s="290"/>
      <c r="AS235" s="290"/>
      <c r="AT235" s="290"/>
      <c r="AU235" s="290"/>
      <c r="AV235" s="290"/>
      <c r="AW235" s="499" t="s">
        <v>268</v>
      </c>
      <c r="AX235" s="499"/>
      <c r="AY235" s="499"/>
      <c r="AZ235" s="499"/>
      <c r="BA235" s="499"/>
      <c r="BB235" s="499"/>
      <c r="BC235" s="499"/>
      <c r="BD235" s="499"/>
      <c r="BE235" s="499"/>
      <c r="BF235" s="499"/>
      <c r="BG235" s="499"/>
      <c r="BH235" s="499"/>
      <c r="BI235" s="596">
        <f>BI230</f>
        <v>0</v>
      </c>
      <c r="BJ235" s="596"/>
      <c r="BK235" s="596"/>
      <c r="BL235" s="596"/>
      <c r="BM235" s="594">
        <f>'FICHE DE PAIE'!AW$23</f>
        <v>2.9000000000000001E-2</v>
      </c>
      <c r="BN235" s="594"/>
      <c r="BO235" s="594"/>
      <c r="BP235" s="594"/>
      <c r="BQ235" s="592">
        <f t="shared" si="56"/>
        <v>0</v>
      </c>
      <c r="BR235" s="592"/>
      <c r="BS235" s="592"/>
      <c r="BT235" s="592"/>
      <c r="BU235" s="595"/>
      <c r="BV235" s="595"/>
      <c r="BW235" s="595"/>
      <c r="BX235" s="592">
        <f t="shared" si="57"/>
        <v>0</v>
      </c>
      <c r="BY235" s="592"/>
      <c r="BZ235" s="592"/>
      <c r="CA235" s="593"/>
    </row>
    <row r="236" spans="1:79" ht="15" customHeight="1">
      <c r="A236" s="424">
        <v>8</v>
      </c>
      <c r="B236" s="382">
        <v>23</v>
      </c>
      <c r="C236" s="382">
        <f t="shared" si="58"/>
        <v>235</v>
      </c>
      <c r="D236" s="383" t="str">
        <f>IF(I236='Jour Férié'!F$13,'Jour Férié'!E$13,""&amp;IF(I236='Jour Férié'!F$14,'Jour Férié'!E$14,""&amp;IF(I236='Jour Férié'!F$15,'Jour Férié'!E$15,""&amp;IF(I236='Jour Férié'!B$12,'Jour Férié'!A$12,""&amp;IF(MOD(MATCH(I236,vacances!$A$3:$A$202,1),2)=1,"vacances","")))))</f>
        <v>vacances</v>
      </c>
      <c r="E236" s="449"/>
      <c r="F236" s="449"/>
      <c r="G236" s="449"/>
      <c r="H236" s="621"/>
      <c r="I236" s="339">
        <f t="shared" si="52"/>
        <v>43335</v>
      </c>
      <c r="J236" s="7"/>
      <c r="K236" s="7"/>
      <c r="L236" s="7"/>
      <c r="M236" s="572"/>
      <c r="N236" s="321">
        <f>((IF(WEEKDAY(I222,2)=7,(COUNTIF(E222,"*"))))*AND(IF(WEEKDAY(I223,2)=1,(COUNTIF(E223,"*"))))*AND(COUNTBLANK(E221)))+((IF(WEEKDAY(I223,2)=7,(COUNTIF(E223,"*"))))*AND(IF(WEEKDAY(I224,2)=1,(COUNTIF(E224,"*"))))*AND(COUNTBLANK(E222)))+((IF(WEEKDAY(I224,2)=7,(COUNTIF(E224,"*"))))*AND(IF(WEEKDAY(I225,2)=1,(COUNTIF(E225,"*"))))*AND(COUNTBLANK(E223)))+((IF(WEEKDAY(I225,2)=7,(COUNTIF(E225,"*"))))*AND(IF(WEEKDAY(I226,2)=1,(COUNTIF(E226,"*"))))*AND(COUNTBLANK(E224)))+((IF(WEEKDAY(I226,2)=7,(COUNTIF(E226,"*"))))*AND(IF(WEEKDAY(I227,2)=1,(COUNTIF(E227,"*"))))*AND(COUNTBLANK(E225)))+((IF(WEEKDAY(I227,2)=7,(COUNTIF(E227,"*"))))*AND(IF(WEEKDAY(I228,2)=1,(COUNTIF(E228,"*"))))*AND(COUNTBLANK(E226)))+((IF(WEEKDAY(I228,2)=7,(COUNTIF(E228,"*"))))*AND(IF(WEEKDAY(I229,2)=1,(COUNTIF(E229,"*"))))*AND(COUNTBLANK(E227)))+((IF(WEEKDAY(I229,2)=7,(COUNTIF(E229,"*"))))*AND(IF(WEEKDAY(I230,2)=1,(COUNTIF(E230,"*"))))*AND(COUNTBLANK(E228)))+((IF(WEEKDAY(I230,2)=7,(COUNTIF(E230,"*"))))*AND(IF(WEEKDAY(I231,2)=1,(COUNTIF(E231,"*"))))*AND(COUNTBLANK(E229)))+((IF(WEEKDAY(I231,2)=7,(COUNTIF(E231,"*"))))*AND(IF(WEEKDAY(I232,2)=1,(COUNTIF(E232,"*"))))*AND(COUNTBLANK(E230)))+((IF(WEEKDAY(I232,2)=7,(COUNTIF(E232,"*"))))*AND(IF(WEEKDAY(I233,2)=1,(COUNTIF(E233,"*"))))*AND(COUNTBLANK(E230)))+((IF(WEEKDAY(I233,2)=7,(COUNTIF(E233,"*"))))*AND(IF(WEEKDAY(I234,2)=1,(COUNTIF(E234,"*"))))*AND(COUNTBLANK(E231)))+((IF(WEEKDAY(I234,2)=7,(COUNTIF(E234,"*"))))*AND(IF(WEEKDAY(I235,2)=1,(COUNTIF(E235,"*"))))*AND(COUNTBLANK(E232)))</f>
        <v>0</v>
      </c>
      <c r="O236" s="573"/>
      <c r="P236" s="7"/>
      <c r="Q236" s="304"/>
      <c r="R236" s="304"/>
      <c r="S236" s="304"/>
      <c r="T236" s="552"/>
      <c r="U236" s="552"/>
      <c r="V236" s="552"/>
      <c r="W236" s="552"/>
      <c r="X236" s="552"/>
      <c r="Y236" s="552"/>
      <c r="Z236" s="552"/>
      <c r="AA236" s="552"/>
      <c r="AB236" s="552"/>
      <c r="AC236" s="553"/>
      <c r="AD236" s="553"/>
      <c r="AE236" s="553"/>
      <c r="AF236" s="553"/>
      <c r="AG236" s="553"/>
      <c r="AH236" s="553"/>
      <c r="AI236" s="553"/>
      <c r="AJ236" s="553"/>
      <c r="AK236" s="553"/>
      <c r="AL236" s="553"/>
      <c r="AM236" s="553"/>
      <c r="AN236" s="553"/>
      <c r="AO236" s="553"/>
      <c r="AP236" s="553"/>
      <c r="AQ236" s="553"/>
      <c r="AR236" s="304"/>
      <c r="AS236" s="304"/>
      <c r="AT236" s="304"/>
      <c r="AU236" s="304"/>
      <c r="AV236" s="304"/>
      <c r="AW236" s="499" t="s">
        <v>269</v>
      </c>
      <c r="AX236" s="499"/>
      <c r="AY236" s="499"/>
      <c r="AZ236" s="499"/>
      <c r="BA236" s="499"/>
      <c r="BB236" s="499"/>
      <c r="BC236" s="499"/>
      <c r="BD236" s="499"/>
      <c r="BE236" s="499"/>
      <c r="BF236" s="499"/>
      <c r="BG236" s="499"/>
      <c r="BH236" s="499"/>
      <c r="BI236" s="596"/>
      <c r="BJ236" s="596"/>
      <c r="BK236" s="596"/>
      <c r="BL236" s="596"/>
      <c r="BM236" s="590"/>
      <c r="BN236" s="590"/>
      <c r="BO236" s="590"/>
      <c r="BP236" s="590"/>
      <c r="BQ236" s="592">
        <v>9.52</v>
      </c>
      <c r="BR236" s="592"/>
      <c r="BS236" s="592"/>
      <c r="BT236" s="592"/>
      <c r="BU236" s="595"/>
      <c r="BV236" s="595"/>
      <c r="BW236" s="595"/>
      <c r="BX236" s="592">
        <f t="shared" si="57"/>
        <v>0</v>
      </c>
      <c r="BY236" s="592"/>
      <c r="BZ236" s="592"/>
      <c r="CA236" s="593"/>
    </row>
    <row r="237" spans="1:79" ht="15" customHeight="1">
      <c r="A237" s="424">
        <v>8</v>
      </c>
      <c r="B237" s="382">
        <v>24</v>
      </c>
      <c r="C237" s="382">
        <f t="shared" si="58"/>
        <v>236</v>
      </c>
      <c r="D237" s="383" t="str">
        <f>IF(I237='Jour Férié'!F$13,'Jour Férié'!E$13,""&amp;IF(I237='Jour Férié'!F$14,'Jour Férié'!E$14,""&amp;IF(I237='Jour Férié'!F$15,'Jour Férié'!E$15,""&amp;IF(I237='Jour Férié'!B$12,'Jour Férié'!A$12,""&amp;IF(MOD(MATCH(I237,vacances!$A$3:$A$202,1),2)=1,"vacances","")))))</f>
        <v>vacances</v>
      </c>
      <c r="E237" s="449"/>
      <c r="F237" s="449"/>
      <c r="G237" s="449"/>
      <c r="H237" s="621"/>
      <c r="I237" s="339">
        <f t="shared" si="52"/>
        <v>43336</v>
      </c>
      <c r="J237" s="569"/>
      <c r="K237" s="569"/>
      <c r="L237" s="569"/>
      <c r="M237" s="572"/>
      <c r="N237" s="321">
        <f>((IF(WEEKDAY(I235,2)=7,(COUNTIF(E235,"*"))))*AND(IF(WEEKDAY(I236,2)=1,(COUNTIF(E236,"*"))))*AND(COUNTBLANK(E233)))+((IF(WEEKDAY(I236,2)=7,(COUNTIF(E236,"*"))))*AND(IF(WEEKDAY(I237,2)=1,(COUNTIF(E237,"*"))))*AND(COUNTBLANK(E234)))+((IF(WEEKDAY(I237,2)=7,(COUNTIF(E237,"*"))))*AND(IF(WEEKDAY(I238,2)=1,(COUNTIF(E238,"*"))))*AND(COUNTBLANK(E234)))+((IF(WEEKDAY(I238,2)=7,(COUNTIF(E238,"*"))))*AND(IF(WEEKDAY(I239,2)=1,(COUNTIF(E239,"*"))))*AND(COUNTBLANK(E236)))+((IF(WEEKDAY(I239,2)=7,(COUNTIF(E239,"*"))))*AND(IF(WEEKDAY(I240,2)=1,(COUNTIF(E240,"*"))))*AND(COUNTBLANK(E237)))+((IF(WEEKDAY(I240,2)=7,(COUNTIF(E240,"*"))))*AND(IF(WEEKDAY(I241,2)=1,(COUNTIF(E241,"*"))))*AND(COUNTBLANK(E238)))+((IF(WEEKDAY(I241,2)=7,(COUNTIF(E241,"*"))))*AND(IF(WEEKDAY(I242,2)=1,(COUNTIF(E242,"*"))))*AND(COUNTBLANK(E239)))+((IF(WEEKDAY(I242,2)=7,(COUNTIF(E242,"*"))))*AND(IF(WEEKDAY(I243,2)=1,(COUNTIF(E243,"*"))))*AND(COUNTBLANK(E240)))+((IF(WEEKDAY(I243,2)=7,(COUNTIF(E243,"*"))))*AND(IF(WEEKDAY(I244,2)=1,(COUNTIF(E244,"*"))))*AND(COUNTBLANK(E241)))+((IF(WEEKDAY(I244,2)=7,(COUNTIF(E244,"*"))))*AND(IF(WEEKDAY(I245,2)=1,(COUNTIF(E245,"*"))))*AND(COUNTBLANK(E242)))</f>
        <v>0</v>
      </c>
      <c r="O237" s="573"/>
      <c r="P237" s="7"/>
      <c r="Q237" s="307"/>
      <c r="R237" s="307"/>
      <c r="S237" s="307"/>
      <c r="T237" s="552"/>
      <c r="U237" s="552"/>
      <c r="V237" s="552"/>
      <c r="W237" s="552"/>
      <c r="X237" s="552"/>
      <c r="Y237" s="552"/>
      <c r="Z237" s="552"/>
      <c r="AA237" s="552"/>
      <c r="AB237" s="552"/>
      <c r="AC237" s="553"/>
      <c r="AD237" s="553"/>
      <c r="AE237" s="553"/>
      <c r="AF237" s="553"/>
      <c r="AG237" s="553"/>
      <c r="AH237" s="553"/>
      <c r="AI237" s="553"/>
      <c r="AJ237" s="553"/>
      <c r="AK237" s="553"/>
      <c r="AL237" s="553"/>
      <c r="AM237" s="553"/>
      <c r="AN237" s="553"/>
      <c r="AO237" s="553"/>
      <c r="AP237" s="553"/>
      <c r="AQ237" s="553"/>
      <c r="AR237" s="307"/>
      <c r="AS237" s="307"/>
      <c r="AT237" s="307"/>
      <c r="AU237" s="307"/>
      <c r="AV237" s="307"/>
      <c r="AW237" s="591"/>
      <c r="AX237" s="591"/>
      <c r="AY237" s="591"/>
      <c r="AZ237" s="591"/>
      <c r="BA237" s="591"/>
      <c r="BB237" s="591"/>
      <c r="BC237" s="591"/>
      <c r="BD237" s="591"/>
      <c r="BE237" s="591"/>
      <c r="BF237" s="591"/>
      <c r="BG237" s="591"/>
      <c r="BH237" s="591"/>
      <c r="BI237" s="590">
        <f>$Y$28</f>
        <v>0</v>
      </c>
      <c r="BJ237" s="590"/>
      <c r="BK237" s="590"/>
      <c r="BL237" s="590"/>
      <c r="BM237" s="590"/>
      <c r="BN237" s="590"/>
      <c r="BO237" s="590"/>
      <c r="BP237" s="590"/>
      <c r="BQ237" s="592">
        <f>BI237*BM237</f>
        <v>0</v>
      </c>
      <c r="BR237" s="592"/>
      <c r="BS237" s="592"/>
      <c r="BT237" s="592"/>
      <c r="BU237" s="595"/>
      <c r="BV237" s="595"/>
      <c r="BW237" s="595"/>
      <c r="BX237" s="592">
        <f t="shared" si="57"/>
        <v>0</v>
      </c>
      <c r="BY237" s="592"/>
      <c r="BZ237" s="592"/>
      <c r="CA237" s="593"/>
    </row>
    <row r="238" spans="1:79" ht="15" customHeight="1">
      <c r="A238" s="424">
        <v>8</v>
      </c>
      <c r="B238" s="382">
        <v>25</v>
      </c>
      <c r="C238" s="382">
        <f t="shared" si="58"/>
        <v>237</v>
      </c>
      <c r="D238" s="383" t="str">
        <f>IF(I238='Jour Férié'!F$13,'Jour Férié'!E$13,""&amp;IF(I238='Jour Férié'!F$14,'Jour Férié'!E$14,""&amp;IF(I238='Jour Férié'!F$15,'Jour Férié'!E$15,""&amp;IF(I238='Jour Férié'!B$12,'Jour Férié'!A$12,""&amp;IF(MOD(MATCH(I238,vacances!$A$3:$A$202,1),2)=1,"vacances","")))))</f>
        <v>vacances</v>
      </c>
      <c r="E238" s="449"/>
      <c r="F238" s="449"/>
      <c r="G238" s="449"/>
      <c r="H238" s="621"/>
      <c r="I238" s="339">
        <f t="shared" si="52"/>
        <v>43337</v>
      </c>
      <c r="J238" s="569"/>
      <c r="K238" s="569"/>
      <c r="L238" s="7"/>
      <c r="M238" s="7"/>
      <c r="N238" s="7"/>
      <c r="O238" s="340"/>
      <c r="P238" s="7"/>
      <c r="Q238" s="290"/>
      <c r="R238" s="290"/>
      <c r="S238" s="290"/>
      <c r="T238" s="290"/>
      <c r="U238" s="290"/>
      <c r="V238" s="290"/>
      <c r="W238" s="290"/>
      <c r="X238" s="290"/>
      <c r="Y238" s="290"/>
      <c r="Z238" s="290"/>
      <c r="AA238" s="310"/>
      <c r="AB238" s="310"/>
      <c r="AC238" s="553"/>
      <c r="AD238" s="553"/>
      <c r="AE238" s="553"/>
      <c r="AF238" s="553"/>
      <c r="AG238" s="553"/>
      <c r="AH238" s="553"/>
      <c r="AI238" s="553"/>
      <c r="AJ238" s="553"/>
      <c r="AK238" s="553"/>
      <c r="AL238" s="553"/>
      <c r="AM238" s="553"/>
      <c r="AN238" s="553"/>
      <c r="AO238" s="553"/>
      <c r="AP238" s="553"/>
      <c r="AQ238" s="553"/>
      <c r="AR238" s="290"/>
      <c r="AS238" s="290"/>
      <c r="AT238" s="290"/>
      <c r="AU238" s="290"/>
      <c r="AV238" s="290"/>
      <c r="AW238" s="562" t="s">
        <v>270</v>
      </c>
      <c r="AX238" s="562"/>
      <c r="AY238" s="562"/>
      <c r="AZ238" s="562"/>
      <c r="BA238" s="562"/>
      <c r="BB238" s="562"/>
      <c r="BC238" s="562"/>
      <c r="BD238" s="562"/>
      <c r="BE238" s="562"/>
      <c r="BF238" s="562"/>
      <c r="BG238" s="562"/>
      <c r="BH238" s="562"/>
      <c r="BI238" s="587"/>
      <c r="BJ238" s="587"/>
      <c r="BK238" s="587"/>
      <c r="BL238" s="587"/>
      <c r="BM238" s="588">
        <f>SUM(BM217:BP237)</f>
        <v>0.32090000000000002</v>
      </c>
      <c r="BN238" s="588"/>
      <c r="BO238" s="588"/>
      <c r="BP238" s="588"/>
      <c r="BQ238" s="586">
        <f>SUM(BQ217:BT237)</f>
        <v>443.38236907487493</v>
      </c>
      <c r="BR238" s="586"/>
      <c r="BS238" s="586"/>
      <c r="BT238" s="586"/>
      <c r="BU238" s="311"/>
      <c r="BV238" s="7"/>
      <c r="BW238" s="7"/>
      <c r="BX238" s="586">
        <f>SUM(BX217:CA237)</f>
        <v>807.69346695699983</v>
      </c>
      <c r="BY238" s="586"/>
      <c r="BZ238" s="586"/>
      <c r="CA238" s="589"/>
    </row>
    <row r="239" spans="1:79" ht="15" customHeight="1">
      <c r="A239" s="424">
        <v>8</v>
      </c>
      <c r="B239" s="382">
        <v>26</v>
      </c>
      <c r="C239" s="382">
        <f t="shared" si="58"/>
        <v>238</v>
      </c>
      <c r="D239" s="383" t="str">
        <f>IF(I239='Jour Férié'!F$13,'Jour Férié'!E$13,""&amp;IF(I239='Jour Férié'!F$14,'Jour Férié'!E$14,""&amp;IF(I239='Jour Férié'!F$15,'Jour Férié'!E$15,""&amp;IF(I239='Jour Férié'!B$12,'Jour Férié'!A$12,""&amp;IF(MOD(MATCH(I239,vacances!$A$3:$A$202,1),2)=1,"vacances","")))))</f>
        <v>vacances</v>
      </c>
      <c r="E239" s="449"/>
      <c r="F239" s="449"/>
      <c r="G239" s="449"/>
      <c r="H239" s="621"/>
      <c r="I239" s="339">
        <f t="shared" si="52"/>
        <v>43338</v>
      </c>
      <c r="J239" s="285"/>
      <c r="K239" s="285"/>
      <c r="L239" s="289"/>
      <c r="M239" s="398" t="s">
        <v>323</v>
      </c>
      <c r="N239" s="569">
        <f>SUM(O231:O237)</f>
        <v>0</v>
      </c>
      <c r="O239" s="569"/>
      <c r="P239" s="7"/>
      <c r="Q239" s="304"/>
      <c r="R239" s="304"/>
      <c r="S239" s="304"/>
      <c r="T239" s="304"/>
      <c r="U239" s="304"/>
      <c r="V239" s="304"/>
      <c r="W239" s="304"/>
      <c r="X239" s="304"/>
      <c r="Y239" s="304"/>
      <c r="Z239" s="304"/>
      <c r="AA239" s="305"/>
      <c r="AB239" s="305"/>
      <c r="AC239" s="553"/>
      <c r="AD239" s="553"/>
      <c r="AE239" s="553"/>
      <c r="AF239" s="553"/>
      <c r="AG239" s="553"/>
      <c r="AH239" s="553"/>
      <c r="AI239" s="553"/>
      <c r="AJ239" s="553"/>
      <c r="AK239" s="553"/>
      <c r="AL239" s="553"/>
      <c r="AM239" s="553"/>
      <c r="AN239" s="553"/>
      <c r="AO239" s="553"/>
      <c r="AP239" s="553"/>
      <c r="AQ239" s="553"/>
      <c r="AR239" s="304"/>
      <c r="AS239" s="304"/>
      <c r="AT239" s="304"/>
      <c r="AU239" s="304"/>
      <c r="AV239" s="304"/>
      <c r="AW239" s="312" t="s">
        <v>271</v>
      </c>
      <c r="AX239" s="312"/>
      <c r="AY239" s="312"/>
      <c r="AZ239" s="312"/>
      <c r="BA239" s="312"/>
      <c r="BB239" s="312"/>
      <c r="BC239" s="312"/>
      <c r="BD239" s="313"/>
      <c r="BE239" s="313"/>
      <c r="BF239" s="313"/>
      <c r="BG239" s="313"/>
      <c r="BH239" s="313"/>
      <c r="BI239" s="569">
        <f>O217</f>
        <v>0</v>
      </c>
      <c r="BJ239" s="569"/>
      <c r="BK239" s="569"/>
      <c r="BL239" s="569"/>
      <c r="BM239" s="590">
        <f>'FICHE DE PAIE'!AW$27</f>
        <v>3.5259999999999998</v>
      </c>
      <c r="BN239" s="590"/>
      <c r="BO239" s="590"/>
      <c r="BP239" s="590"/>
      <c r="BQ239" s="381">
        <f>BI239*BM239</f>
        <v>0</v>
      </c>
      <c r="BR239" s="381"/>
      <c r="BS239" s="381"/>
      <c r="BT239" s="381"/>
      <c r="BU239" s="314"/>
      <c r="BV239" s="7"/>
      <c r="BW239" s="7"/>
      <c r="BX239" s="7"/>
      <c r="BY239" s="7"/>
      <c r="BZ239" s="7"/>
      <c r="CA239" s="315"/>
    </row>
    <row r="240" spans="1:79" ht="15" customHeight="1">
      <c r="A240" s="424">
        <v>8</v>
      </c>
      <c r="B240" s="382">
        <v>27</v>
      </c>
      <c r="C240" s="382">
        <f t="shared" ref="C240:C255" si="59">VLOOKUP(A240,Données,4)+B240-1</f>
        <v>239</v>
      </c>
      <c r="D240" s="383" t="str">
        <f>IF(I240='Jour Férié'!F$13,'Jour Férié'!E$13,""&amp;IF(I240='Jour Férié'!F$14,'Jour Férié'!E$14,""&amp;IF(I240='Jour Férié'!F$15,'Jour Férié'!E$15,""&amp;IF(I240='Jour Férié'!B$12,'Jour Férié'!A$12,""&amp;IF(MOD(MATCH(I240,vacances!$A$3:$A$202,1),2)=1,"vacances","")))))</f>
        <v>vacances</v>
      </c>
      <c r="E240" s="449"/>
      <c r="F240" s="449"/>
      <c r="G240" s="449"/>
      <c r="H240" s="621"/>
      <c r="I240" s="339">
        <f t="shared" si="52"/>
        <v>43339</v>
      </c>
      <c r="J240" s="285"/>
      <c r="K240" s="285"/>
      <c r="L240" s="291"/>
      <c r="M240" s="7"/>
      <c r="N240" s="7"/>
      <c r="O240" s="340"/>
      <c r="P240" s="7"/>
      <c r="Q240" s="307"/>
      <c r="R240" s="307"/>
      <c r="S240" s="307"/>
      <c r="T240" s="307"/>
      <c r="U240" s="307"/>
      <c r="V240" s="307"/>
      <c r="W240" s="307"/>
      <c r="X240" s="307"/>
      <c r="Y240" s="307"/>
      <c r="Z240" s="307"/>
      <c r="AA240" s="308"/>
      <c r="AB240" s="308"/>
      <c r="AC240" s="553"/>
      <c r="AD240" s="553"/>
      <c r="AE240" s="553"/>
      <c r="AF240" s="553"/>
      <c r="AG240" s="553"/>
      <c r="AH240" s="553"/>
      <c r="AI240" s="553"/>
      <c r="AJ240" s="553"/>
      <c r="AK240" s="553"/>
      <c r="AL240" s="553"/>
      <c r="AM240" s="553"/>
      <c r="AN240" s="553"/>
      <c r="AO240" s="553"/>
      <c r="AP240" s="553"/>
      <c r="AQ240" s="553"/>
      <c r="AR240" s="307"/>
      <c r="AS240" s="307"/>
      <c r="AT240" s="307"/>
      <c r="AU240" s="307"/>
      <c r="AV240" s="307"/>
      <c r="AW240" s="550">
        <f>Q214</f>
        <v>43313</v>
      </c>
      <c r="AX240" s="550"/>
      <c r="AY240" s="550"/>
      <c r="AZ240" s="550"/>
      <c r="BA240" s="550"/>
      <c r="BB240" s="550"/>
      <c r="BC240" s="550"/>
      <c r="BD240" s="550"/>
      <c r="BE240" s="550"/>
      <c r="BF240" s="550"/>
      <c r="BG240" s="550"/>
      <c r="BH240" s="550"/>
      <c r="BI240" s="550"/>
      <c r="BJ240" s="550"/>
      <c r="BK240" s="550"/>
      <c r="BL240" s="550"/>
      <c r="BM240" s="550"/>
      <c r="BN240" s="550"/>
      <c r="BO240" s="550"/>
      <c r="BP240" s="550"/>
      <c r="BQ240" s="550"/>
      <c r="BR240" s="550"/>
      <c r="BS240" s="550"/>
      <c r="BT240" s="550"/>
      <c r="BU240" s="550"/>
      <c r="BV240" s="550"/>
      <c r="BW240" s="550"/>
      <c r="BX240" s="550"/>
      <c r="BY240" s="550"/>
      <c r="BZ240" s="550"/>
      <c r="CA240" s="551"/>
    </row>
    <row r="241" spans="1:79" ht="15" customHeight="1">
      <c r="A241" s="424">
        <v>8</v>
      </c>
      <c r="B241" s="382">
        <v>28</v>
      </c>
      <c r="C241" s="382">
        <f t="shared" si="59"/>
        <v>240</v>
      </c>
      <c r="D241" s="383" t="str">
        <f>IF(I241='Jour Férié'!F$13,'Jour Férié'!E$13,""&amp;IF(I241='Jour Férié'!F$14,'Jour Férié'!E$14,""&amp;IF(I241='Jour Férié'!F$15,'Jour Férié'!E$15,""&amp;IF(I241='Jour Férié'!B$12,'Jour Férié'!A$12,""&amp;IF(MOD(MATCH(I241,vacances!$A$3:$A$202,1),2)=1,"vacances","")))))</f>
        <v>vacances</v>
      </c>
      <c r="E241" s="449"/>
      <c r="F241" s="449"/>
      <c r="G241" s="449"/>
      <c r="H241" s="621"/>
      <c r="I241" s="339">
        <f t="shared" si="52"/>
        <v>43340</v>
      </c>
      <c r="J241" s="285"/>
      <c r="K241" s="7"/>
      <c r="L241" s="281"/>
      <c r="M241" s="7"/>
      <c r="N241" s="7"/>
      <c r="O241" s="340"/>
      <c r="P241" s="7"/>
      <c r="Q241" s="290"/>
      <c r="R241" s="290"/>
      <c r="S241" s="290"/>
      <c r="T241" s="290"/>
      <c r="U241" s="290"/>
      <c r="V241" s="290"/>
      <c r="W241" s="290"/>
      <c r="X241" s="290"/>
      <c r="Y241" s="290"/>
      <c r="Z241" s="290"/>
      <c r="AA241" s="310"/>
      <c r="AB241" s="310"/>
      <c r="AC241" s="553"/>
      <c r="AD241" s="553"/>
      <c r="AE241" s="553"/>
      <c r="AF241" s="553"/>
      <c r="AG241" s="553"/>
      <c r="AH241" s="553"/>
      <c r="AI241" s="553"/>
      <c r="AJ241" s="553"/>
      <c r="AK241" s="553"/>
      <c r="AL241" s="553"/>
      <c r="AM241" s="553"/>
      <c r="AN241" s="553"/>
      <c r="AO241" s="553"/>
      <c r="AP241" s="553"/>
      <c r="AQ241" s="553"/>
      <c r="AR241" s="290"/>
      <c r="AS241" s="290"/>
      <c r="AT241" s="290"/>
      <c r="AU241" s="290"/>
      <c r="AV241" s="290"/>
      <c r="AW241" s="313"/>
      <c r="AX241" s="313"/>
      <c r="AY241" s="313"/>
      <c r="AZ241" s="313"/>
      <c r="BA241" s="313"/>
      <c r="BB241" s="313"/>
      <c r="BC241" s="313"/>
      <c r="BD241" s="313"/>
      <c r="BE241" s="313"/>
      <c r="BF241" s="313"/>
      <c r="BG241" s="313"/>
      <c r="BH241" s="313"/>
      <c r="BI241" s="313"/>
      <c r="BJ241" s="313"/>
      <c r="BK241" s="313"/>
      <c r="BL241" s="316"/>
      <c r="BM241" s="316"/>
      <c r="BN241" s="587" t="s">
        <v>272</v>
      </c>
      <c r="BO241" s="587"/>
      <c r="BP241" s="587"/>
      <c r="BQ241" s="587"/>
      <c r="BR241" s="587"/>
      <c r="BS241" s="587"/>
      <c r="BT241" s="587"/>
      <c r="BU241" s="587"/>
      <c r="BV241" s="597">
        <f>AG230-BQ238+BQ239</f>
        <v>1407.7499809251249</v>
      </c>
      <c r="BW241" s="597"/>
      <c r="BX241" s="597"/>
      <c r="BY241" s="597"/>
      <c r="BZ241" s="597"/>
      <c r="CA241" s="598"/>
    </row>
    <row r="242" spans="1:79" ht="15" customHeight="1">
      <c r="A242" s="424">
        <v>8</v>
      </c>
      <c r="B242" s="382">
        <v>29</v>
      </c>
      <c r="C242" s="382">
        <f t="shared" si="59"/>
        <v>241</v>
      </c>
      <c r="D242" s="383" t="str">
        <f>IF(I242='Jour Férié'!F$13,'Jour Férié'!E$13,""&amp;IF(I242='Jour Férié'!F$14,'Jour Férié'!E$14,""&amp;IF(I242='Jour Férié'!F$15,'Jour Férié'!E$15,""&amp;IF(I242='Jour Férié'!B$12,'Jour Férié'!A$12,""&amp;IF(MOD(MATCH(I242,vacances!$A$3:$A$202,1),2)=1,"vacances","")))))</f>
        <v>vacances</v>
      </c>
      <c r="E242" s="449"/>
      <c r="F242" s="449"/>
      <c r="G242" s="449"/>
      <c r="H242" s="621"/>
      <c r="I242" s="339">
        <f t="shared" si="52"/>
        <v>43341</v>
      </c>
      <c r="J242" s="285"/>
      <c r="K242" s="7"/>
      <c r="L242" s="281"/>
      <c r="M242" s="7"/>
      <c r="N242" s="7"/>
      <c r="O242" s="340"/>
      <c r="P242" s="7"/>
      <c r="Q242" s="304"/>
      <c r="R242" s="304"/>
      <c r="S242" s="304"/>
      <c r="T242" s="304"/>
      <c r="U242" s="304"/>
      <c r="V242" s="304"/>
      <c r="W242" s="304"/>
      <c r="X242" s="304"/>
      <c r="Y242" s="304"/>
      <c r="Z242" s="304"/>
      <c r="AA242" s="305"/>
      <c r="AB242" s="305"/>
      <c r="AC242" s="553"/>
      <c r="AD242" s="553"/>
      <c r="AE242" s="553"/>
      <c r="AF242" s="553"/>
      <c r="AG242" s="553"/>
      <c r="AH242" s="553"/>
      <c r="AI242" s="553"/>
      <c r="AJ242" s="553"/>
      <c r="AK242" s="553"/>
      <c r="AL242" s="553"/>
      <c r="AM242" s="553"/>
      <c r="AN242" s="553"/>
      <c r="AO242" s="553"/>
      <c r="AP242" s="553"/>
      <c r="AQ242" s="553"/>
      <c r="AR242" s="304"/>
      <c r="AS242" s="304"/>
      <c r="AT242" s="304"/>
      <c r="AU242" s="304"/>
      <c r="AV242" s="304"/>
      <c r="AW242" s="317"/>
      <c r="AX242" s="317"/>
      <c r="AY242" s="317"/>
      <c r="AZ242" s="317"/>
      <c r="BA242" s="317"/>
      <c r="BB242" s="317"/>
      <c r="BC242" s="317"/>
      <c r="BD242" s="317"/>
      <c r="BE242" s="317"/>
      <c r="BF242" s="317"/>
      <c r="BG242" s="317"/>
      <c r="BH242" s="317"/>
      <c r="BI242" s="317"/>
      <c r="BJ242" s="317"/>
      <c r="BK242" s="317"/>
      <c r="BL242" s="585" t="s">
        <v>273</v>
      </c>
      <c r="BM242" s="585"/>
      <c r="BN242" s="585"/>
      <c r="BO242" s="585"/>
      <c r="BP242" s="585"/>
      <c r="BQ242" s="585"/>
      <c r="BR242" s="585"/>
      <c r="BS242" s="585"/>
      <c r="BT242" s="585"/>
      <c r="BU242" s="586">
        <f>BV241-BQ238+BQ239</f>
        <v>964.36761185024989</v>
      </c>
      <c r="BV242" s="586"/>
      <c r="BW242" s="586"/>
      <c r="BX242" s="586"/>
      <c r="BY242" s="586"/>
      <c r="BZ242" s="586"/>
      <c r="CA242" s="341"/>
    </row>
    <row r="243" spans="1:79" ht="15" customHeight="1">
      <c r="A243" s="424">
        <v>8</v>
      </c>
      <c r="B243" s="382">
        <v>30</v>
      </c>
      <c r="C243" s="382">
        <f t="shared" si="59"/>
        <v>242</v>
      </c>
      <c r="D243" s="383" t="str">
        <f>IF(I243='Jour Férié'!F$13,'Jour Férié'!E$13,""&amp;IF(I243='Jour Férié'!F$14,'Jour Férié'!E$14,""&amp;IF(I243='Jour Férié'!F$15,'Jour Férié'!E$15,""&amp;IF(I243='Jour Férié'!B$12,'Jour Férié'!A$12,""&amp;IF(MOD(MATCH(I243,vacances!$A$3:$A$202,1),2)=1,"vacances","")))))</f>
        <v>vacances</v>
      </c>
      <c r="E243" s="449"/>
      <c r="F243" s="449"/>
      <c r="G243" s="449"/>
      <c r="H243" s="621"/>
      <c r="I243" s="339">
        <f t="shared" si="52"/>
        <v>43342</v>
      </c>
      <c r="J243" s="285"/>
      <c r="K243" s="7"/>
      <c r="L243" s="281"/>
      <c r="M243" s="7"/>
      <c r="N243" s="7"/>
      <c r="O243" s="340"/>
      <c r="P243" s="7"/>
      <c r="Q243" s="7"/>
      <c r="R243" s="7"/>
      <c r="S243" s="7"/>
      <c r="T243" s="7"/>
      <c r="U243" s="7"/>
      <c r="V243" s="7"/>
      <c r="W243" s="7"/>
      <c r="X243" s="7"/>
      <c r="Y243" s="7"/>
      <c r="Z243" s="7"/>
      <c r="AA243" s="340"/>
      <c r="AB243" s="340"/>
      <c r="AC243" s="340"/>
      <c r="AD243" s="351"/>
      <c r="AE243" s="351"/>
      <c r="AF243" s="351"/>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315"/>
    </row>
    <row r="244" spans="1:79" ht="15" customHeight="1" thickBot="1">
      <c r="A244" s="426">
        <v>8</v>
      </c>
      <c r="B244" s="427">
        <v>31</v>
      </c>
      <c r="C244" s="427">
        <f t="shared" si="59"/>
        <v>243</v>
      </c>
      <c r="D244" s="428" t="str">
        <f>IF(I244='Jour Férié'!F$13,'Jour Férié'!E$13,""&amp;IF(I244='Jour Férié'!F$14,'Jour Férié'!E$14,""&amp;IF(I244='Jour Férié'!F$15,'Jour Férié'!E$15,""&amp;IF(I244='Jour Férié'!B$12,'Jour Férié'!A$12,""&amp;IF(MOD(MATCH(I244,vacances!$A$3:$A$202,1),2)=1,"vacances","")))))</f>
        <v>vacances</v>
      </c>
      <c r="E244" s="493"/>
      <c r="F244" s="493"/>
      <c r="G244" s="493"/>
      <c r="H244" s="622"/>
      <c r="I244" s="344">
        <f t="shared" si="52"/>
        <v>43343</v>
      </c>
      <c r="J244" s="345"/>
      <c r="K244" s="345"/>
      <c r="L244" s="345"/>
      <c r="M244" s="345"/>
      <c r="N244" s="345"/>
      <c r="O244" s="346"/>
      <c r="P244" s="345"/>
      <c r="Q244" s="345"/>
      <c r="R244" s="345"/>
      <c r="S244" s="345"/>
      <c r="T244" s="345"/>
      <c r="U244" s="345"/>
      <c r="V244" s="345"/>
      <c r="W244" s="345"/>
      <c r="X244" s="345"/>
      <c r="Y244" s="345"/>
      <c r="Z244" s="345"/>
      <c r="AA244" s="346"/>
      <c r="AB244" s="346"/>
      <c r="AC244" s="346"/>
      <c r="AD244" s="352"/>
      <c r="AE244" s="352"/>
      <c r="AF244" s="352"/>
      <c r="AG244" s="345"/>
      <c r="AH244" s="345"/>
      <c r="AI244" s="345"/>
      <c r="AJ244" s="345"/>
      <c r="AK244" s="345"/>
      <c r="AL244" s="345"/>
      <c r="AM244" s="345"/>
      <c r="AN244" s="345"/>
      <c r="AO244" s="345"/>
      <c r="AP244" s="345"/>
      <c r="AQ244" s="345"/>
      <c r="AR244" s="345"/>
      <c r="AS244" s="345"/>
      <c r="AT244" s="345"/>
      <c r="AU244" s="345"/>
      <c r="AV244" s="345"/>
      <c r="AW244" s="345"/>
      <c r="AX244" s="345"/>
      <c r="AY244" s="345"/>
      <c r="AZ244" s="345"/>
      <c r="BA244" s="345"/>
      <c r="BB244" s="345"/>
      <c r="BC244" s="345"/>
      <c r="BD244" s="345"/>
      <c r="BE244" s="345"/>
      <c r="BF244" s="345"/>
      <c r="BG244" s="345"/>
      <c r="BH244" s="345"/>
      <c r="BI244" s="345"/>
      <c r="BJ244" s="345"/>
      <c r="BK244" s="345"/>
      <c r="BL244" s="345"/>
      <c r="BM244" s="345"/>
      <c r="BN244" s="345"/>
      <c r="BO244" s="345"/>
      <c r="BP244" s="345"/>
      <c r="BQ244" s="345"/>
      <c r="BR244" s="345"/>
      <c r="BS244" s="345"/>
      <c r="BT244" s="345"/>
      <c r="BU244" s="345"/>
      <c r="BV244" s="345"/>
      <c r="BW244" s="345"/>
      <c r="BX244" s="345"/>
      <c r="BY244" s="345"/>
      <c r="BZ244" s="345"/>
      <c r="CA244" s="353"/>
    </row>
    <row r="245" spans="1:79" ht="15" customHeight="1">
      <c r="A245" s="326">
        <v>9</v>
      </c>
      <c r="B245" s="327">
        <v>1</v>
      </c>
      <c r="C245" s="327">
        <f t="shared" si="59"/>
        <v>244</v>
      </c>
      <c r="D245" s="413" t="str">
        <f>IF(I245='Jour Férié'!F$13,'Jour Férié'!E$13,""&amp;IF(I245='Jour Férié'!F$14,'Jour Férié'!E$14,""&amp;IF(I245='Jour Férié'!F$15,'Jour Férié'!E$15,""&amp;IF(I245='Jour Férié'!F$10,'Jour Férié'!E$10,""&amp;IF(MOD(MATCH(I245,vacances!$A$3:$A$202,1),2)=1,"vacances","")))))</f>
        <v>vacances</v>
      </c>
      <c r="E245" s="489"/>
      <c r="F245" s="489"/>
      <c r="G245" s="489"/>
      <c r="H245" s="623" t="s">
        <v>57</v>
      </c>
      <c r="I245" s="414">
        <f>DATE(annee,9,1)</f>
        <v>43344</v>
      </c>
      <c r="J245" s="415" t="s">
        <v>201</v>
      </c>
      <c r="K245" s="416" t="s">
        <v>202</v>
      </c>
      <c r="L245" s="325"/>
      <c r="M245" s="417" t="s">
        <v>203</v>
      </c>
      <c r="N245" s="417"/>
      <c r="O245" s="418">
        <f>(COUNTIF($E245:$E274,$J245))</f>
        <v>0</v>
      </c>
      <c r="P245" s="327"/>
      <c r="Q245" s="560">
        <f>DATE(annee,9,1)</f>
        <v>43344</v>
      </c>
      <c r="R245" s="560"/>
      <c r="S245" s="560"/>
      <c r="T245" s="560"/>
      <c r="U245" s="560"/>
      <c r="V245" s="560"/>
      <c r="W245" s="560"/>
      <c r="X245" s="560"/>
      <c r="Y245" s="560"/>
      <c r="Z245" s="560"/>
      <c r="AA245" s="560"/>
      <c r="AB245" s="560"/>
      <c r="AC245" s="560"/>
      <c r="AD245" s="560"/>
      <c r="AE245" s="560"/>
      <c r="AF245" s="560"/>
      <c r="AG245" s="560"/>
      <c r="AH245" s="560"/>
      <c r="AI245" s="560"/>
      <c r="AJ245" s="560"/>
      <c r="AK245" s="560"/>
      <c r="AL245" s="560"/>
      <c r="AM245" s="560"/>
      <c r="AN245" s="560"/>
      <c r="AO245" s="560"/>
      <c r="AP245" s="560"/>
      <c r="AQ245" s="560"/>
      <c r="AR245" s="560"/>
      <c r="AS245" s="560"/>
      <c r="AT245" s="560"/>
      <c r="AU245" s="560"/>
      <c r="AV245" s="292"/>
      <c r="AW245" s="560">
        <f>Q245</f>
        <v>43344</v>
      </c>
      <c r="AX245" s="560"/>
      <c r="AY245" s="560"/>
      <c r="AZ245" s="560"/>
      <c r="BA245" s="560"/>
      <c r="BB245" s="560"/>
      <c r="BC245" s="560"/>
      <c r="BD245" s="560"/>
      <c r="BE245" s="560"/>
      <c r="BF245" s="560"/>
      <c r="BG245" s="560"/>
      <c r="BH245" s="560"/>
      <c r="BI245" s="560"/>
      <c r="BJ245" s="560"/>
      <c r="BK245" s="560"/>
      <c r="BL245" s="560"/>
      <c r="BM245" s="560"/>
      <c r="BN245" s="560"/>
      <c r="BO245" s="560"/>
      <c r="BP245" s="560"/>
      <c r="BQ245" s="560"/>
      <c r="BR245" s="560"/>
      <c r="BS245" s="560"/>
      <c r="BT245" s="560"/>
      <c r="BU245" s="560"/>
      <c r="BV245" s="560"/>
      <c r="BW245" s="560"/>
      <c r="BX245" s="560"/>
      <c r="BY245" s="560"/>
      <c r="BZ245" s="560"/>
      <c r="CA245" s="607"/>
    </row>
    <row r="246" spans="1:79" ht="15" customHeight="1">
      <c r="A246" s="334">
        <v>9</v>
      </c>
      <c r="B246" s="328">
        <v>2</v>
      </c>
      <c r="C246" s="328">
        <f t="shared" si="59"/>
        <v>245</v>
      </c>
      <c r="D246" s="360" t="str">
        <f>IF(I246='Jour Férié'!F$13,'Jour Férié'!E$13,""&amp;IF(I246='Jour Férié'!F$14,'Jour Férié'!E$14,""&amp;IF(I246='Jour Férié'!F$15,'Jour Férié'!E$15,""&amp;IF(I246='Jour Férié'!F$10,'Jour Férié'!E$10,""&amp;IF(MOD(MATCH(I246,vacances!$A$3:$A$202,1),2)=1,"vacances","")))))</f>
        <v/>
      </c>
      <c r="E246" s="490"/>
      <c r="F246" s="490"/>
      <c r="G246" s="490"/>
      <c r="H246" s="624"/>
      <c r="I246" s="361">
        <f t="shared" ref="I246:I274" si="60">DATE(annee,9,1)+B245</f>
        <v>43345</v>
      </c>
      <c r="J246" s="362" t="s">
        <v>204</v>
      </c>
      <c r="K246" s="363" t="s">
        <v>205</v>
      </c>
      <c r="L246" s="324"/>
      <c r="M246" s="333" t="s">
        <v>206</v>
      </c>
      <c r="N246" s="333"/>
      <c r="O246" s="364">
        <f>(COUNTIF($E245:$E274,$J246))</f>
        <v>0</v>
      </c>
      <c r="P246" s="328"/>
      <c r="Q246" s="365"/>
      <c r="R246" s="365"/>
      <c r="S246" s="365"/>
      <c r="T246" s="365"/>
      <c r="U246" s="365"/>
      <c r="V246" s="365"/>
      <c r="W246" s="365"/>
      <c r="X246" s="365"/>
      <c r="Y246" s="365"/>
      <c r="Z246" s="365"/>
      <c r="AA246" s="366"/>
      <c r="AB246" s="366"/>
      <c r="AC246" s="366"/>
      <c r="AD246" s="367"/>
      <c r="AE246" s="367"/>
      <c r="AF246" s="367"/>
      <c r="AG246" s="365"/>
      <c r="AH246" s="365"/>
      <c r="AI246" s="365"/>
      <c r="AJ246" s="365"/>
      <c r="AK246" s="365"/>
      <c r="AL246" s="365"/>
      <c r="AM246" s="365"/>
      <c r="AN246" s="365"/>
      <c r="AO246" s="365"/>
      <c r="AP246" s="368"/>
      <c r="AQ246" s="368"/>
      <c r="AR246" s="368"/>
      <c r="AS246" s="368"/>
      <c r="AT246" s="368"/>
      <c r="AU246" s="368"/>
      <c r="AV246" s="290"/>
      <c r="AW246" s="608" t="s">
        <v>229</v>
      </c>
      <c r="AX246" s="608"/>
      <c r="AY246" s="608"/>
      <c r="AZ246" s="608"/>
      <c r="BA246" s="608"/>
      <c r="BB246" s="608"/>
      <c r="BC246" s="608"/>
      <c r="BD246" s="608"/>
      <c r="BE246" s="608"/>
      <c r="BF246" s="608"/>
      <c r="BG246" s="608"/>
      <c r="BH246" s="608"/>
      <c r="BI246" s="293"/>
      <c r="BJ246" s="293"/>
      <c r="BK246" s="293"/>
      <c r="BL246" s="585" t="s">
        <v>230</v>
      </c>
      <c r="BM246" s="585"/>
      <c r="BN246" s="585"/>
      <c r="BO246" s="585"/>
      <c r="BP246" s="585"/>
      <c r="BQ246" s="585"/>
      <c r="BR246" s="585"/>
      <c r="BS246" s="585"/>
      <c r="BT246" s="585"/>
      <c r="BU246" s="585" t="s">
        <v>231</v>
      </c>
      <c r="BV246" s="585"/>
      <c r="BW246" s="585"/>
      <c r="BX246" s="585"/>
      <c r="BY246" s="585"/>
      <c r="BZ246" s="585"/>
      <c r="CA246" s="609"/>
    </row>
    <row r="247" spans="1:79" ht="15" customHeight="1">
      <c r="A247" s="334">
        <v>9</v>
      </c>
      <c r="B247" s="328">
        <v>3</v>
      </c>
      <c r="C247" s="328">
        <f t="shared" si="59"/>
        <v>246</v>
      </c>
      <c r="D247" s="360" t="str">
        <f>IF(I247='Jour Férié'!F$13,'Jour Férié'!E$13,""&amp;IF(I247='Jour Férié'!F$14,'Jour Férié'!E$14,""&amp;IF(I247='Jour Férié'!F$15,'Jour Férié'!E$15,""&amp;IF(I247='Jour Férié'!F$10,'Jour Férié'!E$10,""&amp;IF(MOD(MATCH(I247,vacances!$A$3:$A$202,1),2)=1,"vacances","")))))</f>
        <v/>
      </c>
      <c r="E247" s="490"/>
      <c r="F247" s="490"/>
      <c r="G247" s="490"/>
      <c r="H247" s="624"/>
      <c r="I247" s="361">
        <f t="shared" si="60"/>
        <v>43346</v>
      </c>
      <c r="J247" s="613" t="s">
        <v>207</v>
      </c>
      <c r="K247" s="613"/>
      <c r="L247" s="324"/>
      <c r="M247" s="333" t="s">
        <v>208</v>
      </c>
      <c r="N247" s="333"/>
      <c r="O247" s="364">
        <f>(COUNTIF($E245:$E274,$J247))</f>
        <v>0</v>
      </c>
      <c r="P247" s="328"/>
      <c r="Q247" s="555" t="str">
        <f>'FICHE DE PAIE'!A$4</f>
        <v>Salaire de base</v>
      </c>
      <c r="R247" s="555"/>
      <c r="S247" s="555"/>
      <c r="T247" s="555"/>
      <c r="U247" s="555"/>
      <c r="V247" s="555"/>
      <c r="W247" s="555"/>
      <c r="X247" s="555"/>
      <c r="Y247" s="555"/>
      <c r="Z247" s="494"/>
      <c r="AA247" s="556">
        <f>'FICHE DE PAIE'!$K$4</f>
        <v>151.66999999999999</v>
      </c>
      <c r="AB247" s="556"/>
      <c r="AC247" s="556"/>
      <c r="AD247" s="558">
        <f>'FICHE DE PAIE'!N$4</f>
        <v>12.074</v>
      </c>
      <c r="AE247" s="558"/>
      <c r="AF247" s="558"/>
      <c r="AG247" s="559">
        <f t="shared" ref="AG247:AG252" si="61">AA247*AD247</f>
        <v>1831.2635799999998</v>
      </c>
      <c r="AH247" s="559"/>
      <c r="AI247" s="559"/>
      <c r="AJ247" s="559"/>
      <c r="AK247" s="567" t="s">
        <v>233</v>
      </c>
      <c r="AL247" s="567"/>
      <c r="AM247" s="567"/>
      <c r="AN247" s="567"/>
      <c r="AO247" s="568">
        <v>2946</v>
      </c>
      <c r="AP247" s="568"/>
      <c r="AQ247" s="568"/>
      <c r="AR247" s="500"/>
      <c r="AS247" s="500"/>
      <c r="AT247" s="500"/>
      <c r="AU247" s="297"/>
      <c r="AV247" s="290"/>
      <c r="AW247" s="608"/>
      <c r="AX247" s="608"/>
      <c r="AY247" s="608"/>
      <c r="AZ247" s="608"/>
      <c r="BA247" s="608"/>
      <c r="BB247" s="608"/>
      <c r="BC247" s="608"/>
      <c r="BD247" s="608"/>
      <c r="BE247" s="608"/>
      <c r="BF247" s="608"/>
      <c r="BG247" s="608"/>
      <c r="BH247" s="608"/>
      <c r="BI247" s="611" t="s">
        <v>234</v>
      </c>
      <c r="BJ247" s="611"/>
      <c r="BK247" s="611"/>
      <c r="BL247" s="611"/>
      <c r="BM247" s="611" t="s">
        <v>235</v>
      </c>
      <c r="BN247" s="611"/>
      <c r="BO247" s="611"/>
      <c r="BP247" s="611"/>
      <c r="BQ247" s="611" t="s">
        <v>236</v>
      </c>
      <c r="BR247" s="611"/>
      <c r="BS247" s="611"/>
      <c r="BT247" s="611"/>
      <c r="BU247" s="611" t="s">
        <v>235</v>
      </c>
      <c r="BV247" s="611"/>
      <c r="BW247" s="611"/>
      <c r="BX247" s="611" t="s">
        <v>236</v>
      </c>
      <c r="BY247" s="611"/>
      <c r="BZ247" s="611"/>
      <c r="CA247" s="612"/>
    </row>
    <row r="248" spans="1:79" ht="15" customHeight="1">
      <c r="A248" s="334">
        <v>9</v>
      </c>
      <c r="B248" s="328">
        <v>4</v>
      </c>
      <c r="C248" s="328">
        <f t="shared" si="59"/>
        <v>247</v>
      </c>
      <c r="D248" s="360" t="str">
        <f>IF(I248='Jour Férié'!F$13,'Jour Férié'!E$13,""&amp;IF(I248='Jour Férié'!F$14,'Jour Férié'!E$14,""&amp;IF(I248='Jour Férié'!F$15,'Jour Férié'!E$15,""&amp;IF(I248='Jour Férié'!F$10,'Jour Férié'!E$10,""&amp;IF(MOD(MATCH(I248,vacances!$A$3:$A$202,1),2)=1,"vacances","")))))</f>
        <v/>
      </c>
      <c r="E248" s="490"/>
      <c r="F248" s="490"/>
      <c r="G248" s="490"/>
      <c r="H248" s="624"/>
      <c r="I248" s="361">
        <f t="shared" si="60"/>
        <v>43347</v>
      </c>
      <c r="J248" s="328"/>
      <c r="K248" s="369" t="s">
        <v>209</v>
      </c>
      <c r="L248" s="324"/>
      <c r="M248" s="333" t="s">
        <v>210</v>
      </c>
      <c r="N248" s="333"/>
      <c r="O248" s="364">
        <f>SUM(O245:O247)</f>
        <v>0</v>
      </c>
      <c r="P248" s="328"/>
      <c r="Q248" s="555" t="str">
        <f>'FICHE DE PAIE'!A$5</f>
        <v>HS à 25%</v>
      </c>
      <c r="R248" s="555"/>
      <c r="S248" s="555"/>
      <c r="T248" s="555"/>
      <c r="U248" s="555"/>
      <c r="V248" s="555"/>
      <c r="W248" s="555"/>
      <c r="X248" s="555"/>
      <c r="Y248" s="555"/>
      <c r="Z248" s="494"/>
      <c r="AA248" s="561"/>
      <c r="AB248" s="561"/>
      <c r="AC248" s="561"/>
      <c r="AD248" s="558">
        <f>'FICHE DE PAIE'!N$5</f>
        <v>15.092499999999999</v>
      </c>
      <c r="AE248" s="558"/>
      <c r="AF248" s="558"/>
      <c r="AG248" s="559">
        <f t="shared" si="61"/>
        <v>0</v>
      </c>
      <c r="AH248" s="559"/>
      <c r="AI248" s="559"/>
      <c r="AJ248" s="559"/>
      <c r="AK248" s="294"/>
      <c r="AL248" s="294"/>
      <c r="AM248" s="294"/>
      <c r="AN248" s="295"/>
      <c r="AO248" s="295"/>
      <c r="AP248" s="295"/>
      <c r="AQ248" s="295"/>
      <c r="AR248" s="295"/>
      <c r="AS248" s="295"/>
      <c r="AT248" s="295"/>
      <c r="AU248" s="295"/>
      <c r="AV248" s="290"/>
      <c r="AW248" s="591" t="s">
        <v>238</v>
      </c>
      <c r="AX248" s="591"/>
      <c r="AY248" s="591"/>
      <c r="AZ248" s="591"/>
      <c r="BA248" s="591"/>
      <c r="BB248" s="591"/>
      <c r="BC248" s="591"/>
      <c r="BD248" s="591"/>
      <c r="BE248" s="591"/>
      <c r="BF248" s="591"/>
      <c r="BG248" s="591"/>
      <c r="BH248" s="591"/>
      <c r="BI248" s="590">
        <f>$AG$17</f>
        <v>1952.5539499999998</v>
      </c>
      <c r="BJ248" s="590"/>
      <c r="BK248" s="590"/>
      <c r="BL248" s="590"/>
      <c r="BM248" s="594">
        <f>'FICHE DE PAIE'!AW$5</f>
        <v>4.0000000000000001E-3</v>
      </c>
      <c r="BN248" s="594"/>
      <c r="BO248" s="594"/>
      <c r="BP248" s="594"/>
      <c r="BQ248" s="592">
        <f>BI248*BM248</f>
        <v>7.810215799999999</v>
      </c>
      <c r="BR248" s="592"/>
      <c r="BS248" s="592"/>
      <c r="BT248" s="592"/>
      <c r="BU248" s="594">
        <f>'FICHE DE PAIE'!BE$5</f>
        <v>0.152</v>
      </c>
      <c r="BV248" s="594"/>
      <c r="BW248" s="594"/>
      <c r="BX248" s="592">
        <f>BI248*BU248</f>
        <v>296.78820039999994</v>
      </c>
      <c r="BY248" s="592"/>
      <c r="BZ248" s="592"/>
      <c r="CA248" s="593"/>
    </row>
    <row r="249" spans="1:79" ht="15" customHeight="1">
      <c r="A249" s="334">
        <v>9</v>
      </c>
      <c r="B249" s="328">
        <v>5</v>
      </c>
      <c r="C249" s="328">
        <f t="shared" si="59"/>
        <v>248</v>
      </c>
      <c r="D249" s="360" t="str">
        <f>IF(I249='Jour Férié'!F$13,'Jour Férié'!E$13,""&amp;IF(I249='Jour Férié'!F$14,'Jour Férié'!E$14,""&amp;IF(I249='Jour Férié'!F$15,'Jour Férié'!E$15,""&amp;IF(I249='Jour Férié'!F$10,'Jour Férié'!E$10,""&amp;IF(MOD(MATCH(I249,vacances!$A$3:$A$202,1),2)=1,"vacances","")))))</f>
        <v/>
      </c>
      <c r="E249" s="490"/>
      <c r="F249" s="490"/>
      <c r="G249" s="490"/>
      <c r="H249" s="624"/>
      <c r="I249" s="361">
        <f t="shared" si="60"/>
        <v>43348</v>
      </c>
      <c r="J249" s="328"/>
      <c r="K249" s="328"/>
      <c r="L249" s="324"/>
      <c r="M249" s="333" t="s">
        <v>211</v>
      </c>
      <c r="N249" s="333"/>
      <c r="O249" s="364">
        <f ca="1">(COUNTIF(I245:I253,dimanche(COUNTIF($E245:$E274,$J246))))</f>
        <v>0</v>
      </c>
      <c r="P249" s="328"/>
      <c r="Q249" s="555" t="str">
        <f>'FICHE DE PAIE'!A$6</f>
        <v>HS à 50%</v>
      </c>
      <c r="R249" s="555"/>
      <c r="S249" s="555"/>
      <c r="T249" s="555"/>
      <c r="U249" s="555"/>
      <c r="V249" s="555"/>
      <c r="W249" s="555"/>
      <c r="X249" s="555"/>
      <c r="Y249" s="555"/>
      <c r="Z249" s="494"/>
      <c r="AA249" s="561"/>
      <c r="AB249" s="561"/>
      <c r="AC249" s="561"/>
      <c r="AD249" s="558">
        <f>'FICHE DE PAIE'!N$6</f>
        <v>18.111000000000001</v>
      </c>
      <c r="AE249" s="558"/>
      <c r="AF249" s="558"/>
      <c r="AG249" s="559">
        <f t="shared" si="61"/>
        <v>0</v>
      </c>
      <c r="AH249" s="559"/>
      <c r="AI249" s="559"/>
      <c r="AJ249" s="559"/>
      <c r="AK249" s="294"/>
      <c r="AL249" s="294"/>
      <c r="AM249" s="294"/>
      <c r="AN249" s="295"/>
      <c r="AO249" s="295"/>
      <c r="AP249" s="295"/>
      <c r="AQ249" s="295"/>
      <c r="AR249" s="295"/>
      <c r="AS249" s="295"/>
      <c r="AT249" s="295"/>
      <c r="AU249" s="295"/>
      <c r="AV249" s="290"/>
      <c r="AW249" s="591" t="s">
        <v>240</v>
      </c>
      <c r="AX249" s="591"/>
      <c r="AY249" s="591"/>
      <c r="AZ249" s="591"/>
      <c r="BA249" s="591"/>
      <c r="BB249" s="591"/>
      <c r="BC249" s="591"/>
      <c r="BD249" s="591"/>
      <c r="BE249" s="591"/>
      <c r="BF249" s="591"/>
      <c r="BG249" s="591"/>
      <c r="BH249" s="591"/>
      <c r="BI249" s="590">
        <f t="shared" ref="BI249:BI260" si="62">$AG$17</f>
        <v>1952.5539499999998</v>
      </c>
      <c r="BJ249" s="590"/>
      <c r="BK249" s="590"/>
      <c r="BL249" s="590"/>
      <c r="BM249" s="594">
        <f>'FICHE DE PAIE'!AW$6</f>
        <v>6.9000000000000006E-2</v>
      </c>
      <c r="BN249" s="594"/>
      <c r="BO249" s="594"/>
      <c r="BP249" s="594"/>
      <c r="BQ249" s="592">
        <f t="shared" ref="BQ249:BQ266" si="63">BI249*BM249</f>
        <v>134.72622254999999</v>
      </c>
      <c r="BR249" s="592"/>
      <c r="BS249" s="592"/>
      <c r="BT249" s="592"/>
      <c r="BU249" s="594">
        <f>'FICHE DE PAIE'!BE$6</f>
        <v>8.5500000000000007E-2</v>
      </c>
      <c r="BV249" s="594"/>
      <c r="BW249" s="594"/>
      <c r="BX249" s="592">
        <f t="shared" ref="BX249:BX268" si="64">BI249*BU249</f>
        <v>166.94336272499999</v>
      </c>
      <c r="BY249" s="592"/>
      <c r="BZ249" s="592"/>
      <c r="CA249" s="593"/>
    </row>
    <row r="250" spans="1:79" ht="15" customHeight="1">
      <c r="A250" s="419">
        <v>9</v>
      </c>
      <c r="B250" s="360">
        <v>6</v>
      </c>
      <c r="C250" s="328">
        <f>VLOOKUP(A250,Données,4)+B250-1</f>
        <v>249</v>
      </c>
      <c r="D250" s="360" t="str">
        <f>IF(I250='Jour Férié'!F$13,'Jour Férié'!E$13,""&amp;IF(I250='Jour Férié'!F$14,'Jour Férié'!E$14,""&amp;IF(I250='Jour Férié'!F$15,'Jour Férié'!E$15,""&amp;IF(I250='Jour Férié'!F$10,'Jour Férié'!E$10,""&amp;IF(MOD(MATCH(I250,vacances!$A$3:$A$202,1),2)=1,"vacances","")))))</f>
        <v/>
      </c>
      <c r="E250" s="490"/>
      <c r="F250" s="490"/>
      <c r="G250" s="490"/>
      <c r="H250" s="624"/>
      <c r="I250" s="361">
        <f t="shared" si="60"/>
        <v>43349</v>
      </c>
      <c r="J250" s="328"/>
      <c r="K250" s="369" t="s">
        <v>212</v>
      </c>
      <c r="L250" s="324"/>
      <c r="M250" s="333" t="s">
        <v>213</v>
      </c>
      <c r="N250" s="333"/>
      <c r="O250" s="364">
        <f>SUM(O245:O246)</f>
        <v>0</v>
      </c>
      <c r="P250" s="328"/>
      <c r="Q250" s="555" t="str">
        <f>'FICHE DE PAIE'!A$7</f>
        <v>MAJORATION DIMANCHE</v>
      </c>
      <c r="R250" s="555"/>
      <c r="S250" s="555"/>
      <c r="T250" s="555"/>
      <c r="U250" s="555"/>
      <c r="V250" s="555"/>
      <c r="W250" s="555"/>
      <c r="X250" s="555"/>
      <c r="Y250" s="555"/>
      <c r="Z250" s="494"/>
      <c r="AA250" s="557">
        <f>O255</f>
        <v>0</v>
      </c>
      <c r="AB250" s="557"/>
      <c r="AC250" s="557"/>
      <c r="AD250" s="558">
        <f>'FICHE DE PAIE'!N$7</f>
        <v>1.2074</v>
      </c>
      <c r="AE250" s="558"/>
      <c r="AF250" s="558"/>
      <c r="AG250" s="559">
        <f t="shared" si="61"/>
        <v>0</v>
      </c>
      <c r="AH250" s="559"/>
      <c r="AI250" s="559"/>
      <c r="AJ250" s="559"/>
      <c r="AK250" s="294"/>
      <c r="AL250" s="294"/>
      <c r="AM250" s="294"/>
      <c r="AN250" s="295"/>
      <c r="AO250" s="295"/>
      <c r="AP250" s="295"/>
      <c r="AQ250" s="295"/>
      <c r="AR250" s="295"/>
      <c r="AS250" s="295"/>
      <c r="AT250" s="295"/>
      <c r="AU250" s="295"/>
      <c r="AV250" s="290"/>
      <c r="AW250" s="591" t="s">
        <v>242</v>
      </c>
      <c r="AX250" s="591"/>
      <c r="AY250" s="591"/>
      <c r="AZ250" s="591"/>
      <c r="BA250" s="591"/>
      <c r="BB250" s="591"/>
      <c r="BC250" s="591"/>
      <c r="BD250" s="591"/>
      <c r="BE250" s="591"/>
      <c r="BF250" s="591"/>
      <c r="BG250" s="591"/>
      <c r="BH250" s="591"/>
      <c r="BI250" s="590">
        <f t="shared" si="62"/>
        <v>1952.5539499999998</v>
      </c>
      <c r="BJ250" s="590"/>
      <c r="BK250" s="590"/>
      <c r="BL250" s="590"/>
      <c r="BM250" s="590"/>
      <c r="BN250" s="590"/>
      <c r="BO250" s="590"/>
      <c r="BP250" s="590"/>
      <c r="BQ250" s="592">
        <f t="shared" si="63"/>
        <v>0</v>
      </c>
      <c r="BR250" s="592"/>
      <c r="BS250" s="592"/>
      <c r="BT250" s="592"/>
      <c r="BU250" s="594">
        <f>'FICHE DE PAIE'!BE$7</f>
        <v>1E-3</v>
      </c>
      <c r="BV250" s="594"/>
      <c r="BW250" s="594"/>
      <c r="BX250" s="592">
        <f t="shared" si="64"/>
        <v>1.9525539499999998</v>
      </c>
      <c r="BY250" s="592"/>
      <c r="BZ250" s="592"/>
      <c r="CA250" s="593"/>
    </row>
    <row r="251" spans="1:79" ht="15" customHeight="1">
      <c r="A251" s="334">
        <v>9</v>
      </c>
      <c r="B251" s="328">
        <v>7</v>
      </c>
      <c r="C251" s="328">
        <f t="shared" si="59"/>
        <v>250</v>
      </c>
      <c r="D251" s="360" t="str">
        <f>IF(I251='Jour Férié'!F$13,'Jour Férié'!E$13,""&amp;IF(I251='Jour Férié'!F$14,'Jour Férié'!E$14,""&amp;IF(I251='Jour Férié'!F$15,'Jour Férié'!E$15,""&amp;IF(I251='Jour Férié'!F$10,'Jour Férié'!E$10,""&amp;IF(MOD(MATCH(I251,vacances!$A$3:$A$202,1),2)=1,"vacances","")))))</f>
        <v/>
      </c>
      <c r="E251" s="490"/>
      <c r="F251" s="490"/>
      <c r="G251" s="490"/>
      <c r="H251" s="624"/>
      <c r="I251" s="361">
        <f t="shared" si="60"/>
        <v>43350</v>
      </c>
      <c r="J251" s="328"/>
      <c r="K251" s="328"/>
      <c r="L251" s="324"/>
      <c r="M251" s="363" t="s">
        <v>214</v>
      </c>
      <c r="N251" s="363"/>
      <c r="O251" s="370">
        <f>((6*COUNTIF(E244,J245))+(3*COUNTIF(E245,J245))+((6*COUNTIF(E245,J245))+(3*COUNTIF(E246,J245)))+((6*COUNTIF(E246,J245))+(3*COUNTIF(E247,J245)))+((6*COUNTIF(E247,J245))+(3*COUNTIF(E248,J245)))+((6*COUNTIF(E248,J245))+(3*COUNTIF(E249,J245)))+((6*COUNTIF(E249,J245))+(3*COUNTIF(E250,J245)))+((6*COUNTIF(E250,J245))+(3*COUNTIF(E251,J245)))+((6*COUNTIF(E251,J245))+(3*COUNTIF(E252,J245)))+((6*COUNTIF(E252,J245))+(3*COUNTIF(E253,J245)))+((6*COUNTIF(E253,J245))+(3*COUNTIF(E254,J245)))+((6*COUNTIF(E254,J245))+(3*COUNTIF(E255,J245)))+((6*COUNTIF(E255,J245))+(3*COUNTIF(E256,J245)))+((6*COUNTIF(E256,J245))+(3*COUNTIF(E257,J245)))+((6*COUNTIF(E257,J245))+(3*COUNTIF(E258,J245)))+((6*COUNTIF(E258,J245))+(3*COUNTIF(E259,J245)))+((6*COUNTIF(E259,J245))+(3*COUNTIF(E260,J245)))+((6*COUNTIF(E260,J245))+(3*COUNTIF(E261,J245)))+((6*COUNTIF(E261,J245))+(3*COUNTIF(E262,J245)))+((6*COUNTIF(E262,J245))+(3*COUNTIF(E263,J245)))+((6*COUNTIF(E263,J245))+(3*COUNTIF(E264,J245)))+((6*COUNTIF(E264,J245))+(3*COUNTIF(E265,J245)))+((6*COUNTIF(E265,J245))+(3*COUNTIF(E266,J245)))+((6*COUNTIF(E266,J245))+(3*COUNTIF(E267,J245)))+((6*COUNTIF(E267,J245))+(3*COUNTIF(E268,J245)))+((6*COUNTIF(E268,J245))+(3*COUNTIF(E269,J245)))+((6*COUNTIF(E269,J245))+(3*COUNTIF(E270,J245)))+((6*COUNTIF(E270,J245))+(3*COUNTIF(E271,J245)))+((6*COUNTIF(E271,J245))+(3*COUNTIF(E272,J245)))+((6*COUNTIF(E272,J245))+(3*COUNTIF(E273,J245)))+((6*COUNTIF(E273,J245))+(3*COUNTIF(E274,J245))))</f>
        <v>0</v>
      </c>
      <c r="P251" s="328"/>
      <c r="Q251" s="555" t="str">
        <f>'FICHE DE PAIE'!A$8</f>
        <v>MAJORATION NUIT</v>
      </c>
      <c r="R251" s="555"/>
      <c r="S251" s="555"/>
      <c r="T251" s="555"/>
      <c r="U251" s="555"/>
      <c r="V251" s="555"/>
      <c r="W251" s="555"/>
      <c r="X251" s="555"/>
      <c r="Y251" s="555"/>
      <c r="Z251" s="494"/>
      <c r="AA251" s="557">
        <f>O251</f>
        <v>0</v>
      </c>
      <c r="AB251" s="557"/>
      <c r="AC251" s="557"/>
      <c r="AD251" s="558">
        <f>'FICHE DE PAIE'!N$8</f>
        <v>1.2074</v>
      </c>
      <c r="AE251" s="558"/>
      <c r="AF251" s="558"/>
      <c r="AG251" s="559">
        <f t="shared" si="61"/>
        <v>0</v>
      </c>
      <c r="AH251" s="559"/>
      <c r="AI251" s="559"/>
      <c r="AJ251" s="559"/>
      <c r="AK251" s="294"/>
      <c r="AL251" s="294"/>
      <c r="AM251" s="294"/>
      <c r="AN251" s="295"/>
      <c r="AO251" s="295"/>
      <c r="AP251" s="295"/>
      <c r="AQ251" s="295"/>
      <c r="AR251" s="295"/>
      <c r="AS251" s="295"/>
      <c r="AT251" s="295"/>
      <c r="AU251" s="295"/>
      <c r="AV251" s="290"/>
      <c r="AW251" s="591" t="s">
        <v>244</v>
      </c>
      <c r="AX251" s="591"/>
      <c r="AY251" s="591"/>
      <c r="AZ251" s="591"/>
      <c r="BA251" s="591"/>
      <c r="BB251" s="591"/>
      <c r="BC251" s="591"/>
      <c r="BD251" s="591"/>
      <c r="BE251" s="591"/>
      <c r="BF251" s="591"/>
      <c r="BG251" s="591"/>
      <c r="BH251" s="591"/>
      <c r="BI251" s="590">
        <f t="shared" si="62"/>
        <v>1952.5539499999998</v>
      </c>
      <c r="BJ251" s="590"/>
      <c r="BK251" s="590"/>
      <c r="BL251" s="590"/>
      <c r="BM251" s="590"/>
      <c r="BN251" s="590"/>
      <c r="BO251" s="590"/>
      <c r="BP251" s="590"/>
      <c r="BQ251" s="592">
        <f t="shared" si="63"/>
        <v>0</v>
      </c>
      <c r="BR251" s="592"/>
      <c r="BS251" s="592"/>
      <c r="BT251" s="592"/>
      <c r="BU251" s="594">
        <f>'FICHE DE PAIE'!BE$8</f>
        <v>4.0000000000000001E-3</v>
      </c>
      <c r="BV251" s="594"/>
      <c r="BW251" s="594"/>
      <c r="BX251" s="592">
        <f t="shared" si="64"/>
        <v>7.810215799999999</v>
      </c>
      <c r="BY251" s="592"/>
      <c r="BZ251" s="592"/>
      <c r="CA251" s="593"/>
    </row>
    <row r="252" spans="1:79" ht="15" customHeight="1">
      <c r="A252" s="334">
        <v>9</v>
      </c>
      <c r="B252" s="328">
        <v>8</v>
      </c>
      <c r="C252" s="328">
        <f t="shared" si="59"/>
        <v>251</v>
      </c>
      <c r="D252" s="360" t="str">
        <f>IF(I252='Jour Férié'!F$13,'Jour Férié'!E$13,""&amp;IF(I252='Jour Férié'!F$14,'Jour Férié'!E$14,""&amp;IF(I252='Jour Férié'!F$15,'Jour Férié'!E$15,""&amp;IF(I252='Jour Férié'!F$10,'Jour Férié'!E$10,""&amp;IF(MOD(MATCH(I252,vacances!$A$3:$A$202,1),2)=1,"vacances","")))))</f>
        <v/>
      </c>
      <c r="E252" s="490"/>
      <c r="F252" s="490"/>
      <c r="G252" s="490"/>
      <c r="H252" s="624"/>
      <c r="I252" s="361">
        <f t="shared" si="60"/>
        <v>43351</v>
      </c>
      <c r="J252" s="371" t="s">
        <v>215</v>
      </c>
      <c r="K252" s="369" t="s">
        <v>216</v>
      </c>
      <c r="L252" s="324"/>
      <c r="M252" s="333" t="s">
        <v>217</v>
      </c>
      <c r="N252" s="333"/>
      <c r="O252" s="364">
        <f>O246*12</f>
        <v>0</v>
      </c>
      <c r="P252" s="328"/>
      <c r="Q252" s="555" t="str">
        <f>'FICHE DE PAIE'!A$9</f>
        <v>MAJORATION JOUR FERIE</v>
      </c>
      <c r="R252" s="555"/>
      <c r="S252" s="555"/>
      <c r="T252" s="555"/>
      <c r="U252" s="555"/>
      <c r="V252" s="555"/>
      <c r="W252" s="555"/>
      <c r="X252" s="555"/>
      <c r="Y252" s="555"/>
      <c r="Z252" s="494"/>
      <c r="AA252" s="557">
        <f>O257</f>
        <v>0</v>
      </c>
      <c r="AB252" s="557"/>
      <c r="AC252" s="557"/>
      <c r="AD252" s="558">
        <f>'FICHE DE PAIE'!N$9</f>
        <v>12.074</v>
      </c>
      <c r="AE252" s="558"/>
      <c r="AF252" s="558"/>
      <c r="AG252" s="559">
        <f t="shared" si="61"/>
        <v>0</v>
      </c>
      <c r="AH252" s="559"/>
      <c r="AI252" s="559"/>
      <c r="AJ252" s="559"/>
      <c r="AK252" s="294"/>
      <c r="AL252" s="294"/>
      <c r="AM252" s="294"/>
      <c r="AN252" s="295"/>
      <c r="AO252" s="295"/>
      <c r="AP252" s="295"/>
      <c r="AQ252" s="295"/>
      <c r="AR252" s="295"/>
      <c r="AS252" s="295"/>
      <c r="AT252" s="295"/>
      <c r="AU252" s="295"/>
      <c r="AV252" s="290"/>
      <c r="AW252" s="591" t="s">
        <v>246</v>
      </c>
      <c r="AX252" s="591"/>
      <c r="AY252" s="591"/>
      <c r="AZ252" s="591"/>
      <c r="BA252" s="591"/>
      <c r="BB252" s="591"/>
      <c r="BC252" s="591"/>
      <c r="BD252" s="591"/>
      <c r="BE252" s="591"/>
      <c r="BF252" s="591"/>
      <c r="BG252" s="591"/>
      <c r="BH252" s="591"/>
      <c r="BI252" s="590">
        <f t="shared" si="62"/>
        <v>1952.5539499999998</v>
      </c>
      <c r="BJ252" s="590"/>
      <c r="BK252" s="590"/>
      <c r="BL252" s="590"/>
      <c r="BM252" s="590"/>
      <c r="BN252" s="590"/>
      <c r="BO252" s="590"/>
      <c r="BP252" s="590"/>
      <c r="BQ252" s="592">
        <f t="shared" si="63"/>
        <v>0</v>
      </c>
      <c r="BR252" s="592"/>
      <c r="BS252" s="592"/>
      <c r="BT252" s="592"/>
      <c r="BU252" s="594">
        <f>'FICHE DE PAIE'!BE$9</f>
        <v>1.2999999999999999E-2</v>
      </c>
      <c r="BV252" s="594"/>
      <c r="BW252" s="594"/>
      <c r="BX252" s="592">
        <f t="shared" si="64"/>
        <v>25.383201349999997</v>
      </c>
      <c r="BY252" s="592"/>
      <c r="BZ252" s="592"/>
      <c r="CA252" s="593"/>
    </row>
    <row r="253" spans="1:79" ht="15" customHeight="1">
      <c r="A253" s="334">
        <v>9</v>
      </c>
      <c r="B253" s="328">
        <v>9</v>
      </c>
      <c r="C253" s="328">
        <f t="shared" si="59"/>
        <v>252</v>
      </c>
      <c r="D253" s="360" t="str">
        <f>IF(I253='Jour Férié'!F$13,'Jour Férié'!E$13,""&amp;IF(I253='Jour Férié'!F$14,'Jour Férié'!E$14,""&amp;IF(I253='Jour Férié'!F$15,'Jour Férié'!E$15,""&amp;IF(I253='Jour Férié'!F$10,'Jour Férié'!E$10,""&amp;IF(MOD(MATCH(I253,vacances!$A$3:$A$202,1),2)=1,"vacances","")))))</f>
        <v/>
      </c>
      <c r="E253" s="490"/>
      <c r="F253" s="490"/>
      <c r="G253" s="490"/>
      <c r="H253" s="624"/>
      <c r="I253" s="361">
        <f t="shared" si="60"/>
        <v>43352</v>
      </c>
      <c r="J253" s="371" t="s">
        <v>218</v>
      </c>
      <c r="K253" s="330" t="s">
        <v>219</v>
      </c>
      <c r="L253" s="324"/>
      <c r="M253" s="333" t="s">
        <v>220</v>
      </c>
      <c r="N253" s="333"/>
      <c r="O253" s="364">
        <f>O247*7</f>
        <v>0</v>
      </c>
      <c r="P253" s="328"/>
      <c r="Q253" s="555" t="str">
        <f>'FICHE DE PAIE'!A$10</f>
        <v xml:space="preserve">PRIME ANCIENNETE </v>
      </c>
      <c r="R253" s="555"/>
      <c r="S253" s="555"/>
      <c r="T253" s="555"/>
      <c r="U253" s="555"/>
      <c r="V253" s="555"/>
      <c r="W253" s="555"/>
      <c r="X253" s="555"/>
      <c r="Y253" s="555"/>
      <c r="Z253" s="494"/>
      <c r="AA253" s="556">
        <v>1</v>
      </c>
      <c r="AB253" s="556"/>
      <c r="AC253" s="556"/>
      <c r="AD253" s="558">
        <f>'FICHE DE PAIE'!N$10</f>
        <v>36.630000000000003</v>
      </c>
      <c r="AE253" s="558"/>
      <c r="AF253" s="558"/>
      <c r="AG253" s="606"/>
      <c r="AH253" s="606"/>
      <c r="AI253" s="606"/>
      <c r="AJ253" s="606"/>
      <c r="AK253" s="294"/>
      <c r="AL253" s="294"/>
      <c r="AM253" s="294"/>
      <c r="AN253" s="295"/>
      <c r="AO253" s="295"/>
      <c r="AP253" s="295"/>
      <c r="AQ253" s="295"/>
      <c r="AR253" s="295"/>
      <c r="AS253" s="295"/>
      <c r="AT253" s="295"/>
      <c r="AU253" s="295"/>
      <c r="AV253" s="290"/>
      <c r="AW253" s="591" t="s">
        <v>248</v>
      </c>
      <c r="AX253" s="591"/>
      <c r="AY253" s="591"/>
      <c r="AZ253" s="591"/>
      <c r="BA253" s="591"/>
      <c r="BB253" s="591"/>
      <c r="BC253" s="591"/>
      <c r="BD253" s="591"/>
      <c r="BE253" s="591"/>
      <c r="BF253" s="591"/>
      <c r="BG253" s="591"/>
      <c r="BH253" s="591"/>
      <c r="BI253" s="590">
        <f t="shared" si="62"/>
        <v>1952.5539499999998</v>
      </c>
      <c r="BJ253" s="590"/>
      <c r="BK253" s="590"/>
      <c r="BL253" s="590"/>
      <c r="BM253" s="590"/>
      <c r="BN253" s="590"/>
      <c r="BO253" s="590"/>
      <c r="BP253" s="590"/>
      <c r="BQ253" s="592">
        <f t="shared" si="63"/>
        <v>0</v>
      </c>
      <c r="BR253" s="592"/>
      <c r="BS253" s="592"/>
      <c r="BT253" s="592"/>
      <c r="BU253" s="594">
        <f>'FICHE DE PAIE'!BE$10</f>
        <v>1.7600000000000001E-2</v>
      </c>
      <c r="BV253" s="594"/>
      <c r="BW253" s="594"/>
      <c r="BX253" s="592">
        <f t="shared" si="64"/>
        <v>34.364949519999996</v>
      </c>
      <c r="BY253" s="592"/>
      <c r="BZ253" s="592"/>
      <c r="CA253" s="593"/>
    </row>
    <row r="254" spans="1:79" ht="15" customHeight="1">
      <c r="A254" s="334">
        <v>9</v>
      </c>
      <c r="B254" s="328">
        <v>10</v>
      </c>
      <c r="C254" s="328">
        <f t="shared" si="59"/>
        <v>253</v>
      </c>
      <c r="D254" s="360" t="str">
        <f>IF(I254='Jour Férié'!F$13,'Jour Férié'!E$13,""&amp;IF(I254='Jour Férié'!F$14,'Jour Férié'!E$14,""&amp;IF(I254='Jour Férié'!F$15,'Jour Férié'!E$15,""&amp;IF(I254='Jour Férié'!F$10,'Jour Férié'!E$10,""&amp;IF(MOD(MATCH(I254,vacances!$A$3:$A$202,1),2)=1,"vacances","")))))</f>
        <v/>
      </c>
      <c r="E254" s="490"/>
      <c r="F254" s="490"/>
      <c r="G254" s="490"/>
      <c r="H254" s="624"/>
      <c r="I254" s="361">
        <f t="shared" si="60"/>
        <v>43353</v>
      </c>
      <c r="J254" s="328" t="s">
        <v>221</v>
      </c>
      <c r="K254" s="330" t="s">
        <v>222</v>
      </c>
      <c r="L254" s="324"/>
      <c r="M254" s="363" t="s">
        <v>223</v>
      </c>
      <c r="N254" s="363"/>
      <c r="O254" s="370">
        <f>(O245+O246)*12</f>
        <v>0</v>
      </c>
      <c r="P254" s="328"/>
      <c r="Q254" s="555" t="str">
        <f>'FICHE DE PAIE'!A$11</f>
        <v>PRIME HABILLAGE</v>
      </c>
      <c r="R254" s="555"/>
      <c r="S254" s="555"/>
      <c r="T254" s="555"/>
      <c r="U254" s="555"/>
      <c r="V254" s="555"/>
      <c r="W254" s="555"/>
      <c r="X254" s="555"/>
      <c r="Y254" s="555"/>
      <c r="Z254" s="494"/>
      <c r="AA254" s="556">
        <f>AA247</f>
        <v>151.66999999999999</v>
      </c>
      <c r="AB254" s="556"/>
      <c r="AC254" s="556"/>
      <c r="AD254" s="558">
        <f>'FICHE DE PAIE'!N$11</f>
        <v>0.13100000000000001</v>
      </c>
      <c r="AE254" s="558"/>
      <c r="AF254" s="558"/>
      <c r="AG254" s="559">
        <f>AA254*AD254</f>
        <v>19.868769999999998</v>
      </c>
      <c r="AH254" s="559"/>
      <c r="AI254" s="559"/>
      <c r="AJ254" s="559"/>
      <c r="AK254" s="294"/>
      <c r="AL254" s="294"/>
      <c r="AM254" s="294"/>
      <c r="AN254" s="295"/>
      <c r="AO254" s="295"/>
      <c r="AP254" s="295"/>
      <c r="AQ254" s="295"/>
      <c r="AR254" s="295"/>
      <c r="AS254" s="295"/>
      <c r="AT254" s="295"/>
      <c r="AU254" s="295"/>
      <c r="AV254" s="290"/>
      <c r="AW254" s="591" t="s">
        <v>250</v>
      </c>
      <c r="AX254" s="591"/>
      <c r="AY254" s="591"/>
      <c r="AZ254" s="591"/>
      <c r="BA254" s="591"/>
      <c r="BB254" s="591"/>
      <c r="BC254" s="591"/>
      <c r="BD254" s="591"/>
      <c r="BE254" s="591"/>
      <c r="BF254" s="591"/>
      <c r="BG254" s="591"/>
      <c r="BH254" s="591"/>
      <c r="BI254" s="590">
        <f t="shared" si="62"/>
        <v>1952.5539499999998</v>
      </c>
      <c r="BJ254" s="590"/>
      <c r="BK254" s="590"/>
      <c r="BL254" s="590"/>
      <c r="BM254" s="590"/>
      <c r="BN254" s="590"/>
      <c r="BO254" s="590"/>
      <c r="BP254" s="590"/>
      <c r="BQ254" s="592">
        <f t="shared" si="63"/>
        <v>0</v>
      </c>
      <c r="BR254" s="592"/>
      <c r="BS254" s="592"/>
      <c r="BT254" s="592"/>
      <c r="BU254" s="594">
        <f>'FICHE DE PAIE'!BE$11</f>
        <v>3.4500000000000003E-2</v>
      </c>
      <c r="BV254" s="594"/>
      <c r="BW254" s="594"/>
      <c r="BX254" s="592">
        <f t="shared" si="64"/>
        <v>67.363111274999994</v>
      </c>
      <c r="BY254" s="592"/>
      <c r="BZ254" s="592"/>
      <c r="CA254" s="593"/>
    </row>
    <row r="255" spans="1:79" ht="15" customHeight="1">
      <c r="A255" s="334">
        <v>9</v>
      </c>
      <c r="B255" s="328">
        <v>11</v>
      </c>
      <c r="C255" s="328">
        <f t="shared" si="59"/>
        <v>254</v>
      </c>
      <c r="D255" s="360" t="str">
        <f>IF(I255='Jour Férié'!F$13,'Jour Férié'!E$13,""&amp;IF(I255='Jour Férié'!F$14,'Jour Férié'!E$14,""&amp;IF(I255='Jour Férié'!F$15,'Jour Férié'!E$15,""&amp;IF(I255='Jour Férié'!F$10,'Jour Férié'!E$10,""&amp;IF(MOD(MATCH(I255,vacances!$A$3:$A$202,1),2)=1,"vacances","")))))</f>
        <v/>
      </c>
      <c r="E255" s="490"/>
      <c r="F255" s="490"/>
      <c r="G255" s="490"/>
      <c r="H255" s="624"/>
      <c r="I255" s="361">
        <f t="shared" si="60"/>
        <v>43354</v>
      </c>
      <c r="J255" s="324"/>
      <c r="K255" s="324"/>
      <c r="L255" s="324"/>
      <c r="M255" s="577" t="s">
        <v>224</v>
      </c>
      <c r="N255" s="372">
        <f>(IF(WEEKDAY(I245,2)=7,(7*COUNTIF(E244,J245))+(12*COUNTIF(E245,J246))+(5*COUNTIF(E245,J245))))+(IF(WEEKDAY(I246,2)=7,(7*COUNTIF(E245,J245))+(12*COUNTIF(E246,J246))+(5*COUNTIF(E246,J245))))+(IF(WEEKDAY(I247,2)=7,(7*COUNTIF(E246,J245))+(12*COUNTIF(E247,J246))+(5*COUNTIF(E247,J245))))+(IF(WEEKDAY(I248,2)=7,(7*COUNTIF(E247,J245))+(12*COUNTIF(E248,J246))+(5*COUNTIF(E248,J245))))+(IF(WEEKDAY(I249,2)=7,(7*COUNTIF(E248,J245))+(12*COUNTIF(E249,J246))+(5*COUNTIF(E249,J245))))+(IF(WEEKDAY(I250,2)=7,(7*COUNTIF(E249,J245))+(12*COUNTIF(E250,J246))+(5*COUNTIF(E250,J245))))+(IF(WEEKDAY(I251,2)=7,(7*COUNTIF(E250,J245))+(12*COUNTIF(E251,J246))+(5*COUNTIF(E251,J245))))+(IF(WEEKDAY(I252,2)=7,(7*COUNTIF(E251,J245))+(12*COUNTIF(E252,J246))+(5*COUNTIF(E252,J245))))+(IF(WEEKDAY(I253,2)=7,(7*COUNTIF(E252,J245))+(12*COUNTIF(E253,J246))+(5*COUNTIF(E253,J245))))+(IF(WEEKDAY(I254,2)=7,(7*COUNTIF(E253,J245))+(12*COUNTIF(E254,J246))+(5*COUNTIF(E254,J245))))+(IF(WEEKDAY(I255,2)=7,(7*COUNTIF(E254,J245))+(12*COUNTIF(E255,J246))+(5*COUNTIF(E255,J245))))+(IF(WEEKDAY(I256,2)=7,(7*COUNTIF(E255,J245))+(12*COUNTIF(E256,J246))+(5*COUNTIF(E256,J245))))+(IF(WEEKDAY(I257,2)=7,(7*COUNTIF(E256,J245))+(12*COUNTIF(E257,J246))+(5*COUNTIF(E257,J245))))+(IF(WEEKDAY(I258,2)=7,(7*COUNTIF(E257,J245))+(12*COUNTIF(E258,J246))+(5*COUNTIF(E258,J245))))</f>
        <v>0</v>
      </c>
      <c r="O255" s="584">
        <f>SUM(N255:N256)</f>
        <v>0</v>
      </c>
      <c r="P255" s="328"/>
      <c r="Q255" s="555" t="str">
        <f>'FICHE DE PAIE'!A$12</f>
        <v>PRIME ASTREINTE</v>
      </c>
      <c r="R255" s="555"/>
      <c r="S255" s="555"/>
      <c r="T255" s="555"/>
      <c r="U255" s="555"/>
      <c r="V255" s="555"/>
      <c r="W255" s="555"/>
      <c r="X255" s="555"/>
      <c r="Y255" s="555"/>
      <c r="Z255" s="494"/>
      <c r="AA255" s="561"/>
      <c r="AB255" s="561"/>
      <c r="AC255" s="561"/>
      <c r="AD255" s="558">
        <f>'FICHE DE PAIE'!N$12</f>
        <v>90</v>
      </c>
      <c r="AE255" s="558"/>
      <c r="AF255" s="558"/>
      <c r="AG255" s="559">
        <f>AA255*AD255</f>
        <v>0</v>
      </c>
      <c r="AH255" s="559"/>
      <c r="AI255" s="559"/>
      <c r="AJ255" s="559"/>
      <c r="AK255" s="294"/>
      <c r="AL255" s="294"/>
      <c r="AM255" s="294"/>
      <c r="AN255" s="295"/>
      <c r="AO255" s="295"/>
      <c r="AP255" s="295"/>
      <c r="AQ255" s="295"/>
      <c r="AR255" s="295"/>
      <c r="AS255" s="295"/>
      <c r="AT255" s="295"/>
      <c r="AU255" s="295"/>
      <c r="AV255" s="290"/>
      <c r="AW255" s="591" t="s">
        <v>252</v>
      </c>
      <c r="AX255" s="591"/>
      <c r="AY255" s="591"/>
      <c r="AZ255" s="591"/>
      <c r="BA255" s="591"/>
      <c r="BB255" s="591"/>
      <c r="BC255" s="591"/>
      <c r="BD255" s="591"/>
      <c r="BE255" s="591"/>
      <c r="BF255" s="591"/>
      <c r="BG255" s="591"/>
      <c r="BH255" s="591"/>
      <c r="BI255" s="590">
        <f t="shared" si="62"/>
        <v>1952.5539499999998</v>
      </c>
      <c r="BJ255" s="590"/>
      <c r="BK255" s="590"/>
      <c r="BL255" s="590"/>
      <c r="BM255" s="590"/>
      <c r="BN255" s="590"/>
      <c r="BO255" s="590"/>
      <c r="BP255" s="590"/>
      <c r="BQ255" s="592">
        <f t="shared" si="63"/>
        <v>0</v>
      </c>
      <c r="BR255" s="592"/>
      <c r="BS255" s="592"/>
      <c r="BT255" s="592"/>
      <c r="BU255" s="594">
        <f>'FICHE DE PAIE'!BE$12</f>
        <v>1.6000000000000001E-4</v>
      </c>
      <c r="BV255" s="594"/>
      <c r="BW255" s="594"/>
      <c r="BX255" s="592">
        <f t="shared" si="64"/>
        <v>0.31240863199999996</v>
      </c>
      <c r="BY255" s="592"/>
      <c r="BZ255" s="592"/>
      <c r="CA255" s="593"/>
    </row>
    <row r="256" spans="1:79" ht="15" customHeight="1">
      <c r="A256" s="334">
        <v>9</v>
      </c>
      <c r="B256" s="328">
        <v>12</v>
      </c>
      <c r="C256" s="328">
        <f t="shared" ref="C256:C271" si="65">VLOOKUP(A256,Données,4)+B256-1</f>
        <v>255</v>
      </c>
      <c r="D256" s="360" t="str">
        <f>IF(I256='Jour Férié'!F$13,'Jour Férié'!E$13,""&amp;IF(I256='Jour Férié'!F$14,'Jour Férié'!E$14,""&amp;IF(I256='Jour Férié'!F$15,'Jour Férié'!E$15,""&amp;IF(I256='Jour Férié'!F$10,'Jour Férié'!E$10,""&amp;IF(MOD(MATCH(I256,vacances!$A$3:$A$202,1),2)=1,"vacances","")))))</f>
        <v/>
      </c>
      <c r="E256" s="490"/>
      <c r="F256" s="490"/>
      <c r="G256" s="490"/>
      <c r="H256" s="624"/>
      <c r="I256" s="361">
        <f t="shared" si="60"/>
        <v>43355</v>
      </c>
      <c r="J256" s="328"/>
      <c r="K256" s="328"/>
      <c r="L256" s="328"/>
      <c r="M256" s="577"/>
      <c r="N256" s="373">
        <f>(IF(WEEKDAY(I259,2)=7,(7*COUNTIF(E258,J245))+(12*COUNTIF(E259,J246))+(5*COUNTIF(E259,J245))))+(IF(WEEKDAY(I260,2)=7,(7*COUNTIF(E259,J245))+(12*COUNTIF(E260,J246))+(5*COUNTIF(E260,J245))))+(IF(WEEKDAY(I261,2)=7,(7*COUNTIF(E260,J245))+(12*COUNTIF(E261,J246))+(5*COUNTIF(E261,J245))))+(IF(WEEKDAY(I262,2)=7,(7*COUNTIF(E261,J245))+(12*COUNTIF(E262,J246))+(5*COUNTIF(E262,J245))))+(IF(WEEKDAY(I263,2)=7,(7*COUNTIF(E262,J245))+(12*COUNTIF(E263,J246))+(5*COUNTIF(E263,J245))))+(IF(WEEKDAY(I264,2)=7,(7*COUNTIF(E263,J245))+(12*COUNTIF(E264,J246))+(5*COUNTIF(E264,J245))))+(IF(WEEKDAY(I265,2)=7,(7*COUNTIF(E264,J245))+(12*COUNTIF(E265,J246))+(5*COUNTIF(E265,J245))))+(IF(WEEKDAY(I266,2)=7,(7*COUNTIF(E265,J245))+(12*COUNTIF(E266,J246))+(5*COUNTIF(E266,J245))))+(IF(WEEKDAY(I267,2)=7,(7*COUNTIF(E266,J245))+(12*COUNTIF(E267,J246))+(5*COUNTIF(E267,J245))))+(IF(WEEKDAY(I268,2)=7,(7*COUNTIF(E267,J245))+(12*COUNTIF(E268,J246))+(5*COUNTIF(E268,J245))))+(IF(WEEKDAY(I269,2)=7,(7*COUNTIF(E268,J245))+(12*COUNTIF(E269,J246))+(5*COUNTIF(E269,J245))))+(IF(WEEKDAY(I270,2)=7,(7*COUNTIF(E269,J245))+(12*COUNTIF(E270,J246))+(5*COUNTIF(E270,J245))))+(IF(WEEKDAY(I271,2)=7,(7*COUNTIF(E270,J245))+(12*COUNTIF(E271,J246))+(5*COUNTIF(E271,J245))))+(IF(WEEKDAY(I272,2)=7,(7*COUNTIF(E271,J245))+(12*COUNTIF(E272,J246))+(5*COUNTIF(E272,J245))))+(IF(WEEKDAY(I273,2)=7,(7*COUNTIF(E272,J245))+(12*COUNTIF(E273,J246))+(5*COUNTIF(E273,J245))))+(IF(WEEKDAY(I274,2)=7,(7*COUNTIF(E273,J245))+(12*COUNTIF(E274,J246))+(5*COUNTIF(E274,J245))))+(IF(WEEKDAY(I275,2)=7,(7*COUNTIF(E274,J245))+(12*COUNTIF(E275,J246))+(5*COUNTIF(E275,J245))))</f>
        <v>0</v>
      </c>
      <c r="O256" s="584"/>
      <c r="P256" s="328"/>
      <c r="Q256" s="555" t="str">
        <f>'FICHE DE PAIE'!A$13</f>
        <v>AUTRE PRIME</v>
      </c>
      <c r="R256" s="555"/>
      <c r="S256" s="555"/>
      <c r="T256" s="555"/>
      <c r="U256" s="555"/>
      <c r="V256" s="555"/>
      <c r="W256" s="555"/>
      <c r="X256" s="555"/>
      <c r="Y256" s="555"/>
      <c r="Z256" s="494"/>
      <c r="AA256" s="561"/>
      <c r="AB256" s="561"/>
      <c r="AC256" s="561"/>
      <c r="AD256" s="605"/>
      <c r="AE256" s="605"/>
      <c r="AF256" s="605"/>
      <c r="AG256" s="559">
        <f>AA256*AD256</f>
        <v>0</v>
      </c>
      <c r="AH256" s="559"/>
      <c r="AI256" s="559"/>
      <c r="AJ256" s="559"/>
      <c r="AK256" s="294"/>
      <c r="AL256" s="294"/>
      <c r="AM256" s="294"/>
      <c r="AN256" s="295"/>
      <c r="AO256" s="296"/>
      <c r="AP256" s="296"/>
      <c r="AQ256" s="295"/>
      <c r="AR256" s="295"/>
      <c r="AS256" s="295"/>
      <c r="AT256" s="295"/>
      <c r="AU256" s="295"/>
      <c r="AV256" s="290"/>
      <c r="AW256" s="591" t="s">
        <v>254</v>
      </c>
      <c r="AX256" s="591"/>
      <c r="AY256" s="591"/>
      <c r="AZ256" s="591"/>
      <c r="BA256" s="591"/>
      <c r="BB256" s="591"/>
      <c r="BC256" s="591"/>
      <c r="BD256" s="591"/>
      <c r="BE256" s="591"/>
      <c r="BF256" s="591"/>
      <c r="BG256" s="591"/>
      <c r="BH256" s="591"/>
      <c r="BI256" s="590">
        <f t="shared" si="62"/>
        <v>1952.5539499999998</v>
      </c>
      <c r="BJ256" s="590"/>
      <c r="BK256" s="590"/>
      <c r="BL256" s="590"/>
      <c r="BM256" s="594">
        <f>'FICHE DE PAIE'!AW$13</f>
        <v>9.4999999999999998E-3</v>
      </c>
      <c r="BN256" s="594"/>
      <c r="BO256" s="594"/>
      <c r="BP256" s="594"/>
      <c r="BQ256" s="592">
        <f t="shared" si="63"/>
        <v>18.549262524999996</v>
      </c>
      <c r="BR256" s="592"/>
      <c r="BS256" s="592"/>
      <c r="BT256" s="592"/>
      <c r="BU256" s="594">
        <f>'FICHE DE PAIE'!BE$13</f>
        <v>4.0500000000000001E-2</v>
      </c>
      <c r="BV256" s="594"/>
      <c r="BW256" s="594"/>
      <c r="BX256" s="592">
        <f t="shared" si="64"/>
        <v>79.078434974999993</v>
      </c>
      <c r="BY256" s="592"/>
      <c r="BZ256" s="592"/>
      <c r="CA256" s="593"/>
    </row>
    <row r="257" spans="1:79" ht="15" customHeight="1">
      <c r="A257" s="334">
        <v>9</v>
      </c>
      <c r="B257" s="328">
        <v>13</v>
      </c>
      <c r="C257" s="328">
        <f t="shared" si="65"/>
        <v>256</v>
      </c>
      <c r="D257" s="360" t="str">
        <f>IF(I257='Jour Férié'!F$13,'Jour Férié'!E$13,""&amp;IF(I257='Jour Férié'!F$14,'Jour Férié'!E$14,""&amp;IF(I257='Jour Férié'!F$15,'Jour Férié'!E$15,""&amp;IF(I257='Jour Férié'!F$10,'Jour Férié'!E$10,""&amp;IF(MOD(MATCH(I257,vacances!$A$3:$A$202,1),2)=1,"vacances","")))))</f>
        <v/>
      </c>
      <c r="E257" s="490"/>
      <c r="F257" s="490"/>
      <c r="G257" s="490"/>
      <c r="H257" s="624"/>
      <c r="I257" s="361">
        <f t="shared" si="60"/>
        <v>43356</v>
      </c>
      <c r="J257" s="328"/>
      <c r="K257" s="328"/>
      <c r="L257" s="328"/>
      <c r="M257" s="363" t="s">
        <v>225</v>
      </c>
      <c r="N257" s="363"/>
      <c r="O257" s="370">
        <f>(7*COUNTIF(K269,J245))+(12*COUNTIF(L269,J246))+(5*COUNTIF(L269,J245))+(7*COUNTIF(K270,J245))+(12*COUNTIF(L270,J246))+(5*COUNTIF(L270,J245))+(7*COUNTIF(K271,J245))+(12*COUNTIF(L271,J246))+(5*COUNTIF(L271,J245))+(7*COUNTIF(K272,J245))+(12*COUNTIF(L272,J246))+(5*COUNTIF(L272,J245))+(7*COUNTIF(K273,J245))+(12*COUNTIF(L273,J246))+(5*COUNTIF(L273,J245))</f>
        <v>0</v>
      </c>
      <c r="P257" s="328"/>
      <c r="Q257" s="555" t="str">
        <f>'FICHE DE PAIE'!A$14</f>
        <v>Absence congé payé</v>
      </c>
      <c r="R257" s="555"/>
      <c r="S257" s="555"/>
      <c r="T257" s="555"/>
      <c r="U257" s="555"/>
      <c r="V257" s="555"/>
      <c r="W257" s="555"/>
      <c r="X257" s="555"/>
      <c r="Y257" s="555"/>
      <c r="Z257" s="494"/>
      <c r="AA257" s="557">
        <f>O259*35/6</f>
        <v>0</v>
      </c>
      <c r="AB257" s="557"/>
      <c r="AC257" s="557"/>
      <c r="AD257" s="558">
        <f>'FICHE DE PAIE'!N$14</f>
        <v>12.074</v>
      </c>
      <c r="AE257" s="558"/>
      <c r="AF257" s="558"/>
      <c r="AG257" s="559"/>
      <c r="AH257" s="559"/>
      <c r="AI257" s="559"/>
      <c r="AJ257" s="559"/>
      <c r="AK257" s="602">
        <f>AA257*AD257</f>
        <v>0</v>
      </c>
      <c r="AL257" s="602"/>
      <c r="AM257" s="602"/>
      <c r="AN257" s="602"/>
      <c r="AO257" s="294"/>
      <c r="AP257" s="296"/>
      <c r="AQ257" s="295"/>
      <c r="AR257" s="295"/>
      <c r="AS257" s="295"/>
      <c r="AT257" s="295"/>
      <c r="AU257" s="295"/>
      <c r="AV257" s="290"/>
      <c r="AW257" s="591" t="s">
        <v>256</v>
      </c>
      <c r="AX257" s="591"/>
      <c r="AY257" s="591"/>
      <c r="AZ257" s="591"/>
      <c r="BA257" s="591"/>
      <c r="BB257" s="591"/>
      <c r="BC257" s="591"/>
      <c r="BD257" s="591"/>
      <c r="BE257" s="591"/>
      <c r="BF257" s="591"/>
      <c r="BG257" s="591"/>
      <c r="BH257" s="591"/>
      <c r="BI257" s="590">
        <f t="shared" si="62"/>
        <v>1952.5539499999998</v>
      </c>
      <c r="BJ257" s="590"/>
      <c r="BK257" s="590"/>
      <c r="BL257" s="590"/>
      <c r="BM257" s="590"/>
      <c r="BN257" s="590"/>
      <c r="BO257" s="590"/>
      <c r="BP257" s="590"/>
      <c r="BQ257" s="592">
        <f t="shared" si="63"/>
        <v>0</v>
      </c>
      <c r="BR257" s="592"/>
      <c r="BS257" s="592"/>
      <c r="BT257" s="592"/>
      <c r="BU257" s="594">
        <f>'FICHE DE PAIE'!BE$14</f>
        <v>1.5E-3</v>
      </c>
      <c r="BV257" s="594"/>
      <c r="BW257" s="594"/>
      <c r="BX257" s="592">
        <f t="shared" si="64"/>
        <v>2.9288309249999998</v>
      </c>
      <c r="BY257" s="592"/>
      <c r="BZ257" s="592"/>
      <c r="CA257" s="593"/>
    </row>
    <row r="258" spans="1:79" ht="15" customHeight="1">
      <c r="A258" s="419">
        <v>9</v>
      </c>
      <c r="B258" s="360">
        <v>14</v>
      </c>
      <c r="C258" s="328">
        <f>VLOOKUP(A258,Données,4)+B258-1</f>
        <v>257</v>
      </c>
      <c r="D258" s="360" t="str">
        <f>IF(I258='Jour Férié'!F$13,'Jour Férié'!E$13,""&amp;IF(I258='Jour Férié'!F$14,'Jour Férié'!E$14,""&amp;IF(I258='Jour Férié'!F$15,'Jour Férié'!E$15,""&amp;IF(I258='Jour Férié'!F$10,'Jour Férié'!E$10,""&amp;IF(MOD(MATCH(I258,vacances!$A$3:$A$202,1),2)=1,"vacances","")))))</f>
        <v/>
      </c>
      <c r="E258" s="490"/>
      <c r="F258" s="490"/>
      <c r="G258" s="490"/>
      <c r="H258" s="624"/>
      <c r="I258" s="361">
        <f t="shared" si="60"/>
        <v>43357</v>
      </c>
      <c r="J258" s="328"/>
      <c r="K258" s="328"/>
      <c r="L258" s="328"/>
      <c r="M258" s="374" t="s">
        <v>226</v>
      </c>
      <c r="N258" s="374"/>
      <c r="O258" s="364">
        <f>(COUNTIF($E245:$E275,$J254))</f>
        <v>0</v>
      </c>
      <c r="P258" s="328"/>
      <c r="Q258" s="555" t="str">
        <f>'FICHE DE PAIE'!A$15</f>
        <v>paiement congé payé</v>
      </c>
      <c r="R258" s="555"/>
      <c r="S258" s="555"/>
      <c r="T258" s="555"/>
      <c r="U258" s="555"/>
      <c r="V258" s="555"/>
      <c r="W258" s="555"/>
      <c r="X258" s="555"/>
      <c r="Y258" s="555"/>
      <c r="Z258" s="494"/>
      <c r="AA258" s="556"/>
      <c r="AB258" s="556"/>
      <c r="AC258" s="556"/>
      <c r="AD258" s="566"/>
      <c r="AE258" s="566"/>
      <c r="AF258" s="566"/>
      <c r="AG258" s="604"/>
      <c r="AH258" s="604"/>
      <c r="AI258" s="604"/>
      <c r="AJ258" s="604"/>
      <c r="AK258" s="297"/>
      <c r="AL258" s="297"/>
      <c r="AM258" s="297"/>
      <c r="AN258" s="298"/>
      <c r="AO258" s="299"/>
      <c r="AP258" s="296"/>
      <c r="AQ258" s="295"/>
      <c r="AR258" s="295"/>
      <c r="AS258" s="295"/>
      <c r="AT258" s="295"/>
      <c r="AU258" s="295"/>
      <c r="AV258" s="290"/>
      <c r="AW258" s="591" t="s">
        <v>258</v>
      </c>
      <c r="AX258" s="591"/>
      <c r="AY258" s="591"/>
      <c r="AZ258" s="591"/>
      <c r="BA258" s="591"/>
      <c r="BB258" s="591"/>
      <c r="BC258" s="591"/>
      <c r="BD258" s="591"/>
      <c r="BE258" s="591"/>
      <c r="BF258" s="591"/>
      <c r="BG258" s="591"/>
      <c r="BH258" s="591"/>
      <c r="BI258" s="590">
        <f t="shared" si="62"/>
        <v>1952.5539499999998</v>
      </c>
      <c r="BJ258" s="590"/>
      <c r="BK258" s="590"/>
      <c r="BL258" s="590"/>
      <c r="BM258" s="594">
        <f>'FICHE DE PAIE'!AW$15</f>
        <v>3.1E-2</v>
      </c>
      <c r="BN258" s="594"/>
      <c r="BO258" s="594"/>
      <c r="BP258" s="594"/>
      <c r="BQ258" s="592">
        <f t="shared" si="63"/>
        <v>60.52917244999999</v>
      </c>
      <c r="BR258" s="592"/>
      <c r="BS258" s="592"/>
      <c r="BT258" s="592"/>
      <c r="BU258" s="594">
        <f>'FICHE DE PAIE'!BE$15</f>
        <v>4.65E-2</v>
      </c>
      <c r="BV258" s="594"/>
      <c r="BW258" s="594"/>
      <c r="BX258" s="592">
        <f t="shared" si="64"/>
        <v>90.793758674999992</v>
      </c>
      <c r="BY258" s="592"/>
      <c r="BZ258" s="592"/>
      <c r="CA258" s="593"/>
    </row>
    <row r="259" spans="1:79" ht="15" customHeight="1">
      <c r="A259" s="334">
        <v>9</v>
      </c>
      <c r="B259" s="328">
        <v>15</v>
      </c>
      <c r="C259" s="328">
        <f t="shared" si="65"/>
        <v>258</v>
      </c>
      <c r="D259" s="360" t="str">
        <f>IF(I259='Jour Férié'!F$13,'Jour Férié'!E$13,""&amp;IF(I259='Jour Férié'!F$14,'Jour Férié'!E$14,""&amp;IF(I259='Jour Férié'!F$15,'Jour Férié'!E$15,""&amp;IF(I259='Jour Férié'!F$10,'Jour Férié'!E$10,""&amp;IF(MOD(MATCH(I259,vacances!$A$3:$A$202,1),2)=1,"vacances","")))))</f>
        <v/>
      </c>
      <c r="E259" s="490"/>
      <c r="F259" s="490"/>
      <c r="G259" s="490"/>
      <c r="H259" s="624"/>
      <c r="I259" s="361">
        <f t="shared" si="60"/>
        <v>43358</v>
      </c>
      <c r="J259" s="328"/>
      <c r="K259" s="328"/>
      <c r="L259" s="328"/>
      <c r="M259" s="374" t="s">
        <v>227</v>
      </c>
      <c r="N259" s="374"/>
      <c r="O259" s="364">
        <f>(COUNTIF($E245:$E275,$J252))</f>
        <v>0</v>
      </c>
      <c r="P259" s="328"/>
      <c r="Q259" s="555" t="str">
        <f>'FICHE DE PAIE'!A$16</f>
        <v>Absence maladie</v>
      </c>
      <c r="R259" s="555"/>
      <c r="S259" s="555"/>
      <c r="T259" s="555"/>
      <c r="U259" s="555"/>
      <c r="V259" s="555"/>
      <c r="W259" s="555"/>
      <c r="X259" s="555"/>
      <c r="Y259" s="555"/>
      <c r="Z259" s="494"/>
      <c r="AA259" s="556"/>
      <c r="AB259" s="556"/>
      <c r="AC259" s="556"/>
      <c r="AD259" s="566"/>
      <c r="AE259" s="566"/>
      <c r="AF259" s="566"/>
      <c r="AG259" s="559"/>
      <c r="AH259" s="559"/>
      <c r="AI259" s="559"/>
      <c r="AJ259" s="559"/>
      <c r="AK259" s="599"/>
      <c r="AL259" s="599"/>
      <c r="AM259" s="599"/>
      <c r="AN259" s="599"/>
      <c r="AO259" s="294"/>
      <c r="AP259" s="296"/>
      <c r="AQ259" s="295"/>
      <c r="AR259" s="295"/>
      <c r="AS259" s="295"/>
      <c r="AT259" s="295"/>
      <c r="AU259" s="295"/>
      <c r="AV259" s="290"/>
      <c r="AW259" s="591" t="s">
        <v>260</v>
      </c>
      <c r="AX259" s="591"/>
      <c r="AY259" s="591"/>
      <c r="AZ259" s="591"/>
      <c r="BA259" s="591"/>
      <c r="BB259" s="591"/>
      <c r="BC259" s="591"/>
      <c r="BD259" s="591"/>
      <c r="BE259" s="591"/>
      <c r="BF259" s="591"/>
      <c r="BG259" s="591"/>
      <c r="BH259" s="591"/>
      <c r="BI259" s="590">
        <f t="shared" si="62"/>
        <v>1952.5539499999998</v>
      </c>
      <c r="BJ259" s="590"/>
      <c r="BK259" s="590"/>
      <c r="BL259" s="590"/>
      <c r="BM259" s="594">
        <f>'FICHE DE PAIE'!AW$16</f>
        <v>8.0000000000000002E-3</v>
      </c>
      <c r="BN259" s="594"/>
      <c r="BO259" s="594"/>
      <c r="BP259" s="594"/>
      <c r="BQ259" s="592">
        <f t="shared" si="63"/>
        <v>15.620431599999998</v>
      </c>
      <c r="BR259" s="592"/>
      <c r="BS259" s="592"/>
      <c r="BT259" s="592"/>
      <c r="BU259" s="594">
        <f>'FICHE DE PAIE'!BE$16</f>
        <v>1.2E-2</v>
      </c>
      <c r="BV259" s="594"/>
      <c r="BW259" s="594"/>
      <c r="BX259" s="592">
        <f t="shared" si="64"/>
        <v>23.430647399999998</v>
      </c>
      <c r="BY259" s="592"/>
      <c r="BZ259" s="592"/>
      <c r="CA259" s="593"/>
    </row>
    <row r="260" spans="1:79" ht="15" customHeight="1">
      <c r="A260" s="334">
        <v>9</v>
      </c>
      <c r="B260" s="328">
        <v>16</v>
      </c>
      <c r="C260" s="328">
        <f t="shared" si="65"/>
        <v>259</v>
      </c>
      <c r="D260" s="360" t="str">
        <f>IF(I260='Jour Férié'!F$13,'Jour Férié'!E$13,""&amp;IF(I260='Jour Férié'!F$14,'Jour Férié'!E$14,""&amp;IF(I260='Jour Férié'!F$15,'Jour Férié'!E$15,""&amp;IF(I260='Jour Férié'!F$10,'Jour Férié'!E$10,""&amp;IF(MOD(MATCH(I260,vacances!$A$3:$A$202,1),2)=1,"vacances","")))))</f>
        <v/>
      </c>
      <c r="E260" s="490"/>
      <c r="F260" s="490"/>
      <c r="G260" s="490"/>
      <c r="H260" s="624"/>
      <c r="I260" s="361">
        <f t="shared" si="60"/>
        <v>43359</v>
      </c>
      <c r="J260" s="328"/>
      <c r="K260" s="328"/>
      <c r="L260" s="328"/>
      <c r="M260" s="374" t="s">
        <v>228</v>
      </c>
      <c r="N260" s="374"/>
      <c r="O260" s="364">
        <f>(COUNTIF($E245:$E275,$J253))</f>
        <v>0</v>
      </c>
      <c r="P260" s="328"/>
      <c r="Q260" s="555"/>
      <c r="R260" s="555"/>
      <c r="S260" s="555"/>
      <c r="T260" s="555"/>
      <c r="U260" s="555"/>
      <c r="V260" s="555"/>
      <c r="W260" s="555"/>
      <c r="X260" s="555"/>
      <c r="Y260" s="555"/>
      <c r="Z260" s="494"/>
      <c r="AA260" s="556"/>
      <c r="AB260" s="556"/>
      <c r="AC260" s="556"/>
      <c r="AD260" s="600"/>
      <c r="AE260" s="600"/>
      <c r="AF260" s="600"/>
      <c r="AG260" s="559"/>
      <c r="AH260" s="559"/>
      <c r="AI260" s="559"/>
      <c r="AJ260" s="559"/>
      <c r="AK260" s="297"/>
      <c r="AL260" s="297"/>
      <c r="AM260" s="297"/>
      <c r="AN260" s="298"/>
      <c r="AO260" s="299"/>
      <c r="AP260" s="296"/>
      <c r="AQ260" s="295"/>
      <c r="AR260" s="295"/>
      <c r="AS260" s="295"/>
      <c r="AT260" s="295"/>
      <c r="AU260" s="295"/>
      <c r="AV260" s="290"/>
      <c r="AW260" s="499" t="s">
        <v>261</v>
      </c>
      <c r="AX260" s="499"/>
      <c r="AY260" s="499"/>
      <c r="AZ260" s="499"/>
      <c r="BA260" s="499"/>
      <c r="BB260" s="499"/>
      <c r="BC260" s="499"/>
      <c r="BD260" s="499"/>
      <c r="BE260" s="499"/>
      <c r="BF260" s="499"/>
      <c r="BG260" s="499"/>
      <c r="BH260" s="499"/>
      <c r="BI260" s="590">
        <f t="shared" si="62"/>
        <v>1952.5539499999998</v>
      </c>
      <c r="BJ260" s="590"/>
      <c r="BK260" s="590"/>
      <c r="BL260" s="590"/>
      <c r="BM260" s="594">
        <f>'FICHE DE PAIE'!AW$17</f>
        <v>5.4000000000000003E-3</v>
      </c>
      <c r="BN260" s="594"/>
      <c r="BO260" s="594"/>
      <c r="BP260" s="594"/>
      <c r="BQ260" s="592">
        <f t="shared" si="63"/>
        <v>10.543791329999999</v>
      </c>
      <c r="BR260" s="592"/>
      <c r="BS260" s="592"/>
      <c r="BT260" s="592"/>
      <c r="BU260" s="594">
        <f>'FICHE DE PAIE'!BE$17</f>
        <v>5.4000000000000003E-3</v>
      </c>
      <c r="BV260" s="594"/>
      <c r="BW260" s="594"/>
      <c r="BX260" s="592">
        <f t="shared" si="64"/>
        <v>10.543791329999999</v>
      </c>
      <c r="BY260" s="592"/>
      <c r="BZ260" s="592"/>
      <c r="CA260" s="593"/>
    </row>
    <row r="261" spans="1:79" ht="15" customHeight="1">
      <c r="A261" s="334">
        <v>9</v>
      </c>
      <c r="B261" s="328">
        <v>17</v>
      </c>
      <c r="C261" s="328">
        <f t="shared" si="65"/>
        <v>260</v>
      </c>
      <c r="D261" s="360" t="str">
        <f>IF(I261='Jour Férié'!F$13,'Jour Férié'!E$13,""&amp;IF(I261='Jour Férié'!F$14,'Jour Férié'!E$14,""&amp;IF(I261='Jour Férié'!F$15,'Jour Férié'!E$15,""&amp;IF(I261='Jour Férié'!F$10,'Jour Férié'!E$10,""&amp;IF(MOD(MATCH(I261,vacances!$A$3:$A$202,1),2)=1,"vacances","")))))</f>
        <v/>
      </c>
      <c r="E261" s="490"/>
      <c r="F261" s="490"/>
      <c r="G261" s="490"/>
      <c r="H261" s="624"/>
      <c r="I261" s="361">
        <f t="shared" si="60"/>
        <v>43360</v>
      </c>
      <c r="J261" s="328"/>
      <c r="K261" s="328"/>
      <c r="L261" s="328"/>
      <c r="M261" s="328"/>
      <c r="N261" s="328"/>
      <c r="O261" s="375"/>
      <c r="P261" s="328"/>
      <c r="Q261" s="562" t="s">
        <v>262</v>
      </c>
      <c r="R261" s="562"/>
      <c r="S261" s="562"/>
      <c r="T261" s="562"/>
      <c r="U261" s="562"/>
      <c r="V261" s="562"/>
      <c r="W261" s="562"/>
      <c r="X261" s="563"/>
      <c r="Y261" s="563"/>
      <c r="Z261" s="563"/>
      <c r="AA261" s="563"/>
      <c r="AB261" s="563"/>
      <c r="AC261" s="563"/>
      <c r="AD261" s="563"/>
      <c r="AE261" s="563"/>
      <c r="AF261" s="563"/>
      <c r="AG261" s="564">
        <f>SUM(AG247:AJ256)+AG258-AK257-AK259</f>
        <v>1851.1323499999999</v>
      </c>
      <c r="AH261" s="564"/>
      <c r="AI261" s="564"/>
      <c r="AJ261" s="564"/>
      <c r="AK261" s="300"/>
      <c r="AL261" s="300"/>
      <c r="AM261" s="300"/>
      <c r="AN261" s="295"/>
      <c r="AO261" s="565">
        <f>AG261-AO247</f>
        <v>-1094.8676500000001</v>
      </c>
      <c r="AP261" s="565"/>
      <c r="AQ261" s="565"/>
      <c r="AR261" s="498"/>
      <c r="AS261" s="498"/>
      <c r="AT261" s="498"/>
      <c r="AU261" s="295"/>
      <c r="AV261" s="301"/>
      <c r="AW261" s="591" t="s">
        <v>263</v>
      </c>
      <c r="AX261" s="591"/>
      <c r="AY261" s="591"/>
      <c r="AZ261" s="591"/>
      <c r="BA261" s="591"/>
      <c r="BB261" s="591"/>
      <c r="BC261" s="591"/>
      <c r="BD261" s="591"/>
      <c r="BE261" s="591"/>
      <c r="BF261" s="591"/>
      <c r="BG261" s="591"/>
      <c r="BH261" s="591"/>
      <c r="BI261" s="601"/>
      <c r="BJ261" s="601"/>
      <c r="BK261" s="601"/>
      <c r="BL261" s="601"/>
      <c r="BM261" s="590"/>
      <c r="BN261" s="590"/>
      <c r="BO261" s="590"/>
      <c r="BP261" s="590"/>
      <c r="BQ261" s="592">
        <f t="shared" si="63"/>
        <v>0</v>
      </c>
      <c r="BR261" s="592"/>
      <c r="BS261" s="592"/>
      <c r="BT261" s="592"/>
      <c r="BU261" s="594">
        <f>'FICHE DE PAIE'!BE$18</f>
        <v>0.08</v>
      </c>
      <c r="BV261" s="594"/>
      <c r="BW261" s="594"/>
      <c r="BX261" s="592">
        <f t="shared" si="64"/>
        <v>0</v>
      </c>
      <c r="BY261" s="592"/>
      <c r="BZ261" s="592"/>
      <c r="CA261" s="593"/>
    </row>
    <row r="262" spans="1:79" ht="15" customHeight="1">
      <c r="A262" s="334">
        <v>9</v>
      </c>
      <c r="B262" s="328">
        <v>18</v>
      </c>
      <c r="C262" s="328">
        <f t="shared" si="65"/>
        <v>261</v>
      </c>
      <c r="D262" s="360" t="str">
        <f>IF(I262='Jour Férié'!F$13,'Jour Férié'!E$13,""&amp;IF(I262='Jour Férié'!F$14,'Jour Férié'!E$14,""&amp;IF(I262='Jour Férié'!F$15,'Jour Férié'!E$15,""&amp;IF(I262='Jour Férié'!F$10,'Jour Férié'!E$10,""&amp;IF(MOD(MATCH(I262,vacances!$A$3:$A$202,1),2)=1,"vacances","")))))</f>
        <v/>
      </c>
      <c r="E262" s="490"/>
      <c r="F262" s="490"/>
      <c r="G262" s="490"/>
      <c r="H262" s="624"/>
      <c r="I262" s="361">
        <f t="shared" si="60"/>
        <v>43361</v>
      </c>
      <c r="J262" s="328"/>
      <c r="K262" s="328"/>
      <c r="L262" s="328"/>
      <c r="M262" s="575" t="s">
        <v>320</v>
      </c>
      <c r="N262" s="335">
        <f>(IF(WEEKDAY(I244,2)=6,(COUNTIF(E244,"*"))))*AND(IF(WEEKDAY(I245,2)=7,(COUNTIF(E245,"*"))))+(IF(WEEKDAY(I245,2)=6,(COUNTIF(E245,"*"))))*AND(IF(WEEKDAY(I246,2)=7,(COUNTIF(E246,"*"))))+(IF(WEEKDAY(I246,2)=6,(COUNTIF(E246,"*"))))*AND(IF(WEEKDAY(I247,2)=7,(COUNTIF(E247,"*"))))+(IF(WEEKDAY(I247,2)=6,(COUNTIF(E247,"*"))))*AND(IF(WEEKDAY(I248,2)=7,(COUNTIF(E248,"*"))))+(IF(WEEKDAY(I248,2)=6,(COUNTIF(E248,"*"))))*AND(IF(WEEKDAY(I249,2)=7,(COUNTIF(E249,"*"))))+(IF(WEEKDAY(I249,2)=6,(COUNTIF(E249,"*"))))*AND(IF(WEEKDAY(I250,2)=7,(COUNTIF(E250,"*"))))+(IF(WEEKDAY(I250,2)=6,(COUNTIF(E250,"*"))))*AND(IF(WEEKDAY(I251,2)=7,(COUNTIF(E251,"*"))))+(IF(WEEKDAY(I251,2)=6,(COUNTIF(E251,"*"))))*AND(IF(WEEKDAY(I252,2)=7,(COUNTIF(E252,"*"))))+(IF(WEEKDAY(I252,2)=6,(COUNTIF(E252,"*"))))*AND(IF(WEEKDAY(I253,2)=7,(COUNTIF(E253,"*"))))+(IF(WEEKDAY(I253,2)=6,(COUNTIF(E253,"*"))))*AND(IF(WEEKDAY(I254,2)=7,(COUNTIF(E254,"*"))))+(IF(WEEKDAY(I254,2)=6,(COUNTIF(E254,"*"))))*AND(IF(WEEKDAY(I255,2)=7,(COUNTIF(E255,"*"))))+(IF(WEEKDAY(I255,2)=6,(COUNTIF(E255,"*"))))*AND(IF(WEEKDAY(I256,2)=7,(COUNTIF(E256,"*"))))+(IF(WEEKDAY(I256,2)=6,(COUNTIF(E256,"*"))))*AND(IF(WEEKDAY(I257,2)=7,(COUNTIF(E257,"*"))))+(IF(WEEKDAY(I257,2)=6,(COUNTIF(E257,"*"))))*AND(IF(WEEKDAY(I258,2)=7,(COUNTIF(E258,"*"))))+(IF(WEEKDAY(I258,2)=6,(COUNTIF(E258,"*"))))*AND(IF(WEEKDAY(I259,2)=7,(COUNTIF(E259,"*"))))+(IF(WEEKDAY(I259,2)=6,(COUNTIF(E259,"*"))))*AND(IF(WEEKDAY(I260,2)=7,(COUNTIF(E260,"*"))))</f>
        <v>0</v>
      </c>
      <c r="O262" s="576">
        <f>SUM(N262:N263)</f>
        <v>0</v>
      </c>
      <c r="P262" s="328"/>
      <c r="Q262" s="376"/>
      <c r="R262" s="376"/>
      <c r="S262" s="376"/>
      <c r="T262" s="376"/>
      <c r="U262" s="376"/>
      <c r="V262" s="376"/>
      <c r="W262" s="376"/>
      <c r="X262" s="376"/>
      <c r="Y262" s="376"/>
      <c r="Z262" s="376"/>
      <c r="AA262" s="377"/>
      <c r="AB262" s="377"/>
      <c r="AC262" s="377"/>
      <c r="AD262" s="378"/>
      <c r="AE262" s="378"/>
      <c r="AF262" s="378"/>
      <c r="AG262" s="376"/>
      <c r="AH262" s="376"/>
      <c r="AI262" s="376"/>
      <c r="AJ262" s="379"/>
      <c r="AK262" s="379"/>
      <c r="AL262" s="379"/>
      <c r="AM262" s="379"/>
      <c r="AN262" s="365"/>
      <c r="AO262" s="365"/>
      <c r="AP262" s="365"/>
      <c r="AQ262" s="365"/>
      <c r="AR262" s="365"/>
      <c r="AS262" s="365"/>
      <c r="AT262" s="365"/>
      <c r="AU262" s="365"/>
      <c r="AV262" s="302"/>
      <c r="AW262" s="591" t="s">
        <v>264</v>
      </c>
      <c r="AX262" s="591"/>
      <c r="AY262" s="591"/>
      <c r="AZ262" s="591"/>
      <c r="BA262" s="591"/>
      <c r="BB262" s="591"/>
      <c r="BC262" s="591"/>
      <c r="BD262" s="591"/>
      <c r="BE262" s="591"/>
      <c r="BF262" s="591"/>
      <c r="BG262" s="591"/>
      <c r="BH262" s="591"/>
      <c r="BI262" s="590">
        <f>$AG$17*98.25%</f>
        <v>1918.3842558749998</v>
      </c>
      <c r="BJ262" s="590"/>
      <c r="BK262" s="590"/>
      <c r="BL262" s="590"/>
      <c r="BM262" s="594">
        <f>'FICHE DE PAIE'!AW$19</f>
        <v>6.8000000000000005E-2</v>
      </c>
      <c r="BN262" s="594"/>
      <c r="BO262" s="594"/>
      <c r="BP262" s="594"/>
      <c r="BQ262" s="592">
        <f t="shared" si="63"/>
        <v>130.45012939949999</v>
      </c>
      <c r="BR262" s="592"/>
      <c r="BS262" s="592"/>
      <c r="BT262" s="592"/>
      <c r="BU262" s="595"/>
      <c r="BV262" s="595"/>
      <c r="BW262" s="595"/>
      <c r="BX262" s="592">
        <f t="shared" si="64"/>
        <v>0</v>
      </c>
      <c r="BY262" s="592"/>
      <c r="BZ262" s="592"/>
      <c r="CA262" s="593"/>
    </row>
    <row r="263" spans="1:79" ht="15" customHeight="1">
      <c r="A263" s="334">
        <v>9</v>
      </c>
      <c r="B263" s="328">
        <v>19</v>
      </c>
      <c r="C263" s="328">
        <f t="shared" si="65"/>
        <v>262</v>
      </c>
      <c r="D263" s="360" t="str">
        <f>IF(I263='Jour Férié'!F$13,'Jour Férié'!E$13,""&amp;IF(I263='Jour Férié'!F$14,'Jour Férié'!E$14,""&amp;IF(I263='Jour Férié'!F$15,'Jour Férié'!E$15,""&amp;IF(I263='Jour Férié'!F$10,'Jour Férié'!E$10,""&amp;IF(MOD(MATCH(I263,vacances!$A$3:$A$202,1),2)=1,"vacances","")))))</f>
        <v/>
      </c>
      <c r="E263" s="490"/>
      <c r="F263" s="490"/>
      <c r="G263" s="490"/>
      <c r="H263" s="624"/>
      <c r="I263" s="361">
        <f t="shared" si="60"/>
        <v>43362</v>
      </c>
      <c r="J263" s="328"/>
      <c r="K263" s="328"/>
      <c r="L263" s="328"/>
      <c r="M263" s="575"/>
      <c r="N263" s="338">
        <f>(IF(WEEKDAY(I260,2)=6,(COUNTIF(E260,"*"))))*AND(IF(WEEKDAY(I261,2)=7,(COUNTIF(E261,"*"))))+(IF(WEEKDAY(I261,2)=6,(COUNTIF(E261,"*"))))*AND(IF(WEEKDAY(I262,2)=7,(COUNTIF(E262,"*"))))+(IF(WEEKDAY(I262,2)=6,(COUNTIF(E262,"*"))))*AND(IF(WEEKDAY(I263,2)=7,(COUNTIF(E263,"*"))))+(IF(WEEKDAY(I263,2)=6,(COUNTIF(E263,"*"))))*AND(IF(WEEKDAY(I264,2)=7,(COUNTIF(E264,"*"))))+(IF(WEEKDAY(I264,2)=6,(COUNTIF(E264,"*"))))*AND(IF(WEEKDAY(I265,2)=7,(COUNTIF(E265,"*"))))+(IF(WEEKDAY(I265,2)=6,(COUNTIF(E265,"*"))))*AND(IF(WEEKDAY(I266,2)=7,(COUNTIF(E266,"*"))))+(IF(WEEKDAY(I266,2)=6,(COUNTIF(E266,"*"))))*AND(IF(WEEKDAY(I267,2)=7,(COUNTIF(E267,"*"))))+(IF(WEEKDAY(I267,2)=6,(COUNTIF(E267,"*"))))*AND(IF(WEEKDAY(I268,2)=7,(COUNTIF(E268,"*"))))+(IF(WEEKDAY(I268,2)=6,(COUNTIF(E268,"*"))))*AND(IF(WEEKDAY(I269,2)=7,(COUNTIF(E269,"*"))))+(IF(WEEKDAY(I269,2)=6,(COUNTIF(E269,"*"))))*AND(IF(WEEKDAY(I270,2)=7,(COUNTIF(E270,"*"))))+(IF(WEEKDAY(I270,2)=6,(COUNTIF(E270,"*"))))*AND(IF(WEEKDAY(I271,2)=7,(COUNTIF(E271,"*"))))+(IF(WEEKDAY(I271,2)=6,(COUNTIF(E271,"*"))))*AND(IF(WEEKDAY(I272,2)=7,(COUNTIF(E272,"*"))))+(IF(WEEKDAY(I272,2)=6,(COUNTIF(E272,"*"))))*AND(IF(WEEKDAY(I273,2)=7,(COUNTIF(E273,"*"))))+(IF(WEEKDAY(I273,2)=6,(COUNTIF(E273,"*"))))*AND(IF(WEEKDAY(I274,2)=7,(COUNTIF(E274,"*"))))+(IF(WEEKDAY(I274,2)=6,(COUNTIF(E274,"*"))))*AND(IF(WEEKDAY(I275,2)=7,(COUNTIF(E275,"*"))))</f>
        <v>0</v>
      </c>
      <c r="O263" s="576"/>
      <c r="P263" s="328"/>
      <c r="Q263" s="550">
        <f>Q245</f>
        <v>43344</v>
      </c>
      <c r="R263" s="550"/>
      <c r="S263" s="550"/>
      <c r="T263" s="550"/>
      <c r="U263" s="550"/>
      <c r="V263" s="550"/>
      <c r="W263" s="550"/>
      <c r="X263" s="550"/>
      <c r="Y263" s="550"/>
      <c r="Z263" s="550"/>
      <c r="AA263" s="550"/>
      <c r="AB263" s="550"/>
      <c r="AC263" s="550"/>
      <c r="AD263" s="550"/>
      <c r="AE263" s="550"/>
      <c r="AF263" s="550"/>
      <c r="AG263" s="550"/>
      <c r="AH263" s="550"/>
      <c r="AI263" s="550"/>
      <c r="AJ263" s="550"/>
      <c r="AK263" s="550"/>
      <c r="AL263" s="550"/>
      <c r="AM263" s="550"/>
      <c r="AN263" s="550"/>
      <c r="AO263" s="550"/>
      <c r="AP263" s="550"/>
      <c r="AQ263" s="550"/>
      <c r="AR263" s="550"/>
      <c r="AS263" s="550"/>
      <c r="AT263" s="550"/>
      <c r="AU263" s="550"/>
      <c r="AV263" s="303"/>
      <c r="AW263" s="591" t="s">
        <v>265</v>
      </c>
      <c r="AX263" s="591"/>
      <c r="AY263" s="591"/>
      <c r="AZ263" s="591"/>
      <c r="BA263" s="591"/>
      <c r="BB263" s="591"/>
      <c r="BC263" s="591"/>
      <c r="BD263" s="591"/>
      <c r="BE263" s="591"/>
      <c r="BF263" s="591"/>
      <c r="BG263" s="591"/>
      <c r="BH263" s="591"/>
      <c r="BI263" s="590">
        <f>$AG$17*98.25%</f>
        <v>1918.3842558749998</v>
      </c>
      <c r="BJ263" s="590"/>
      <c r="BK263" s="590"/>
      <c r="BL263" s="590"/>
      <c r="BM263" s="594">
        <f>'FICHE DE PAIE'!AW$20</f>
        <v>2.4E-2</v>
      </c>
      <c r="BN263" s="594"/>
      <c r="BO263" s="594"/>
      <c r="BP263" s="594"/>
      <c r="BQ263" s="592">
        <f t="shared" si="63"/>
        <v>46.041222140999999</v>
      </c>
      <c r="BR263" s="592"/>
      <c r="BS263" s="592"/>
      <c r="BT263" s="592"/>
      <c r="BU263" s="595"/>
      <c r="BV263" s="595"/>
      <c r="BW263" s="595"/>
      <c r="BX263" s="592">
        <f t="shared" si="64"/>
        <v>0</v>
      </c>
      <c r="BY263" s="592"/>
      <c r="BZ263" s="592"/>
      <c r="CA263" s="593"/>
    </row>
    <row r="264" spans="1:79" ht="15" customHeight="1">
      <c r="A264" s="334">
        <v>9</v>
      </c>
      <c r="B264" s="328">
        <v>20</v>
      </c>
      <c r="C264" s="328">
        <f t="shared" si="65"/>
        <v>263</v>
      </c>
      <c r="D264" s="360" t="str">
        <f>IF(I264='Jour Férié'!F$13,'Jour Férié'!E$13,""&amp;IF(I264='Jour Férié'!F$14,'Jour Férié'!E$14,""&amp;IF(I264='Jour Férié'!F$15,'Jour Férié'!E$15,""&amp;IF(I264='Jour Férié'!F$10,'Jour Férié'!E$10,""&amp;IF(MOD(MATCH(I264,vacances!$A$3:$A$202,1),2)=1,"vacances","")))))</f>
        <v/>
      </c>
      <c r="E264" s="490"/>
      <c r="F264" s="490"/>
      <c r="G264" s="490"/>
      <c r="H264" s="624"/>
      <c r="I264" s="361">
        <f t="shared" si="60"/>
        <v>43363</v>
      </c>
      <c r="J264" s="328"/>
      <c r="K264" s="328"/>
      <c r="L264" s="328"/>
      <c r="M264" s="575" t="s">
        <v>321</v>
      </c>
      <c r="N264" s="338">
        <f>(IF(WEEKDAY(I244,2)=5,(COUNTIF(E244,$J$1))))*AND(IF(WEEKDAY(I247,2)=1,(COUNTIF(E247,"*"))))+(IF(WEEKDAY(I245,2)=5,(COUNTIF(E245,$J$1))))*AND(IF(WEEKDAY(I248,2)=1,(COUNTIF(E248,"*"))))+(IF(WEEKDAY(I246,2)=5,(COUNTIF(E246,$J$1))))*AND(IF(WEEKDAY(I249,2)=1,(COUNTIF(E249,"*"))))+(IF(WEEKDAY(I247,2)=5,(COUNTIF(E247,$J$1))))*AND(IF(WEEKDAY(I250,2)=1,(COUNTIF(E250,"*"))))+(IF(WEEKDAY(I248,2)=5,(COUNTIF(E248,$J$1))))*AND(IF(WEEKDAY(I251,2)=1,(COUNTIF(E251,"*"))))+(IF(WEEKDAY(I249,2)=5,(COUNTIF(E249,$J$1))))*AND(IF(WEEKDAY(I252,2)=1,(COUNTIF(E252,"*"))))+(IF(WEEKDAY(I250,2)=5,(COUNTIF(E250,$J$1))))*AND(IF(WEEKDAY(I253,2)=1,(COUNTIF(E253,"*"))))+(IF(WEEKDAY(I251,2)=5,(COUNTIF(E251,$J$1))))*AND(IF(WEEKDAY(I254,2)=1,(COUNTIF(E254,"*"))))+(IF(WEEKDAY(I252,2)=5,(COUNTIF(E252,$J$1))))*AND(IF(WEEKDAY(I255,2)=1,(COUNTIF(E255,"*"))))+(IF(WEEKDAY(I253,2)=5,(COUNTIF(E253,$J$1))))*AND(IF(WEEKDAY(I256,2)=1,(COUNTIF(E256,"*"))))+(IF(WEEKDAY(I254,2)=5,(COUNTIF(E254,$J$1))))*AND(IF(WEEKDAY(I257,2)=1,(COUNTIF(E257,"*"))))+(IF(WEEKDAY(I255,2)=5,(COUNTIF(E255,$J$1))))*AND(IF(WEEKDAY(I258,2)=1,(COUNTIF(E258,"*"))))+(IF(WEEKDAY(I256,2)=5,(COUNTIF(E256,$J$1))))*AND(IF(WEEKDAY(I259,2)=1,(COUNTIF(E259,"*"))))+(IF(WEEKDAY(I257,2)=5,(COUNTIF(E257,$J$1))))*AND(IF(WEEKDAY(I260,2)=1,(COUNTIF(E260,"*"))))+(IF(WEEKDAY(I258,2)=5,(COUNTIF(E258,$J$1))))*AND(IF(WEEKDAY(I261,2)=1,(COUNTIF(E261,"*"))))+(IF(WEEKDAY(I259,2)=5,(COUNTIF(E259,$J$1))))*AND(IF(WEEKDAY(I262,2)=1,(COUNTIF(E262,"*"))))+(IF(WEEKDAY(I260,2)=5,(COUNTIF(E260,$J$1))))*AND(IF(WEEKDAY(I263,2)=1,(COUNTIF(E263,"*"))))+(IF(WEEKDAY(I261,2)=5,(COUNTIF(E261,$J$1))))*AND(IF(WEEKDAY(I264,2)=1,(COUNTIF(E264,"*"))))</f>
        <v>0</v>
      </c>
      <c r="O264" s="576">
        <f>SUM(N264:N265)</f>
        <v>0</v>
      </c>
      <c r="P264" s="328"/>
      <c r="Q264" s="281"/>
      <c r="R264" s="281"/>
      <c r="S264" s="281"/>
      <c r="T264" s="281"/>
      <c r="U264" s="281"/>
      <c r="V264" s="281"/>
      <c r="W264" s="281"/>
      <c r="X264" s="304"/>
      <c r="Y264" s="304"/>
      <c r="Z264" s="304"/>
      <c r="AA264" s="305"/>
      <c r="AB264" s="305"/>
      <c r="AC264" s="305"/>
      <c r="AD264" s="306"/>
      <c r="AE264" s="306"/>
      <c r="AF264" s="306"/>
      <c r="AG264" s="304"/>
      <c r="AH264" s="304"/>
      <c r="AI264" s="304"/>
      <c r="AJ264" s="304"/>
      <c r="AK264" s="304"/>
      <c r="AL264" s="304"/>
      <c r="AM264" s="304"/>
      <c r="AN264" s="304"/>
      <c r="AO264" s="304"/>
      <c r="AP264" s="304"/>
      <c r="AQ264" s="304"/>
      <c r="AR264" s="304"/>
      <c r="AS264" s="304"/>
      <c r="AT264" s="304"/>
      <c r="AU264" s="304"/>
      <c r="AV264" s="304"/>
      <c r="AW264" s="499" t="s">
        <v>266</v>
      </c>
      <c r="AX264" s="499"/>
      <c r="AY264" s="499"/>
      <c r="AZ264" s="499"/>
      <c r="BA264" s="499"/>
      <c r="BB264" s="499"/>
      <c r="BC264" s="499"/>
      <c r="BD264" s="499"/>
      <c r="BE264" s="499"/>
      <c r="BF264" s="499"/>
      <c r="BG264" s="499"/>
      <c r="BH264" s="499"/>
      <c r="BI264" s="590">
        <f>$AG$17*98.25%</f>
        <v>1918.3842558749998</v>
      </c>
      <c r="BJ264" s="590"/>
      <c r="BK264" s="590"/>
      <c r="BL264" s="590"/>
      <c r="BM264" s="594">
        <f>'FICHE DE PAIE'!AW$21</f>
        <v>5.0000000000000001E-3</v>
      </c>
      <c r="BN264" s="594"/>
      <c r="BO264" s="594"/>
      <c r="BP264" s="594"/>
      <c r="BQ264" s="592">
        <f t="shared" si="63"/>
        <v>9.5919212793749988</v>
      </c>
      <c r="BR264" s="592"/>
      <c r="BS264" s="592"/>
      <c r="BT264" s="592"/>
      <c r="BU264" s="595"/>
      <c r="BV264" s="595"/>
      <c r="BW264" s="595"/>
      <c r="BX264" s="592">
        <f t="shared" si="64"/>
        <v>0</v>
      </c>
      <c r="BY264" s="592"/>
      <c r="BZ264" s="592"/>
      <c r="CA264" s="593"/>
    </row>
    <row r="265" spans="1:79" ht="15" customHeight="1">
      <c r="A265" s="334">
        <v>9</v>
      </c>
      <c r="B265" s="328">
        <v>21</v>
      </c>
      <c r="C265" s="328">
        <f t="shared" si="65"/>
        <v>264</v>
      </c>
      <c r="D265" s="360" t="str">
        <f>IF(I265='Jour Férié'!F$13,'Jour Férié'!E$13,""&amp;IF(I265='Jour Férié'!F$14,'Jour Férié'!E$14,""&amp;IF(I265='Jour Férié'!F$15,'Jour Férié'!E$15,""&amp;IF(I265='Jour Férié'!F$10,'Jour Férié'!E$10,""&amp;IF(MOD(MATCH(I265,vacances!$A$3:$A$202,1),2)=1,"vacances","")))))</f>
        <v/>
      </c>
      <c r="E265" s="490"/>
      <c r="F265" s="490"/>
      <c r="G265" s="490"/>
      <c r="H265" s="624"/>
      <c r="I265" s="361">
        <f t="shared" si="60"/>
        <v>43364</v>
      </c>
      <c r="J265" s="328"/>
      <c r="K265" s="328"/>
      <c r="L265" s="328"/>
      <c r="M265" s="575"/>
      <c r="N265" s="338">
        <f>(IF(WEEKDAY(I262,2)=5,(COUNTIF(E262,$J$1))))*AND(IF(WEEKDAY(I265,2)=1,(COUNTIF(E265,"*"))))+(IF(WEEKDAY(I263,2)=5,(COUNTIF(E263,$J$1))))*AND(IF(WEEKDAY(I266,2)=1,(COUNTIF(E266,"*"))))+(IF(WEEKDAY(I264,2)=5,(COUNTIF(E264,$J$1))))*AND(IF(WEEKDAY(I267,2)=1,(COUNTIF(E267,"*"))))+(IF(WEEKDAY(I265,2)=5,(COUNTIF(E265,$J$1))))*AND(IF(WEEKDAY(I268,2)=1,(COUNTIF(E268,"*"))))+(IF(WEEKDAY(I266,2)=5,(COUNTIF(E266,$J$1))))*AND(IF(WEEKDAY(I269,2)=1,(COUNTIF(E269,"*"))))+(IF(WEEKDAY(I267,2)=5,(COUNTIF(E267,$J$1))))*AND(IF(WEEKDAY(I270,2)=1,(COUNTIF(E270,"*"))))+(IF(WEEKDAY(I268,2)=5,(COUNTIF(E268,$J$1))))*AND(IF(WEEKDAY(I271,2)=1,(COUNTIF(E271,"*"))))+(IF(WEEKDAY(I269,2)=5,(COUNTIF(E269,$J$1))))*AND(IF(WEEKDAY(I272,2)=1,(COUNTIF(E272,"*"))))+(IF(WEEKDAY(I270,2)=5,(COUNTIF(E270,$J$1))))*AND(IF(WEEKDAY(I273,2)=1,(COUNTIF(E273,"*"))))+(IF(WEEKDAY(I271,2)=5,(COUNTIF(E271,$J$1))))*AND(IF(WEEKDAY(I274,2)=1,(COUNTIF(E274,"*"))))+(IF(WEEKDAY(I272,2)=5,(COUNTIF(E272,$J$1))))*AND(IF(WEEKDAY(I275,2)=1,(COUNTIF(E275,"*"))))+(IF(WEEKDAY(I273,2)=5,(COUNTIF(E273,$J$1))))*AND(IF(WEEKDAY(I276,2)=1,(COUNTIF(E276,"*"))))+(IF(WEEKDAY(I274,2)=5,(COUNTIF(E274,$J$1))))*AND(IF(WEEKDAY(I277,2)=1,(COUNTIF(E277,"*"))))</f>
        <v>0</v>
      </c>
      <c r="O265" s="576"/>
      <c r="P265" s="328"/>
      <c r="Q265" s="281"/>
      <c r="R265" s="281"/>
      <c r="S265" s="281"/>
      <c r="T265" s="281"/>
      <c r="U265" s="281"/>
      <c r="V265" s="281"/>
      <c r="W265" s="281"/>
      <c r="X265" s="307"/>
      <c r="Y265" s="307"/>
      <c r="Z265" s="307"/>
      <c r="AA265" s="308"/>
      <c r="AB265" s="308"/>
      <c r="AC265" s="308"/>
      <c r="AD265" s="309"/>
      <c r="AE265" s="309"/>
      <c r="AF265" s="309"/>
      <c r="AG265" s="307"/>
      <c r="AH265" s="307"/>
      <c r="AI265" s="307"/>
      <c r="AJ265" s="307"/>
      <c r="AK265" s="307"/>
      <c r="AL265" s="307"/>
      <c r="AM265" s="307"/>
      <c r="AN265" s="307"/>
      <c r="AO265" s="307"/>
      <c r="AP265" s="307"/>
      <c r="AQ265" s="307"/>
      <c r="AR265" s="307"/>
      <c r="AS265" s="307"/>
      <c r="AT265" s="307"/>
      <c r="AU265" s="307"/>
      <c r="AV265" s="307"/>
      <c r="AW265" s="499" t="s">
        <v>267</v>
      </c>
      <c r="AX265" s="499"/>
      <c r="AY265" s="499"/>
      <c r="AZ265" s="499"/>
      <c r="BA265" s="499"/>
      <c r="BB265" s="499"/>
      <c r="BC265" s="499"/>
      <c r="BD265" s="499"/>
      <c r="BE265" s="499"/>
      <c r="BF265" s="499"/>
      <c r="BG265" s="499"/>
      <c r="BH265" s="499"/>
      <c r="BI265" s="596">
        <f>BI261</f>
        <v>0</v>
      </c>
      <c r="BJ265" s="596"/>
      <c r="BK265" s="596"/>
      <c r="BL265" s="596"/>
      <c r="BM265" s="594">
        <f>'FICHE DE PAIE'!AW$22</f>
        <v>6.8000000000000005E-2</v>
      </c>
      <c r="BN265" s="594"/>
      <c r="BO265" s="594"/>
      <c r="BP265" s="594"/>
      <c r="BQ265" s="592">
        <f t="shared" si="63"/>
        <v>0</v>
      </c>
      <c r="BR265" s="592"/>
      <c r="BS265" s="592"/>
      <c r="BT265" s="592"/>
      <c r="BU265" s="595"/>
      <c r="BV265" s="595"/>
      <c r="BW265" s="595"/>
      <c r="BX265" s="592">
        <f t="shared" si="64"/>
        <v>0</v>
      </c>
      <c r="BY265" s="592"/>
      <c r="BZ265" s="592"/>
      <c r="CA265" s="593"/>
    </row>
    <row r="266" spans="1:79" ht="15" customHeight="1">
      <c r="A266" s="334">
        <v>9</v>
      </c>
      <c r="B266" s="328">
        <v>22</v>
      </c>
      <c r="C266" s="328">
        <f t="shared" si="65"/>
        <v>265</v>
      </c>
      <c r="D266" s="360" t="str">
        <f>IF(I266='Jour Férié'!F$13,'Jour Férié'!E$13,""&amp;IF(I266='Jour Férié'!F$14,'Jour Férié'!E$14,""&amp;IF(I266='Jour Férié'!F$15,'Jour Férié'!E$15,""&amp;IF(I266='Jour Férié'!F$10,'Jour Férié'!E$10,""&amp;IF(MOD(MATCH(I266,vacances!$A$3:$A$202,1),2)=1,"vacances","")))))</f>
        <v/>
      </c>
      <c r="E266" s="490"/>
      <c r="F266" s="490"/>
      <c r="G266" s="490"/>
      <c r="H266" s="624"/>
      <c r="I266" s="361">
        <f t="shared" si="60"/>
        <v>43365</v>
      </c>
      <c r="J266" s="328"/>
      <c r="K266" s="328"/>
      <c r="L266" s="328"/>
      <c r="M266" s="575" t="s">
        <v>322</v>
      </c>
      <c r="N266" s="338">
        <f>((IF(WEEKDAY(I244,2)=7,(COUNTIF(E244,"*"))))*AND(IF(WEEKDAY(I245,2)=1,(COUNTIF(E245,"*")))))*AND(COUNTBLANK(E243))+((IF(WEEKDAY(I245,2)=7,(COUNTIF(E245,"*"))))*AND(IF(WEEKDAY(I246,2)=1,(COUNTIF(E246,"*")))))*AND(COUNTBLANK(E244))+((IF(WEEKDAY(I246,2)=7,(COUNTIF(E246,"*"))))*AND(IF(WEEKDAY(I247,2)=1,(COUNTIF(E247,"*"))))*AND(COUNTBLANK(E245)))+((IF(WEEKDAY(I247,2)=7,(COUNTIF(E247,"*"))))*AND(IF(WEEKDAY(I248,2)=1,(COUNTIF(E248,"*"))))*AND(COUNTBLANK(E246)))+((IF(WEEKDAY(I248,2)=7,(COUNTIF(E248,"*"))))*AND(IF(WEEKDAY(I249,2)=1,(COUNTIF(E249,"*"))))*AND(COUNTBLANK(E247)))+((IF(WEEKDAY(I249,2)=7,(COUNTIF(E249,"*"))))*AND(IF(WEEKDAY(I250,2)=1,(COUNTIF(E250,"*"))))*AND(COUNTBLANK(E248)))+((IF(WEEKDAY(I250,2)=7,(COUNTIF(E250,"*"))))*AND(IF(WEEKDAY(I251,2)=1,(COUNTIF(E251,"*"))))*AND(COUNTBLANK(E249)))+((IF(WEEKDAY(I251,2)=7,(COUNTIF(E251,"*"))))*AND(IF(WEEKDAY(I252,2)=1,(COUNTIF(E252,"*"))))*AND(COUNTBLANK(E250)))+((IF(WEEKDAY(I252,2)=7,(COUNTIF(E252,"*"))))*AND(IF(WEEKDAY(I253,2)=1,(COUNTIF(E253,"*"))))*AND(COUNTBLANK(E251)))</f>
        <v>0</v>
      </c>
      <c r="O266" s="576">
        <f>SUM(N266:N268)</f>
        <v>0</v>
      </c>
      <c r="P266" s="328"/>
      <c r="Q266" s="281"/>
      <c r="R266" s="281"/>
      <c r="S266" s="281"/>
      <c r="T266" s="552" t="s">
        <v>272</v>
      </c>
      <c r="U266" s="552"/>
      <c r="V266" s="552"/>
      <c r="W266" s="552"/>
      <c r="X266" s="552"/>
      <c r="Y266" s="552"/>
      <c r="Z266" s="552"/>
      <c r="AA266" s="552"/>
      <c r="AB266" s="552"/>
      <c r="AC266" s="553">
        <f>BV272</f>
        <v>1407.7499809251249</v>
      </c>
      <c r="AD266" s="553"/>
      <c r="AE266" s="553"/>
      <c r="AF266" s="553"/>
      <c r="AG266" s="553"/>
      <c r="AH266" s="553"/>
      <c r="AI266" s="553"/>
      <c r="AJ266" s="553"/>
      <c r="AK266" s="553"/>
      <c r="AL266" s="553"/>
      <c r="AM266" s="553"/>
      <c r="AN266" s="553"/>
      <c r="AO266" s="553"/>
      <c r="AP266" s="553"/>
      <c r="AQ266" s="553"/>
      <c r="AR266" s="290"/>
      <c r="AS266" s="290"/>
      <c r="AT266" s="290"/>
      <c r="AU266" s="290"/>
      <c r="AV266" s="290"/>
      <c r="AW266" s="499" t="s">
        <v>268</v>
      </c>
      <c r="AX266" s="499"/>
      <c r="AY266" s="499"/>
      <c r="AZ266" s="499"/>
      <c r="BA266" s="499"/>
      <c r="BB266" s="499"/>
      <c r="BC266" s="499"/>
      <c r="BD266" s="499"/>
      <c r="BE266" s="499"/>
      <c r="BF266" s="499"/>
      <c r="BG266" s="499"/>
      <c r="BH266" s="499"/>
      <c r="BI266" s="596">
        <f>BI261</f>
        <v>0</v>
      </c>
      <c r="BJ266" s="596"/>
      <c r="BK266" s="596"/>
      <c r="BL266" s="596"/>
      <c r="BM266" s="594">
        <f>'FICHE DE PAIE'!AW$23</f>
        <v>2.9000000000000001E-2</v>
      </c>
      <c r="BN266" s="594"/>
      <c r="BO266" s="594"/>
      <c r="BP266" s="594"/>
      <c r="BQ266" s="592">
        <f t="shared" si="63"/>
        <v>0</v>
      </c>
      <c r="BR266" s="592"/>
      <c r="BS266" s="592"/>
      <c r="BT266" s="592"/>
      <c r="BU266" s="595"/>
      <c r="BV266" s="595"/>
      <c r="BW266" s="595"/>
      <c r="BX266" s="592">
        <f t="shared" si="64"/>
        <v>0</v>
      </c>
      <c r="BY266" s="592"/>
      <c r="BZ266" s="592"/>
      <c r="CA266" s="593"/>
    </row>
    <row r="267" spans="1:79" ht="15" customHeight="1">
      <c r="A267" s="419">
        <v>9</v>
      </c>
      <c r="B267" s="360">
        <v>23</v>
      </c>
      <c r="C267" s="328">
        <f>VLOOKUP(A267,Données,4)+B267-1</f>
        <v>266</v>
      </c>
      <c r="D267" s="360" t="str">
        <f>IF(I267='Jour Férié'!F$13,'Jour Férié'!E$13,""&amp;IF(I267='Jour Férié'!F$14,'Jour Férié'!E$14,""&amp;IF(I267='Jour Férié'!F$15,'Jour Férié'!E$15,""&amp;IF(I267='Jour Férié'!F$10,'Jour Férié'!E$10,""&amp;IF(MOD(MATCH(I267,vacances!$A$3:$A$202,1),2)=1,"vacances","")))))</f>
        <v/>
      </c>
      <c r="E267" s="490"/>
      <c r="F267" s="490"/>
      <c r="G267" s="490"/>
      <c r="H267" s="624"/>
      <c r="I267" s="361">
        <f t="shared" si="60"/>
        <v>43366</v>
      </c>
      <c r="J267" s="615"/>
      <c r="K267" s="615"/>
      <c r="L267" s="615"/>
      <c r="M267" s="575"/>
      <c r="N267" s="335">
        <f>((IF(WEEKDAY(I253,2)=7,(COUNTIF(E253,"*"))))*AND(IF(WEEKDAY(I254,2)=1,(COUNTIF(E254,"*"))))*AND(COUNTBLANK(E252)))+((IF(WEEKDAY(I254,2)=7,(COUNTIF(E254,"*"))))*AND(IF(WEEKDAY(I255,2)=1,(COUNTIF(E255,"*"))))*AND(COUNTBLANK(E253)))+((IF(WEEKDAY(I255,2)=7,(COUNTIF(E255,"*"))))*AND(IF(WEEKDAY(I256,2)=1,(COUNTIF(E256,"*"))))*AND(COUNTBLANK(E254)))+((IF(WEEKDAY(I256,2)=7,(COUNTIF(E256,"*"))))*AND(IF(WEEKDAY(I257,2)=1,(COUNTIF(E257,"*"))))*AND(COUNTBLANK(E255)))+((IF(WEEKDAY(I257,2)=7,(COUNTIF(E257,"*"))))*AND(IF(WEEKDAY(I258,2)=1,(COUNTIF(E258,"*"))))*AND(COUNTBLANK(E256)))+((IF(WEEKDAY(I258,2)=7,(COUNTIF(E258,"*"))))*AND(IF(WEEKDAY(I259,2)=1,(COUNTIF(E259,"*"))))*AND(COUNTBLANK(E257)))+((IF(WEEKDAY(I259,2)=7,(COUNTIF(E259,"*"))))*AND(IF(WEEKDAY(I260,2)=1,(COUNTIF(E260,"*"))))*AND(COUNTBLANK(E258)))+((IF(WEEKDAY(I260,2)=7,(COUNTIF(E260,"*"))))*AND(IF(WEEKDAY(I261,2)=1,(COUNTIF(E261,"*"))))*AND(COUNTBLANK(E259)))+((IF(WEEKDAY(I261,2)=7,(COUNTIF(E261,"*"))))*AND(IF(WEEKDAY(I262,2)=1,(COUNTIF(E262,"*"))))*AND(COUNTBLANK(E260)))+((IF(WEEKDAY(I262,2)=7,(COUNTIF(E262,"*"))))*AND(IF(WEEKDAY(I263,2)=1,(COUNTIF(E263,"*"))))*AND(COUNTBLANK(E261)))+((IF(WEEKDAY(I263,2)=7,(COUNTIF(E263,"*"))))*AND(IF(WEEKDAY(I264,2)=1,(COUNTIF(E264,"*"))))*AND(COUNTBLANK(E261)))+((IF(WEEKDAY(I264,2)=7,(COUNTIF(E264,"*"))))*AND(IF(WEEKDAY(I265,2)=1,(COUNTIF(E265,"*"))))*AND(COUNTBLANK(E262)))+((IF(WEEKDAY(I265,2)=7,(COUNTIF(E265,"*"))))*AND(IF(WEEKDAY(I266,2)=1,(COUNTIF(E266,"*"))))*AND(COUNTBLANK(E263)))</f>
        <v>0</v>
      </c>
      <c r="O267" s="576"/>
      <c r="P267" s="328"/>
      <c r="Q267" s="304"/>
      <c r="R267" s="304"/>
      <c r="S267" s="304"/>
      <c r="T267" s="552"/>
      <c r="U267" s="552"/>
      <c r="V267" s="552"/>
      <c r="W267" s="552"/>
      <c r="X267" s="552"/>
      <c r="Y267" s="552"/>
      <c r="Z267" s="552"/>
      <c r="AA267" s="552"/>
      <c r="AB267" s="552"/>
      <c r="AC267" s="553"/>
      <c r="AD267" s="553"/>
      <c r="AE267" s="553"/>
      <c r="AF267" s="553"/>
      <c r="AG267" s="553"/>
      <c r="AH267" s="553"/>
      <c r="AI267" s="553"/>
      <c r="AJ267" s="553"/>
      <c r="AK267" s="553"/>
      <c r="AL267" s="553"/>
      <c r="AM267" s="553"/>
      <c r="AN267" s="553"/>
      <c r="AO267" s="553"/>
      <c r="AP267" s="553"/>
      <c r="AQ267" s="553"/>
      <c r="AR267" s="304"/>
      <c r="AS267" s="304"/>
      <c r="AT267" s="304"/>
      <c r="AU267" s="304"/>
      <c r="AV267" s="304"/>
      <c r="AW267" s="499" t="s">
        <v>269</v>
      </c>
      <c r="AX267" s="499"/>
      <c r="AY267" s="499"/>
      <c r="AZ267" s="499"/>
      <c r="BA267" s="499"/>
      <c r="BB267" s="499"/>
      <c r="BC267" s="499"/>
      <c r="BD267" s="499"/>
      <c r="BE267" s="499"/>
      <c r="BF267" s="499"/>
      <c r="BG267" s="499"/>
      <c r="BH267" s="499"/>
      <c r="BI267" s="596"/>
      <c r="BJ267" s="596"/>
      <c r="BK267" s="596"/>
      <c r="BL267" s="596"/>
      <c r="BM267" s="590"/>
      <c r="BN267" s="590"/>
      <c r="BO267" s="590"/>
      <c r="BP267" s="590"/>
      <c r="BQ267" s="592">
        <v>9.52</v>
      </c>
      <c r="BR267" s="592"/>
      <c r="BS267" s="592"/>
      <c r="BT267" s="592"/>
      <c r="BU267" s="595"/>
      <c r="BV267" s="595"/>
      <c r="BW267" s="595"/>
      <c r="BX267" s="592">
        <f t="shared" si="64"/>
        <v>0</v>
      </c>
      <c r="BY267" s="592"/>
      <c r="BZ267" s="592"/>
      <c r="CA267" s="593"/>
    </row>
    <row r="268" spans="1:79" ht="15" customHeight="1">
      <c r="A268" s="334">
        <v>9</v>
      </c>
      <c r="B268" s="328">
        <v>24</v>
      </c>
      <c r="C268" s="328">
        <f t="shared" si="65"/>
        <v>267</v>
      </c>
      <c r="D268" s="360" t="str">
        <f>IF(I268='Jour Férié'!F$13,'Jour Férié'!E$13,""&amp;IF(I268='Jour Férié'!F$14,'Jour Férié'!E$14,""&amp;IF(I268='Jour Férié'!F$15,'Jour Férié'!E$15,""&amp;IF(I268='Jour Férié'!F$10,'Jour Férié'!E$10,""&amp;IF(MOD(MATCH(I268,vacances!$A$3:$A$202,1),2)=1,"vacances","")))))</f>
        <v/>
      </c>
      <c r="E268" s="490"/>
      <c r="F268" s="490"/>
      <c r="G268" s="490"/>
      <c r="H268" s="624"/>
      <c r="I268" s="361">
        <f t="shared" si="60"/>
        <v>43367</v>
      </c>
      <c r="J268" s="615"/>
      <c r="K268" s="615"/>
      <c r="L268" s="335"/>
      <c r="M268" s="575"/>
      <c r="N268" s="335">
        <f>((IF(WEEKDAY(I266,2)=7,(COUNTIF(E266,"*"))))*AND(IF(WEEKDAY(I267,2)=1,(COUNTIF(E267,"*"))))*AND(COUNTBLANK(E264)))+((IF(WEEKDAY(I267,2)=7,(COUNTIF(E267,"*"))))*AND(IF(WEEKDAY(I268,2)=1,(COUNTIF(E268,"*"))))*AND(COUNTBLANK(E265)))+((IF(WEEKDAY(I268,2)=7,(COUNTIF(E268,"*"))))*AND(IF(WEEKDAY(I269,2)=1,(COUNTIF(E269,"*"))))*AND(COUNTBLANK(E265)))+((IF(WEEKDAY(I269,2)=7,(COUNTIF(E269,"*"))))*AND(IF(WEEKDAY(I270,2)=1,(COUNTIF(E270,"*"))))*AND(COUNTBLANK(E267)))+((IF(WEEKDAY(I270,2)=7,(COUNTIF(E270,"*"))))*AND(IF(WEEKDAY(I271,2)=1,(COUNTIF(E271,"*"))))*AND(COUNTBLANK(E268)))+((IF(WEEKDAY(I271,2)=7,(COUNTIF(E271,"*"))))*AND(IF(WEEKDAY(I272,2)=1,(COUNTIF(E272,"*"))))*AND(COUNTBLANK(E269)))+((IF(WEEKDAY(I272,2)=7,(COUNTIF(E272,"*"))))*AND(IF(WEEKDAY(I273,2)=1,(COUNTIF(E273,"*"))))*AND(COUNTBLANK(E270)))+((IF(WEEKDAY(I273,2)=7,(COUNTIF(E273,"*"))))*AND(IF(WEEKDAY(I274,2)=1,(COUNTIF(E274,"*"))))*AND(COUNTBLANK(E271)))+((IF(WEEKDAY(I274,2)=7,(COUNTIF(E274,"*"))))*AND(IF(WEEKDAY(I275,2)=1,(COUNTIF(E275,"*"))))*AND(COUNTBLANK(E272)))</f>
        <v>0</v>
      </c>
      <c r="O268" s="576"/>
      <c r="P268" s="328"/>
      <c r="Q268" s="307"/>
      <c r="R268" s="307"/>
      <c r="S268" s="307"/>
      <c r="T268" s="552"/>
      <c r="U268" s="552"/>
      <c r="V268" s="552"/>
      <c r="W268" s="552"/>
      <c r="X268" s="552"/>
      <c r="Y268" s="552"/>
      <c r="Z268" s="552"/>
      <c r="AA268" s="552"/>
      <c r="AB268" s="552"/>
      <c r="AC268" s="553"/>
      <c r="AD268" s="553"/>
      <c r="AE268" s="553"/>
      <c r="AF268" s="553"/>
      <c r="AG268" s="553"/>
      <c r="AH268" s="553"/>
      <c r="AI268" s="553"/>
      <c r="AJ268" s="553"/>
      <c r="AK268" s="553"/>
      <c r="AL268" s="553"/>
      <c r="AM268" s="553"/>
      <c r="AN268" s="553"/>
      <c r="AO268" s="553"/>
      <c r="AP268" s="553"/>
      <c r="AQ268" s="553"/>
      <c r="AR268" s="307"/>
      <c r="AS268" s="307"/>
      <c r="AT268" s="307"/>
      <c r="AU268" s="307"/>
      <c r="AV268" s="307"/>
      <c r="AW268" s="591"/>
      <c r="AX268" s="591"/>
      <c r="AY268" s="591"/>
      <c r="AZ268" s="591"/>
      <c r="BA268" s="591"/>
      <c r="BB268" s="591"/>
      <c r="BC268" s="591"/>
      <c r="BD268" s="591"/>
      <c r="BE268" s="591"/>
      <c r="BF268" s="591"/>
      <c r="BG268" s="591"/>
      <c r="BH268" s="591"/>
      <c r="BI268" s="590">
        <f>$Y$28</f>
        <v>0</v>
      </c>
      <c r="BJ268" s="590"/>
      <c r="BK268" s="590"/>
      <c r="BL268" s="590"/>
      <c r="BM268" s="590"/>
      <c r="BN268" s="590"/>
      <c r="BO268" s="590"/>
      <c r="BP268" s="590"/>
      <c r="BQ268" s="592">
        <f>BI268*BM268</f>
        <v>0</v>
      </c>
      <c r="BR268" s="592"/>
      <c r="BS268" s="592"/>
      <c r="BT268" s="592"/>
      <c r="BU268" s="595"/>
      <c r="BV268" s="595"/>
      <c r="BW268" s="595"/>
      <c r="BX268" s="592">
        <f t="shared" si="64"/>
        <v>0</v>
      </c>
      <c r="BY268" s="592"/>
      <c r="BZ268" s="592"/>
      <c r="CA268" s="593"/>
    </row>
    <row r="269" spans="1:79" ht="15" customHeight="1">
      <c r="A269" s="334">
        <v>9</v>
      </c>
      <c r="B269" s="328">
        <v>25</v>
      </c>
      <c r="C269" s="328">
        <f t="shared" si="65"/>
        <v>268</v>
      </c>
      <c r="D269" s="360" t="str">
        <f>IF(I269='Jour Férié'!F$13,'Jour Férié'!E$13,""&amp;IF(I269='Jour Férié'!F$14,'Jour Férié'!E$14,""&amp;IF(I269='Jour Férié'!F$15,'Jour Férié'!E$15,""&amp;IF(I269='Jour Férié'!F$10,'Jour Férié'!E$10,""&amp;IF(MOD(MATCH(I269,vacances!$A$3:$A$202,1),2)=1,"vacances","")))))</f>
        <v/>
      </c>
      <c r="E269" s="490"/>
      <c r="F269" s="490"/>
      <c r="G269" s="490"/>
      <c r="H269" s="624"/>
      <c r="I269" s="361">
        <f t="shared" si="60"/>
        <v>43368</v>
      </c>
      <c r="J269" s="336"/>
      <c r="K269" s="336"/>
      <c r="L269" s="502"/>
      <c r="M269" s="328"/>
      <c r="N269" s="328"/>
      <c r="O269" s="375"/>
      <c r="P269" s="328"/>
      <c r="Q269" s="290"/>
      <c r="R269" s="290"/>
      <c r="S269" s="290"/>
      <c r="T269" s="290"/>
      <c r="U269" s="290"/>
      <c r="V269" s="290"/>
      <c r="W269" s="290"/>
      <c r="X269" s="290"/>
      <c r="Y269" s="290"/>
      <c r="Z269" s="290"/>
      <c r="AA269" s="310"/>
      <c r="AB269" s="310"/>
      <c r="AC269" s="553"/>
      <c r="AD269" s="553"/>
      <c r="AE269" s="553"/>
      <c r="AF269" s="553"/>
      <c r="AG269" s="553"/>
      <c r="AH269" s="553"/>
      <c r="AI269" s="553"/>
      <c r="AJ269" s="553"/>
      <c r="AK269" s="553"/>
      <c r="AL269" s="553"/>
      <c r="AM269" s="553"/>
      <c r="AN269" s="553"/>
      <c r="AO269" s="553"/>
      <c r="AP269" s="553"/>
      <c r="AQ269" s="553"/>
      <c r="AR269" s="290"/>
      <c r="AS269" s="290"/>
      <c r="AT269" s="290"/>
      <c r="AU269" s="290"/>
      <c r="AV269" s="290"/>
      <c r="AW269" s="562" t="s">
        <v>270</v>
      </c>
      <c r="AX269" s="562"/>
      <c r="AY269" s="562"/>
      <c r="AZ269" s="562"/>
      <c r="BA269" s="562"/>
      <c r="BB269" s="562"/>
      <c r="BC269" s="562"/>
      <c r="BD269" s="562"/>
      <c r="BE269" s="562"/>
      <c r="BF269" s="562"/>
      <c r="BG269" s="562"/>
      <c r="BH269" s="562"/>
      <c r="BI269" s="587"/>
      <c r="BJ269" s="587"/>
      <c r="BK269" s="587"/>
      <c r="BL269" s="587"/>
      <c r="BM269" s="588">
        <f>SUM(BM248:BP268)</f>
        <v>0.32090000000000002</v>
      </c>
      <c r="BN269" s="588"/>
      <c r="BO269" s="588"/>
      <c r="BP269" s="588"/>
      <c r="BQ269" s="586">
        <f>SUM(BQ248:BT268)</f>
        <v>443.38236907487493</v>
      </c>
      <c r="BR269" s="586"/>
      <c r="BS269" s="586"/>
      <c r="BT269" s="586"/>
      <c r="BU269" s="311"/>
      <c r="BV269" s="7"/>
      <c r="BW269" s="7"/>
      <c r="BX269" s="586">
        <f>SUM(BX248:CA268)</f>
        <v>807.69346695699983</v>
      </c>
      <c r="BY269" s="586"/>
      <c r="BZ269" s="586"/>
      <c r="CA269" s="589"/>
    </row>
    <row r="270" spans="1:79" ht="15" customHeight="1">
      <c r="A270" s="334">
        <v>9</v>
      </c>
      <c r="B270" s="328">
        <v>26</v>
      </c>
      <c r="C270" s="328">
        <f t="shared" si="65"/>
        <v>269</v>
      </c>
      <c r="D270" s="360" t="str">
        <f>IF(I270='Jour Férié'!F$13,'Jour Férié'!E$13,""&amp;IF(I270='Jour Férié'!F$14,'Jour Férié'!E$14,""&amp;IF(I270='Jour Férié'!F$15,'Jour Férié'!E$15,""&amp;IF(I270='Jour Férié'!F$10,'Jour Férié'!E$10,""&amp;IF(MOD(MATCH(I270,vacances!$A$3:$A$202,1),2)=1,"vacances","")))))</f>
        <v/>
      </c>
      <c r="E270" s="490"/>
      <c r="F270" s="490"/>
      <c r="G270" s="490"/>
      <c r="H270" s="624"/>
      <c r="I270" s="361">
        <f t="shared" si="60"/>
        <v>43369</v>
      </c>
      <c r="J270" s="336"/>
      <c r="K270" s="336"/>
      <c r="L270" s="337"/>
      <c r="M270" s="380" t="s">
        <v>323</v>
      </c>
      <c r="N270" s="574">
        <f>SUM(O262:O268)</f>
        <v>0</v>
      </c>
      <c r="O270" s="574"/>
      <c r="P270" s="328"/>
      <c r="Q270" s="304"/>
      <c r="R270" s="304"/>
      <c r="S270" s="304"/>
      <c r="T270" s="304"/>
      <c r="U270" s="304"/>
      <c r="V270" s="304"/>
      <c r="W270" s="304"/>
      <c r="X270" s="304"/>
      <c r="Y270" s="304"/>
      <c r="Z270" s="304"/>
      <c r="AA270" s="305"/>
      <c r="AB270" s="305"/>
      <c r="AC270" s="553"/>
      <c r="AD270" s="553"/>
      <c r="AE270" s="553"/>
      <c r="AF270" s="553"/>
      <c r="AG270" s="553"/>
      <c r="AH270" s="553"/>
      <c r="AI270" s="553"/>
      <c r="AJ270" s="553"/>
      <c r="AK270" s="553"/>
      <c r="AL270" s="553"/>
      <c r="AM270" s="553"/>
      <c r="AN270" s="553"/>
      <c r="AO270" s="553"/>
      <c r="AP270" s="553"/>
      <c r="AQ270" s="553"/>
      <c r="AR270" s="304"/>
      <c r="AS270" s="304"/>
      <c r="AT270" s="304"/>
      <c r="AU270" s="304"/>
      <c r="AV270" s="304"/>
      <c r="AW270" s="312" t="s">
        <v>271</v>
      </c>
      <c r="AX270" s="312"/>
      <c r="AY270" s="312"/>
      <c r="AZ270" s="312"/>
      <c r="BA270" s="312"/>
      <c r="BB270" s="312"/>
      <c r="BC270" s="312"/>
      <c r="BD270" s="313"/>
      <c r="BE270" s="313"/>
      <c r="BF270" s="313"/>
      <c r="BG270" s="313"/>
      <c r="BH270" s="313"/>
      <c r="BI270" s="569">
        <f>O248</f>
        <v>0</v>
      </c>
      <c r="BJ270" s="569"/>
      <c r="BK270" s="569"/>
      <c r="BL270" s="569"/>
      <c r="BM270" s="590">
        <f>'FICHE DE PAIE'!AW$27</f>
        <v>3.5259999999999998</v>
      </c>
      <c r="BN270" s="590"/>
      <c r="BO270" s="590"/>
      <c r="BP270" s="590"/>
      <c r="BQ270" s="381">
        <f>BI270*BM270</f>
        <v>0</v>
      </c>
      <c r="BR270" s="381"/>
      <c r="BS270" s="381"/>
      <c r="BT270" s="381"/>
      <c r="BU270" s="314"/>
      <c r="BV270" s="7"/>
      <c r="BW270" s="7"/>
      <c r="BX270" s="7"/>
      <c r="BY270" s="7"/>
      <c r="BZ270" s="7"/>
      <c r="CA270" s="315"/>
    </row>
    <row r="271" spans="1:79" ht="15" customHeight="1">
      <c r="A271" s="334">
        <v>9</v>
      </c>
      <c r="B271" s="328">
        <v>27</v>
      </c>
      <c r="C271" s="328">
        <f t="shared" si="65"/>
        <v>270</v>
      </c>
      <c r="D271" s="360" t="str">
        <f>IF(I271='Jour Férié'!F$13,'Jour Férié'!E$13,""&amp;IF(I271='Jour Férié'!F$14,'Jour Férié'!E$14,""&amp;IF(I271='Jour Férié'!F$15,'Jour Férié'!E$15,""&amp;IF(I271='Jour Férié'!F$10,'Jour Férié'!E$10,""&amp;IF(MOD(MATCH(I271,vacances!$A$3:$A$202,1),2)=1,"vacances","")))))</f>
        <v>Gérald</v>
      </c>
      <c r="E271" s="490"/>
      <c r="F271" s="490"/>
      <c r="G271" s="490"/>
      <c r="H271" s="624"/>
      <c r="I271" s="361">
        <f t="shared" si="60"/>
        <v>43370</v>
      </c>
      <c r="J271" s="336"/>
      <c r="K271" s="335"/>
      <c r="L271" s="338"/>
      <c r="M271" s="328"/>
      <c r="N271" s="328"/>
      <c r="O271" s="375"/>
      <c r="P271" s="328"/>
      <c r="Q271" s="307"/>
      <c r="R271" s="307"/>
      <c r="S271" s="307"/>
      <c r="T271" s="307"/>
      <c r="U271" s="307"/>
      <c r="V271" s="307"/>
      <c r="W271" s="307"/>
      <c r="X271" s="307"/>
      <c r="Y271" s="307"/>
      <c r="Z271" s="307"/>
      <c r="AA271" s="308"/>
      <c r="AB271" s="308"/>
      <c r="AC271" s="553"/>
      <c r="AD271" s="553"/>
      <c r="AE271" s="553"/>
      <c r="AF271" s="553"/>
      <c r="AG271" s="553"/>
      <c r="AH271" s="553"/>
      <c r="AI271" s="553"/>
      <c r="AJ271" s="553"/>
      <c r="AK271" s="553"/>
      <c r="AL271" s="553"/>
      <c r="AM271" s="553"/>
      <c r="AN271" s="553"/>
      <c r="AO271" s="553"/>
      <c r="AP271" s="553"/>
      <c r="AQ271" s="553"/>
      <c r="AR271" s="307"/>
      <c r="AS271" s="307"/>
      <c r="AT271" s="307"/>
      <c r="AU271" s="307"/>
      <c r="AV271" s="307"/>
      <c r="AW271" s="550">
        <f>Q245</f>
        <v>43344</v>
      </c>
      <c r="AX271" s="550"/>
      <c r="AY271" s="550"/>
      <c r="AZ271" s="550"/>
      <c r="BA271" s="550"/>
      <c r="BB271" s="550"/>
      <c r="BC271" s="550"/>
      <c r="BD271" s="550"/>
      <c r="BE271" s="550"/>
      <c r="BF271" s="550"/>
      <c r="BG271" s="550"/>
      <c r="BH271" s="550"/>
      <c r="BI271" s="550"/>
      <c r="BJ271" s="550"/>
      <c r="BK271" s="550"/>
      <c r="BL271" s="550"/>
      <c r="BM271" s="550"/>
      <c r="BN271" s="550"/>
      <c r="BO271" s="550"/>
      <c r="BP271" s="550"/>
      <c r="BQ271" s="550"/>
      <c r="BR271" s="550"/>
      <c r="BS271" s="550"/>
      <c r="BT271" s="550"/>
      <c r="BU271" s="550"/>
      <c r="BV271" s="550"/>
      <c r="BW271" s="550"/>
      <c r="BX271" s="550"/>
      <c r="BY271" s="550"/>
      <c r="BZ271" s="550"/>
      <c r="CA271" s="551"/>
    </row>
    <row r="272" spans="1:79" ht="15" customHeight="1">
      <c r="A272" s="334">
        <v>9</v>
      </c>
      <c r="B272" s="328">
        <v>28</v>
      </c>
      <c r="C272" s="328">
        <f t="shared" ref="C272:C287" si="66">VLOOKUP(A272,Données,4)+B272-1</f>
        <v>271</v>
      </c>
      <c r="D272" s="360" t="str">
        <f>IF(I272='Jour Férié'!F$13,'Jour Férié'!E$13,""&amp;IF(I272='Jour Férié'!F$14,'Jour Férié'!E$14,""&amp;IF(I272='Jour Férié'!F$15,'Jour Férié'!E$15,""&amp;IF(I272='Jour Férié'!F$10,'Jour Férié'!E$10,""&amp;IF(MOD(MATCH(I272,vacances!$A$3:$A$202,1),2)=1,"vacances","")))))</f>
        <v/>
      </c>
      <c r="E272" s="490"/>
      <c r="F272" s="490"/>
      <c r="G272" s="490"/>
      <c r="H272" s="624"/>
      <c r="I272" s="361">
        <f t="shared" si="60"/>
        <v>43371</v>
      </c>
      <c r="J272" s="336"/>
      <c r="K272" s="335"/>
      <c r="L272" s="338"/>
      <c r="M272" s="328"/>
      <c r="N272" s="328"/>
      <c r="O272" s="375"/>
      <c r="P272" s="328"/>
      <c r="Q272" s="290"/>
      <c r="R272" s="290"/>
      <c r="S272" s="290"/>
      <c r="T272" s="290"/>
      <c r="U272" s="290"/>
      <c r="V272" s="290"/>
      <c r="W272" s="290"/>
      <c r="X272" s="290"/>
      <c r="Y272" s="290"/>
      <c r="Z272" s="290"/>
      <c r="AA272" s="310"/>
      <c r="AB272" s="310"/>
      <c r="AC272" s="553"/>
      <c r="AD272" s="553"/>
      <c r="AE272" s="553"/>
      <c r="AF272" s="553"/>
      <c r="AG272" s="553"/>
      <c r="AH272" s="553"/>
      <c r="AI272" s="553"/>
      <c r="AJ272" s="553"/>
      <c r="AK272" s="553"/>
      <c r="AL272" s="553"/>
      <c r="AM272" s="553"/>
      <c r="AN272" s="553"/>
      <c r="AO272" s="553"/>
      <c r="AP272" s="553"/>
      <c r="AQ272" s="553"/>
      <c r="AR272" s="290"/>
      <c r="AS272" s="290"/>
      <c r="AT272" s="290"/>
      <c r="AU272" s="290"/>
      <c r="AV272" s="290"/>
      <c r="AW272" s="313"/>
      <c r="AX272" s="313"/>
      <c r="AY272" s="313"/>
      <c r="AZ272" s="313"/>
      <c r="BA272" s="313"/>
      <c r="BB272" s="313"/>
      <c r="BC272" s="313"/>
      <c r="BD272" s="313"/>
      <c r="BE272" s="313"/>
      <c r="BF272" s="313"/>
      <c r="BG272" s="313"/>
      <c r="BH272" s="313"/>
      <c r="BI272" s="313"/>
      <c r="BJ272" s="313"/>
      <c r="BK272" s="313"/>
      <c r="BL272" s="316"/>
      <c r="BM272" s="316"/>
      <c r="BN272" s="587" t="s">
        <v>272</v>
      </c>
      <c r="BO272" s="587"/>
      <c r="BP272" s="587"/>
      <c r="BQ272" s="587"/>
      <c r="BR272" s="587"/>
      <c r="BS272" s="587"/>
      <c r="BT272" s="587"/>
      <c r="BU272" s="587"/>
      <c r="BV272" s="597">
        <f>AG261-BQ269+BQ270</f>
        <v>1407.7499809251249</v>
      </c>
      <c r="BW272" s="597"/>
      <c r="BX272" s="597"/>
      <c r="BY272" s="597"/>
      <c r="BZ272" s="597"/>
      <c r="CA272" s="598"/>
    </row>
    <row r="273" spans="1:79" ht="15" customHeight="1">
      <c r="A273" s="334">
        <v>9</v>
      </c>
      <c r="B273" s="328">
        <v>29</v>
      </c>
      <c r="C273" s="328">
        <f t="shared" si="66"/>
        <v>272</v>
      </c>
      <c r="D273" s="360" t="str">
        <f>IF(I273='Jour Férié'!F$13,'Jour Férié'!E$13,""&amp;IF(I273='Jour Férié'!F$14,'Jour Férié'!E$14,""&amp;IF(I273='Jour Férié'!F$15,'Jour Férié'!E$15,""&amp;IF(I273='Jour Férié'!F$10,'Jour Férié'!E$10,""&amp;IF(MOD(MATCH(I273,vacances!$A$3:$A$202,1),2)=1,"vacances","")))))</f>
        <v/>
      </c>
      <c r="E273" s="490"/>
      <c r="F273" s="490"/>
      <c r="G273" s="490"/>
      <c r="H273" s="624"/>
      <c r="I273" s="361">
        <f t="shared" si="60"/>
        <v>43372</v>
      </c>
      <c r="J273" s="336"/>
      <c r="K273" s="335"/>
      <c r="L273" s="338"/>
      <c r="M273" s="328"/>
      <c r="N273" s="328"/>
      <c r="O273" s="375"/>
      <c r="P273" s="328"/>
      <c r="Q273" s="304"/>
      <c r="R273" s="304"/>
      <c r="S273" s="304"/>
      <c r="T273" s="304"/>
      <c r="U273" s="304"/>
      <c r="V273" s="304"/>
      <c r="W273" s="304"/>
      <c r="X273" s="304"/>
      <c r="Y273" s="304"/>
      <c r="Z273" s="304"/>
      <c r="AA273" s="305"/>
      <c r="AB273" s="305"/>
      <c r="AC273" s="553"/>
      <c r="AD273" s="553"/>
      <c r="AE273" s="553"/>
      <c r="AF273" s="553"/>
      <c r="AG273" s="553"/>
      <c r="AH273" s="553"/>
      <c r="AI273" s="553"/>
      <c r="AJ273" s="553"/>
      <c r="AK273" s="553"/>
      <c r="AL273" s="553"/>
      <c r="AM273" s="553"/>
      <c r="AN273" s="553"/>
      <c r="AO273" s="553"/>
      <c r="AP273" s="553"/>
      <c r="AQ273" s="553"/>
      <c r="AR273" s="304"/>
      <c r="AS273" s="304"/>
      <c r="AT273" s="304"/>
      <c r="AU273" s="304"/>
      <c r="AV273" s="304"/>
      <c r="AW273" s="317"/>
      <c r="AX273" s="317"/>
      <c r="AY273" s="317"/>
      <c r="AZ273" s="317"/>
      <c r="BA273" s="317"/>
      <c r="BB273" s="317"/>
      <c r="BC273" s="317"/>
      <c r="BD273" s="317"/>
      <c r="BE273" s="317"/>
      <c r="BF273" s="317"/>
      <c r="BG273" s="317"/>
      <c r="BH273" s="317"/>
      <c r="BI273" s="317"/>
      <c r="BJ273" s="317"/>
      <c r="BK273" s="317"/>
      <c r="BL273" s="585" t="s">
        <v>273</v>
      </c>
      <c r="BM273" s="585"/>
      <c r="BN273" s="585"/>
      <c r="BO273" s="585"/>
      <c r="BP273" s="585"/>
      <c r="BQ273" s="585"/>
      <c r="BR273" s="585"/>
      <c r="BS273" s="585"/>
      <c r="BT273" s="585"/>
      <c r="BU273" s="586">
        <f>BV272-BQ269+BQ270</f>
        <v>964.36761185024989</v>
      </c>
      <c r="BV273" s="586"/>
      <c r="BW273" s="586"/>
      <c r="BX273" s="586"/>
      <c r="BY273" s="586"/>
      <c r="BZ273" s="586"/>
      <c r="CA273" s="341"/>
    </row>
    <row r="274" spans="1:79" ht="15" customHeight="1" thickBot="1">
      <c r="A274" s="420">
        <v>9</v>
      </c>
      <c r="B274" s="329">
        <v>30</v>
      </c>
      <c r="C274" s="329">
        <f t="shared" si="66"/>
        <v>273</v>
      </c>
      <c r="D274" s="421" t="str">
        <f>IF(I274='Jour Férié'!F$13,'Jour Férié'!E$13,""&amp;IF(I274='Jour Férié'!F$14,'Jour Férié'!E$14,""&amp;IF(I274='Jour Férié'!F$15,'Jour Férié'!E$15,""&amp;IF(I274='Jour Férié'!F$10,'Jour Férié'!E$10,""&amp;IF(MOD(MATCH(I274,vacances!$A$3:$A$202,1),2)=1,"vacances","")))))</f>
        <v/>
      </c>
      <c r="E274" s="491"/>
      <c r="F274" s="491"/>
      <c r="G274" s="491"/>
      <c r="H274" s="625"/>
      <c r="I274" s="422">
        <f t="shared" si="60"/>
        <v>43373</v>
      </c>
      <c r="J274" s="329"/>
      <c r="K274" s="329"/>
      <c r="L274" s="329"/>
      <c r="M274" s="329"/>
      <c r="N274" s="329"/>
      <c r="O274" s="423"/>
      <c r="P274" s="329"/>
      <c r="Q274" s="345"/>
      <c r="R274" s="345"/>
      <c r="S274" s="345"/>
      <c r="T274" s="345"/>
      <c r="U274" s="345"/>
      <c r="V274" s="345"/>
      <c r="W274" s="345"/>
      <c r="X274" s="345"/>
      <c r="Y274" s="345"/>
      <c r="Z274" s="345"/>
      <c r="AA274" s="346"/>
      <c r="AB274" s="346"/>
      <c r="AC274" s="346"/>
      <c r="AD274" s="352"/>
      <c r="AE274" s="352"/>
      <c r="AF274" s="352"/>
      <c r="AG274" s="345"/>
      <c r="AH274" s="345"/>
      <c r="AI274" s="345"/>
      <c r="AJ274" s="345"/>
      <c r="AK274" s="345"/>
      <c r="AL274" s="345"/>
      <c r="AM274" s="345"/>
      <c r="AN274" s="345"/>
      <c r="AO274" s="345"/>
      <c r="AP274" s="345"/>
      <c r="AQ274" s="345"/>
      <c r="AR274" s="345"/>
      <c r="AS274" s="345"/>
      <c r="AT274" s="345"/>
      <c r="AU274" s="345"/>
      <c r="AV274" s="345"/>
      <c r="AW274" s="345"/>
      <c r="AX274" s="345"/>
      <c r="AY274" s="345"/>
      <c r="AZ274" s="345"/>
      <c r="BA274" s="345"/>
      <c r="BB274" s="345"/>
      <c r="BC274" s="345"/>
      <c r="BD274" s="345"/>
      <c r="BE274" s="345"/>
      <c r="BF274" s="345"/>
      <c r="BG274" s="345"/>
      <c r="BH274" s="345"/>
      <c r="BI274" s="345"/>
      <c r="BJ274" s="345"/>
      <c r="BK274" s="345"/>
      <c r="BL274" s="345"/>
      <c r="BM274" s="345"/>
      <c r="BN274" s="345"/>
      <c r="BO274" s="345"/>
      <c r="BP274" s="345"/>
      <c r="BQ274" s="345"/>
      <c r="BR274" s="345"/>
      <c r="BS274" s="345"/>
      <c r="BT274" s="345"/>
      <c r="BU274" s="345"/>
      <c r="BV274" s="345"/>
      <c r="BW274" s="345"/>
      <c r="BX274" s="345"/>
      <c r="BY274" s="345"/>
      <c r="BZ274" s="345"/>
      <c r="CA274" s="353"/>
    </row>
    <row r="275" spans="1:79" ht="15" customHeight="1">
      <c r="A275" s="519">
        <v>10</v>
      </c>
      <c r="B275" s="520">
        <v>1</v>
      </c>
      <c r="C275" s="520">
        <f t="shared" si="66"/>
        <v>274</v>
      </c>
      <c r="D275" s="521" t="str">
        <f>IF(I275='Jour Férié'!F$11,'Jour Férié'!E$11,""&amp;IF(I275='Jour Férié'!F$12,'Jour Férié'!E$12,""&amp;IF(I275='Jour Férié'!F$13,'Jour Férié'!E$13,""&amp;IF(I275='Jour Férié'!F$14,'Jour Férié'!E$14,""&amp;IF(I275='Jour Férié'!F$15,'Jour Férié'!E$15,""&amp;IF(MOD(MATCH(I275,vacances!$A$3:$A$202,1),2)=1,"vacances",""))))))</f>
        <v/>
      </c>
      <c r="E275" s="449"/>
      <c r="F275" s="449"/>
      <c r="G275" s="449"/>
      <c r="H275" s="620" t="s">
        <v>60</v>
      </c>
      <c r="I275" s="522">
        <f>DATE(annee,10,1)</f>
        <v>43374</v>
      </c>
      <c r="J275" s="523" t="s">
        <v>201</v>
      </c>
      <c r="K275" s="524" t="s">
        <v>202</v>
      </c>
      <c r="L275" s="292"/>
      <c r="M275" s="525" t="s">
        <v>203</v>
      </c>
      <c r="N275" s="525"/>
      <c r="O275" s="526">
        <f>(COUNTIF($E275:$E305,$J275))</f>
        <v>8</v>
      </c>
      <c r="P275" s="527"/>
      <c r="Q275" s="560">
        <f>DATE(annee,10,1)</f>
        <v>43374</v>
      </c>
      <c r="R275" s="560"/>
      <c r="S275" s="560"/>
      <c r="T275" s="560"/>
      <c r="U275" s="560"/>
      <c r="V275" s="560"/>
      <c r="W275" s="560"/>
      <c r="X275" s="560"/>
      <c r="Y275" s="560"/>
      <c r="Z275" s="560"/>
      <c r="AA275" s="560"/>
      <c r="AB275" s="560"/>
      <c r="AC275" s="560"/>
      <c r="AD275" s="560"/>
      <c r="AE275" s="560"/>
      <c r="AF275" s="560"/>
      <c r="AG275" s="560"/>
      <c r="AH275" s="560"/>
      <c r="AI275" s="560"/>
      <c r="AJ275" s="560"/>
      <c r="AK275" s="560"/>
      <c r="AL275" s="560"/>
      <c r="AM275" s="560"/>
      <c r="AN275" s="560"/>
      <c r="AO275" s="560"/>
      <c r="AP275" s="560"/>
      <c r="AQ275" s="560"/>
      <c r="AR275" s="560"/>
      <c r="AS275" s="560"/>
      <c r="AT275" s="560"/>
      <c r="AU275" s="560"/>
      <c r="AV275" s="292"/>
      <c r="AW275" s="560">
        <f>Q275</f>
        <v>43374</v>
      </c>
      <c r="AX275" s="560"/>
      <c r="AY275" s="560"/>
      <c r="AZ275" s="560"/>
      <c r="BA275" s="560"/>
      <c r="BB275" s="560"/>
      <c r="BC275" s="560"/>
      <c r="BD275" s="560"/>
      <c r="BE275" s="560"/>
      <c r="BF275" s="560"/>
      <c r="BG275" s="560"/>
      <c r="BH275" s="560"/>
      <c r="BI275" s="560"/>
      <c r="BJ275" s="560"/>
      <c r="BK275" s="560"/>
      <c r="BL275" s="560"/>
      <c r="BM275" s="560"/>
      <c r="BN275" s="560"/>
      <c r="BO275" s="560"/>
      <c r="BP275" s="560"/>
      <c r="BQ275" s="560"/>
      <c r="BR275" s="560"/>
      <c r="BS275" s="560"/>
      <c r="BT275" s="560"/>
      <c r="BU275" s="560"/>
      <c r="BV275" s="560"/>
      <c r="BW275" s="560"/>
      <c r="BX275" s="560"/>
      <c r="BY275" s="560"/>
      <c r="BZ275" s="560"/>
      <c r="CA275" s="607"/>
    </row>
    <row r="276" spans="1:79" ht="15" customHeight="1">
      <c r="A276" s="424">
        <v>10</v>
      </c>
      <c r="B276" s="382">
        <v>2</v>
      </c>
      <c r="C276" s="382">
        <f t="shared" si="66"/>
        <v>275</v>
      </c>
      <c r="D276" s="383" t="str">
        <f>IF(I276='Jour Férié'!F$11,'Jour Férié'!E$11,""&amp;IF(I276='Jour Férié'!F$12,'Jour Férié'!E$12,""&amp;IF(I276='Jour Férié'!F$13,'Jour Férié'!E$13,""&amp;IF(I276='Jour Férié'!F$14,'Jour Férié'!E$14,""&amp;IF(I276='Jour Férié'!F$15,'Jour Férié'!E$15,""&amp;IF(MOD(MATCH(I276,vacances!$A$3:$A$202,1),2)=1,"vacances",""))))))</f>
        <v/>
      </c>
      <c r="E276" s="449"/>
      <c r="F276" s="449"/>
      <c r="G276" s="449"/>
      <c r="H276" s="621"/>
      <c r="I276" s="339">
        <f t="shared" ref="I276:I305" si="67">DATE(annee,10,1)+B275</f>
        <v>43375</v>
      </c>
      <c r="J276" s="384" t="s">
        <v>204</v>
      </c>
      <c r="K276" s="385" t="s">
        <v>205</v>
      </c>
      <c r="L276" s="290"/>
      <c r="M276" s="291" t="s">
        <v>206</v>
      </c>
      <c r="N276" s="291"/>
      <c r="O276" s="386">
        <f>(COUNTIF($E275:$E305,$J276))</f>
        <v>5</v>
      </c>
      <c r="P276" s="316"/>
      <c r="Q276" s="365"/>
      <c r="R276" s="365"/>
      <c r="S276" s="365"/>
      <c r="T276" s="365"/>
      <c r="U276" s="365"/>
      <c r="V276" s="365"/>
      <c r="W276" s="365"/>
      <c r="X276" s="365"/>
      <c r="Y276" s="365"/>
      <c r="Z276" s="365"/>
      <c r="AA276" s="366"/>
      <c r="AB276" s="366"/>
      <c r="AC276" s="366"/>
      <c r="AD276" s="367"/>
      <c r="AE276" s="367"/>
      <c r="AF276" s="367"/>
      <c r="AG276" s="365"/>
      <c r="AH276" s="365"/>
      <c r="AI276" s="365"/>
      <c r="AJ276" s="365"/>
      <c r="AK276" s="365"/>
      <c r="AL276" s="365"/>
      <c r="AM276" s="365"/>
      <c r="AN276" s="365"/>
      <c r="AO276" s="365"/>
      <c r="AP276" s="368"/>
      <c r="AQ276" s="368"/>
      <c r="AR276" s="368"/>
      <c r="AS276" s="368"/>
      <c r="AT276" s="368"/>
      <c r="AU276" s="368"/>
      <c r="AV276" s="290"/>
      <c r="AW276" s="608" t="s">
        <v>229</v>
      </c>
      <c r="AX276" s="608"/>
      <c r="AY276" s="608"/>
      <c r="AZ276" s="608"/>
      <c r="BA276" s="608"/>
      <c r="BB276" s="608"/>
      <c r="BC276" s="608"/>
      <c r="BD276" s="608"/>
      <c r="BE276" s="608"/>
      <c r="BF276" s="608"/>
      <c r="BG276" s="608"/>
      <c r="BH276" s="608"/>
      <c r="BI276" s="293"/>
      <c r="BJ276" s="293"/>
      <c r="BK276" s="293"/>
      <c r="BL276" s="585" t="s">
        <v>230</v>
      </c>
      <c r="BM276" s="585"/>
      <c r="BN276" s="585"/>
      <c r="BO276" s="585"/>
      <c r="BP276" s="585"/>
      <c r="BQ276" s="585"/>
      <c r="BR276" s="585"/>
      <c r="BS276" s="585"/>
      <c r="BT276" s="585"/>
      <c r="BU276" s="585" t="s">
        <v>231</v>
      </c>
      <c r="BV276" s="585"/>
      <c r="BW276" s="585"/>
      <c r="BX276" s="585"/>
      <c r="BY276" s="585"/>
      <c r="BZ276" s="585"/>
      <c r="CA276" s="609"/>
    </row>
    <row r="277" spans="1:79" ht="15" customHeight="1">
      <c r="A277" s="424">
        <v>10</v>
      </c>
      <c r="B277" s="382">
        <v>3</v>
      </c>
      <c r="C277" s="382">
        <f t="shared" si="66"/>
        <v>276</v>
      </c>
      <c r="D277" s="383" t="str">
        <f>IF(I277='Jour Férié'!F$11,'Jour Férié'!E$11,""&amp;IF(I277='Jour Férié'!F$12,'Jour Férié'!E$12,""&amp;IF(I277='Jour Férié'!F$13,'Jour Férié'!E$13,""&amp;IF(I277='Jour Férié'!F$14,'Jour Férié'!E$14,""&amp;IF(I277='Jour Férié'!F$15,'Jour Férié'!E$15,""&amp;IF(MOD(MATCH(I277,vacances!$A$3:$A$202,1),2)=1,"vacances",""))))))</f>
        <v/>
      </c>
      <c r="E277" s="449"/>
      <c r="F277" s="449"/>
      <c r="G277" s="449"/>
      <c r="H277" s="621"/>
      <c r="I277" s="339">
        <f t="shared" si="67"/>
        <v>43376</v>
      </c>
      <c r="J277" s="610" t="s">
        <v>207</v>
      </c>
      <c r="K277" s="610"/>
      <c r="L277" s="290"/>
      <c r="M277" s="291" t="s">
        <v>208</v>
      </c>
      <c r="N277" s="291"/>
      <c r="O277" s="386">
        <f>(COUNTIF($E275:$E305,$J277))</f>
        <v>0</v>
      </c>
      <c r="P277" s="316"/>
      <c r="Q277" s="555" t="str">
        <f>'FICHE DE PAIE'!A$4</f>
        <v>Salaire de base</v>
      </c>
      <c r="R277" s="555"/>
      <c r="S277" s="555"/>
      <c r="T277" s="555"/>
      <c r="U277" s="555"/>
      <c r="V277" s="555"/>
      <c r="W277" s="555"/>
      <c r="X277" s="555"/>
      <c r="Y277" s="555"/>
      <c r="Z277" s="494"/>
      <c r="AA277" s="556">
        <f>'FICHE DE PAIE'!$K$4</f>
        <v>151.66999999999999</v>
      </c>
      <c r="AB277" s="556"/>
      <c r="AC277" s="556"/>
      <c r="AD277" s="558">
        <f>'FICHE DE PAIE'!N$4</f>
        <v>12.074</v>
      </c>
      <c r="AE277" s="558"/>
      <c r="AF277" s="558"/>
      <c r="AG277" s="559">
        <f t="shared" ref="AG277:AG282" si="68">AA277*AD277</f>
        <v>1831.2635799999998</v>
      </c>
      <c r="AH277" s="559"/>
      <c r="AI277" s="559"/>
      <c r="AJ277" s="559"/>
      <c r="AK277" s="567" t="s">
        <v>233</v>
      </c>
      <c r="AL277" s="567"/>
      <c r="AM277" s="567"/>
      <c r="AN277" s="567"/>
      <c r="AO277" s="568">
        <v>2946</v>
      </c>
      <c r="AP277" s="568"/>
      <c r="AQ277" s="568"/>
      <c r="AR277" s="500"/>
      <c r="AS277" s="500"/>
      <c r="AT277" s="500"/>
      <c r="AU277" s="297"/>
      <c r="AV277" s="290"/>
      <c r="AW277" s="608"/>
      <c r="AX277" s="608"/>
      <c r="AY277" s="608"/>
      <c r="AZ277" s="608"/>
      <c r="BA277" s="608"/>
      <c r="BB277" s="608"/>
      <c r="BC277" s="608"/>
      <c r="BD277" s="608"/>
      <c r="BE277" s="608"/>
      <c r="BF277" s="608"/>
      <c r="BG277" s="608"/>
      <c r="BH277" s="608"/>
      <c r="BI277" s="611" t="s">
        <v>234</v>
      </c>
      <c r="BJ277" s="611"/>
      <c r="BK277" s="611"/>
      <c r="BL277" s="611"/>
      <c r="BM277" s="611" t="s">
        <v>235</v>
      </c>
      <c r="BN277" s="611"/>
      <c r="BO277" s="611"/>
      <c r="BP277" s="611"/>
      <c r="BQ277" s="611" t="s">
        <v>236</v>
      </c>
      <c r="BR277" s="611"/>
      <c r="BS277" s="611"/>
      <c r="BT277" s="611"/>
      <c r="BU277" s="611" t="s">
        <v>235</v>
      </c>
      <c r="BV277" s="611"/>
      <c r="BW277" s="611"/>
      <c r="BX277" s="611" t="s">
        <v>236</v>
      </c>
      <c r="BY277" s="611"/>
      <c r="BZ277" s="611"/>
      <c r="CA277" s="612"/>
    </row>
    <row r="278" spans="1:79" ht="15" customHeight="1">
      <c r="A278" s="424">
        <v>10</v>
      </c>
      <c r="B278" s="382">
        <v>4</v>
      </c>
      <c r="C278" s="382">
        <f t="shared" si="66"/>
        <v>277</v>
      </c>
      <c r="D278" s="383" t="str">
        <f>IF(I278='Jour Férié'!F$11,'Jour Férié'!E$11,""&amp;IF(I278='Jour Férié'!F$12,'Jour Férié'!E$12,""&amp;IF(I278='Jour Férié'!F$13,'Jour Férié'!E$13,""&amp;IF(I278='Jour Férié'!F$14,'Jour Férié'!E$14,""&amp;IF(I278='Jour Férié'!F$15,'Jour Férié'!E$15,""&amp;IF(MOD(MATCH(I278,vacances!$A$3:$A$202,1),2)=1,"vacances",""))))))</f>
        <v/>
      </c>
      <c r="E278" s="449"/>
      <c r="F278" s="449" t="s">
        <v>369</v>
      </c>
      <c r="G278" s="449"/>
      <c r="H278" s="621"/>
      <c r="I278" s="339">
        <f t="shared" si="67"/>
        <v>43377</v>
      </c>
      <c r="J278" s="387"/>
      <c r="K278" s="388" t="s">
        <v>209</v>
      </c>
      <c r="L278" s="290"/>
      <c r="M278" s="291" t="s">
        <v>210</v>
      </c>
      <c r="N278" s="291"/>
      <c r="O278" s="386">
        <f>SUM(O275:O277)</f>
        <v>13</v>
      </c>
      <c r="P278" s="316"/>
      <c r="Q278" s="555" t="str">
        <f>'FICHE DE PAIE'!A$5</f>
        <v>HS à 25%</v>
      </c>
      <c r="R278" s="555"/>
      <c r="S278" s="555"/>
      <c r="T278" s="555"/>
      <c r="U278" s="555"/>
      <c r="V278" s="555"/>
      <c r="W278" s="555"/>
      <c r="X278" s="555"/>
      <c r="Y278" s="555"/>
      <c r="Z278" s="494"/>
      <c r="AA278" s="561"/>
      <c r="AB278" s="561"/>
      <c r="AC278" s="561"/>
      <c r="AD278" s="558">
        <f>'FICHE DE PAIE'!N$5</f>
        <v>15.092499999999999</v>
      </c>
      <c r="AE278" s="558"/>
      <c r="AF278" s="558"/>
      <c r="AG278" s="559">
        <f t="shared" si="68"/>
        <v>0</v>
      </c>
      <c r="AH278" s="559"/>
      <c r="AI278" s="559"/>
      <c r="AJ278" s="559"/>
      <c r="AK278" s="294"/>
      <c r="AL278" s="294"/>
      <c r="AM278" s="294"/>
      <c r="AN278" s="295"/>
      <c r="AO278" s="295"/>
      <c r="AP278" s="295"/>
      <c r="AQ278" s="295"/>
      <c r="AR278" s="295"/>
      <c r="AS278" s="295"/>
      <c r="AT278" s="295"/>
      <c r="AU278" s="295"/>
      <c r="AV278" s="290"/>
      <c r="AW278" s="591" t="s">
        <v>238</v>
      </c>
      <c r="AX278" s="591"/>
      <c r="AY278" s="591"/>
      <c r="AZ278" s="591"/>
      <c r="BA278" s="591"/>
      <c r="BB278" s="591"/>
      <c r="BC278" s="591"/>
      <c r="BD278" s="591"/>
      <c r="BE278" s="591"/>
      <c r="BF278" s="591"/>
      <c r="BG278" s="591"/>
      <c r="BH278" s="591"/>
      <c r="BI278" s="590">
        <f>$AG$17</f>
        <v>1952.5539499999998</v>
      </c>
      <c r="BJ278" s="590"/>
      <c r="BK278" s="590"/>
      <c r="BL278" s="590"/>
      <c r="BM278" s="594">
        <f>'FICHE DE PAIE'!AW$5</f>
        <v>4.0000000000000001E-3</v>
      </c>
      <c r="BN278" s="594"/>
      <c r="BO278" s="594"/>
      <c r="BP278" s="594"/>
      <c r="BQ278" s="592">
        <f>BI278*BM278</f>
        <v>7.810215799999999</v>
      </c>
      <c r="BR278" s="592"/>
      <c r="BS278" s="592"/>
      <c r="BT278" s="592"/>
      <c r="BU278" s="594">
        <f>'FICHE DE PAIE'!BE$5</f>
        <v>0.152</v>
      </c>
      <c r="BV278" s="594"/>
      <c r="BW278" s="594"/>
      <c r="BX278" s="592">
        <f>BI278*BU278</f>
        <v>296.78820039999994</v>
      </c>
      <c r="BY278" s="592"/>
      <c r="BZ278" s="592"/>
      <c r="CA278" s="593"/>
    </row>
    <row r="279" spans="1:79" ht="15" customHeight="1">
      <c r="A279" s="424">
        <v>10</v>
      </c>
      <c r="B279" s="382">
        <v>5</v>
      </c>
      <c r="C279" s="382">
        <f t="shared" si="66"/>
        <v>278</v>
      </c>
      <c r="D279" s="383" t="str">
        <f>IF(I279='Jour Férié'!F$11,'Jour Férié'!E$11,""&amp;IF(I279='Jour Férié'!F$12,'Jour Férié'!E$12,""&amp;IF(I279='Jour Férié'!F$13,'Jour Férié'!E$13,""&amp;IF(I279='Jour Férié'!F$14,'Jour Férié'!E$14,""&amp;IF(I279='Jour Férié'!F$15,'Jour Férié'!E$15,""&amp;IF(MOD(MATCH(I279,vacances!$A$3:$A$202,1),2)=1,"vacances",""))))))</f>
        <v/>
      </c>
      <c r="E279" s="449" t="s">
        <v>370</v>
      </c>
      <c r="F279" s="449"/>
      <c r="G279" s="449"/>
      <c r="H279" s="621"/>
      <c r="I279" s="339">
        <f t="shared" si="67"/>
        <v>43378</v>
      </c>
      <c r="J279" s="7"/>
      <c r="K279" s="7"/>
      <c r="L279" s="290"/>
      <c r="M279" s="291" t="s">
        <v>211</v>
      </c>
      <c r="N279" s="291"/>
      <c r="O279" s="386">
        <f ca="1">(COUNTIF(I275:I283,dimanche(COUNTIF($E275:$E305,$J276))))</f>
        <v>0</v>
      </c>
      <c r="P279" s="316"/>
      <c r="Q279" s="555" t="str">
        <f>'FICHE DE PAIE'!A$6</f>
        <v>HS à 50%</v>
      </c>
      <c r="R279" s="555"/>
      <c r="S279" s="555"/>
      <c r="T279" s="555"/>
      <c r="U279" s="555"/>
      <c r="V279" s="555"/>
      <c r="W279" s="555"/>
      <c r="X279" s="555"/>
      <c r="Y279" s="555"/>
      <c r="Z279" s="494"/>
      <c r="AA279" s="561"/>
      <c r="AB279" s="561"/>
      <c r="AC279" s="561"/>
      <c r="AD279" s="558">
        <f>'FICHE DE PAIE'!N$6</f>
        <v>18.111000000000001</v>
      </c>
      <c r="AE279" s="558"/>
      <c r="AF279" s="558"/>
      <c r="AG279" s="559">
        <f t="shared" si="68"/>
        <v>0</v>
      </c>
      <c r="AH279" s="559"/>
      <c r="AI279" s="559"/>
      <c r="AJ279" s="559"/>
      <c r="AK279" s="294"/>
      <c r="AL279" s="294"/>
      <c r="AM279" s="294"/>
      <c r="AN279" s="295"/>
      <c r="AO279" s="295"/>
      <c r="AP279" s="295"/>
      <c r="AQ279" s="295"/>
      <c r="AR279" s="295"/>
      <c r="AS279" s="295"/>
      <c r="AT279" s="295"/>
      <c r="AU279" s="295"/>
      <c r="AV279" s="290"/>
      <c r="AW279" s="591" t="s">
        <v>240</v>
      </c>
      <c r="AX279" s="591"/>
      <c r="AY279" s="591"/>
      <c r="AZ279" s="591"/>
      <c r="BA279" s="591"/>
      <c r="BB279" s="591"/>
      <c r="BC279" s="591"/>
      <c r="BD279" s="591"/>
      <c r="BE279" s="591"/>
      <c r="BF279" s="591"/>
      <c r="BG279" s="591"/>
      <c r="BH279" s="591"/>
      <c r="BI279" s="590">
        <f t="shared" ref="BI279:BI290" si="69">$AG$17</f>
        <v>1952.5539499999998</v>
      </c>
      <c r="BJ279" s="590"/>
      <c r="BK279" s="590"/>
      <c r="BL279" s="590"/>
      <c r="BM279" s="594">
        <f>'FICHE DE PAIE'!AW$6</f>
        <v>6.9000000000000006E-2</v>
      </c>
      <c r="BN279" s="594"/>
      <c r="BO279" s="594"/>
      <c r="BP279" s="594"/>
      <c r="BQ279" s="592">
        <f t="shared" ref="BQ279:BQ296" si="70">BI279*BM279</f>
        <v>134.72622254999999</v>
      </c>
      <c r="BR279" s="592"/>
      <c r="BS279" s="592"/>
      <c r="BT279" s="592"/>
      <c r="BU279" s="594">
        <f>'FICHE DE PAIE'!BE$6</f>
        <v>8.5500000000000007E-2</v>
      </c>
      <c r="BV279" s="594"/>
      <c r="BW279" s="594"/>
      <c r="BX279" s="592">
        <f t="shared" ref="BX279:BX298" si="71">BI279*BU279</f>
        <v>166.94336272499999</v>
      </c>
      <c r="BY279" s="592"/>
      <c r="BZ279" s="592"/>
      <c r="CA279" s="593"/>
    </row>
    <row r="280" spans="1:79" ht="15" customHeight="1">
      <c r="A280" s="424">
        <v>10</v>
      </c>
      <c r="B280" s="382">
        <v>6</v>
      </c>
      <c r="C280" s="382">
        <f t="shared" si="66"/>
        <v>279</v>
      </c>
      <c r="D280" s="383" t="str">
        <f>IF(I280='Jour Férié'!F$11,'Jour Férié'!E$11,""&amp;IF(I280='Jour Férié'!F$12,'Jour Férié'!E$12,""&amp;IF(I280='Jour Férié'!F$13,'Jour Férié'!E$13,""&amp;IF(I280='Jour Férié'!F$14,'Jour Férié'!E$14,""&amp;IF(I280='Jour Férié'!F$15,'Jour Férié'!E$15,""&amp;IF(MOD(MATCH(I280,vacances!$A$3:$A$202,1),2)=1,"vacances",""))))))</f>
        <v/>
      </c>
      <c r="E280" s="449" t="s">
        <v>370</v>
      </c>
      <c r="F280" s="449"/>
      <c r="G280" s="449"/>
      <c r="H280" s="621"/>
      <c r="I280" s="339">
        <f t="shared" si="67"/>
        <v>43379</v>
      </c>
      <c r="J280" s="389"/>
      <c r="K280" s="388" t="s">
        <v>212</v>
      </c>
      <c r="L280" s="290"/>
      <c r="M280" s="291" t="s">
        <v>213</v>
      </c>
      <c r="N280" s="291"/>
      <c r="O280" s="386">
        <f>SUM(O275:O276)</f>
        <v>13</v>
      </c>
      <c r="P280" s="316"/>
      <c r="Q280" s="555" t="str">
        <f>'FICHE DE PAIE'!A$7</f>
        <v>MAJORATION DIMANCHE</v>
      </c>
      <c r="R280" s="555"/>
      <c r="S280" s="555"/>
      <c r="T280" s="555"/>
      <c r="U280" s="555"/>
      <c r="V280" s="555"/>
      <c r="W280" s="555"/>
      <c r="X280" s="555"/>
      <c r="Y280" s="555"/>
      <c r="Z280" s="494"/>
      <c r="AA280" s="557">
        <f>O285</f>
        <v>36</v>
      </c>
      <c r="AB280" s="557"/>
      <c r="AC280" s="557"/>
      <c r="AD280" s="558">
        <f>'FICHE DE PAIE'!N$7</f>
        <v>1.2074</v>
      </c>
      <c r="AE280" s="558"/>
      <c r="AF280" s="558"/>
      <c r="AG280" s="559">
        <f t="shared" si="68"/>
        <v>43.4664</v>
      </c>
      <c r="AH280" s="559"/>
      <c r="AI280" s="559"/>
      <c r="AJ280" s="559"/>
      <c r="AK280" s="294"/>
      <c r="AL280" s="294"/>
      <c r="AM280" s="294"/>
      <c r="AN280" s="295"/>
      <c r="AO280" s="295"/>
      <c r="AP280" s="295"/>
      <c r="AQ280" s="295"/>
      <c r="AR280" s="295"/>
      <c r="AS280" s="295"/>
      <c r="AT280" s="295"/>
      <c r="AU280" s="295"/>
      <c r="AV280" s="290"/>
      <c r="AW280" s="591" t="s">
        <v>242</v>
      </c>
      <c r="AX280" s="591"/>
      <c r="AY280" s="591"/>
      <c r="AZ280" s="591"/>
      <c r="BA280" s="591"/>
      <c r="BB280" s="591"/>
      <c r="BC280" s="591"/>
      <c r="BD280" s="591"/>
      <c r="BE280" s="591"/>
      <c r="BF280" s="591"/>
      <c r="BG280" s="591"/>
      <c r="BH280" s="591"/>
      <c r="BI280" s="590">
        <f t="shared" si="69"/>
        <v>1952.5539499999998</v>
      </c>
      <c r="BJ280" s="590"/>
      <c r="BK280" s="590"/>
      <c r="BL280" s="590"/>
      <c r="BM280" s="590"/>
      <c r="BN280" s="590"/>
      <c r="BO280" s="590"/>
      <c r="BP280" s="590"/>
      <c r="BQ280" s="592">
        <f t="shared" si="70"/>
        <v>0</v>
      </c>
      <c r="BR280" s="592"/>
      <c r="BS280" s="592"/>
      <c r="BT280" s="592"/>
      <c r="BU280" s="594">
        <f>'FICHE DE PAIE'!BE$7</f>
        <v>1E-3</v>
      </c>
      <c r="BV280" s="594"/>
      <c r="BW280" s="594"/>
      <c r="BX280" s="592">
        <f t="shared" si="71"/>
        <v>1.9525539499999998</v>
      </c>
      <c r="BY280" s="592"/>
      <c r="BZ280" s="592"/>
      <c r="CA280" s="593"/>
    </row>
    <row r="281" spans="1:79" ht="15" customHeight="1">
      <c r="A281" s="424">
        <v>10</v>
      </c>
      <c r="B281" s="382">
        <v>7</v>
      </c>
      <c r="C281" s="382">
        <f t="shared" si="66"/>
        <v>280</v>
      </c>
      <c r="D281" s="383" t="str">
        <f>IF(I281='Jour Férié'!F$11,'Jour Férié'!E$11,""&amp;IF(I281='Jour Férié'!F$12,'Jour Férié'!E$12,""&amp;IF(I281='Jour Férié'!F$13,'Jour Férié'!E$13,""&amp;IF(I281='Jour Férié'!F$14,'Jour Férié'!E$14,""&amp;IF(I281='Jour Férié'!F$15,'Jour Férié'!E$15,""&amp;IF(MOD(MATCH(I281,vacances!$A$3:$A$202,1),2)=1,"vacances",""))))))</f>
        <v/>
      </c>
      <c r="E281" s="449" t="s">
        <v>370</v>
      </c>
      <c r="F281" s="449"/>
      <c r="G281" s="449"/>
      <c r="H281" s="621"/>
      <c r="I281" s="339">
        <f t="shared" si="67"/>
        <v>43380</v>
      </c>
      <c r="J281" s="7"/>
      <c r="K281" s="7"/>
      <c r="L281" s="290"/>
      <c r="M281" s="385" t="s">
        <v>214</v>
      </c>
      <c r="N281" s="385"/>
      <c r="O281" s="390">
        <f>((6*COUNTIF(E274,J275))+(3*COUNTIF(E275,J275))+((6*COUNTIF(E275,J275))+(3*COUNTIF(E276,J275)))+((6*COUNTIF(E276,J275))+(3*COUNTIF(E277,J275)))+((6*COUNTIF(E277,J275))+(3*COUNTIF(E278,J275)))+((6*COUNTIF(E278,J275))+(3*COUNTIF(E279,J275)))+((6*COUNTIF(E279,J275))+(3*COUNTIF(E280,J275)))+((6*COUNTIF(E280,J275))+(3*COUNTIF(E281,J275)))+((6*COUNTIF(E281,J275))+(3*COUNTIF(E282,J275)))+((6*COUNTIF(E282,J275))+(3*COUNTIF(E283,J275)))+((6*COUNTIF(E283,J275))+(3*COUNTIF(E284,J275)))+((6*COUNTIF(E284,J275))+(3*COUNTIF(E285,J275)))+((6*COUNTIF(E285,J275))+(3*COUNTIF(E286,J275)))+((6*COUNTIF(E286,J275))+(3*COUNTIF(E287,J275)))+((6*COUNTIF(E287,J275))+(3*COUNTIF(E288,J275)))+((6*COUNTIF(E288,J275))+(3*COUNTIF(E289,J275)))+((6*COUNTIF(E289,J275))+(3*COUNTIF(E290,J275)))+((6*COUNTIF(E290,J275))+(3*COUNTIF(E291,J275)))+((6*COUNTIF(E291,J275))+(3*COUNTIF(E292,J275)))+((6*COUNTIF(E292,J275))+(3*COUNTIF(E293,J275)))+((6*COUNTIF(E293,J275))+(3*COUNTIF(E294,J275)))+((6*COUNTIF(E294,J275))+(3*COUNTIF(E295,J275)))+((6*COUNTIF(E295,J275))+(3*COUNTIF(E296,J275)))+((6*COUNTIF(E296,J275))+(3*COUNTIF(E297,J275)))+((6*COUNTIF(E297,J275))+(3*COUNTIF(E298,J275)))+((6*COUNTIF(E298,J275))+(3*COUNTIF(E299,J275)))+((6*COUNTIF(E299,J275))+(3*COUNTIF(E300,J275)))+((6*COUNTIF(E300,J275))+(3*COUNTIF(E301,J275)))+((6*COUNTIF(E301,J275))+(3*COUNTIF(E302,J275)))+((6*COUNTIF(E302,J275))+(3*COUNTIF(E303,J275)))+((6*COUNTIF(E303,J275))+(3*COUNTIF(E304,J275)))+((6*COUNTIF(E304,J275))+(3*COUNTIF(E305,J275)))+((6*COUNTIF(E305,J275))))</f>
        <v>72</v>
      </c>
      <c r="P281" s="316"/>
      <c r="Q281" s="555" t="str">
        <f>'FICHE DE PAIE'!A$8</f>
        <v>MAJORATION NUIT</v>
      </c>
      <c r="R281" s="555"/>
      <c r="S281" s="555"/>
      <c r="T281" s="555"/>
      <c r="U281" s="555"/>
      <c r="V281" s="555"/>
      <c r="W281" s="555"/>
      <c r="X281" s="555"/>
      <c r="Y281" s="555"/>
      <c r="Z281" s="494"/>
      <c r="AA281" s="557">
        <f>O281</f>
        <v>72</v>
      </c>
      <c r="AB281" s="557"/>
      <c r="AC281" s="557"/>
      <c r="AD281" s="558">
        <f>'FICHE DE PAIE'!N$8</f>
        <v>1.2074</v>
      </c>
      <c r="AE281" s="558"/>
      <c r="AF281" s="558"/>
      <c r="AG281" s="559">
        <f t="shared" si="68"/>
        <v>86.9328</v>
      </c>
      <c r="AH281" s="559"/>
      <c r="AI281" s="559"/>
      <c r="AJ281" s="559"/>
      <c r="AK281" s="294"/>
      <c r="AL281" s="294"/>
      <c r="AM281" s="294"/>
      <c r="AN281" s="295"/>
      <c r="AO281" s="295"/>
      <c r="AP281" s="295"/>
      <c r="AQ281" s="295"/>
      <c r="AR281" s="295"/>
      <c r="AS281" s="295"/>
      <c r="AT281" s="295"/>
      <c r="AU281" s="295"/>
      <c r="AV281" s="290"/>
      <c r="AW281" s="591" t="s">
        <v>244</v>
      </c>
      <c r="AX281" s="591"/>
      <c r="AY281" s="591"/>
      <c r="AZ281" s="591"/>
      <c r="BA281" s="591"/>
      <c r="BB281" s="591"/>
      <c r="BC281" s="591"/>
      <c r="BD281" s="591"/>
      <c r="BE281" s="591"/>
      <c r="BF281" s="591"/>
      <c r="BG281" s="591"/>
      <c r="BH281" s="591"/>
      <c r="BI281" s="590">
        <f t="shared" si="69"/>
        <v>1952.5539499999998</v>
      </c>
      <c r="BJ281" s="590"/>
      <c r="BK281" s="590"/>
      <c r="BL281" s="590"/>
      <c r="BM281" s="590"/>
      <c r="BN281" s="590"/>
      <c r="BO281" s="590"/>
      <c r="BP281" s="590"/>
      <c r="BQ281" s="592">
        <f t="shared" si="70"/>
        <v>0</v>
      </c>
      <c r="BR281" s="592"/>
      <c r="BS281" s="592"/>
      <c r="BT281" s="592"/>
      <c r="BU281" s="594">
        <f>'FICHE DE PAIE'!BE$8</f>
        <v>4.0000000000000001E-3</v>
      </c>
      <c r="BV281" s="594"/>
      <c r="BW281" s="594"/>
      <c r="BX281" s="592">
        <f t="shared" si="71"/>
        <v>7.810215799999999</v>
      </c>
      <c r="BY281" s="592"/>
      <c r="BZ281" s="592"/>
      <c r="CA281" s="593"/>
    </row>
    <row r="282" spans="1:79" ht="15" customHeight="1">
      <c r="A282" s="424">
        <v>10</v>
      </c>
      <c r="B282" s="382">
        <v>8</v>
      </c>
      <c r="C282" s="382">
        <f t="shared" si="66"/>
        <v>281</v>
      </c>
      <c r="D282" s="383" t="str">
        <f>IF(I282='Jour Férié'!F$11,'Jour Férié'!E$11,""&amp;IF(I282='Jour Férié'!F$12,'Jour Férié'!E$12,""&amp;IF(I282='Jour Férié'!F$13,'Jour Férié'!E$13,""&amp;IF(I282='Jour Férié'!F$14,'Jour Férié'!E$14,""&amp;IF(I282='Jour Férié'!F$15,'Jour Férié'!E$15,""&amp;IF(MOD(MATCH(I282,vacances!$A$3:$A$202,1),2)=1,"vacances",""))))))</f>
        <v/>
      </c>
      <c r="E282" s="449"/>
      <c r="F282" s="449"/>
      <c r="G282" s="449"/>
      <c r="H282" s="621"/>
      <c r="I282" s="339">
        <f t="shared" si="67"/>
        <v>43381</v>
      </c>
      <c r="J282" s="391" t="s">
        <v>215</v>
      </c>
      <c r="K282" s="388" t="s">
        <v>216</v>
      </c>
      <c r="L282" s="290"/>
      <c r="M282" s="291" t="s">
        <v>217</v>
      </c>
      <c r="N282" s="291"/>
      <c r="O282" s="386">
        <f>O276*12</f>
        <v>60</v>
      </c>
      <c r="P282" s="316"/>
      <c r="Q282" s="555" t="str">
        <f>'FICHE DE PAIE'!A$9</f>
        <v>MAJORATION JOUR FERIE</v>
      </c>
      <c r="R282" s="555"/>
      <c r="S282" s="555"/>
      <c r="T282" s="555"/>
      <c r="U282" s="555"/>
      <c r="V282" s="555"/>
      <c r="W282" s="555"/>
      <c r="X282" s="555"/>
      <c r="Y282" s="555"/>
      <c r="Z282" s="494"/>
      <c r="AA282" s="557">
        <f>O287</f>
        <v>0</v>
      </c>
      <c r="AB282" s="557"/>
      <c r="AC282" s="557"/>
      <c r="AD282" s="558">
        <f>'FICHE DE PAIE'!N$9</f>
        <v>12.074</v>
      </c>
      <c r="AE282" s="558"/>
      <c r="AF282" s="558"/>
      <c r="AG282" s="559">
        <f t="shared" si="68"/>
        <v>0</v>
      </c>
      <c r="AH282" s="559"/>
      <c r="AI282" s="559"/>
      <c r="AJ282" s="559"/>
      <c r="AK282" s="294"/>
      <c r="AL282" s="294"/>
      <c r="AM282" s="294"/>
      <c r="AN282" s="295"/>
      <c r="AO282" s="295"/>
      <c r="AP282" s="295"/>
      <c r="AQ282" s="295"/>
      <c r="AR282" s="295"/>
      <c r="AS282" s="295"/>
      <c r="AT282" s="295"/>
      <c r="AU282" s="295"/>
      <c r="AV282" s="290"/>
      <c r="AW282" s="591" t="s">
        <v>246</v>
      </c>
      <c r="AX282" s="591"/>
      <c r="AY282" s="591"/>
      <c r="AZ282" s="591"/>
      <c r="BA282" s="591"/>
      <c r="BB282" s="591"/>
      <c r="BC282" s="591"/>
      <c r="BD282" s="591"/>
      <c r="BE282" s="591"/>
      <c r="BF282" s="591"/>
      <c r="BG282" s="591"/>
      <c r="BH282" s="591"/>
      <c r="BI282" s="590">
        <f t="shared" si="69"/>
        <v>1952.5539499999998</v>
      </c>
      <c r="BJ282" s="590"/>
      <c r="BK282" s="590"/>
      <c r="BL282" s="590"/>
      <c r="BM282" s="590"/>
      <c r="BN282" s="590"/>
      <c r="BO282" s="590"/>
      <c r="BP282" s="590"/>
      <c r="BQ282" s="592">
        <f t="shared" si="70"/>
        <v>0</v>
      </c>
      <c r="BR282" s="592"/>
      <c r="BS282" s="592"/>
      <c r="BT282" s="592"/>
      <c r="BU282" s="594">
        <f>'FICHE DE PAIE'!BE$9</f>
        <v>1.2999999999999999E-2</v>
      </c>
      <c r="BV282" s="594"/>
      <c r="BW282" s="594"/>
      <c r="BX282" s="592">
        <f t="shared" si="71"/>
        <v>25.383201349999997</v>
      </c>
      <c r="BY282" s="592"/>
      <c r="BZ282" s="592"/>
      <c r="CA282" s="593"/>
    </row>
    <row r="283" spans="1:79" ht="15" customHeight="1">
      <c r="A283" s="424">
        <v>10</v>
      </c>
      <c r="B283" s="382">
        <v>9</v>
      </c>
      <c r="C283" s="382">
        <f t="shared" si="66"/>
        <v>282</v>
      </c>
      <c r="D283" s="383" t="str">
        <f>IF(I283='Jour Férié'!F$11,'Jour Férié'!E$11,""&amp;IF(I283='Jour Férié'!F$12,'Jour Férié'!E$12,""&amp;IF(I283='Jour Férié'!F$13,'Jour Férié'!E$13,""&amp;IF(I283='Jour Férié'!F$14,'Jour Férié'!E$14,""&amp;IF(I283='Jour Férié'!F$15,'Jour Férié'!E$15,""&amp;IF(MOD(MATCH(I283,vacances!$A$3:$A$202,1),2)=1,"vacances",""))))))</f>
        <v/>
      </c>
      <c r="E283" s="449"/>
      <c r="F283" s="449" t="s">
        <v>369</v>
      </c>
      <c r="G283" s="449"/>
      <c r="H283" s="621"/>
      <c r="I283" s="339">
        <f t="shared" si="67"/>
        <v>43382</v>
      </c>
      <c r="J283" s="391" t="s">
        <v>218</v>
      </c>
      <c r="K283" s="281" t="s">
        <v>219</v>
      </c>
      <c r="L283" s="290"/>
      <c r="M283" s="291" t="s">
        <v>220</v>
      </c>
      <c r="N283" s="291"/>
      <c r="O283" s="386">
        <f>O277*7</f>
        <v>0</v>
      </c>
      <c r="P283" s="316"/>
      <c r="Q283" s="555" t="str">
        <f>'FICHE DE PAIE'!A$10</f>
        <v xml:space="preserve">PRIME ANCIENNETE </v>
      </c>
      <c r="R283" s="555"/>
      <c r="S283" s="555"/>
      <c r="T283" s="555"/>
      <c r="U283" s="555"/>
      <c r="V283" s="555"/>
      <c r="W283" s="555"/>
      <c r="X283" s="555"/>
      <c r="Y283" s="555"/>
      <c r="Z283" s="494"/>
      <c r="AA283" s="556">
        <v>1</v>
      </c>
      <c r="AB283" s="556"/>
      <c r="AC283" s="556"/>
      <c r="AD283" s="558">
        <f>'FICHE DE PAIE'!N$10</f>
        <v>36.630000000000003</v>
      </c>
      <c r="AE283" s="558"/>
      <c r="AF283" s="558"/>
      <c r="AG283" s="606"/>
      <c r="AH283" s="606"/>
      <c r="AI283" s="606"/>
      <c r="AJ283" s="606"/>
      <c r="AK283" s="294"/>
      <c r="AL283" s="294"/>
      <c r="AM283" s="294"/>
      <c r="AN283" s="295"/>
      <c r="AO283" s="295"/>
      <c r="AP283" s="295"/>
      <c r="AQ283" s="295"/>
      <c r="AR283" s="295"/>
      <c r="AS283" s="295"/>
      <c r="AT283" s="295"/>
      <c r="AU283" s="295"/>
      <c r="AV283" s="290"/>
      <c r="AW283" s="591" t="s">
        <v>248</v>
      </c>
      <c r="AX283" s="591"/>
      <c r="AY283" s="591"/>
      <c r="AZ283" s="591"/>
      <c r="BA283" s="591"/>
      <c r="BB283" s="591"/>
      <c r="BC283" s="591"/>
      <c r="BD283" s="591"/>
      <c r="BE283" s="591"/>
      <c r="BF283" s="591"/>
      <c r="BG283" s="591"/>
      <c r="BH283" s="591"/>
      <c r="BI283" s="590">
        <f t="shared" si="69"/>
        <v>1952.5539499999998</v>
      </c>
      <c r="BJ283" s="590"/>
      <c r="BK283" s="590"/>
      <c r="BL283" s="590"/>
      <c r="BM283" s="590"/>
      <c r="BN283" s="590"/>
      <c r="BO283" s="590"/>
      <c r="BP283" s="590"/>
      <c r="BQ283" s="592">
        <f t="shared" si="70"/>
        <v>0</v>
      </c>
      <c r="BR283" s="592"/>
      <c r="BS283" s="592"/>
      <c r="BT283" s="592"/>
      <c r="BU283" s="594">
        <f>'FICHE DE PAIE'!BE$10</f>
        <v>1.7600000000000001E-2</v>
      </c>
      <c r="BV283" s="594"/>
      <c r="BW283" s="594"/>
      <c r="BX283" s="592">
        <f t="shared" si="71"/>
        <v>34.364949519999996</v>
      </c>
      <c r="BY283" s="592"/>
      <c r="BZ283" s="592"/>
      <c r="CA283" s="593"/>
    </row>
    <row r="284" spans="1:79" ht="15" customHeight="1">
      <c r="A284" s="424">
        <v>10</v>
      </c>
      <c r="B284" s="382">
        <v>10</v>
      </c>
      <c r="C284" s="382">
        <f t="shared" si="66"/>
        <v>283</v>
      </c>
      <c r="D284" s="383" t="str">
        <f>IF(I284='Jour Férié'!F$11,'Jour Férié'!E$11,""&amp;IF(I284='Jour Férié'!F$12,'Jour Férié'!E$12,""&amp;IF(I284='Jour Férié'!F$13,'Jour Férié'!E$13,""&amp;IF(I284='Jour Férié'!F$14,'Jour Férié'!E$14,""&amp;IF(I284='Jour Férié'!F$15,'Jour Férié'!E$15,""&amp;IF(MOD(MATCH(I284,vacances!$A$3:$A$202,1),2)=1,"vacances",""))))))</f>
        <v/>
      </c>
      <c r="E284" s="449" t="s">
        <v>371</v>
      </c>
      <c r="F284" s="449"/>
      <c r="G284" s="449"/>
      <c r="H284" s="621"/>
      <c r="I284" s="339">
        <f t="shared" si="67"/>
        <v>43383</v>
      </c>
      <c r="J284" s="392" t="s">
        <v>221</v>
      </c>
      <c r="K284" s="281" t="s">
        <v>222</v>
      </c>
      <c r="L284" s="290"/>
      <c r="M284" s="385" t="s">
        <v>223</v>
      </c>
      <c r="N284" s="385"/>
      <c r="O284" s="390">
        <f>(O275+O276)*12</f>
        <v>156</v>
      </c>
      <c r="P284" s="316"/>
      <c r="Q284" s="555" t="str">
        <f>'FICHE DE PAIE'!A$11</f>
        <v>PRIME HABILLAGE</v>
      </c>
      <c r="R284" s="555"/>
      <c r="S284" s="555"/>
      <c r="T284" s="555"/>
      <c r="U284" s="555"/>
      <c r="V284" s="555"/>
      <c r="W284" s="555"/>
      <c r="X284" s="555"/>
      <c r="Y284" s="555"/>
      <c r="Z284" s="494"/>
      <c r="AA284" s="556">
        <f>AA277</f>
        <v>151.66999999999999</v>
      </c>
      <c r="AB284" s="556"/>
      <c r="AC284" s="556"/>
      <c r="AD284" s="558">
        <f>'FICHE DE PAIE'!N$11</f>
        <v>0.13100000000000001</v>
      </c>
      <c r="AE284" s="558"/>
      <c r="AF284" s="558"/>
      <c r="AG284" s="559">
        <f>AA284*AD284</f>
        <v>19.868769999999998</v>
      </c>
      <c r="AH284" s="559"/>
      <c r="AI284" s="559"/>
      <c r="AJ284" s="559"/>
      <c r="AK284" s="294"/>
      <c r="AL284" s="294"/>
      <c r="AM284" s="294"/>
      <c r="AN284" s="295"/>
      <c r="AO284" s="295"/>
      <c r="AP284" s="295"/>
      <c r="AQ284" s="295"/>
      <c r="AR284" s="295"/>
      <c r="AS284" s="295"/>
      <c r="AT284" s="295"/>
      <c r="AU284" s="295"/>
      <c r="AV284" s="290"/>
      <c r="AW284" s="591" t="s">
        <v>250</v>
      </c>
      <c r="AX284" s="591"/>
      <c r="AY284" s="591"/>
      <c r="AZ284" s="591"/>
      <c r="BA284" s="591"/>
      <c r="BB284" s="591"/>
      <c r="BC284" s="591"/>
      <c r="BD284" s="591"/>
      <c r="BE284" s="591"/>
      <c r="BF284" s="591"/>
      <c r="BG284" s="591"/>
      <c r="BH284" s="591"/>
      <c r="BI284" s="590">
        <f t="shared" si="69"/>
        <v>1952.5539499999998</v>
      </c>
      <c r="BJ284" s="590"/>
      <c r="BK284" s="590"/>
      <c r="BL284" s="590"/>
      <c r="BM284" s="590"/>
      <c r="BN284" s="590"/>
      <c r="BO284" s="590"/>
      <c r="BP284" s="590"/>
      <c r="BQ284" s="592">
        <f t="shared" si="70"/>
        <v>0</v>
      </c>
      <c r="BR284" s="592"/>
      <c r="BS284" s="592"/>
      <c r="BT284" s="592"/>
      <c r="BU284" s="594">
        <f>'FICHE DE PAIE'!BE$11</f>
        <v>3.4500000000000003E-2</v>
      </c>
      <c r="BV284" s="594"/>
      <c r="BW284" s="594"/>
      <c r="BX284" s="592">
        <f t="shared" si="71"/>
        <v>67.363111274999994</v>
      </c>
      <c r="BY284" s="592"/>
      <c r="BZ284" s="592"/>
      <c r="CA284" s="593"/>
    </row>
    <row r="285" spans="1:79" ht="15" customHeight="1">
      <c r="A285" s="424">
        <v>10</v>
      </c>
      <c r="B285" s="382">
        <v>11</v>
      </c>
      <c r="C285" s="382">
        <f t="shared" si="66"/>
        <v>284</v>
      </c>
      <c r="D285" s="383" t="str">
        <f>IF(I285='Jour Férié'!F$11,'Jour Férié'!E$11,""&amp;IF(I285='Jour Férié'!F$12,'Jour Férié'!E$12,""&amp;IF(I285='Jour Férié'!F$13,'Jour Férié'!E$13,""&amp;IF(I285='Jour Férié'!F$14,'Jour Férié'!E$14,""&amp;IF(I285='Jour Férié'!F$15,'Jour Férié'!E$15,""&amp;IF(MOD(MATCH(I285,vacances!$A$3:$A$202,1),2)=1,"vacances",""))))))</f>
        <v/>
      </c>
      <c r="E285" s="449"/>
      <c r="F285" s="449"/>
      <c r="G285" s="449"/>
      <c r="H285" s="621"/>
      <c r="I285" s="339">
        <f t="shared" si="67"/>
        <v>43384</v>
      </c>
      <c r="J285" s="290"/>
      <c r="K285" s="290"/>
      <c r="L285" s="290"/>
      <c r="M285" s="578" t="s">
        <v>224</v>
      </c>
      <c r="N285" s="393">
        <f>(IF(WEEKDAY(I275,2)=7,(7*COUNTIF(E274,J275))+(12*COUNTIF(E275,J276))+(5*COUNTIF(E275,J275))))+(IF(WEEKDAY(I276,2)=7,(7*COUNTIF(E275,J275))+(12*COUNTIF(E276,J276))+(5*COUNTIF(E276,J275))))+(IF(WEEKDAY(I277,2)=7,(7*COUNTIF(E276,J275))+(12*COUNTIF(E277,J276))+(5*COUNTIF(E277,J275))))+(IF(WEEKDAY(I278,2)=7,(7*COUNTIF(E277,J275))+(12*COUNTIF(E278,J276))+(5*COUNTIF(E278,J275))))+(IF(WEEKDAY(I279,2)=7,(7*COUNTIF(E278,J275))+(12*COUNTIF(E279,J276))+(5*COUNTIF(E279,J275))))+(IF(WEEKDAY(I280,2)=7,(7*COUNTIF(E279,J275))+(12*COUNTIF(E280,J276))+(5*COUNTIF(E280,J275))))+(IF(WEEKDAY(I281,2)=7,(7*COUNTIF(E280,J275))+(12*COUNTIF(E281,J276))+(5*COUNTIF(E281,J275))))+(IF(WEEKDAY(I282,2)=7,(7*COUNTIF(E281,J275))+(12*COUNTIF(E282,J276))+(5*COUNTIF(E282,J275))))+(IF(WEEKDAY(I283,2)=7,(7*COUNTIF(E282,J275))+(12*COUNTIF(E283,J276))+(5*COUNTIF(E283,J275))))+(IF(WEEKDAY(I284,2)=7,(7*COUNTIF(E283,J275))+(12*COUNTIF(E284,J276))+(5*COUNTIF(E284,J275))))+(IF(WEEKDAY(I285,2)=7,(7*COUNTIF(E284,J275))+(12*COUNTIF(E285,J276))+(5*COUNTIF(E285,J275))))+(IF(WEEKDAY(I286,2)=7,(7*COUNTIF(E285,J275))+(12*COUNTIF(E286,J276))+(5*COUNTIF(E286,J275))))+(IF(WEEKDAY(I287,2)=7,(7*COUNTIF(E286,J275))+(12*COUNTIF(E287,J276))+(5*COUNTIF(E287,J275))))+(IF(WEEKDAY(I288,2)=7,(7*COUNTIF(E287,J275))+(12*COUNTIF(E288,J276))+(5*COUNTIF(E288,J275))))</f>
        <v>24</v>
      </c>
      <c r="O285" s="603">
        <f>SUM(N285:N286)</f>
        <v>36</v>
      </c>
      <c r="P285" s="316"/>
      <c r="Q285" s="555" t="str">
        <f>'FICHE DE PAIE'!A$12</f>
        <v>PRIME ASTREINTE</v>
      </c>
      <c r="R285" s="555"/>
      <c r="S285" s="555"/>
      <c r="T285" s="555"/>
      <c r="U285" s="555"/>
      <c r="V285" s="555"/>
      <c r="W285" s="555"/>
      <c r="X285" s="555"/>
      <c r="Y285" s="555"/>
      <c r="Z285" s="494"/>
      <c r="AA285" s="561"/>
      <c r="AB285" s="561"/>
      <c r="AC285" s="561"/>
      <c r="AD285" s="558">
        <f>'FICHE DE PAIE'!N$12</f>
        <v>90</v>
      </c>
      <c r="AE285" s="558"/>
      <c r="AF285" s="558"/>
      <c r="AG285" s="559">
        <f>AA285*AD285</f>
        <v>0</v>
      </c>
      <c r="AH285" s="559"/>
      <c r="AI285" s="559"/>
      <c r="AJ285" s="559"/>
      <c r="AK285" s="294"/>
      <c r="AL285" s="294"/>
      <c r="AM285" s="294"/>
      <c r="AN285" s="295"/>
      <c r="AO285" s="295"/>
      <c r="AP285" s="295"/>
      <c r="AQ285" s="295"/>
      <c r="AR285" s="295"/>
      <c r="AS285" s="295"/>
      <c r="AT285" s="295"/>
      <c r="AU285" s="295"/>
      <c r="AV285" s="290"/>
      <c r="AW285" s="591" t="s">
        <v>252</v>
      </c>
      <c r="AX285" s="591"/>
      <c r="AY285" s="591"/>
      <c r="AZ285" s="591"/>
      <c r="BA285" s="591"/>
      <c r="BB285" s="591"/>
      <c r="BC285" s="591"/>
      <c r="BD285" s="591"/>
      <c r="BE285" s="591"/>
      <c r="BF285" s="591"/>
      <c r="BG285" s="591"/>
      <c r="BH285" s="591"/>
      <c r="BI285" s="590">
        <f t="shared" si="69"/>
        <v>1952.5539499999998</v>
      </c>
      <c r="BJ285" s="590"/>
      <c r="BK285" s="590"/>
      <c r="BL285" s="590"/>
      <c r="BM285" s="590"/>
      <c r="BN285" s="590"/>
      <c r="BO285" s="590"/>
      <c r="BP285" s="590"/>
      <c r="BQ285" s="592">
        <f t="shared" si="70"/>
        <v>0</v>
      </c>
      <c r="BR285" s="592"/>
      <c r="BS285" s="592"/>
      <c r="BT285" s="592"/>
      <c r="BU285" s="594">
        <f>'FICHE DE PAIE'!BE$12</f>
        <v>1.6000000000000001E-4</v>
      </c>
      <c r="BV285" s="594"/>
      <c r="BW285" s="594"/>
      <c r="BX285" s="592">
        <f t="shared" si="71"/>
        <v>0.31240863199999996</v>
      </c>
      <c r="BY285" s="592"/>
      <c r="BZ285" s="592"/>
      <c r="CA285" s="593"/>
    </row>
    <row r="286" spans="1:79" ht="15" customHeight="1">
      <c r="A286" s="424">
        <v>10</v>
      </c>
      <c r="B286" s="382">
        <v>12</v>
      </c>
      <c r="C286" s="382">
        <f t="shared" si="66"/>
        <v>285</v>
      </c>
      <c r="D286" s="383" t="str">
        <f>IF(I286='Jour Férié'!F$11,'Jour Férié'!E$11,""&amp;IF(I286='Jour Férié'!F$12,'Jour Férié'!E$12,""&amp;IF(I286='Jour Férié'!F$13,'Jour Férié'!E$13,""&amp;IF(I286='Jour Férié'!F$14,'Jour Férié'!E$14,""&amp;IF(I286='Jour Férié'!F$15,'Jour Férié'!E$15,""&amp;IF(MOD(MATCH(I286,vacances!$A$3:$A$202,1),2)=1,"vacances",""))))))</f>
        <v/>
      </c>
      <c r="E286" s="449"/>
      <c r="F286" s="449"/>
      <c r="G286" s="449"/>
      <c r="H286" s="621"/>
      <c r="I286" s="339">
        <f t="shared" si="67"/>
        <v>43385</v>
      </c>
      <c r="J286" s="7"/>
      <c r="K286" s="7"/>
      <c r="L286" s="7"/>
      <c r="M286" s="578"/>
      <c r="N286" s="394">
        <f>(IF(WEEKDAY(I289,2)=7,(7*COUNTIF(E288,J275))+(12*COUNTIF(E289,J276))+(5*COUNTIF(E289,J275))))+(IF(WEEKDAY(I290,2)=7,(7*COUNTIF(E289,J275))+(12*COUNTIF(E290,J276))+(5*COUNTIF(E290,J275))))+(IF(WEEKDAY(I291,2)=7,(7*COUNTIF(E290,J275))+(12*COUNTIF(E291,J276))+(5*COUNTIF(E291,J275))))+(IF(WEEKDAY(I292,2)=7,(7*COUNTIF(E291,J275))+(12*COUNTIF(E292,J276))+(5*COUNTIF(E292,J275))))+(IF(WEEKDAY(I293,2)=7,(7*COUNTIF(E292,J275))+(12*COUNTIF(E293,J276))+(5*COUNTIF(E293,J275))))+(IF(WEEKDAY(I294,2)=7,(7*COUNTIF(E293,J275))+(12*COUNTIF(E294,J276))+(5*COUNTIF(E294,J275))))+(IF(WEEKDAY(I295,2)=7,(7*COUNTIF(E294,J275))+(12*COUNTIF(E295,J276))+(5*COUNTIF(E295,J275))))+(IF(WEEKDAY(I296,2)=7,(7*COUNTIF(E295,J275))+(12*COUNTIF(E296,J276))+(5*COUNTIF(E296,J275))))+(IF(WEEKDAY(I297,2)=7,(7*COUNTIF(E296,J275))+(12*COUNTIF(E297,J276))+(5*COUNTIF(E297,J275))))+(IF(WEEKDAY(I298,2)=7,(7*COUNTIF(E297,J275))+(12*COUNTIF(E298,J276))+(5*COUNTIF(E298,J275))))+(IF(WEEKDAY(I299,2)=7,(7*COUNTIF(E298,J275))+(12*COUNTIF(E299,J276))+(5*COUNTIF(E299,J275))))+(IF(WEEKDAY(I300,2)=7,(7*COUNTIF(E299,J275))+(12*COUNTIF(E300,J276))+(5*COUNTIF(E300,J275))))+(IF(WEEKDAY(I301,2)=7,(7*COUNTIF(E300,J275))+(12*COUNTIF(E301,J276))+(5*COUNTIF(E301,J275))))+(IF(WEEKDAY(I302,2)=7,(7*COUNTIF(E301,J275))+(12*COUNTIF(E302,J276))+(5*COUNTIF(E302,J275))))+(IF(WEEKDAY(I303,2)=7,(7*COUNTIF(E302,J275))+(12*COUNTIF(E303,J276))+(5*COUNTIF(E303,J275))))+(IF(WEEKDAY(I304,2)=7,(7*COUNTIF(E303,J275))+(12*COUNTIF(E304,J276))+(5*COUNTIF(E304,J275))))+(IF(WEEKDAY(I305,2)=7,(7*COUNTIF(E304,J275))+(12*COUNTIF(E305,J276))+(5*COUNTIF(E305,J275))))</f>
        <v>12</v>
      </c>
      <c r="O286" s="603"/>
      <c r="P286" s="316"/>
      <c r="Q286" s="555" t="str">
        <f>'FICHE DE PAIE'!A$13</f>
        <v>AUTRE PRIME</v>
      </c>
      <c r="R286" s="555"/>
      <c r="S286" s="555"/>
      <c r="T286" s="555"/>
      <c r="U286" s="555"/>
      <c r="V286" s="555"/>
      <c r="W286" s="555"/>
      <c r="X286" s="555"/>
      <c r="Y286" s="555"/>
      <c r="Z286" s="494"/>
      <c r="AA286" s="561"/>
      <c r="AB286" s="561"/>
      <c r="AC286" s="561"/>
      <c r="AD286" s="605"/>
      <c r="AE286" s="605"/>
      <c r="AF286" s="605"/>
      <c r="AG286" s="559">
        <f>AA286*AD286</f>
        <v>0</v>
      </c>
      <c r="AH286" s="559"/>
      <c r="AI286" s="559"/>
      <c r="AJ286" s="559"/>
      <c r="AK286" s="294"/>
      <c r="AL286" s="294"/>
      <c r="AM286" s="294"/>
      <c r="AN286" s="295"/>
      <c r="AO286" s="296"/>
      <c r="AP286" s="296"/>
      <c r="AQ286" s="295"/>
      <c r="AR286" s="295"/>
      <c r="AS286" s="295"/>
      <c r="AT286" s="295"/>
      <c r="AU286" s="295"/>
      <c r="AV286" s="290"/>
      <c r="AW286" s="591" t="s">
        <v>254</v>
      </c>
      <c r="AX286" s="591"/>
      <c r="AY286" s="591"/>
      <c r="AZ286" s="591"/>
      <c r="BA286" s="591"/>
      <c r="BB286" s="591"/>
      <c r="BC286" s="591"/>
      <c r="BD286" s="591"/>
      <c r="BE286" s="591"/>
      <c r="BF286" s="591"/>
      <c r="BG286" s="591"/>
      <c r="BH286" s="591"/>
      <c r="BI286" s="590">
        <f t="shared" si="69"/>
        <v>1952.5539499999998</v>
      </c>
      <c r="BJ286" s="590"/>
      <c r="BK286" s="590"/>
      <c r="BL286" s="590"/>
      <c r="BM286" s="594">
        <f>'FICHE DE PAIE'!AW$13</f>
        <v>9.4999999999999998E-3</v>
      </c>
      <c r="BN286" s="594"/>
      <c r="BO286" s="594"/>
      <c r="BP286" s="594"/>
      <c r="BQ286" s="592">
        <f t="shared" si="70"/>
        <v>18.549262524999996</v>
      </c>
      <c r="BR286" s="592"/>
      <c r="BS286" s="592"/>
      <c r="BT286" s="592"/>
      <c r="BU286" s="594">
        <f>'FICHE DE PAIE'!BE$13</f>
        <v>4.0500000000000001E-2</v>
      </c>
      <c r="BV286" s="594"/>
      <c r="BW286" s="594"/>
      <c r="BX286" s="592">
        <f t="shared" si="71"/>
        <v>79.078434974999993</v>
      </c>
      <c r="BY286" s="592"/>
      <c r="BZ286" s="592"/>
      <c r="CA286" s="593"/>
    </row>
    <row r="287" spans="1:79" ht="15" customHeight="1">
      <c r="A287" s="424">
        <v>10</v>
      </c>
      <c r="B287" s="382">
        <v>13</v>
      </c>
      <c r="C287" s="382">
        <f t="shared" si="66"/>
        <v>286</v>
      </c>
      <c r="D287" s="383" t="str">
        <f>IF(I287='Jour Férié'!F$11,'Jour Férié'!E$11,""&amp;IF(I287='Jour Férié'!F$12,'Jour Férié'!E$12,""&amp;IF(I287='Jour Férié'!F$13,'Jour Férié'!E$13,""&amp;IF(I287='Jour Férié'!F$14,'Jour Férié'!E$14,""&amp;IF(I287='Jour Férié'!F$15,'Jour Férié'!E$15,""&amp;IF(MOD(MATCH(I287,vacances!$A$3:$A$202,1),2)=1,"vacances",""))))))</f>
        <v/>
      </c>
      <c r="E287" s="449" t="s">
        <v>370</v>
      </c>
      <c r="F287" s="449"/>
      <c r="G287" s="449"/>
      <c r="H287" s="621"/>
      <c r="I287" s="339">
        <f t="shared" si="67"/>
        <v>43386</v>
      </c>
      <c r="J287" s="7"/>
      <c r="K287" s="7"/>
      <c r="L287" s="7"/>
      <c r="M287" s="385" t="s">
        <v>225</v>
      </c>
      <c r="N287" s="385"/>
      <c r="O287" s="390">
        <f>(7*COUNTIF(K300,J275))+(12*COUNTIF(L300,J276))+(5*COUNTIF(L300,J275))+(7*COUNTIF(K301,J275))+(12*COUNTIF(L301,J276))+(5*COUNTIF(L301,J275))+(7*COUNTIF(K302,J275))+(12*COUNTIF(L302,J276))+(5*COUNTIF(L302,J275))+(7*COUNTIF(K303,J275))+(12*COUNTIF(L303,J276))+(5*COUNTIF(L303,J275))+(7*COUNTIF(K304,J275))+(12*COUNTIF(L304,J276))+(5*COUNTIF(L304,J275))</f>
        <v>0</v>
      </c>
      <c r="P287" s="316"/>
      <c r="Q287" s="555" t="str">
        <f>'FICHE DE PAIE'!A$14</f>
        <v>Absence congé payé</v>
      </c>
      <c r="R287" s="555"/>
      <c r="S287" s="555"/>
      <c r="T287" s="555"/>
      <c r="U287" s="555"/>
      <c r="V287" s="555"/>
      <c r="W287" s="555"/>
      <c r="X287" s="555"/>
      <c r="Y287" s="555"/>
      <c r="Z287" s="494"/>
      <c r="AA287" s="557">
        <f>O289*35/6</f>
        <v>0</v>
      </c>
      <c r="AB287" s="557"/>
      <c r="AC287" s="557"/>
      <c r="AD287" s="558">
        <f>'FICHE DE PAIE'!N$14</f>
        <v>12.074</v>
      </c>
      <c r="AE287" s="558"/>
      <c r="AF287" s="558"/>
      <c r="AG287" s="559"/>
      <c r="AH287" s="559"/>
      <c r="AI287" s="559"/>
      <c r="AJ287" s="559"/>
      <c r="AK287" s="602">
        <f>AA287*AD287</f>
        <v>0</v>
      </c>
      <c r="AL287" s="602"/>
      <c r="AM287" s="602"/>
      <c r="AN287" s="602"/>
      <c r="AO287" s="294"/>
      <c r="AP287" s="296"/>
      <c r="AQ287" s="295"/>
      <c r="AR287" s="295"/>
      <c r="AS287" s="295"/>
      <c r="AT287" s="295"/>
      <c r="AU287" s="295"/>
      <c r="AV287" s="290"/>
      <c r="AW287" s="591" t="s">
        <v>256</v>
      </c>
      <c r="AX287" s="591"/>
      <c r="AY287" s="591"/>
      <c r="AZ287" s="591"/>
      <c r="BA287" s="591"/>
      <c r="BB287" s="591"/>
      <c r="BC287" s="591"/>
      <c r="BD287" s="591"/>
      <c r="BE287" s="591"/>
      <c r="BF287" s="591"/>
      <c r="BG287" s="591"/>
      <c r="BH287" s="591"/>
      <c r="BI287" s="590">
        <f t="shared" si="69"/>
        <v>1952.5539499999998</v>
      </c>
      <c r="BJ287" s="590"/>
      <c r="BK287" s="590"/>
      <c r="BL287" s="590"/>
      <c r="BM287" s="590"/>
      <c r="BN287" s="590"/>
      <c r="BO287" s="590"/>
      <c r="BP287" s="590"/>
      <c r="BQ287" s="592">
        <f t="shared" si="70"/>
        <v>0</v>
      </c>
      <c r="BR287" s="592"/>
      <c r="BS287" s="592"/>
      <c r="BT287" s="592"/>
      <c r="BU287" s="594">
        <f>'FICHE DE PAIE'!BE$14</f>
        <v>1.5E-3</v>
      </c>
      <c r="BV287" s="594"/>
      <c r="BW287" s="594"/>
      <c r="BX287" s="592">
        <f t="shared" si="71"/>
        <v>2.9288309249999998</v>
      </c>
      <c r="BY287" s="592"/>
      <c r="BZ287" s="592"/>
      <c r="CA287" s="593"/>
    </row>
    <row r="288" spans="1:79" ht="15" customHeight="1">
      <c r="A288" s="424">
        <v>10</v>
      </c>
      <c r="B288" s="382">
        <v>14</v>
      </c>
      <c r="C288" s="382">
        <f>VLOOKUP(A288,Données,4)+B288-1</f>
        <v>287</v>
      </c>
      <c r="D288" s="383" t="str">
        <f>IF(I288='Jour Férié'!F$11,'Jour Férié'!E$11,""&amp;IF(I288='Jour Férié'!F$12,'Jour Férié'!E$12,""&amp;IF(I288='Jour Férié'!F$13,'Jour Férié'!E$13,""&amp;IF(I288='Jour Férié'!F$14,'Jour Férié'!E$14,""&amp;IF(I288='Jour Férié'!F$15,'Jour Férié'!E$15,""&amp;IF(MOD(MATCH(I288,vacances!$A$3:$A$202,1),2)=1,"vacances",""))))))</f>
        <v/>
      </c>
      <c r="E288" s="449" t="s">
        <v>370</v>
      </c>
      <c r="F288" s="449"/>
      <c r="G288" s="449"/>
      <c r="H288" s="621"/>
      <c r="I288" s="339">
        <f t="shared" si="67"/>
        <v>43387</v>
      </c>
      <c r="J288" s="7"/>
      <c r="K288" s="7"/>
      <c r="L288" s="7"/>
      <c r="M288" s="395" t="s">
        <v>226</v>
      </c>
      <c r="N288" s="395"/>
      <c r="O288" s="386">
        <f>(COUNTIF($E275:$E303,$J284))</f>
        <v>0</v>
      </c>
      <c r="P288" s="316"/>
      <c r="Q288" s="555" t="str">
        <f>'FICHE DE PAIE'!A$15</f>
        <v>paiement congé payé</v>
      </c>
      <c r="R288" s="555"/>
      <c r="S288" s="555"/>
      <c r="T288" s="555"/>
      <c r="U288" s="555"/>
      <c r="V288" s="555"/>
      <c r="W288" s="555"/>
      <c r="X288" s="555"/>
      <c r="Y288" s="555"/>
      <c r="Z288" s="494"/>
      <c r="AA288" s="556"/>
      <c r="AB288" s="556"/>
      <c r="AC288" s="556"/>
      <c r="AD288" s="566"/>
      <c r="AE288" s="566"/>
      <c r="AF288" s="566"/>
      <c r="AG288" s="604"/>
      <c r="AH288" s="604"/>
      <c r="AI288" s="604"/>
      <c r="AJ288" s="604"/>
      <c r="AK288" s="297"/>
      <c r="AL288" s="297"/>
      <c r="AM288" s="297"/>
      <c r="AN288" s="298"/>
      <c r="AO288" s="299"/>
      <c r="AP288" s="296"/>
      <c r="AQ288" s="295"/>
      <c r="AR288" s="295"/>
      <c r="AS288" s="295"/>
      <c r="AT288" s="295"/>
      <c r="AU288" s="295"/>
      <c r="AV288" s="290"/>
      <c r="AW288" s="591" t="s">
        <v>258</v>
      </c>
      <c r="AX288" s="591"/>
      <c r="AY288" s="591"/>
      <c r="AZ288" s="591"/>
      <c r="BA288" s="591"/>
      <c r="BB288" s="591"/>
      <c r="BC288" s="591"/>
      <c r="BD288" s="591"/>
      <c r="BE288" s="591"/>
      <c r="BF288" s="591"/>
      <c r="BG288" s="591"/>
      <c r="BH288" s="591"/>
      <c r="BI288" s="590">
        <f t="shared" si="69"/>
        <v>1952.5539499999998</v>
      </c>
      <c r="BJ288" s="590"/>
      <c r="BK288" s="590"/>
      <c r="BL288" s="590"/>
      <c r="BM288" s="594">
        <f>'FICHE DE PAIE'!AW$15</f>
        <v>3.1E-2</v>
      </c>
      <c r="BN288" s="594"/>
      <c r="BO288" s="594"/>
      <c r="BP288" s="594"/>
      <c r="BQ288" s="592">
        <f t="shared" si="70"/>
        <v>60.52917244999999</v>
      </c>
      <c r="BR288" s="592"/>
      <c r="BS288" s="592"/>
      <c r="BT288" s="592"/>
      <c r="BU288" s="594">
        <f>'FICHE DE PAIE'!BE$15</f>
        <v>4.65E-2</v>
      </c>
      <c r="BV288" s="594"/>
      <c r="BW288" s="594"/>
      <c r="BX288" s="592">
        <f t="shared" si="71"/>
        <v>90.793758674999992</v>
      </c>
      <c r="BY288" s="592"/>
      <c r="BZ288" s="592"/>
      <c r="CA288" s="593"/>
    </row>
    <row r="289" spans="1:79" ht="15" customHeight="1">
      <c r="A289" s="424">
        <v>10</v>
      </c>
      <c r="B289" s="382">
        <v>15</v>
      </c>
      <c r="C289" s="382">
        <f>VLOOKUP(A289,Données,4)+B289-1</f>
        <v>288</v>
      </c>
      <c r="D289" s="383" t="str">
        <f>IF(I289='Jour Férié'!F$11,'Jour Férié'!E$11,""&amp;IF(I289='Jour Férié'!F$12,'Jour Férié'!E$12,""&amp;IF(I289='Jour Férié'!F$13,'Jour Férié'!E$13,""&amp;IF(I289='Jour Férié'!F$14,'Jour Férié'!E$14,""&amp;IF(I289='Jour Férié'!F$15,'Jour Férié'!E$15,""&amp;IF(MOD(MATCH(I289,vacances!$A$3:$A$202,1),2)=1,"vacances",""))))))</f>
        <v/>
      </c>
      <c r="E289" s="449"/>
      <c r="F289" s="449"/>
      <c r="G289" s="449" t="s">
        <v>335</v>
      </c>
      <c r="H289" s="621"/>
      <c r="I289" s="339">
        <f t="shared" si="67"/>
        <v>43388</v>
      </c>
      <c r="J289" s="7"/>
      <c r="K289" s="7"/>
      <c r="L289" s="7"/>
      <c r="M289" s="395" t="s">
        <v>227</v>
      </c>
      <c r="N289" s="395"/>
      <c r="O289" s="386">
        <f>(COUNTIF($E275:$E303,$J282))</f>
        <v>0</v>
      </c>
      <c r="P289" s="7"/>
      <c r="Q289" s="555" t="str">
        <f>'FICHE DE PAIE'!A$16</f>
        <v>Absence maladie</v>
      </c>
      <c r="R289" s="555"/>
      <c r="S289" s="555"/>
      <c r="T289" s="555"/>
      <c r="U289" s="555"/>
      <c r="V289" s="555"/>
      <c r="W289" s="555"/>
      <c r="X289" s="555"/>
      <c r="Y289" s="555"/>
      <c r="Z289" s="494"/>
      <c r="AA289" s="556"/>
      <c r="AB289" s="556"/>
      <c r="AC289" s="556"/>
      <c r="AD289" s="566"/>
      <c r="AE289" s="566"/>
      <c r="AF289" s="566"/>
      <c r="AG289" s="559"/>
      <c r="AH289" s="559"/>
      <c r="AI289" s="559"/>
      <c r="AJ289" s="559"/>
      <c r="AK289" s="599"/>
      <c r="AL289" s="599"/>
      <c r="AM289" s="599"/>
      <c r="AN289" s="599"/>
      <c r="AO289" s="294"/>
      <c r="AP289" s="296"/>
      <c r="AQ289" s="295"/>
      <c r="AR289" s="295"/>
      <c r="AS289" s="295"/>
      <c r="AT289" s="295"/>
      <c r="AU289" s="295"/>
      <c r="AV289" s="290"/>
      <c r="AW289" s="591" t="s">
        <v>260</v>
      </c>
      <c r="AX289" s="591"/>
      <c r="AY289" s="591"/>
      <c r="AZ289" s="591"/>
      <c r="BA289" s="591"/>
      <c r="BB289" s="591"/>
      <c r="BC289" s="591"/>
      <c r="BD289" s="591"/>
      <c r="BE289" s="591"/>
      <c r="BF289" s="591"/>
      <c r="BG289" s="591"/>
      <c r="BH289" s="591"/>
      <c r="BI289" s="590">
        <f t="shared" si="69"/>
        <v>1952.5539499999998</v>
      </c>
      <c r="BJ289" s="590"/>
      <c r="BK289" s="590"/>
      <c r="BL289" s="590"/>
      <c r="BM289" s="594">
        <f>'FICHE DE PAIE'!AW$16</f>
        <v>8.0000000000000002E-3</v>
      </c>
      <c r="BN289" s="594"/>
      <c r="BO289" s="594"/>
      <c r="BP289" s="594"/>
      <c r="BQ289" s="592">
        <f t="shared" si="70"/>
        <v>15.620431599999998</v>
      </c>
      <c r="BR289" s="592"/>
      <c r="BS289" s="592"/>
      <c r="BT289" s="592"/>
      <c r="BU289" s="594">
        <f>'FICHE DE PAIE'!BE$16</f>
        <v>1.2E-2</v>
      </c>
      <c r="BV289" s="594"/>
      <c r="BW289" s="594"/>
      <c r="BX289" s="592">
        <f t="shared" si="71"/>
        <v>23.430647399999998</v>
      </c>
      <c r="BY289" s="592"/>
      <c r="BZ289" s="592"/>
      <c r="CA289" s="593"/>
    </row>
    <row r="290" spans="1:79" ht="15" customHeight="1">
      <c r="A290" s="425">
        <v>10</v>
      </c>
      <c r="B290" s="383">
        <v>16</v>
      </c>
      <c r="C290" s="382">
        <f>VLOOKUP(A290,Données,4)+B290-1</f>
        <v>289</v>
      </c>
      <c r="D290" s="383" t="str">
        <f>IF(I290='Jour Férié'!F$11,'Jour Férié'!E$11,""&amp;IF(I290='Jour Férié'!F$12,'Jour Férié'!E$12,""&amp;IF(I290='Jour Férié'!F$13,'Jour Férié'!E$13,""&amp;IF(I290='Jour Férié'!F$14,'Jour Férié'!E$14,""&amp;IF(I290='Jour Férié'!F$15,'Jour Férié'!E$15,""&amp;IF(MOD(MATCH(I290,vacances!$A$3:$A$202,1),2)=1,"vacances",""))))))</f>
        <v/>
      </c>
      <c r="E290" s="449"/>
      <c r="F290" s="449"/>
      <c r="G290" s="449"/>
      <c r="H290" s="621"/>
      <c r="I290" s="339">
        <f t="shared" si="67"/>
        <v>43389</v>
      </c>
      <c r="J290" s="7"/>
      <c r="K290" s="7"/>
      <c r="L290" s="7"/>
      <c r="M290" s="395" t="s">
        <v>228</v>
      </c>
      <c r="N290" s="395"/>
      <c r="O290" s="386">
        <f>(COUNTIF($E275:$E303,$J283))</f>
        <v>0</v>
      </c>
      <c r="P290" s="7"/>
      <c r="Q290" s="555"/>
      <c r="R290" s="555"/>
      <c r="S290" s="555"/>
      <c r="T290" s="555"/>
      <c r="U290" s="555"/>
      <c r="V290" s="555"/>
      <c r="W290" s="555"/>
      <c r="X290" s="555"/>
      <c r="Y290" s="555"/>
      <c r="Z290" s="494"/>
      <c r="AA290" s="556"/>
      <c r="AB290" s="556"/>
      <c r="AC290" s="556"/>
      <c r="AD290" s="600"/>
      <c r="AE290" s="600"/>
      <c r="AF290" s="600"/>
      <c r="AG290" s="559"/>
      <c r="AH290" s="559"/>
      <c r="AI290" s="559"/>
      <c r="AJ290" s="559"/>
      <c r="AK290" s="297"/>
      <c r="AL290" s="297"/>
      <c r="AM290" s="297"/>
      <c r="AN290" s="298"/>
      <c r="AO290" s="299"/>
      <c r="AP290" s="296"/>
      <c r="AQ290" s="295"/>
      <c r="AR290" s="295"/>
      <c r="AS290" s="295"/>
      <c r="AT290" s="295"/>
      <c r="AU290" s="295"/>
      <c r="AV290" s="290"/>
      <c r="AW290" s="499" t="s">
        <v>261</v>
      </c>
      <c r="AX290" s="499"/>
      <c r="AY290" s="499"/>
      <c r="AZ290" s="499"/>
      <c r="BA290" s="499"/>
      <c r="BB290" s="499"/>
      <c r="BC290" s="499"/>
      <c r="BD290" s="499"/>
      <c r="BE290" s="499"/>
      <c r="BF290" s="499"/>
      <c r="BG290" s="499"/>
      <c r="BH290" s="499"/>
      <c r="BI290" s="590">
        <f t="shared" si="69"/>
        <v>1952.5539499999998</v>
      </c>
      <c r="BJ290" s="590"/>
      <c r="BK290" s="590"/>
      <c r="BL290" s="590"/>
      <c r="BM290" s="594">
        <f>'FICHE DE PAIE'!AW$17</f>
        <v>5.4000000000000003E-3</v>
      </c>
      <c r="BN290" s="594"/>
      <c r="BO290" s="594"/>
      <c r="BP290" s="594"/>
      <c r="BQ290" s="592">
        <f t="shared" si="70"/>
        <v>10.543791329999999</v>
      </c>
      <c r="BR290" s="592"/>
      <c r="BS290" s="592"/>
      <c r="BT290" s="592"/>
      <c r="BU290" s="594">
        <f>'FICHE DE PAIE'!BE$17</f>
        <v>5.4000000000000003E-3</v>
      </c>
      <c r="BV290" s="594"/>
      <c r="BW290" s="594"/>
      <c r="BX290" s="592">
        <f t="shared" si="71"/>
        <v>10.543791329999999</v>
      </c>
      <c r="BY290" s="592"/>
      <c r="BZ290" s="592"/>
      <c r="CA290" s="593"/>
    </row>
    <row r="291" spans="1:79" ht="15" customHeight="1">
      <c r="A291" s="425">
        <v>10</v>
      </c>
      <c r="B291" s="383">
        <v>17</v>
      </c>
      <c r="C291" s="382">
        <f>VLOOKUP(A291,Données,4)+B291-1</f>
        <v>290</v>
      </c>
      <c r="D291" s="383" t="str">
        <f>IF(I291='Jour Férié'!F$11,'Jour Férié'!E$11,""&amp;IF(I291='Jour Férié'!F$12,'Jour Férié'!E$12,""&amp;IF(I291='Jour Férié'!F$13,'Jour Férié'!E$13,""&amp;IF(I291='Jour Férié'!F$14,'Jour Férié'!E$14,""&amp;IF(I291='Jour Férié'!F$15,'Jour Férié'!E$15,""&amp;IF(MOD(MATCH(I291,vacances!$A$3:$A$202,1),2)=1,"vacances",""))))))</f>
        <v/>
      </c>
      <c r="E291" s="449"/>
      <c r="F291" s="449"/>
      <c r="G291" s="449" t="s">
        <v>335</v>
      </c>
      <c r="H291" s="621"/>
      <c r="I291" s="339">
        <f t="shared" si="67"/>
        <v>43390</v>
      </c>
      <c r="J291" s="7"/>
      <c r="K291" s="7"/>
      <c r="L291" s="7"/>
      <c r="M291" s="7"/>
      <c r="N291" s="7"/>
      <c r="O291" s="340"/>
      <c r="P291" s="7"/>
      <c r="Q291" s="562" t="s">
        <v>262</v>
      </c>
      <c r="R291" s="562"/>
      <c r="S291" s="562"/>
      <c r="T291" s="562"/>
      <c r="U291" s="562"/>
      <c r="V291" s="562"/>
      <c r="W291" s="562"/>
      <c r="X291" s="563"/>
      <c r="Y291" s="563"/>
      <c r="Z291" s="563"/>
      <c r="AA291" s="563"/>
      <c r="AB291" s="563"/>
      <c r="AC291" s="563"/>
      <c r="AD291" s="563"/>
      <c r="AE291" s="563"/>
      <c r="AF291" s="563"/>
      <c r="AG291" s="564">
        <f>SUM(AG277:AJ286)+AG288-AK287-AK289</f>
        <v>1981.5315499999999</v>
      </c>
      <c r="AH291" s="564"/>
      <c r="AI291" s="564"/>
      <c r="AJ291" s="564"/>
      <c r="AK291" s="300"/>
      <c r="AL291" s="300"/>
      <c r="AM291" s="300"/>
      <c r="AN291" s="295"/>
      <c r="AO291" s="565">
        <f>AG291-AO277</f>
        <v>-964.46845000000008</v>
      </c>
      <c r="AP291" s="565"/>
      <c r="AQ291" s="565"/>
      <c r="AR291" s="498"/>
      <c r="AS291" s="498"/>
      <c r="AT291" s="498"/>
      <c r="AU291" s="295"/>
      <c r="AV291" s="301"/>
      <c r="AW291" s="591" t="s">
        <v>263</v>
      </c>
      <c r="AX291" s="591"/>
      <c r="AY291" s="591"/>
      <c r="AZ291" s="591"/>
      <c r="BA291" s="591"/>
      <c r="BB291" s="591"/>
      <c r="BC291" s="591"/>
      <c r="BD291" s="591"/>
      <c r="BE291" s="591"/>
      <c r="BF291" s="591"/>
      <c r="BG291" s="591"/>
      <c r="BH291" s="591"/>
      <c r="BI291" s="601"/>
      <c r="BJ291" s="601"/>
      <c r="BK291" s="601"/>
      <c r="BL291" s="601"/>
      <c r="BM291" s="590"/>
      <c r="BN291" s="590"/>
      <c r="BO291" s="590"/>
      <c r="BP291" s="590"/>
      <c r="BQ291" s="592">
        <f t="shared" si="70"/>
        <v>0</v>
      </c>
      <c r="BR291" s="592"/>
      <c r="BS291" s="592"/>
      <c r="BT291" s="592"/>
      <c r="BU291" s="594">
        <f>'FICHE DE PAIE'!BE$18</f>
        <v>0.08</v>
      </c>
      <c r="BV291" s="594"/>
      <c r="BW291" s="594"/>
      <c r="BX291" s="592">
        <f t="shared" si="71"/>
        <v>0</v>
      </c>
      <c r="BY291" s="592"/>
      <c r="BZ291" s="592"/>
      <c r="CA291" s="593"/>
    </row>
    <row r="292" spans="1:79" ht="15" customHeight="1">
      <c r="A292" s="424">
        <v>10</v>
      </c>
      <c r="B292" s="382">
        <v>18</v>
      </c>
      <c r="C292" s="382">
        <f t="shared" ref="C292:C309" si="72">VLOOKUP(A292,Données,4)+B292-1</f>
        <v>291</v>
      </c>
      <c r="D292" s="383" t="str">
        <f>IF(I292='Jour Férié'!F$11,'Jour Férié'!E$11,""&amp;IF(I292='Jour Férié'!F$12,'Jour Férié'!E$12,""&amp;IF(I292='Jour Férié'!F$13,'Jour Férié'!E$13,""&amp;IF(I292='Jour Férié'!F$14,'Jour Férié'!E$14,""&amp;IF(I292='Jour Férié'!F$15,'Jour Férié'!E$15,""&amp;IF(MOD(MATCH(I292,vacances!$A$3:$A$202,1),2)=1,"vacances",""))))))</f>
        <v/>
      </c>
      <c r="E292" s="449"/>
      <c r="F292" s="449" t="s">
        <v>369</v>
      </c>
      <c r="G292" s="449"/>
      <c r="H292" s="621"/>
      <c r="I292" s="339">
        <f t="shared" si="67"/>
        <v>43391</v>
      </c>
      <c r="J292" s="7"/>
      <c r="K292" s="7"/>
      <c r="L292" s="7"/>
      <c r="M292" s="572" t="s">
        <v>320</v>
      </c>
      <c r="N292" s="321">
        <f>(IF(WEEKDAY(I274,2)=6,(COUNTIF(E274,"*"))))*AND(IF(WEEKDAY(I275,2)=7,(COUNTIF(E275,"*"))))+(IF(WEEKDAY(I275,2)=6,(COUNTIF(E275,"*"))))*AND(IF(WEEKDAY(I276,2)=7,(COUNTIF(E276,"*"))))+(IF(WEEKDAY(I276,2)=6,(COUNTIF(E276,"*"))))*AND(IF(WEEKDAY(I277,2)=7,(COUNTIF(E277,"*"))))+(IF(WEEKDAY(I277,2)=6,(COUNTIF(E277,"*"))))*AND(IF(WEEKDAY(I278,2)=7,(COUNTIF(E278,"*"))))+(IF(WEEKDAY(I278,2)=6,(COUNTIF(E278,"*"))))*AND(IF(WEEKDAY(I279,2)=7,(COUNTIF(E279,"*"))))+(IF(WEEKDAY(I279,2)=6,(COUNTIF(E279,"*"))))*AND(IF(WEEKDAY(I280,2)=7,(COUNTIF(E280,"*"))))+(IF(WEEKDAY(I280,2)=6,(COUNTIF(E280,"*"))))*AND(IF(WEEKDAY(I281,2)=7,(COUNTIF(E281,"*"))))+(IF(WEEKDAY(I281,2)=6,(COUNTIF(E281,"*"))))*AND(IF(WEEKDAY(I282,2)=7,(COUNTIF(E282,"*"))))+(IF(WEEKDAY(I282,2)=6,(COUNTIF(E282,"*"))))*AND(IF(WEEKDAY(I283,2)=7,(COUNTIF(E283,"*"))))+(IF(WEEKDAY(I283,2)=6,(COUNTIF(E283,"*"))))*AND(IF(WEEKDAY(I284,2)=7,(COUNTIF(E284,"*"))))+(IF(WEEKDAY(I284,2)=6,(COUNTIF(E284,"*"))))*AND(IF(WEEKDAY(I285,2)=7,(COUNTIF(E285,"*"))))+(IF(WEEKDAY(I285,2)=6,(COUNTIF(E285,"*"))))*AND(IF(WEEKDAY(I286,2)=7,(COUNTIF(E286,"*"))))+(IF(WEEKDAY(I286,2)=6,(COUNTIF(E286,"*"))))*AND(IF(WEEKDAY(I287,2)=7,(COUNTIF(E287,"*"))))+(IF(WEEKDAY(I287,2)=6,(COUNTIF(E287,"*"))))*AND(IF(WEEKDAY(I288,2)=7,(COUNTIF(E288,"*"))))+(IF(WEEKDAY(I288,2)=6,(COUNTIF(E288,"*"))))*AND(IF(WEEKDAY(I289,2)=7,(COUNTIF(E289,"*"))))+(IF(WEEKDAY(I289,2)=6,(COUNTIF(E289,"*"))))*AND(IF(WEEKDAY(I290,2)=7,(COUNTIF(E290,"*"))))</f>
        <v>2</v>
      </c>
      <c r="O292" s="573">
        <f>SUM(N292:N293)</f>
        <v>3</v>
      </c>
      <c r="P292" s="7"/>
      <c r="Q292" s="376"/>
      <c r="R292" s="376"/>
      <c r="S292" s="376"/>
      <c r="T292" s="376"/>
      <c r="U292" s="376"/>
      <c r="V292" s="376"/>
      <c r="W292" s="376"/>
      <c r="X292" s="376"/>
      <c r="Y292" s="376"/>
      <c r="Z292" s="376"/>
      <c r="AA292" s="377"/>
      <c r="AB292" s="377"/>
      <c r="AC292" s="377"/>
      <c r="AD292" s="378"/>
      <c r="AE292" s="378"/>
      <c r="AF292" s="378"/>
      <c r="AG292" s="376"/>
      <c r="AH292" s="376"/>
      <c r="AI292" s="376"/>
      <c r="AJ292" s="379"/>
      <c r="AK292" s="379"/>
      <c r="AL292" s="379"/>
      <c r="AM292" s="379"/>
      <c r="AN292" s="365"/>
      <c r="AO292" s="365"/>
      <c r="AP292" s="365"/>
      <c r="AQ292" s="365"/>
      <c r="AR292" s="365"/>
      <c r="AS292" s="365"/>
      <c r="AT292" s="365"/>
      <c r="AU292" s="365"/>
      <c r="AV292" s="302"/>
      <c r="AW292" s="591" t="s">
        <v>264</v>
      </c>
      <c r="AX292" s="591"/>
      <c r="AY292" s="591"/>
      <c r="AZ292" s="591"/>
      <c r="BA292" s="591"/>
      <c r="BB292" s="591"/>
      <c r="BC292" s="591"/>
      <c r="BD292" s="591"/>
      <c r="BE292" s="591"/>
      <c r="BF292" s="591"/>
      <c r="BG292" s="591"/>
      <c r="BH292" s="591"/>
      <c r="BI292" s="590">
        <f>$AG$17*98.25%</f>
        <v>1918.3842558749998</v>
      </c>
      <c r="BJ292" s="590"/>
      <c r="BK292" s="590"/>
      <c r="BL292" s="590"/>
      <c r="BM292" s="594">
        <f>'FICHE DE PAIE'!AW$19</f>
        <v>6.8000000000000005E-2</v>
      </c>
      <c r="BN292" s="594"/>
      <c r="BO292" s="594"/>
      <c r="BP292" s="594"/>
      <c r="BQ292" s="592">
        <f t="shared" si="70"/>
        <v>130.45012939949999</v>
      </c>
      <c r="BR292" s="592"/>
      <c r="BS292" s="592"/>
      <c r="BT292" s="592"/>
      <c r="BU292" s="595"/>
      <c r="BV292" s="595"/>
      <c r="BW292" s="595"/>
      <c r="BX292" s="592">
        <f t="shared" si="71"/>
        <v>0</v>
      </c>
      <c r="BY292" s="592"/>
      <c r="BZ292" s="592"/>
      <c r="CA292" s="593"/>
    </row>
    <row r="293" spans="1:79" ht="15" customHeight="1">
      <c r="A293" s="424">
        <v>10</v>
      </c>
      <c r="B293" s="382">
        <v>19</v>
      </c>
      <c r="C293" s="382">
        <f t="shared" si="72"/>
        <v>292</v>
      </c>
      <c r="D293" s="383" t="str">
        <f>IF(I293='Jour Férié'!F$11,'Jour Férié'!E$11,""&amp;IF(I293='Jour Férié'!F$12,'Jour Férié'!E$12,""&amp;IF(I293='Jour Férié'!F$13,'Jour Férié'!E$13,""&amp;IF(I293='Jour Férié'!F$14,'Jour Férié'!E$14,""&amp;IF(I293='Jour Férié'!F$15,'Jour Férié'!E$15,""&amp;IF(MOD(MATCH(I293,vacances!$A$3:$A$202,1),2)=1,"vacances",""))))))</f>
        <v/>
      </c>
      <c r="E293" s="449" t="s">
        <v>370</v>
      </c>
      <c r="F293" s="449"/>
      <c r="G293" s="449"/>
      <c r="H293" s="621"/>
      <c r="I293" s="339">
        <f t="shared" si="67"/>
        <v>43392</v>
      </c>
      <c r="J293" s="7"/>
      <c r="K293" s="7"/>
      <c r="L293" s="7"/>
      <c r="M293" s="572"/>
      <c r="N293" s="323">
        <f>(IF(WEEKDAY(I290,2)=6,(COUNTIF(E290,"*"))))*AND(IF(WEEKDAY(I291,2)=7,(COUNTIF(E291,"*"))))+(IF(WEEKDAY(I291,2)=6,(COUNTIF(E291,"*"))))*AND(IF(WEEKDAY(I292,2)=7,(COUNTIF(E292,"*"))))+(IF(WEEKDAY(I292,2)=6,(COUNTIF(E292,"*"))))*AND(IF(WEEKDAY(I293,2)=7,(COUNTIF(E293,"*"))))+(IF(WEEKDAY(I293,2)=6,(COUNTIF(E293,"*"))))*AND(IF(WEEKDAY(I294,2)=7,(COUNTIF(E294,"*"))))+(IF(WEEKDAY(I294,2)=6,(COUNTIF(E294,"*"))))*AND(IF(WEEKDAY(I295,2)=7,(COUNTIF(E295,"*"))))+(IF(WEEKDAY(I295,2)=6,(COUNTIF(E295,"*"))))*AND(IF(WEEKDAY(I296,2)=7,(COUNTIF(E296,"*"))))+(IF(WEEKDAY(I296,2)=6,(COUNTIF(E296,"*"))))*AND(IF(WEEKDAY(I297,2)=7,(COUNTIF(E297,"*"))))+(IF(WEEKDAY(I297,2)=6,(COUNTIF(E297,"*"))))*AND(IF(WEEKDAY(I298,2)=7,(COUNTIF(E298,"*"))))+(IF(WEEKDAY(I298,2)=6,(COUNTIF(E298,"*"))))*AND(IF(WEEKDAY(I299,2)=7,(COUNTIF(E299,"*"))))+(IF(WEEKDAY(I299,2)=6,(COUNTIF(E299,"*"))))*AND(IF(WEEKDAY(I300,2)=7,(COUNTIF(E300,"*"))))+(IF(WEEKDAY(I300,2)=6,(COUNTIF(E300,"*"))))*AND(IF(WEEKDAY(I301,2)=7,(COUNTIF(E301,"*"))))+(IF(WEEKDAY(I301,2)=6,(COUNTIF(E301,"*"))))*AND(IF(WEEKDAY(I302,2)=7,(COUNTIF(E302,"*"))))+(IF(WEEKDAY(I302,2)=6,(COUNTIF(E302,"*"))))*AND(IF(WEEKDAY(I303,2)=7,(COUNTIF(E303,"*"))))+(IF(WEEKDAY(I303,2)=6,(COUNTIF(E303,"*"))))*AND(IF(WEEKDAY(I304,2)=7,(COUNTIF(E304,"*"))))+(IF(WEEKDAY(I304,2)=6,(COUNTIF(E304,"*"))))*AND(IF(WEEKDAY(I305,2)=7,(COUNTIF(E305,"*"))))+(IF(WEEKDAY(I305,2)=6,(COUNTIF(E305,"*"))))*AND(IF(WEEKDAY(I306,2)=7,(COUNTIF(E306,"*"))))</f>
        <v>1</v>
      </c>
      <c r="O293" s="573"/>
      <c r="P293" s="7"/>
      <c r="Q293" s="550">
        <f>Q275</f>
        <v>43374</v>
      </c>
      <c r="R293" s="550"/>
      <c r="S293" s="550"/>
      <c r="T293" s="550"/>
      <c r="U293" s="550"/>
      <c r="V293" s="550"/>
      <c r="W293" s="550"/>
      <c r="X293" s="550"/>
      <c r="Y293" s="550"/>
      <c r="Z293" s="550"/>
      <c r="AA293" s="550"/>
      <c r="AB293" s="550"/>
      <c r="AC293" s="550"/>
      <c r="AD293" s="550"/>
      <c r="AE293" s="550"/>
      <c r="AF293" s="550"/>
      <c r="AG293" s="550"/>
      <c r="AH293" s="550"/>
      <c r="AI293" s="550"/>
      <c r="AJ293" s="550"/>
      <c r="AK293" s="550"/>
      <c r="AL293" s="550"/>
      <c r="AM293" s="550"/>
      <c r="AN293" s="550"/>
      <c r="AO293" s="550"/>
      <c r="AP293" s="550"/>
      <c r="AQ293" s="550"/>
      <c r="AR293" s="550"/>
      <c r="AS293" s="550"/>
      <c r="AT293" s="550"/>
      <c r="AU293" s="550"/>
      <c r="AV293" s="303"/>
      <c r="AW293" s="591" t="s">
        <v>265</v>
      </c>
      <c r="AX293" s="591"/>
      <c r="AY293" s="591"/>
      <c r="AZ293" s="591"/>
      <c r="BA293" s="591"/>
      <c r="BB293" s="591"/>
      <c r="BC293" s="591"/>
      <c r="BD293" s="591"/>
      <c r="BE293" s="591"/>
      <c r="BF293" s="591"/>
      <c r="BG293" s="591"/>
      <c r="BH293" s="591"/>
      <c r="BI293" s="590">
        <f>$AG$17*98.25%</f>
        <v>1918.3842558749998</v>
      </c>
      <c r="BJ293" s="590"/>
      <c r="BK293" s="590"/>
      <c r="BL293" s="590"/>
      <c r="BM293" s="594">
        <f>'FICHE DE PAIE'!AW$20</f>
        <v>2.4E-2</v>
      </c>
      <c r="BN293" s="594"/>
      <c r="BO293" s="594"/>
      <c r="BP293" s="594"/>
      <c r="BQ293" s="592">
        <f t="shared" si="70"/>
        <v>46.041222140999999</v>
      </c>
      <c r="BR293" s="592"/>
      <c r="BS293" s="592"/>
      <c r="BT293" s="592"/>
      <c r="BU293" s="595"/>
      <c r="BV293" s="595"/>
      <c r="BW293" s="595"/>
      <c r="BX293" s="592">
        <f t="shared" si="71"/>
        <v>0</v>
      </c>
      <c r="BY293" s="592"/>
      <c r="BZ293" s="592"/>
      <c r="CA293" s="593"/>
    </row>
    <row r="294" spans="1:79" ht="15" customHeight="1">
      <c r="A294" s="424">
        <v>10</v>
      </c>
      <c r="B294" s="382">
        <v>20</v>
      </c>
      <c r="C294" s="382">
        <f t="shared" si="72"/>
        <v>293</v>
      </c>
      <c r="D294" s="383" t="str">
        <f>IF(I294='Jour Férié'!F$11,'Jour Férié'!E$11,""&amp;IF(I294='Jour Férié'!F$12,'Jour Férié'!E$12,""&amp;IF(I294='Jour Férié'!F$13,'Jour Férié'!E$13,""&amp;IF(I294='Jour Férié'!F$14,'Jour Férié'!E$14,""&amp;IF(I294='Jour Férié'!F$15,'Jour Férié'!E$15,""&amp;IF(MOD(MATCH(I294,vacances!$A$3:$A$202,1),2)=1,"vacances",""))))))</f>
        <v>vacances</v>
      </c>
      <c r="E294" s="449" t="s">
        <v>370</v>
      </c>
      <c r="F294" s="449"/>
      <c r="G294" s="449"/>
      <c r="H294" s="621"/>
      <c r="I294" s="339">
        <f t="shared" si="67"/>
        <v>43393</v>
      </c>
      <c r="J294" s="7"/>
      <c r="K294" s="7"/>
      <c r="L294" s="7"/>
      <c r="M294" s="572" t="s">
        <v>321</v>
      </c>
      <c r="N294" s="323">
        <f>(IF(WEEKDAY(I274,2)=5,(COUNTIF(E274,$J$1))))*AND(IF(WEEKDAY(I277,2)=1,(COUNTIF(E277,"*"))))+(IF(WEEKDAY(I275,2)=5,(COUNTIF(E275,$J$1))))*AND(IF(WEEKDAY(I278,2)=1,(COUNTIF(E278,"*"))))+(IF(WEEKDAY(I276,2)=5,(COUNTIF(E276,$J$1))))*AND(IF(WEEKDAY(I279,2)=1,(COUNTIF(E279,"*"))))+(IF(WEEKDAY(I277,2)=5,(COUNTIF(E277,$J$1))))*AND(IF(WEEKDAY(I280,2)=1,(COUNTIF(E280,"*"))))+(IF(WEEKDAY(I278,2)=5,(COUNTIF(E278,$J$1))))*AND(IF(WEEKDAY(I281,2)=1,(COUNTIF(E281,"*"))))+(IF(WEEKDAY(I279,2)=5,(COUNTIF(E279,$J$1))))*AND(IF(WEEKDAY(I282,2)=1,(COUNTIF(E282,"*"))))+(IF(WEEKDAY(I280,2)=5,(COUNTIF(E280,$J$1))))*AND(IF(WEEKDAY(I283,2)=1,(COUNTIF(E283,"*"))))+(IF(WEEKDAY(I281,2)=5,(COUNTIF(E281,$J$1))))*AND(IF(WEEKDAY(I284,2)=1,(COUNTIF(E284,"*"))))+(IF(WEEKDAY(I282,2)=5,(COUNTIF(E282,$J$1))))*AND(IF(WEEKDAY(I285,2)=1,(COUNTIF(E285,"*"))))+(IF(WEEKDAY(I283,2)=5,(COUNTIF(E283,$J$1))))*AND(IF(WEEKDAY(I286,2)=1,(COUNTIF(E286,"*"))))+(IF(WEEKDAY(I284,2)=5,(COUNTIF(E284,$J$1))))*AND(IF(WEEKDAY(I287,2)=1,(COUNTIF(E287,"*"))))+(IF(WEEKDAY(I285,2)=5,(COUNTIF(E285,$J$1))))*AND(IF(WEEKDAY(I288,2)=1,(COUNTIF(E288,"*"))))+(IF(WEEKDAY(I286,2)=5,(COUNTIF(E286,$J$1))))*AND(IF(WEEKDAY(I289,2)=1,(COUNTIF(E289,"*"))))+(IF(WEEKDAY(I287,2)=5,(COUNTIF(E287,$J$1))))*AND(IF(WEEKDAY(I290,2)=1,(COUNTIF(E290,"*"))))+(IF(WEEKDAY(I288,2)=5,(COUNTIF(E288,$J$1))))*AND(IF(WEEKDAY(I291,2)=1,(COUNTIF(E291,"*"))))+(IF(WEEKDAY(I289,2)=5,(COUNTIF(E289,$J$1))))*AND(IF(WEEKDAY(I292,2)=1,(COUNTIF(E292,"*"))))+(IF(WEEKDAY(I290,2)=5,(COUNTIF(E290,$J$1))))*AND(IF(WEEKDAY(I293,2)=1,(COUNTIF(E293,"*"))))+(IF(WEEKDAY(I291,2)=5,(COUNTIF(E291,$J$1))))*AND(IF(WEEKDAY(I294,2)=1,(COUNTIF(E294,"*"))))</f>
        <v>0</v>
      </c>
      <c r="O294" s="573">
        <f>SUM(N294:N295)</f>
        <v>0</v>
      </c>
      <c r="P294" s="7"/>
      <c r="Q294" s="281"/>
      <c r="R294" s="281"/>
      <c r="S294" s="281"/>
      <c r="T294" s="281"/>
      <c r="U294" s="281"/>
      <c r="V294" s="281"/>
      <c r="W294" s="281"/>
      <c r="X294" s="304"/>
      <c r="Y294" s="304"/>
      <c r="Z294" s="304"/>
      <c r="AA294" s="305"/>
      <c r="AB294" s="305"/>
      <c r="AC294" s="305"/>
      <c r="AD294" s="306"/>
      <c r="AE294" s="306"/>
      <c r="AF294" s="306"/>
      <c r="AG294" s="304"/>
      <c r="AH294" s="304"/>
      <c r="AI294" s="304"/>
      <c r="AJ294" s="304"/>
      <c r="AK294" s="304"/>
      <c r="AL294" s="304"/>
      <c r="AM294" s="304"/>
      <c r="AN294" s="304"/>
      <c r="AO294" s="304"/>
      <c r="AP294" s="304"/>
      <c r="AQ294" s="304"/>
      <c r="AR294" s="304"/>
      <c r="AS294" s="304"/>
      <c r="AT294" s="304"/>
      <c r="AU294" s="304"/>
      <c r="AV294" s="304"/>
      <c r="AW294" s="499" t="s">
        <v>266</v>
      </c>
      <c r="AX294" s="499"/>
      <c r="AY294" s="499"/>
      <c r="AZ294" s="499"/>
      <c r="BA294" s="499"/>
      <c r="BB294" s="499"/>
      <c r="BC294" s="499"/>
      <c r="BD294" s="499"/>
      <c r="BE294" s="499"/>
      <c r="BF294" s="499"/>
      <c r="BG294" s="499"/>
      <c r="BH294" s="499"/>
      <c r="BI294" s="590">
        <f>$AG$17*98.25%</f>
        <v>1918.3842558749998</v>
      </c>
      <c r="BJ294" s="590"/>
      <c r="BK294" s="590"/>
      <c r="BL294" s="590"/>
      <c r="BM294" s="594">
        <f>'FICHE DE PAIE'!AW$21</f>
        <v>5.0000000000000001E-3</v>
      </c>
      <c r="BN294" s="594"/>
      <c r="BO294" s="594"/>
      <c r="BP294" s="594"/>
      <c r="BQ294" s="592">
        <f t="shared" si="70"/>
        <v>9.5919212793749988</v>
      </c>
      <c r="BR294" s="592"/>
      <c r="BS294" s="592"/>
      <c r="BT294" s="592"/>
      <c r="BU294" s="595"/>
      <c r="BV294" s="595"/>
      <c r="BW294" s="595"/>
      <c r="BX294" s="592">
        <f t="shared" si="71"/>
        <v>0</v>
      </c>
      <c r="BY294" s="592"/>
      <c r="BZ294" s="592"/>
      <c r="CA294" s="593"/>
    </row>
    <row r="295" spans="1:79" ht="15" customHeight="1">
      <c r="A295" s="424">
        <v>10</v>
      </c>
      <c r="B295" s="382">
        <v>21</v>
      </c>
      <c r="C295" s="382">
        <f t="shared" si="72"/>
        <v>294</v>
      </c>
      <c r="D295" s="383" t="str">
        <f>IF(I295='Jour Férié'!F$11,'Jour Férié'!E$11,""&amp;IF(I295='Jour Férié'!F$12,'Jour Férié'!E$12,""&amp;IF(I295='Jour Férié'!F$13,'Jour Férié'!E$13,""&amp;IF(I295='Jour Férié'!F$14,'Jour Férié'!E$14,""&amp;IF(I295='Jour Férié'!F$15,'Jour Férié'!E$15,""&amp;IF(MOD(MATCH(I295,vacances!$A$3:$A$202,1),2)=1,"vacances",""))))))</f>
        <v>vacances</v>
      </c>
      <c r="E295" s="449" t="s">
        <v>370</v>
      </c>
      <c r="F295" s="449"/>
      <c r="G295" s="449"/>
      <c r="H295" s="621"/>
      <c r="I295" s="339">
        <f t="shared" si="67"/>
        <v>43394</v>
      </c>
      <c r="J295" s="7"/>
      <c r="K295" s="7"/>
      <c r="L295" s="7"/>
      <c r="M295" s="572"/>
      <c r="N295" s="323">
        <f>(IF(WEEKDAY(I292,2)=5,(COUNTIF(E292,$J$1))))*AND(IF(WEEKDAY(I295,2)=1,(COUNTIF(E295,"*"))))+(IF(WEEKDAY(I293,2)=5,(COUNTIF(E293,$J$1))))*AND(IF(WEEKDAY(I296,2)=1,(COUNTIF(E296,"*"))))+(IF(WEEKDAY(I294,2)=5,(COUNTIF(E294,$J$1))))*AND(IF(WEEKDAY(I297,2)=1,(COUNTIF(E297,"*"))))+(IF(WEEKDAY(I295,2)=5,(COUNTIF(E295,$J$1))))*AND(IF(WEEKDAY(I298,2)=1,(COUNTIF(E298,"*"))))+(IF(WEEKDAY(I296,2)=5,(COUNTIF(E296,$J$1))))*AND(IF(WEEKDAY(I299,2)=1,(COUNTIF(E299,"*"))))+(IF(WEEKDAY(I297,2)=5,(COUNTIF(E297,$J$1))))*AND(IF(WEEKDAY(I300,2)=1,(COUNTIF(E300,"*"))))+(IF(WEEKDAY(I298,2)=5,(COUNTIF(E298,$J$1))))*AND(IF(WEEKDAY(I301,2)=1,(COUNTIF(E301,"*"))))+(IF(WEEKDAY(I299,2)=5,(COUNTIF(E299,$J$1))))*AND(IF(WEEKDAY(I302,2)=1,(COUNTIF(E302,"*"))))+(IF(WEEKDAY(I300,2)=5,(COUNTIF(E300,$J$1))))*AND(IF(WEEKDAY(I303,2)=1,(COUNTIF(E303,"*"))))+(IF(WEEKDAY(I301,2)=5,(COUNTIF(E301,$J$1))))*AND(IF(WEEKDAY(I304,2)=1,(COUNTIF(E304,"*"))))+(IF(WEEKDAY(I302,2)=5,(COUNTIF(E302,$J$1))))*AND(IF(WEEKDAY(I305,2)=1,(COUNTIF(E305,"*"))))+(IF(WEEKDAY(I303,2)=5,(COUNTIF(E303,$J$1))))*AND(IF(WEEKDAY(I306,2)=1,(COUNTIF(E306,"*"))))+(IF(WEEKDAY(I304,2)=5,(COUNTIF(E304,$J$1))))*AND(IF(WEEKDAY(I307,2)=1,(COUNTIF(E307,"*"))))+(IF(WEEKDAY(I305,2)=5,(COUNTIF(E305,$J$1))))*AND(IF(WEEKDAY(I308,2)=1,(COUNTIF(E308,"*"))))</f>
        <v>0</v>
      </c>
      <c r="O295" s="573"/>
      <c r="P295" s="7"/>
      <c r="Q295" s="281"/>
      <c r="R295" s="281"/>
      <c r="S295" s="281"/>
      <c r="T295" s="281"/>
      <c r="U295" s="281"/>
      <c r="V295" s="281"/>
      <c r="W295" s="281"/>
      <c r="X295" s="307"/>
      <c r="Y295" s="307"/>
      <c r="Z295" s="307"/>
      <c r="AA295" s="308"/>
      <c r="AB295" s="308"/>
      <c r="AC295" s="308"/>
      <c r="AD295" s="309"/>
      <c r="AE295" s="309"/>
      <c r="AF295" s="309"/>
      <c r="AG295" s="307"/>
      <c r="AH295" s="307"/>
      <c r="AI295" s="307"/>
      <c r="AJ295" s="307"/>
      <c r="AK295" s="307"/>
      <c r="AL295" s="307"/>
      <c r="AM295" s="307"/>
      <c r="AN295" s="307"/>
      <c r="AO295" s="307"/>
      <c r="AP295" s="307"/>
      <c r="AQ295" s="307"/>
      <c r="AR295" s="307"/>
      <c r="AS295" s="307"/>
      <c r="AT295" s="307"/>
      <c r="AU295" s="307"/>
      <c r="AV295" s="307"/>
      <c r="AW295" s="499" t="s">
        <v>267</v>
      </c>
      <c r="AX295" s="499"/>
      <c r="AY295" s="499"/>
      <c r="AZ295" s="499"/>
      <c r="BA295" s="499"/>
      <c r="BB295" s="499"/>
      <c r="BC295" s="499"/>
      <c r="BD295" s="499"/>
      <c r="BE295" s="499"/>
      <c r="BF295" s="499"/>
      <c r="BG295" s="499"/>
      <c r="BH295" s="499"/>
      <c r="BI295" s="596">
        <f>BI291</f>
        <v>0</v>
      </c>
      <c r="BJ295" s="596"/>
      <c r="BK295" s="596"/>
      <c r="BL295" s="596"/>
      <c r="BM295" s="594">
        <f>'FICHE DE PAIE'!AW$22</f>
        <v>6.8000000000000005E-2</v>
      </c>
      <c r="BN295" s="594"/>
      <c r="BO295" s="594"/>
      <c r="BP295" s="594"/>
      <c r="BQ295" s="592">
        <f t="shared" si="70"/>
        <v>0</v>
      </c>
      <c r="BR295" s="592"/>
      <c r="BS295" s="592"/>
      <c r="BT295" s="592"/>
      <c r="BU295" s="595"/>
      <c r="BV295" s="595"/>
      <c r="BW295" s="595"/>
      <c r="BX295" s="592">
        <f t="shared" si="71"/>
        <v>0</v>
      </c>
      <c r="BY295" s="592"/>
      <c r="BZ295" s="592"/>
      <c r="CA295" s="593"/>
    </row>
    <row r="296" spans="1:79" ht="15" customHeight="1">
      <c r="A296" s="424">
        <v>10</v>
      </c>
      <c r="B296" s="382">
        <v>22</v>
      </c>
      <c r="C296" s="382">
        <f t="shared" si="72"/>
        <v>295</v>
      </c>
      <c r="D296" s="383" t="str">
        <f>IF(I296='Jour Férié'!F$11,'Jour Férié'!E$11,""&amp;IF(I296='Jour Férié'!F$12,'Jour Férié'!E$12,""&amp;IF(I296='Jour Férié'!F$13,'Jour Férié'!E$13,""&amp;IF(I296='Jour Férié'!F$14,'Jour Férié'!E$14,""&amp;IF(I296='Jour Férié'!F$15,'Jour Férié'!E$15,""&amp;IF(MOD(MATCH(I296,vacances!$A$3:$A$202,1),2)=1,"vacances",""))))))</f>
        <v>vacances</v>
      </c>
      <c r="E296" s="449"/>
      <c r="F296" s="449"/>
      <c r="G296" s="449"/>
      <c r="H296" s="621"/>
      <c r="I296" s="339">
        <f t="shared" si="67"/>
        <v>43395</v>
      </c>
      <c r="J296" s="7"/>
      <c r="K296" s="7"/>
      <c r="L296" s="7"/>
      <c r="M296" s="572" t="s">
        <v>322</v>
      </c>
      <c r="N296" s="323">
        <f>((IF(WEEKDAY(I274,2)=7,(COUNTIF(E274,"*"))))*AND(IF(WEEKDAY(I275,2)=1,(COUNTIF(E275,"*")))))*AND(COUNTBLANK(E273))+((IF(WEEKDAY(I275,2)=7,(COUNTIF(E275,"*"))))*AND(IF(WEEKDAY(I276,2)=1,(COUNTIF(E276,"*")))))*AND(COUNTBLANK(E274))+((IF(WEEKDAY(I276,2)=7,(COUNTIF(E276,"*"))))*AND(IF(WEEKDAY(I277,2)=1,(COUNTIF(E277,"*"))))*AND(COUNTBLANK(E275)))+((IF(WEEKDAY(I277,2)=7,(COUNTIF(E277,"*"))))*AND(IF(WEEKDAY(I278,2)=1,(COUNTIF(E278,"*"))))*AND(COUNTBLANK(E276)))+((IF(WEEKDAY(I278,2)=7,(COUNTIF(E278,"*"))))*AND(IF(WEEKDAY(I279,2)=1,(COUNTIF(E279,"*"))))*AND(COUNTBLANK(E277)))+((IF(WEEKDAY(I279,2)=7,(COUNTIF(E279,"*"))))*AND(IF(WEEKDAY(I280,2)=1,(COUNTIF(E280,"*"))))*AND(COUNTBLANK(E278)))+((IF(WEEKDAY(I280,2)=7,(COUNTIF(E280,"*"))))*AND(IF(WEEKDAY(I281,2)=1,(COUNTIF(E281,"*"))))*AND(COUNTBLANK(E279)))+((IF(WEEKDAY(I281,2)=7,(COUNTIF(E281,"*"))))*AND(IF(WEEKDAY(I282,2)=1,(COUNTIF(E282,"*"))))*AND(COUNTBLANK(E280)))+((IF(WEEKDAY(I282,2)=7,(COUNTIF(E282,"*"))))*AND(IF(WEEKDAY(I283,2)=1,(COUNTIF(E283,"*"))))*AND(COUNTBLANK(E281)))</f>
        <v>0</v>
      </c>
      <c r="O296" s="573">
        <f>SUM(N296:N298)</f>
        <v>0</v>
      </c>
      <c r="P296" s="7"/>
      <c r="Q296" s="281"/>
      <c r="R296" s="281"/>
      <c r="S296" s="281"/>
      <c r="T296" s="552" t="s">
        <v>272</v>
      </c>
      <c r="U296" s="552"/>
      <c r="V296" s="552"/>
      <c r="W296" s="552"/>
      <c r="X296" s="552"/>
      <c r="Y296" s="552"/>
      <c r="Z296" s="552"/>
      <c r="AA296" s="552"/>
      <c r="AB296" s="552"/>
      <c r="AC296" s="553">
        <f>BV302</f>
        <v>1583.9871809251249</v>
      </c>
      <c r="AD296" s="553"/>
      <c r="AE296" s="553"/>
      <c r="AF296" s="553"/>
      <c r="AG296" s="553"/>
      <c r="AH296" s="553"/>
      <c r="AI296" s="553"/>
      <c r="AJ296" s="553"/>
      <c r="AK296" s="553"/>
      <c r="AL296" s="553"/>
      <c r="AM296" s="553"/>
      <c r="AN296" s="553"/>
      <c r="AO296" s="553"/>
      <c r="AP296" s="553"/>
      <c r="AQ296" s="553"/>
      <c r="AR296" s="290"/>
      <c r="AS296" s="290"/>
      <c r="AT296" s="290"/>
      <c r="AU296" s="290"/>
      <c r="AV296" s="290"/>
      <c r="AW296" s="499" t="s">
        <v>268</v>
      </c>
      <c r="AX296" s="499"/>
      <c r="AY296" s="499"/>
      <c r="AZ296" s="499"/>
      <c r="BA296" s="499"/>
      <c r="BB296" s="499"/>
      <c r="BC296" s="499"/>
      <c r="BD296" s="499"/>
      <c r="BE296" s="499"/>
      <c r="BF296" s="499"/>
      <c r="BG296" s="499"/>
      <c r="BH296" s="499"/>
      <c r="BI296" s="596">
        <f>BI291</f>
        <v>0</v>
      </c>
      <c r="BJ296" s="596"/>
      <c r="BK296" s="596"/>
      <c r="BL296" s="596"/>
      <c r="BM296" s="594">
        <f>'FICHE DE PAIE'!AW$23</f>
        <v>2.9000000000000001E-2</v>
      </c>
      <c r="BN296" s="594"/>
      <c r="BO296" s="594"/>
      <c r="BP296" s="594"/>
      <c r="BQ296" s="592">
        <f t="shared" si="70"/>
        <v>0</v>
      </c>
      <c r="BR296" s="592"/>
      <c r="BS296" s="592"/>
      <c r="BT296" s="592"/>
      <c r="BU296" s="595"/>
      <c r="BV296" s="595"/>
      <c r="BW296" s="595"/>
      <c r="BX296" s="592">
        <f t="shared" si="71"/>
        <v>0</v>
      </c>
      <c r="BY296" s="592"/>
      <c r="BZ296" s="592"/>
      <c r="CA296" s="593"/>
    </row>
    <row r="297" spans="1:79" ht="15" customHeight="1">
      <c r="A297" s="424">
        <v>10</v>
      </c>
      <c r="B297" s="382">
        <v>23</v>
      </c>
      <c r="C297" s="382">
        <f t="shared" si="72"/>
        <v>296</v>
      </c>
      <c r="D297" s="383" t="str">
        <f>IF(I297='Jour Férié'!F$11,'Jour Férié'!E$11,""&amp;IF(I297='Jour Férié'!F$12,'Jour Férié'!E$12,""&amp;IF(I297='Jour Férié'!F$13,'Jour Férié'!E$13,""&amp;IF(I297='Jour Férié'!F$14,'Jour Férié'!E$14,""&amp;IF(I297='Jour Férié'!F$15,'Jour Férié'!E$15,""&amp;IF(MOD(MATCH(I297,vacances!$A$3:$A$202,1),2)=1,"vacances",""))))))</f>
        <v>vacances</v>
      </c>
      <c r="E297" s="449"/>
      <c r="F297" s="449"/>
      <c r="G297" s="449" t="s">
        <v>335</v>
      </c>
      <c r="H297" s="621"/>
      <c r="I297" s="339">
        <f t="shared" si="67"/>
        <v>43396</v>
      </c>
      <c r="J297" s="7"/>
      <c r="K297" s="7"/>
      <c r="L297" s="7"/>
      <c r="M297" s="572"/>
      <c r="N297" s="321">
        <f>((IF(WEEKDAY(I283,2)=7,(COUNTIF(E283,"*"))))*AND(IF(WEEKDAY(I284,2)=1,(COUNTIF(E284,"*"))))*AND(COUNTBLANK(E282)))+((IF(WEEKDAY(I284,2)=7,(COUNTIF(E284,"*"))))*AND(IF(WEEKDAY(I285,2)=1,(COUNTIF(E285,"*"))))*AND(COUNTBLANK(E283)))+((IF(WEEKDAY(I285,2)=7,(COUNTIF(E285,"*"))))*AND(IF(WEEKDAY(I286,2)=1,(COUNTIF(E286,"*"))))*AND(COUNTBLANK(E284)))+((IF(WEEKDAY(I286,2)=7,(COUNTIF(E286,"*"))))*AND(IF(WEEKDAY(I287,2)=1,(COUNTIF(E287,"*"))))*AND(COUNTBLANK(E285)))+((IF(WEEKDAY(I287,2)=7,(COUNTIF(E287,"*"))))*AND(IF(WEEKDAY(I288,2)=1,(COUNTIF(E288,"*"))))*AND(COUNTBLANK(E286)))+((IF(WEEKDAY(I288,2)=7,(COUNTIF(E288,"*"))))*AND(IF(WEEKDAY(I289,2)=1,(COUNTIF(E289,"*"))))*AND(COUNTBLANK(E287)))+((IF(WEEKDAY(I289,2)=7,(COUNTIF(E289,"*"))))*AND(IF(WEEKDAY(I290,2)=1,(COUNTIF(E290,"*"))))*AND(COUNTBLANK(E288)))+((IF(WEEKDAY(I290,2)=7,(COUNTIF(E290,"*"))))*AND(IF(WEEKDAY(I291,2)=1,(COUNTIF(E291,"*"))))*AND(COUNTBLANK(E289)))+((IF(WEEKDAY(I291,2)=7,(COUNTIF(E291,"*"))))*AND(IF(WEEKDAY(I292,2)=1,(COUNTIF(E292,"*"))))*AND(COUNTBLANK(E290)))+((IF(WEEKDAY(I292,2)=7,(COUNTIF(E292,"*"))))*AND(IF(WEEKDAY(I293,2)=1,(COUNTIF(E293,"*"))))*AND(COUNTBLANK(E291)))+((IF(WEEKDAY(I293,2)=7,(COUNTIF(E293,"*"))))*AND(IF(WEEKDAY(I294,2)=1,(COUNTIF(E294,"*"))))*AND(COUNTBLANK(E291)))+((IF(WEEKDAY(I294,2)=7,(COUNTIF(E294,"*"))))*AND(IF(WEEKDAY(I295,2)=1,(COUNTIF(E295,"*"))))*AND(COUNTBLANK(E292)))+((IF(WEEKDAY(I295,2)=7,(COUNTIF(E295,"*"))))*AND(IF(WEEKDAY(I296,2)=1,(COUNTIF(E296,"*"))))*AND(COUNTBLANK(E293)))</f>
        <v>0</v>
      </c>
      <c r="O297" s="573"/>
      <c r="P297" s="7"/>
      <c r="Q297" s="304"/>
      <c r="R297" s="304"/>
      <c r="S297" s="304"/>
      <c r="T297" s="552"/>
      <c r="U297" s="552"/>
      <c r="V297" s="552"/>
      <c r="W297" s="552"/>
      <c r="X297" s="552"/>
      <c r="Y297" s="552"/>
      <c r="Z297" s="552"/>
      <c r="AA297" s="552"/>
      <c r="AB297" s="552"/>
      <c r="AC297" s="553"/>
      <c r="AD297" s="553"/>
      <c r="AE297" s="553"/>
      <c r="AF297" s="553"/>
      <c r="AG297" s="553"/>
      <c r="AH297" s="553"/>
      <c r="AI297" s="553"/>
      <c r="AJ297" s="553"/>
      <c r="AK297" s="553"/>
      <c r="AL297" s="553"/>
      <c r="AM297" s="553"/>
      <c r="AN297" s="553"/>
      <c r="AO297" s="553"/>
      <c r="AP297" s="553"/>
      <c r="AQ297" s="553"/>
      <c r="AR297" s="304"/>
      <c r="AS297" s="304"/>
      <c r="AT297" s="304"/>
      <c r="AU297" s="304"/>
      <c r="AV297" s="304"/>
      <c r="AW297" s="499" t="s">
        <v>269</v>
      </c>
      <c r="AX297" s="499"/>
      <c r="AY297" s="499"/>
      <c r="AZ297" s="499"/>
      <c r="BA297" s="499"/>
      <c r="BB297" s="499"/>
      <c r="BC297" s="499"/>
      <c r="BD297" s="499"/>
      <c r="BE297" s="499"/>
      <c r="BF297" s="499"/>
      <c r="BG297" s="499"/>
      <c r="BH297" s="499"/>
      <c r="BI297" s="596"/>
      <c r="BJ297" s="596"/>
      <c r="BK297" s="596"/>
      <c r="BL297" s="596"/>
      <c r="BM297" s="590"/>
      <c r="BN297" s="590"/>
      <c r="BO297" s="590"/>
      <c r="BP297" s="590"/>
      <c r="BQ297" s="592">
        <v>9.52</v>
      </c>
      <c r="BR297" s="592"/>
      <c r="BS297" s="592"/>
      <c r="BT297" s="592"/>
      <c r="BU297" s="595"/>
      <c r="BV297" s="595"/>
      <c r="BW297" s="595"/>
      <c r="BX297" s="592">
        <f t="shared" si="71"/>
        <v>0</v>
      </c>
      <c r="BY297" s="592"/>
      <c r="BZ297" s="592"/>
      <c r="CA297" s="593"/>
    </row>
    <row r="298" spans="1:79" ht="15" customHeight="1">
      <c r="A298" s="424">
        <v>10</v>
      </c>
      <c r="B298" s="382">
        <v>24</v>
      </c>
      <c r="C298" s="382">
        <f t="shared" si="72"/>
        <v>297</v>
      </c>
      <c r="D298" s="383" t="str">
        <f>IF(I298='Jour Férié'!F$11,'Jour Férié'!E$11,""&amp;IF(I298='Jour Férié'!F$12,'Jour Férié'!E$12,""&amp;IF(I298='Jour Férié'!F$13,'Jour Férié'!E$13,""&amp;IF(I298='Jour Férié'!F$14,'Jour Férié'!E$14,""&amp;IF(I298='Jour Férié'!F$15,'Jour Férié'!E$15,""&amp;IF(MOD(MATCH(I298,vacances!$A$3:$A$202,1),2)=1,"vacances",""))))))</f>
        <v>vacances</v>
      </c>
      <c r="E298" s="449"/>
      <c r="F298" s="449"/>
      <c r="G298" s="449"/>
      <c r="H298" s="621"/>
      <c r="I298" s="339">
        <f t="shared" si="67"/>
        <v>43397</v>
      </c>
      <c r="J298" s="614"/>
      <c r="K298" s="614"/>
      <c r="L298" s="614"/>
      <c r="M298" s="572"/>
      <c r="N298" s="321">
        <f>((IF(WEEKDAY(I296,2)=7,(COUNTIF(E296,"*"))))*AND(IF(WEEKDAY(I297,2)=1,(COUNTIF(E297,"*"))))*AND(COUNTBLANK(E294)))+((IF(WEEKDAY(I297,2)=7,(COUNTIF(E297,"*"))))*AND(IF(WEEKDAY(I298,2)=1,(COUNTIF(E298,"*"))))*AND(COUNTBLANK(E295)))+((IF(WEEKDAY(I298,2)=7,(COUNTIF(E298,"*"))))*AND(IF(WEEKDAY(I299,2)=1,(COUNTIF(E299,"*"))))*AND(COUNTBLANK(E295)))+((IF(WEEKDAY(I299,2)=7,(COUNTIF(E299,"*"))))*AND(IF(WEEKDAY(I300,2)=1,(COUNTIF(E300,"*"))))*AND(COUNTBLANK(E297)))+((IF(WEEKDAY(I300,2)=7,(COUNTIF(E300,"*"))))*AND(IF(WEEKDAY(I301,2)=1,(COUNTIF(E301,"*"))))*AND(COUNTBLANK(E298)))+((IF(WEEKDAY(I301,2)=7,(COUNTIF(E301,"*"))))*AND(IF(WEEKDAY(I302,2)=1,(COUNTIF(E302,"*"))))*AND(COUNTBLANK(E299)))+((IF(WEEKDAY(I302,2)=7,(COUNTIF(E302,"*"))))*AND(IF(WEEKDAY(I303,2)=1,(COUNTIF(E303,"*"))))*AND(COUNTBLANK(E300)))+((IF(WEEKDAY(I303,2)=7,(COUNTIF(E303,"*"))))*AND(IF(WEEKDAY(I304,2)=1,(COUNTIF(E304,"*"))))*AND(COUNTBLANK(E301)))+((IF(WEEKDAY(I304,2)=7,(COUNTIF(E304,"*"))))*AND(IF(WEEKDAY(I305,2)=1,(COUNTIF(E305,"*"))))*AND(COUNTBLANK(E302)))+((IF(WEEKDAY(I305,2)=7,(COUNTIF(E305,"*"))))*AND(IF(WEEKDAY(I306,2)=1,(COUNTIF(E306,"*"))))*AND(COUNTBLANK(E303)))</f>
        <v>0</v>
      </c>
      <c r="O298" s="573"/>
      <c r="P298" s="7"/>
      <c r="Q298" s="307"/>
      <c r="R298" s="307"/>
      <c r="S298" s="307"/>
      <c r="T298" s="552"/>
      <c r="U298" s="552"/>
      <c r="V298" s="552"/>
      <c r="W298" s="552"/>
      <c r="X298" s="552"/>
      <c r="Y298" s="552"/>
      <c r="Z298" s="552"/>
      <c r="AA298" s="552"/>
      <c r="AB298" s="552"/>
      <c r="AC298" s="553"/>
      <c r="AD298" s="553"/>
      <c r="AE298" s="553"/>
      <c r="AF298" s="553"/>
      <c r="AG298" s="553"/>
      <c r="AH298" s="553"/>
      <c r="AI298" s="553"/>
      <c r="AJ298" s="553"/>
      <c r="AK298" s="553"/>
      <c r="AL298" s="553"/>
      <c r="AM298" s="553"/>
      <c r="AN298" s="553"/>
      <c r="AO298" s="553"/>
      <c r="AP298" s="553"/>
      <c r="AQ298" s="553"/>
      <c r="AR298" s="307"/>
      <c r="AS298" s="307"/>
      <c r="AT298" s="307"/>
      <c r="AU298" s="307"/>
      <c r="AV298" s="307"/>
      <c r="AW298" s="591"/>
      <c r="AX298" s="591"/>
      <c r="AY298" s="591"/>
      <c r="AZ298" s="591"/>
      <c r="BA298" s="591"/>
      <c r="BB298" s="591"/>
      <c r="BC298" s="591"/>
      <c r="BD298" s="591"/>
      <c r="BE298" s="591"/>
      <c r="BF298" s="591"/>
      <c r="BG298" s="591"/>
      <c r="BH298" s="591"/>
      <c r="BI298" s="590">
        <f>$Y$28</f>
        <v>0</v>
      </c>
      <c r="BJ298" s="590"/>
      <c r="BK298" s="590"/>
      <c r="BL298" s="590"/>
      <c r="BM298" s="590"/>
      <c r="BN298" s="590"/>
      <c r="BO298" s="590"/>
      <c r="BP298" s="590"/>
      <c r="BQ298" s="592">
        <f>BI298*BM298</f>
        <v>0</v>
      </c>
      <c r="BR298" s="592"/>
      <c r="BS298" s="592"/>
      <c r="BT298" s="592"/>
      <c r="BU298" s="595"/>
      <c r="BV298" s="595"/>
      <c r="BW298" s="595"/>
      <c r="BX298" s="592">
        <f t="shared" si="71"/>
        <v>0</v>
      </c>
      <c r="BY298" s="592"/>
      <c r="BZ298" s="592"/>
      <c r="CA298" s="593"/>
    </row>
    <row r="299" spans="1:79" ht="15" customHeight="1">
      <c r="A299" s="424">
        <v>10</v>
      </c>
      <c r="B299" s="382">
        <v>25</v>
      </c>
      <c r="C299" s="382">
        <f t="shared" si="72"/>
        <v>298</v>
      </c>
      <c r="D299" s="383" t="str">
        <f>IF(I299='Jour Férié'!F$11,'Jour Férié'!E$11,""&amp;IF(I299='Jour Férié'!F$12,'Jour Férié'!E$12,""&amp;IF(I299='Jour Férié'!F$13,'Jour Férié'!E$13,""&amp;IF(I299='Jour Férié'!F$14,'Jour Férié'!E$14,""&amp;IF(I299='Jour Férié'!F$15,'Jour Férié'!E$15,""&amp;IF(MOD(MATCH(I299,vacances!$A$3:$A$202,1),2)=1,"vacances",""))))))</f>
        <v>vacances</v>
      </c>
      <c r="E299" s="449" t="s">
        <v>371</v>
      </c>
      <c r="F299" s="449"/>
      <c r="G299" s="449" t="s">
        <v>335</v>
      </c>
      <c r="H299" s="621"/>
      <c r="I299" s="339">
        <f t="shared" si="67"/>
        <v>43398</v>
      </c>
      <c r="J299" s="614"/>
      <c r="K299" s="614"/>
      <c r="L299" s="321"/>
      <c r="M299" s="7"/>
      <c r="N299" s="7"/>
      <c r="O299" s="340"/>
      <c r="P299" s="7"/>
      <c r="Q299" s="290"/>
      <c r="R299" s="290"/>
      <c r="S299" s="290"/>
      <c r="T299" s="290"/>
      <c r="U299" s="290"/>
      <c r="V299" s="290"/>
      <c r="W299" s="290"/>
      <c r="X299" s="290"/>
      <c r="Y299" s="290"/>
      <c r="Z299" s="290"/>
      <c r="AA299" s="310"/>
      <c r="AB299" s="310"/>
      <c r="AC299" s="553"/>
      <c r="AD299" s="553"/>
      <c r="AE299" s="553"/>
      <c r="AF299" s="553"/>
      <c r="AG299" s="553"/>
      <c r="AH299" s="553"/>
      <c r="AI299" s="553"/>
      <c r="AJ299" s="553"/>
      <c r="AK299" s="553"/>
      <c r="AL299" s="553"/>
      <c r="AM299" s="553"/>
      <c r="AN299" s="553"/>
      <c r="AO299" s="553"/>
      <c r="AP299" s="553"/>
      <c r="AQ299" s="553"/>
      <c r="AR299" s="290"/>
      <c r="AS299" s="290"/>
      <c r="AT299" s="290"/>
      <c r="AU299" s="290"/>
      <c r="AV299" s="290"/>
      <c r="AW299" s="562" t="s">
        <v>270</v>
      </c>
      <c r="AX299" s="562"/>
      <c r="AY299" s="562"/>
      <c r="AZ299" s="562"/>
      <c r="BA299" s="562"/>
      <c r="BB299" s="562"/>
      <c r="BC299" s="562"/>
      <c r="BD299" s="562"/>
      <c r="BE299" s="562"/>
      <c r="BF299" s="562"/>
      <c r="BG299" s="562"/>
      <c r="BH299" s="562"/>
      <c r="BI299" s="587"/>
      <c r="BJ299" s="587"/>
      <c r="BK299" s="587"/>
      <c r="BL299" s="587"/>
      <c r="BM299" s="588">
        <f>SUM(BM278:BP298)</f>
        <v>0.32090000000000002</v>
      </c>
      <c r="BN299" s="588"/>
      <c r="BO299" s="588"/>
      <c r="BP299" s="588"/>
      <c r="BQ299" s="586">
        <f>SUM(BQ278:BT298)</f>
        <v>443.38236907487493</v>
      </c>
      <c r="BR299" s="586"/>
      <c r="BS299" s="586"/>
      <c r="BT299" s="586"/>
      <c r="BU299" s="311"/>
      <c r="BV299" s="7"/>
      <c r="BW299" s="7"/>
      <c r="BX299" s="586">
        <f>SUM(BX278:CA298)</f>
        <v>807.69346695699983</v>
      </c>
      <c r="BY299" s="586"/>
      <c r="BZ299" s="586"/>
      <c r="CA299" s="589"/>
    </row>
    <row r="300" spans="1:79" ht="15" customHeight="1">
      <c r="A300" s="424">
        <v>10</v>
      </c>
      <c r="B300" s="382">
        <v>26</v>
      </c>
      <c r="C300" s="382">
        <f t="shared" si="72"/>
        <v>299</v>
      </c>
      <c r="D300" s="383" t="str">
        <f>IF(I300='Jour Férié'!F$11,'Jour Férié'!E$11,""&amp;IF(I300='Jour Férié'!F$12,'Jour Férié'!E$12,""&amp;IF(I300='Jour Férié'!F$13,'Jour Férié'!E$13,""&amp;IF(I300='Jour Férié'!F$14,'Jour Férié'!E$14,""&amp;IF(I300='Jour Férié'!F$15,'Jour Férié'!E$15,""&amp;IF(MOD(MATCH(I300,vacances!$A$3:$A$202,1),2)=1,"vacances",""))))))</f>
        <v>vacances</v>
      </c>
      <c r="E300" s="449" t="s">
        <v>371</v>
      </c>
      <c r="F300" s="449"/>
      <c r="G300" s="449"/>
      <c r="H300" s="621"/>
      <c r="I300" s="339">
        <f t="shared" si="67"/>
        <v>43399</v>
      </c>
      <c r="J300" s="287"/>
      <c r="K300" s="287"/>
      <c r="L300" s="501"/>
      <c r="M300" s="398" t="s">
        <v>323</v>
      </c>
      <c r="N300" s="569">
        <f>SUM(O292:O298)</f>
        <v>3</v>
      </c>
      <c r="O300" s="569"/>
      <c r="P300" s="7"/>
      <c r="Q300" s="304"/>
      <c r="R300" s="304"/>
      <c r="S300" s="304"/>
      <c r="T300" s="304"/>
      <c r="U300" s="304"/>
      <c r="V300" s="304"/>
      <c r="W300" s="304"/>
      <c r="X300" s="304"/>
      <c r="Y300" s="304"/>
      <c r="Z300" s="304"/>
      <c r="AA300" s="305"/>
      <c r="AB300" s="305"/>
      <c r="AC300" s="553"/>
      <c r="AD300" s="553"/>
      <c r="AE300" s="553"/>
      <c r="AF300" s="553"/>
      <c r="AG300" s="553"/>
      <c r="AH300" s="553"/>
      <c r="AI300" s="553"/>
      <c r="AJ300" s="553"/>
      <c r="AK300" s="553"/>
      <c r="AL300" s="553"/>
      <c r="AM300" s="553"/>
      <c r="AN300" s="553"/>
      <c r="AO300" s="553"/>
      <c r="AP300" s="553"/>
      <c r="AQ300" s="553"/>
      <c r="AR300" s="304"/>
      <c r="AS300" s="304"/>
      <c r="AT300" s="304"/>
      <c r="AU300" s="304"/>
      <c r="AV300" s="304"/>
      <c r="AW300" s="312" t="s">
        <v>271</v>
      </c>
      <c r="AX300" s="312"/>
      <c r="AY300" s="312"/>
      <c r="AZ300" s="312"/>
      <c r="BA300" s="312"/>
      <c r="BB300" s="312"/>
      <c r="BC300" s="312"/>
      <c r="BD300" s="313"/>
      <c r="BE300" s="313"/>
      <c r="BF300" s="313"/>
      <c r="BG300" s="313"/>
      <c r="BH300" s="313"/>
      <c r="BI300" s="569">
        <f>O278</f>
        <v>13</v>
      </c>
      <c r="BJ300" s="569"/>
      <c r="BK300" s="569"/>
      <c r="BL300" s="569"/>
      <c r="BM300" s="590">
        <f>'FICHE DE PAIE'!AW$27</f>
        <v>3.5259999999999998</v>
      </c>
      <c r="BN300" s="590"/>
      <c r="BO300" s="590"/>
      <c r="BP300" s="590"/>
      <c r="BQ300" s="381">
        <f>BI300*BM300</f>
        <v>45.837999999999994</v>
      </c>
      <c r="BR300" s="381"/>
      <c r="BS300" s="381"/>
      <c r="BT300" s="381"/>
      <c r="BU300" s="314"/>
      <c r="BV300" s="7"/>
      <c r="BW300" s="7"/>
      <c r="BX300" s="7"/>
      <c r="BY300" s="7"/>
      <c r="BZ300" s="7"/>
      <c r="CA300" s="315"/>
    </row>
    <row r="301" spans="1:79" ht="15" customHeight="1">
      <c r="A301" s="424">
        <v>10</v>
      </c>
      <c r="B301" s="382">
        <v>27</v>
      </c>
      <c r="C301" s="382">
        <f t="shared" si="72"/>
        <v>300</v>
      </c>
      <c r="D301" s="383" t="str">
        <f>IF(I301='Jour Férié'!F$11,'Jour Férié'!E$11,""&amp;IF(I301='Jour Férié'!F$12,'Jour Férié'!E$12,""&amp;IF(I301='Jour Férié'!F$13,'Jour Férié'!E$13,""&amp;IF(I301='Jour Férié'!F$14,'Jour Férié'!E$14,""&amp;IF(I301='Jour Férié'!F$15,'Jour Férié'!E$15,""&amp;IF(MOD(MATCH(I301,vacances!$A$3:$A$202,1),2)=1,"vacances",""))))))</f>
        <v>vacances</v>
      </c>
      <c r="E301" s="449"/>
      <c r="F301" s="449"/>
      <c r="G301" s="449"/>
      <c r="H301" s="621"/>
      <c r="I301" s="339">
        <f t="shared" si="67"/>
        <v>43400</v>
      </c>
      <c r="J301" s="287"/>
      <c r="K301" s="287"/>
      <c r="L301" s="322"/>
      <c r="M301" s="7"/>
      <c r="N301" s="7"/>
      <c r="O301" s="340"/>
      <c r="P301" s="7"/>
      <c r="Q301" s="307"/>
      <c r="R301" s="307"/>
      <c r="S301" s="307"/>
      <c r="T301" s="307"/>
      <c r="U301" s="307"/>
      <c r="V301" s="307"/>
      <c r="W301" s="307"/>
      <c r="X301" s="307"/>
      <c r="Y301" s="307"/>
      <c r="Z301" s="307"/>
      <c r="AA301" s="308"/>
      <c r="AB301" s="308"/>
      <c r="AC301" s="553"/>
      <c r="AD301" s="553"/>
      <c r="AE301" s="553"/>
      <c r="AF301" s="553"/>
      <c r="AG301" s="553"/>
      <c r="AH301" s="553"/>
      <c r="AI301" s="553"/>
      <c r="AJ301" s="553"/>
      <c r="AK301" s="553"/>
      <c r="AL301" s="553"/>
      <c r="AM301" s="553"/>
      <c r="AN301" s="553"/>
      <c r="AO301" s="553"/>
      <c r="AP301" s="553"/>
      <c r="AQ301" s="553"/>
      <c r="AR301" s="307"/>
      <c r="AS301" s="307"/>
      <c r="AT301" s="307"/>
      <c r="AU301" s="307"/>
      <c r="AV301" s="307"/>
      <c r="AW301" s="550">
        <f>Q275</f>
        <v>43374</v>
      </c>
      <c r="AX301" s="550"/>
      <c r="AY301" s="550"/>
      <c r="AZ301" s="550"/>
      <c r="BA301" s="550"/>
      <c r="BB301" s="550"/>
      <c r="BC301" s="550"/>
      <c r="BD301" s="550"/>
      <c r="BE301" s="550"/>
      <c r="BF301" s="550"/>
      <c r="BG301" s="550"/>
      <c r="BH301" s="550"/>
      <c r="BI301" s="550"/>
      <c r="BJ301" s="550"/>
      <c r="BK301" s="550"/>
      <c r="BL301" s="550"/>
      <c r="BM301" s="550"/>
      <c r="BN301" s="550"/>
      <c r="BO301" s="550"/>
      <c r="BP301" s="550"/>
      <c r="BQ301" s="550"/>
      <c r="BR301" s="550"/>
      <c r="BS301" s="550"/>
      <c r="BT301" s="550"/>
      <c r="BU301" s="550"/>
      <c r="BV301" s="550"/>
      <c r="BW301" s="550"/>
      <c r="BX301" s="550"/>
      <c r="BY301" s="550"/>
      <c r="BZ301" s="550"/>
      <c r="CA301" s="551"/>
    </row>
    <row r="302" spans="1:79" ht="15" customHeight="1">
      <c r="A302" s="424">
        <v>10</v>
      </c>
      <c r="B302" s="382">
        <v>28</v>
      </c>
      <c r="C302" s="382">
        <f t="shared" si="72"/>
        <v>301</v>
      </c>
      <c r="D302" s="383" t="str">
        <f>IF(I302='Jour Férié'!F$11,'Jour Férié'!E$11,""&amp;IF(I302='Jour Férié'!F$12,'Jour Férié'!E$12,""&amp;IF(I302='Jour Férié'!F$13,'Jour Férié'!E$13,""&amp;IF(I302='Jour Férié'!F$14,'Jour Férié'!E$14,""&amp;IF(I302='Jour Férié'!F$15,'Jour Férié'!E$15,""&amp;IF(MOD(MATCH(I302,vacances!$A$3:$A$202,1),2)=1,"vacances",""))))))</f>
        <v>vacances</v>
      </c>
      <c r="E302" s="449"/>
      <c r="F302" s="449"/>
      <c r="G302" s="449"/>
      <c r="H302" s="621"/>
      <c r="I302" s="339">
        <f t="shared" si="67"/>
        <v>43401</v>
      </c>
      <c r="J302" s="287"/>
      <c r="K302" s="321"/>
      <c r="L302" s="323"/>
      <c r="M302" s="7"/>
      <c r="N302" s="7"/>
      <c r="O302" s="340"/>
      <c r="P302" s="7"/>
      <c r="Q302" s="290"/>
      <c r="R302" s="290"/>
      <c r="S302" s="290"/>
      <c r="T302" s="290"/>
      <c r="U302" s="290"/>
      <c r="V302" s="290"/>
      <c r="W302" s="290"/>
      <c r="X302" s="290"/>
      <c r="Y302" s="290"/>
      <c r="Z302" s="290"/>
      <c r="AA302" s="310"/>
      <c r="AB302" s="310"/>
      <c r="AC302" s="553"/>
      <c r="AD302" s="553"/>
      <c r="AE302" s="553"/>
      <c r="AF302" s="553"/>
      <c r="AG302" s="553"/>
      <c r="AH302" s="553"/>
      <c r="AI302" s="553"/>
      <c r="AJ302" s="553"/>
      <c r="AK302" s="553"/>
      <c r="AL302" s="553"/>
      <c r="AM302" s="553"/>
      <c r="AN302" s="553"/>
      <c r="AO302" s="553"/>
      <c r="AP302" s="553"/>
      <c r="AQ302" s="553"/>
      <c r="AR302" s="290"/>
      <c r="AS302" s="290"/>
      <c r="AT302" s="290"/>
      <c r="AU302" s="290"/>
      <c r="AV302" s="290"/>
      <c r="AW302" s="313"/>
      <c r="AX302" s="313"/>
      <c r="AY302" s="313"/>
      <c r="AZ302" s="313"/>
      <c r="BA302" s="313"/>
      <c r="BB302" s="313"/>
      <c r="BC302" s="313"/>
      <c r="BD302" s="313"/>
      <c r="BE302" s="313"/>
      <c r="BF302" s="313"/>
      <c r="BG302" s="313"/>
      <c r="BH302" s="313"/>
      <c r="BI302" s="313"/>
      <c r="BJ302" s="313"/>
      <c r="BK302" s="313"/>
      <c r="BL302" s="316"/>
      <c r="BM302" s="316"/>
      <c r="BN302" s="587" t="s">
        <v>272</v>
      </c>
      <c r="BO302" s="587"/>
      <c r="BP302" s="587"/>
      <c r="BQ302" s="587"/>
      <c r="BR302" s="587"/>
      <c r="BS302" s="587"/>
      <c r="BT302" s="587"/>
      <c r="BU302" s="587"/>
      <c r="BV302" s="597">
        <f>AG291-BQ299+BQ300</f>
        <v>1583.9871809251249</v>
      </c>
      <c r="BW302" s="597"/>
      <c r="BX302" s="597"/>
      <c r="BY302" s="597"/>
      <c r="BZ302" s="597"/>
      <c r="CA302" s="598"/>
    </row>
    <row r="303" spans="1:79" ht="15" customHeight="1">
      <c r="A303" s="424">
        <v>10</v>
      </c>
      <c r="B303" s="382">
        <v>29</v>
      </c>
      <c r="C303" s="382">
        <f t="shared" si="72"/>
        <v>302</v>
      </c>
      <c r="D303" s="383" t="str">
        <f>IF(I303='Jour Férié'!F$11,'Jour Férié'!E$11,""&amp;IF(I303='Jour Férié'!F$12,'Jour Férié'!E$12,""&amp;IF(I303='Jour Férié'!F$13,'Jour Férié'!E$13,""&amp;IF(I303='Jour Férié'!F$14,'Jour Férié'!E$14,""&amp;IF(I303='Jour Férié'!F$15,'Jour Férié'!E$15,""&amp;IF(MOD(MATCH(I303,vacances!$A$3:$A$202,1),2)=1,"vacances",""))))))</f>
        <v>vacances</v>
      </c>
      <c r="E303" s="449"/>
      <c r="F303" s="449" t="s">
        <v>369</v>
      </c>
      <c r="G303" s="449"/>
      <c r="H303" s="621"/>
      <c r="I303" s="339">
        <f t="shared" si="67"/>
        <v>43402</v>
      </c>
      <c r="J303" s="287"/>
      <c r="K303" s="321"/>
      <c r="L303" s="323"/>
      <c r="M303" s="7"/>
      <c r="N303" s="7"/>
      <c r="O303" s="340"/>
      <c r="P303" s="7"/>
      <c r="Q303" s="304"/>
      <c r="R303" s="304"/>
      <c r="S303" s="304"/>
      <c r="T303" s="304"/>
      <c r="U303" s="304"/>
      <c r="V303" s="304"/>
      <c r="W303" s="304"/>
      <c r="X303" s="304"/>
      <c r="Y303" s="304"/>
      <c r="Z303" s="304"/>
      <c r="AA303" s="305"/>
      <c r="AB303" s="305"/>
      <c r="AC303" s="553"/>
      <c r="AD303" s="553"/>
      <c r="AE303" s="553"/>
      <c r="AF303" s="553"/>
      <c r="AG303" s="553"/>
      <c r="AH303" s="553"/>
      <c r="AI303" s="553"/>
      <c r="AJ303" s="553"/>
      <c r="AK303" s="553"/>
      <c r="AL303" s="553"/>
      <c r="AM303" s="553"/>
      <c r="AN303" s="553"/>
      <c r="AO303" s="553"/>
      <c r="AP303" s="553"/>
      <c r="AQ303" s="553"/>
      <c r="AR303" s="304"/>
      <c r="AS303" s="304"/>
      <c r="AT303" s="304"/>
      <c r="AU303" s="304"/>
      <c r="AV303" s="304"/>
      <c r="AW303" s="317"/>
      <c r="AX303" s="317"/>
      <c r="AY303" s="317"/>
      <c r="AZ303" s="317"/>
      <c r="BA303" s="317"/>
      <c r="BB303" s="317"/>
      <c r="BC303" s="317"/>
      <c r="BD303" s="317"/>
      <c r="BE303" s="317"/>
      <c r="BF303" s="317"/>
      <c r="BG303" s="317"/>
      <c r="BH303" s="317"/>
      <c r="BI303" s="317"/>
      <c r="BJ303" s="317"/>
      <c r="BK303" s="317"/>
      <c r="BL303" s="585" t="s">
        <v>273</v>
      </c>
      <c r="BM303" s="585"/>
      <c r="BN303" s="585"/>
      <c r="BO303" s="585"/>
      <c r="BP303" s="585"/>
      <c r="BQ303" s="585"/>
      <c r="BR303" s="585"/>
      <c r="BS303" s="585"/>
      <c r="BT303" s="585"/>
      <c r="BU303" s="586">
        <f>BV302-BQ299+BQ300</f>
        <v>1186.4428118502499</v>
      </c>
      <c r="BV303" s="586"/>
      <c r="BW303" s="586"/>
      <c r="BX303" s="586"/>
      <c r="BY303" s="586"/>
      <c r="BZ303" s="586"/>
      <c r="CA303" s="341"/>
    </row>
    <row r="304" spans="1:79" ht="15" customHeight="1">
      <c r="A304" s="424">
        <v>10</v>
      </c>
      <c r="B304" s="382">
        <v>30</v>
      </c>
      <c r="C304" s="382">
        <f t="shared" si="72"/>
        <v>303</v>
      </c>
      <c r="D304" s="383" t="str">
        <f>IF(I304='Jour Férié'!F$11,'Jour Férié'!E$11,""&amp;IF(I304='Jour Férié'!F$12,'Jour Férié'!E$12,""&amp;IF(I304='Jour Férié'!F$13,'Jour Férié'!E$13,""&amp;IF(I304='Jour Férié'!F$14,'Jour Férié'!E$14,""&amp;IF(I304='Jour Férié'!F$15,'Jour Férié'!E$15,""&amp;IF(MOD(MATCH(I304,vacances!$A$3:$A$202,1),2)=1,"vacances",""))))))</f>
        <v>vacances</v>
      </c>
      <c r="E304" s="449" t="s">
        <v>371</v>
      </c>
      <c r="F304" s="449"/>
      <c r="G304" s="449"/>
      <c r="H304" s="621"/>
      <c r="I304" s="339">
        <f t="shared" si="67"/>
        <v>43403</v>
      </c>
      <c r="J304" s="287"/>
      <c r="K304" s="321"/>
      <c r="L304" s="323"/>
      <c r="M304" s="7"/>
      <c r="N304" s="7"/>
      <c r="O304" s="340"/>
      <c r="P304" s="7"/>
      <c r="Q304" s="7"/>
      <c r="R304" s="7"/>
      <c r="S304" s="7"/>
      <c r="T304" s="7"/>
      <c r="U304" s="7"/>
      <c r="V304" s="7"/>
      <c r="W304" s="7"/>
      <c r="X304" s="7"/>
      <c r="Y304" s="7"/>
      <c r="Z304" s="7"/>
      <c r="AA304" s="340"/>
      <c r="AB304" s="340"/>
      <c r="AC304" s="340"/>
      <c r="AD304" s="351"/>
      <c r="AE304" s="351"/>
      <c r="AF304" s="351"/>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315"/>
    </row>
    <row r="305" spans="1:79" ht="15" customHeight="1" thickBot="1">
      <c r="A305" s="426">
        <v>10</v>
      </c>
      <c r="B305" s="427">
        <v>31</v>
      </c>
      <c r="C305" s="427">
        <f t="shared" si="72"/>
        <v>304</v>
      </c>
      <c r="D305" s="428" t="str">
        <f>IF(I305='Jour Férié'!F$11,'Jour Férié'!E$11,""&amp;IF(I305='Jour Férié'!F$12,'Jour Férié'!E$12,""&amp;IF(I305='Jour Férié'!F$13,'Jour Férié'!E$13,""&amp;IF(I305='Jour Férié'!F$14,'Jour Férié'!E$14,""&amp;IF(I305='Jour Férié'!F$15,'Jour Férié'!E$15,""&amp;IF(MOD(MATCH(I305,vacances!$A$3:$A$202,1),2)=1,"vacances",""))))))</f>
        <v>vacances</v>
      </c>
      <c r="E305" s="449" t="s">
        <v>371</v>
      </c>
      <c r="F305" s="449"/>
      <c r="G305" s="449"/>
      <c r="H305" s="622"/>
      <c r="I305" s="344">
        <f t="shared" si="67"/>
        <v>43404</v>
      </c>
      <c r="J305" s="345"/>
      <c r="K305" s="345"/>
      <c r="L305" s="345"/>
      <c r="M305" s="345"/>
      <c r="N305" s="345"/>
      <c r="O305" s="346"/>
      <c r="P305" s="345"/>
      <c r="Q305" s="345"/>
      <c r="R305" s="345"/>
      <c r="S305" s="345"/>
      <c r="T305" s="345"/>
      <c r="U305" s="345"/>
      <c r="V305" s="345"/>
      <c r="W305" s="345"/>
      <c r="X305" s="345"/>
      <c r="Y305" s="345"/>
      <c r="Z305" s="345"/>
      <c r="AA305" s="346"/>
      <c r="AB305" s="346"/>
      <c r="AC305" s="346"/>
      <c r="AD305" s="352"/>
      <c r="AE305" s="352"/>
      <c r="AF305" s="352"/>
      <c r="AG305" s="345"/>
      <c r="AH305" s="345"/>
      <c r="AI305" s="345"/>
      <c r="AJ305" s="345"/>
      <c r="AK305" s="345"/>
      <c r="AL305" s="345"/>
      <c r="AM305" s="345"/>
      <c r="AN305" s="345"/>
      <c r="AO305" s="345"/>
      <c r="AP305" s="345"/>
      <c r="AQ305" s="345"/>
      <c r="AR305" s="345"/>
      <c r="AS305" s="345"/>
      <c r="AT305" s="345"/>
      <c r="AU305" s="345"/>
      <c r="AV305" s="345"/>
      <c r="AW305" s="345"/>
      <c r="AX305" s="345"/>
      <c r="AY305" s="345"/>
      <c r="AZ305" s="345"/>
      <c r="BA305" s="345"/>
      <c r="BB305" s="345"/>
      <c r="BC305" s="345"/>
      <c r="BD305" s="345"/>
      <c r="BE305" s="345"/>
      <c r="BF305" s="345"/>
      <c r="BG305" s="345"/>
      <c r="BH305" s="345"/>
      <c r="BI305" s="345"/>
      <c r="BJ305" s="345"/>
      <c r="BK305" s="345"/>
      <c r="BL305" s="345"/>
      <c r="BM305" s="345"/>
      <c r="BN305" s="345"/>
      <c r="BO305" s="345"/>
      <c r="BP305" s="345"/>
      <c r="BQ305" s="345"/>
      <c r="BR305" s="345"/>
      <c r="BS305" s="345"/>
      <c r="BT305" s="345"/>
      <c r="BU305" s="345"/>
      <c r="BV305" s="345"/>
      <c r="BW305" s="345"/>
      <c r="BX305" s="345"/>
      <c r="BY305" s="345"/>
      <c r="BZ305" s="345"/>
      <c r="CA305" s="353"/>
    </row>
    <row r="306" spans="1:79" ht="15" customHeight="1">
      <c r="A306" s="326">
        <v>11</v>
      </c>
      <c r="B306" s="327">
        <v>1</v>
      </c>
      <c r="C306" s="327">
        <f t="shared" si="72"/>
        <v>305</v>
      </c>
      <c r="D306" s="413" t="str">
        <f>IF(I306='Jour Férié'!F$13,'Jour Férié'!E$13,""&amp;IF(I306='Jour Férié'!F$14,'Jour Férié'!E$14,""&amp;IF(I306='Jour Férié'!F$15,'Jour Férié'!E$15,""&amp;IF(I306='Jour Férié'!B$13,'Jour Férié'!A$13,""&amp;IF(I306='Jour Férié'!B$14,'Jour Férié'!A$14,""&amp;IF(MOD(MATCH(I306,vacances!$A$3:$A$202,1),2)=1,"vacances",""))))))</f>
        <v>La Toussaint</v>
      </c>
      <c r="E306" s="489"/>
      <c r="F306" s="489"/>
      <c r="G306" s="489"/>
      <c r="H306" s="623" t="s">
        <v>63</v>
      </c>
      <c r="I306" s="414">
        <f>DATE(annee,11,1)</f>
        <v>43405</v>
      </c>
      <c r="J306" s="415" t="s">
        <v>201</v>
      </c>
      <c r="K306" s="416" t="s">
        <v>202</v>
      </c>
      <c r="L306" s="325"/>
      <c r="M306" s="417" t="s">
        <v>203</v>
      </c>
      <c r="N306" s="417"/>
      <c r="O306" s="418">
        <f>(COUNTIF($E306:$E335,$J306))</f>
        <v>0</v>
      </c>
      <c r="P306" s="327"/>
      <c r="Q306" s="560">
        <f>DATE(annee,11,1)</f>
        <v>43405</v>
      </c>
      <c r="R306" s="560"/>
      <c r="S306" s="560"/>
      <c r="T306" s="560"/>
      <c r="U306" s="560"/>
      <c r="V306" s="560"/>
      <c r="W306" s="560"/>
      <c r="X306" s="560"/>
      <c r="Y306" s="560"/>
      <c r="Z306" s="560"/>
      <c r="AA306" s="560"/>
      <c r="AB306" s="560"/>
      <c r="AC306" s="560"/>
      <c r="AD306" s="560"/>
      <c r="AE306" s="560"/>
      <c r="AF306" s="560"/>
      <c r="AG306" s="560"/>
      <c r="AH306" s="560"/>
      <c r="AI306" s="560"/>
      <c r="AJ306" s="560"/>
      <c r="AK306" s="560"/>
      <c r="AL306" s="560"/>
      <c r="AM306" s="560"/>
      <c r="AN306" s="560"/>
      <c r="AO306" s="560"/>
      <c r="AP306" s="560"/>
      <c r="AQ306" s="560"/>
      <c r="AR306" s="560"/>
      <c r="AS306" s="560"/>
      <c r="AT306" s="560"/>
      <c r="AU306" s="560"/>
      <c r="AV306" s="292"/>
      <c r="AW306" s="560">
        <f>Q306</f>
        <v>43405</v>
      </c>
      <c r="AX306" s="560"/>
      <c r="AY306" s="560"/>
      <c r="AZ306" s="560"/>
      <c r="BA306" s="560"/>
      <c r="BB306" s="560"/>
      <c r="BC306" s="560"/>
      <c r="BD306" s="560"/>
      <c r="BE306" s="560"/>
      <c r="BF306" s="560"/>
      <c r="BG306" s="560"/>
      <c r="BH306" s="560"/>
      <c r="BI306" s="560"/>
      <c r="BJ306" s="560"/>
      <c r="BK306" s="560"/>
      <c r="BL306" s="560"/>
      <c r="BM306" s="560"/>
      <c r="BN306" s="560"/>
      <c r="BO306" s="560"/>
      <c r="BP306" s="560"/>
      <c r="BQ306" s="560"/>
      <c r="BR306" s="560"/>
      <c r="BS306" s="560"/>
      <c r="BT306" s="560"/>
      <c r="BU306" s="560"/>
      <c r="BV306" s="560"/>
      <c r="BW306" s="560"/>
      <c r="BX306" s="560"/>
      <c r="BY306" s="560"/>
      <c r="BZ306" s="560"/>
      <c r="CA306" s="607"/>
    </row>
    <row r="307" spans="1:79" ht="15" customHeight="1">
      <c r="A307" s="334">
        <v>11</v>
      </c>
      <c r="B307" s="328">
        <v>2</v>
      </c>
      <c r="C307" s="328">
        <f t="shared" si="72"/>
        <v>306</v>
      </c>
      <c r="D307" s="360" t="str">
        <f>IF(I307='Jour Férié'!F$13,'Jour Férié'!E$13,""&amp;IF(I307='Jour Férié'!F$14,'Jour Férié'!E$14,""&amp;IF(I307='Jour Férié'!F$15,'Jour Férié'!E$15,""&amp;IF(I307='Jour Férié'!B$13,'Jour Férié'!A$13,""&amp;IF(I307='Jour Férié'!B$14,'Jour Férié'!A$14,""&amp;IF(MOD(MATCH(I307,vacances!$A$3:$A$202,1),2)=1,"vacances",""))))))</f>
        <v>vacances</v>
      </c>
      <c r="E307" s="490"/>
      <c r="F307" s="490"/>
      <c r="G307" s="490" t="s">
        <v>335</v>
      </c>
      <c r="H307" s="624"/>
      <c r="I307" s="361">
        <f t="shared" ref="I307:I335" si="73">DATE(annee,11,1)+B306</f>
        <v>43406</v>
      </c>
      <c r="J307" s="362" t="s">
        <v>204</v>
      </c>
      <c r="K307" s="363" t="s">
        <v>205</v>
      </c>
      <c r="L307" s="324"/>
      <c r="M307" s="333" t="s">
        <v>206</v>
      </c>
      <c r="N307" s="333"/>
      <c r="O307" s="364">
        <f>(COUNTIF($E306:$E335,$J307))</f>
        <v>0</v>
      </c>
      <c r="P307" s="328"/>
      <c r="Q307" s="365"/>
      <c r="R307" s="365"/>
      <c r="S307" s="365"/>
      <c r="T307" s="365"/>
      <c r="U307" s="365"/>
      <c r="V307" s="365"/>
      <c r="W307" s="365"/>
      <c r="X307" s="365"/>
      <c r="Y307" s="365"/>
      <c r="Z307" s="365"/>
      <c r="AA307" s="366"/>
      <c r="AB307" s="366"/>
      <c r="AC307" s="366"/>
      <c r="AD307" s="367"/>
      <c r="AE307" s="367"/>
      <c r="AF307" s="367"/>
      <c r="AG307" s="365"/>
      <c r="AH307" s="365"/>
      <c r="AI307" s="365"/>
      <c r="AJ307" s="365"/>
      <c r="AK307" s="365"/>
      <c r="AL307" s="365"/>
      <c r="AM307" s="365"/>
      <c r="AN307" s="365"/>
      <c r="AO307" s="365"/>
      <c r="AP307" s="368"/>
      <c r="AQ307" s="368"/>
      <c r="AR307" s="368"/>
      <c r="AS307" s="368"/>
      <c r="AT307" s="368"/>
      <c r="AU307" s="368"/>
      <c r="AV307" s="290"/>
      <c r="AW307" s="608" t="s">
        <v>229</v>
      </c>
      <c r="AX307" s="608"/>
      <c r="AY307" s="608"/>
      <c r="AZ307" s="608"/>
      <c r="BA307" s="608"/>
      <c r="BB307" s="608"/>
      <c r="BC307" s="608"/>
      <c r="BD307" s="608"/>
      <c r="BE307" s="608"/>
      <c r="BF307" s="608"/>
      <c r="BG307" s="608"/>
      <c r="BH307" s="608"/>
      <c r="BI307" s="293"/>
      <c r="BJ307" s="293"/>
      <c r="BK307" s="293"/>
      <c r="BL307" s="585" t="s">
        <v>230</v>
      </c>
      <c r="BM307" s="585"/>
      <c r="BN307" s="585"/>
      <c r="BO307" s="585"/>
      <c r="BP307" s="585"/>
      <c r="BQ307" s="585"/>
      <c r="BR307" s="585"/>
      <c r="BS307" s="585"/>
      <c r="BT307" s="585"/>
      <c r="BU307" s="585" t="s">
        <v>231</v>
      </c>
      <c r="BV307" s="585"/>
      <c r="BW307" s="585"/>
      <c r="BX307" s="585"/>
      <c r="BY307" s="585"/>
      <c r="BZ307" s="585"/>
      <c r="CA307" s="609"/>
    </row>
    <row r="308" spans="1:79" ht="15" customHeight="1">
      <c r="A308" s="419">
        <v>11</v>
      </c>
      <c r="B308" s="360">
        <v>3</v>
      </c>
      <c r="C308" s="328">
        <f>VLOOKUP(A308,Données,4)+B308-1</f>
        <v>307</v>
      </c>
      <c r="D308" s="360" t="str">
        <f>IF(I308='Jour Férié'!F$13,'Jour Férié'!E$13,""&amp;IF(I308='Jour Férié'!F$14,'Jour Férié'!E$14,""&amp;IF(I308='Jour Férié'!F$15,'Jour Férié'!E$15,""&amp;IF(I308='Jour Férié'!B$13,'Jour Férié'!A$13,""&amp;IF(I308='Jour Férié'!B$14,'Jour Férié'!A$14,""&amp;IF(MOD(MATCH(I308,vacances!$A$3:$A$202,1),2)=1,"vacances",""))))))</f>
        <v>vacances</v>
      </c>
      <c r="E308" s="490"/>
      <c r="F308" s="490"/>
      <c r="G308" s="490" t="s">
        <v>335</v>
      </c>
      <c r="H308" s="624"/>
      <c r="I308" s="361">
        <f t="shared" si="73"/>
        <v>43407</v>
      </c>
      <c r="J308" s="613" t="s">
        <v>207</v>
      </c>
      <c r="K308" s="613"/>
      <c r="L308" s="324"/>
      <c r="M308" s="333" t="s">
        <v>208</v>
      </c>
      <c r="N308" s="333"/>
      <c r="O308" s="364">
        <f>(COUNTIF($E306:$E335,$J308))</f>
        <v>0</v>
      </c>
      <c r="P308" s="328"/>
      <c r="Q308" s="555" t="str">
        <f>'FICHE DE PAIE'!A$4</f>
        <v>Salaire de base</v>
      </c>
      <c r="R308" s="555"/>
      <c r="S308" s="555"/>
      <c r="T308" s="555"/>
      <c r="U308" s="555"/>
      <c r="V308" s="555"/>
      <c r="W308" s="555"/>
      <c r="X308" s="555"/>
      <c r="Y308" s="555"/>
      <c r="Z308" s="494"/>
      <c r="AA308" s="556">
        <f>'FICHE DE PAIE'!$K$4</f>
        <v>151.66999999999999</v>
      </c>
      <c r="AB308" s="556"/>
      <c r="AC308" s="556"/>
      <c r="AD308" s="558">
        <f>'FICHE DE PAIE'!N$4</f>
        <v>12.074</v>
      </c>
      <c r="AE308" s="558"/>
      <c r="AF308" s="558"/>
      <c r="AG308" s="559">
        <f t="shared" ref="AG308:AG313" si="74">AA308*AD308</f>
        <v>1831.2635799999998</v>
      </c>
      <c r="AH308" s="559"/>
      <c r="AI308" s="559"/>
      <c r="AJ308" s="559"/>
      <c r="AK308" s="567" t="s">
        <v>233</v>
      </c>
      <c r="AL308" s="567"/>
      <c r="AM308" s="567"/>
      <c r="AN308" s="567"/>
      <c r="AO308" s="568">
        <v>2946</v>
      </c>
      <c r="AP308" s="568"/>
      <c r="AQ308" s="568"/>
      <c r="AR308" s="500"/>
      <c r="AS308" s="500"/>
      <c r="AT308" s="500"/>
      <c r="AU308" s="297"/>
      <c r="AV308" s="290"/>
      <c r="AW308" s="608"/>
      <c r="AX308" s="608"/>
      <c r="AY308" s="608"/>
      <c r="AZ308" s="608"/>
      <c r="BA308" s="608"/>
      <c r="BB308" s="608"/>
      <c r="BC308" s="608"/>
      <c r="BD308" s="608"/>
      <c r="BE308" s="608"/>
      <c r="BF308" s="608"/>
      <c r="BG308" s="608"/>
      <c r="BH308" s="608"/>
      <c r="BI308" s="611" t="s">
        <v>234</v>
      </c>
      <c r="BJ308" s="611"/>
      <c r="BK308" s="611"/>
      <c r="BL308" s="611"/>
      <c r="BM308" s="611" t="s">
        <v>235</v>
      </c>
      <c r="BN308" s="611"/>
      <c r="BO308" s="611"/>
      <c r="BP308" s="611"/>
      <c r="BQ308" s="611" t="s">
        <v>236</v>
      </c>
      <c r="BR308" s="611"/>
      <c r="BS308" s="611"/>
      <c r="BT308" s="611"/>
      <c r="BU308" s="611" t="s">
        <v>235</v>
      </c>
      <c r="BV308" s="611"/>
      <c r="BW308" s="611"/>
      <c r="BX308" s="611" t="s">
        <v>236</v>
      </c>
      <c r="BY308" s="611"/>
      <c r="BZ308" s="611"/>
      <c r="CA308" s="612"/>
    </row>
    <row r="309" spans="1:79" ht="15" customHeight="1">
      <c r="A309" s="334">
        <v>11</v>
      </c>
      <c r="B309" s="328">
        <v>4</v>
      </c>
      <c r="C309" s="328">
        <f t="shared" si="72"/>
        <v>308</v>
      </c>
      <c r="D309" s="360" t="str">
        <f>IF(I309='Jour Férié'!F$13,'Jour Férié'!E$13,""&amp;IF(I309='Jour Férié'!F$14,'Jour Férié'!E$14,""&amp;IF(I309='Jour Férié'!F$15,'Jour Férié'!E$15,""&amp;IF(I309='Jour Férié'!B$13,'Jour Férié'!A$13,""&amp;IF(I309='Jour Férié'!B$14,'Jour Férié'!A$14,""&amp;IF(MOD(MATCH(I309,vacances!$A$3:$A$202,1),2)=1,"vacances",""))))))</f>
        <v/>
      </c>
      <c r="E309" s="490"/>
      <c r="F309" s="490"/>
      <c r="G309" s="490" t="s">
        <v>335</v>
      </c>
      <c r="H309" s="624"/>
      <c r="I309" s="361">
        <f t="shared" si="73"/>
        <v>43408</v>
      </c>
      <c r="J309" s="328"/>
      <c r="K309" s="369" t="s">
        <v>209</v>
      </c>
      <c r="L309" s="324"/>
      <c r="M309" s="333" t="s">
        <v>210</v>
      </c>
      <c r="N309" s="333"/>
      <c r="O309" s="364">
        <f>SUM(O306:O308)</f>
        <v>0</v>
      </c>
      <c r="P309" s="328"/>
      <c r="Q309" s="555" t="str">
        <f>'FICHE DE PAIE'!A$5</f>
        <v>HS à 25%</v>
      </c>
      <c r="R309" s="555"/>
      <c r="S309" s="555"/>
      <c r="T309" s="555"/>
      <c r="U309" s="555"/>
      <c r="V309" s="555"/>
      <c r="W309" s="555"/>
      <c r="X309" s="555"/>
      <c r="Y309" s="555"/>
      <c r="Z309" s="494"/>
      <c r="AA309" s="561"/>
      <c r="AB309" s="561"/>
      <c r="AC309" s="561"/>
      <c r="AD309" s="558">
        <f>'FICHE DE PAIE'!N$5</f>
        <v>15.092499999999999</v>
      </c>
      <c r="AE309" s="558"/>
      <c r="AF309" s="558"/>
      <c r="AG309" s="559">
        <f t="shared" si="74"/>
        <v>0</v>
      </c>
      <c r="AH309" s="559"/>
      <c r="AI309" s="559"/>
      <c r="AJ309" s="559"/>
      <c r="AK309" s="294"/>
      <c r="AL309" s="294"/>
      <c r="AM309" s="294"/>
      <c r="AN309" s="295"/>
      <c r="AO309" s="295"/>
      <c r="AP309" s="295"/>
      <c r="AQ309" s="295"/>
      <c r="AR309" s="295"/>
      <c r="AS309" s="295"/>
      <c r="AT309" s="295"/>
      <c r="AU309" s="295"/>
      <c r="AV309" s="290"/>
      <c r="AW309" s="591" t="s">
        <v>238</v>
      </c>
      <c r="AX309" s="591"/>
      <c r="AY309" s="591"/>
      <c r="AZ309" s="591"/>
      <c r="BA309" s="591"/>
      <c r="BB309" s="591"/>
      <c r="BC309" s="591"/>
      <c r="BD309" s="591"/>
      <c r="BE309" s="591"/>
      <c r="BF309" s="591"/>
      <c r="BG309" s="591"/>
      <c r="BH309" s="591"/>
      <c r="BI309" s="590">
        <f>$AG$17</f>
        <v>1952.5539499999998</v>
      </c>
      <c r="BJ309" s="590"/>
      <c r="BK309" s="590"/>
      <c r="BL309" s="590"/>
      <c r="BM309" s="594">
        <f>'FICHE DE PAIE'!AW$5</f>
        <v>4.0000000000000001E-3</v>
      </c>
      <c r="BN309" s="594"/>
      <c r="BO309" s="594"/>
      <c r="BP309" s="594"/>
      <c r="BQ309" s="592">
        <f>BI309*BM309</f>
        <v>7.810215799999999</v>
      </c>
      <c r="BR309" s="592"/>
      <c r="BS309" s="592"/>
      <c r="BT309" s="592"/>
      <c r="BU309" s="594">
        <f>'FICHE DE PAIE'!BE$5</f>
        <v>0.152</v>
      </c>
      <c r="BV309" s="594"/>
      <c r="BW309" s="594"/>
      <c r="BX309" s="592">
        <f>BI309*BU309</f>
        <v>296.78820039999994</v>
      </c>
      <c r="BY309" s="592"/>
      <c r="BZ309" s="592"/>
      <c r="CA309" s="593"/>
    </row>
    <row r="310" spans="1:79" ht="15" customHeight="1">
      <c r="A310" s="334">
        <v>11</v>
      </c>
      <c r="B310" s="328">
        <v>5</v>
      </c>
      <c r="C310" s="328">
        <f t="shared" ref="C310:C325" si="75">VLOOKUP(A310,Données,4)+B310-1</f>
        <v>309</v>
      </c>
      <c r="D310" s="360" t="str">
        <f>IF(I310='Jour Férié'!F$13,'Jour Férié'!E$13,""&amp;IF(I310='Jour Férié'!F$14,'Jour Férié'!E$14,""&amp;IF(I310='Jour Férié'!F$15,'Jour Férié'!E$15,""&amp;IF(I310='Jour Férié'!B$13,'Jour Férié'!A$13,""&amp;IF(I310='Jour Férié'!B$14,'Jour Férié'!A$14,""&amp;IF(MOD(MATCH(I310,vacances!$A$3:$A$202,1),2)=1,"vacances",""))))))</f>
        <v/>
      </c>
      <c r="E310" s="490"/>
      <c r="F310" s="490"/>
      <c r="G310" s="490"/>
      <c r="H310" s="624"/>
      <c r="I310" s="361">
        <f t="shared" si="73"/>
        <v>43409</v>
      </c>
      <c r="J310" s="328"/>
      <c r="K310" s="328"/>
      <c r="L310" s="324"/>
      <c r="M310" s="333" t="s">
        <v>211</v>
      </c>
      <c r="N310" s="333"/>
      <c r="O310" s="364">
        <f ca="1">(COUNTIF(I306:I314,dimanche(COUNTIF($E306:$E335,$J307))))</f>
        <v>0</v>
      </c>
      <c r="P310" s="328"/>
      <c r="Q310" s="555" t="str">
        <f>'FICHE DE PAIE'!A$6</f>
        <v>HS à 50%</v>
      </c>
      <c r="R310" s="555"/>
      <c r="S310" s="555"/>
      <c r="T310" s="555"/>
      <c r="U310" s="555"/>
      <c r="V310" s="555"/>
      <c r="W310" s="555"/>
      <c r="X310" s="555"/>
      <c r="Y310" s="555"/>
      <c r="Z310" s="494"/>
      <c r="AA310" s="561"/>
      <c r="AB310" s="561"/>
      <c r="AC310" s="561"/>
      <c r="AD310" s="558">
        <f>'FICHE DE PAIE'!N$6</f>
        <v>18.111000000000001</v>
      </c>
      <c r="AE310" s="558"/>
      <c r="AF310" s="558"/>
      <c r="AG310" s="559">
        <f t="shared" si="74"/>
        <v>0</v>
      </c>
      <c r="AH310" s="559"/>
      <c r="AI310" s="559"/>
      <c r="AJ310" s="559"/>
      <c r="AK310" s="294"/>
      <c r="AL310" s="294"/>
      <c r="AM310" s="294"/>
      <c r="AN310" s="295"/>
      <c r="AO310" s="295"/>
      <c r="AP310" s="295"/>
      <c r="AQ310" s="295"/>
      <c r="AR310" s="295"/>
      <c r="AS310" s="295"/>
      <c r="AT310" s="295"/>
      <c r="AU310" s="295"/>
      <c r="AV310" s="290"/>
      <c r="AW310" s="591" t="s">
        <v>240</v>
      </c>
      <c r="AX310" s="591"/>
      <c r="AY310" s="591"/>
      <c r="AZ310" s="591"/>
      <c r="BA310" s="591"/>
      <c r="BB310" s="591"/>
      <c r="BC310" s="591"/>
      <c r="BD310" s="591"/>
      <c r="BE310" s="591"/>
      <c r="BF310" s="591"/>
      <c r="BG310" s="591"/>
      <c r="BH310" s="591"/>
      <c r="BI310" s="590">
        <f t="shared" ref="BI310:BI321" si="76">$AG$17</f>
        <v>1952.5539499999998</v>
      </c>
      <c r="BJ310" s="590"/>
      <c r="BK310" s="590"/>
      <c r="BL310" s="590"/>
      <c r="BM310" s="594">
        <f>'FICHE DE PAIE'!AW$6</f>
        <v>6.9000000000000006E-2</v>
      </c>
      <c r="BN310" s="594"/>
      <c r="BO310" s="594"/>
      <c r="BP310" s="594"/>
      <c r="BQ310" s="592">
        <f t="shared" ref="BQ310:BQ327" si="77">BI310*BM310</f>
        <v>134.72622254999999</v>
      </c>
      <c r="BR310" s="592"/>
      <c r="BS310" s="592"/>
      <c r="BT310" s="592"/>
      <c r="BU310" s="594">
        <f>'FICHE DE PAIE'!BE$6</f>
        <v>8.5500000000000007E-2</v>
      </c>
      <c r="BV310" s="594"/>
      <c r="BW310" s="594"/>
      <c r="BX310" s="592">
        <f t="shared" ref="BX310:BX329" si="78">BI310*BU310</f>
        <v>166.94336272499999</v>
      </c>
      <c r="BY310" s="592"/>
      <c r="BZ310" s="592"/>
      <c r="CA310" s="593"/>
    </row>
    <row r="311" spans="1:79" ht="15" customHeight="1">
      <c r="A311" s="334">
        <v>11</v>
      </c>
      <c r="B311" s="328">
        <v>6</v>
      </c>
      <c r="C311" s="328">
        <f t="shared" si="75"/>
        <v>310</v>
      </c>
      <c r="D311" s="360" t="str">
        <f>IF(I311='Jour Férié'!F$13,'Jour Férié'!E$13,""&amp;IF(I311='Jour Férié'!F$14,'Jour Férié'!E$14,""&amp;IF(I311='Jour Férié'!F$15,'Jour Férié'!E$15,""&amp;IF(I311='Jour Férié'!B$13,'Jour Férié'!A$13,""&amp;IF(I311='Jour Férié'!B$14,'Jour Férié'!A$14,""&amp;IF(MOD(MATCH(I311,vacances!$A$3:$A$202,1),2)=1,"vacances",""))))))</f>
        <v/>
      </c>
      <c r="E311" s="490"/>
      <c r="F311" s="490"/>
      <c r="G311" s="490"/>
      <c r="H311" s="624"/>
      <c r="I311" s="361">
        <f t="shared" si="73"/>
        <v>43410</v>
      </c>
      <c r="J311" s="328"/>
      <c r="K311" s="369" t="s">
        <v>212</v>
      </c>
      <c r="L311" s="324"/>
      <c r="M311" s="333" t="s">
        <v>213</v>
      </c>
      <c r="N311" s="333"/>
      <c r="O311" s="364">
        <f>SUM(O306:O307)</f>
        <v>0</v>
      </c>
      <c r="P311" s="328"/>
      <c r="Q311" s="555" t="str">
        <f>'FICHE DE PAIE'!A$7</f>
        <v>MAJORATION DIMANCHE</v>
      </c>
      <c r="R311" s="555"/>
      <c r="S311" s="555"/>
      <c r="T311" s="555"/>
      <c r="U311" s="555"/>
      <c r="V311" s="555"/>
      <c r="W311" s="555"/>
      <c r="X311" s="555"/>
      <c r="Y311" s="555"/>
      <c r="Z311" s="494"/>
      <c r="AA311" s="557">
        <f>O316</f>
        <v>0</v>
      </c>
      <c r="AB311" s="557"/>
      <c r="AC311" s="557"/>
      <c r="AD311" s="558">
        <f>'FICHE DE PAIE'!N$7</f>
        <v>1.2074</v>
      </c>
      <c r="AE311" s="558"/>
      <c r="AF311" s="558"/>
      <c r="AG311" s="559">
        <f t="shared" si="74"/>
        <v>0</v>
      </c>
      <c r="AH311" s="559"/>
      <c r="AI311" s="559"/>
      <c r="AJ311" s="559"/>
      <c r="AK311" s="294"/>
      <c r="AL311" s="294"/>
      <c r="AM311" s="294"/>
      <c r="AN311" s="295"/>
      <c r="AO311" s="295"/>
      <c r="AP311" s="295"/>
      <c r="AQ311" s="295"/>
      <c r="AR311" s="295"/>
      <c r="AS311" s="295"/>
      <c r="AT311" s="295"/>
      <c r="AU311" s="295"/>
      <c r="AV311" s="290"/>
      <c r="AW311" s="591" t="s">
        <v>242</v>
      </c>
      <c r="AX311" s="591"/>
      <c r="AY311" s="591"/>
      <c r="AZ311" s="591"/>
      <c r="BA311" s="591"/>
      <c r="BB311" s="591"/>
      <c r="BC311" s="591"/>
      <c r="BD311" s="591"/>
      <c r="BE311" s="591"/>
      <c r="BF311" s="591"/>
      <c r="BG311" s="591"/>
      <c r="BH311" s="591"/>
      <c r="BI311" s="590">
        <f t="shared" si="76"/>
        <v>1952.5539499999998</v>
      </c>
      <c r="BJ311" s="590"/>
      <c r="BK311" s="590"/>
      <c r="BL311" s="590"/>
      <c r="BM311" s="590"/>
      <c r="BN311" s="590"/>
      <c r="BO311" s="590"/>
      <c r="BP311" s="590"/>
      <c r="BQ311" s="592">
        <f t="shared" si="77"/>
        <v>0</v>
      </c>
      <c r="BR311" s="592"/>
      <c r="BS311" s="592"/>
      <c r="BT311" s="592"/>
      <c r="BU311" s="594">
        <f>'FICHE DE PAIE'!BE$7</f>
        <v>1E-3</v>
      </c>
      <c r="BV311" s="594"/>
      <c r="BW311" s="594"/>
      <c r="BX311" s="592">
        <f t="shared" si="78"/>
        <v>1.9525539499999998</v>
      </c>
      <c r="BY311" s="592"/>
      <c r="BZ311" s="592"/>
      <c r="CA311" s="593"/>
    </row>
    <row r="312" spans="1:79" ht="15" customHeight="1">
      <c r="A312" s="334">
        <v>11</v>
      </c>
      <c r="B312" s="328">
        <v>7</v>
      </c>
      <c r="C312" s="328">
        <f t="shared" si="75"/>
        <v>311</v>
      </c>
      <c r="D312" s="360" t="str">
        <f>IF(I312='Jour Férié'!F$13,'Jour Férié'!E$13,""&amp;IF(I312='Jour Férié'!F$14,'Jour Férié'!E$14,""&amp;IF(I312='Jour Férié'!F$15,'Jour Férié'!E$15,""&amp;IF(I312='Jour Férié'!B$13,'Jour Férié'!A$13,""&amp;IF(I312='Jour Férié'!B$14,'Jour Férié'!A$14,""&amp;IF(MOD(MATCH(I312,vacances!$A$3:$A$202,1),2)=1,"vacances",""))))))</f>
        <v/>
      </c>
      <c r="E312" s="490"/>
      <c r="F312" s="490"/>
      <c r="G312" s="490"/>
      <c r="H312" s="624"/>
      <c r="I312" s="361">
        <f t="shared" si="73"/>
        <v>43411</v>
      </c>
      <c r="J312" s="328"/>
      <c r="K312" s="328"/>
      <c r="L312" s="324"/>
      <c r="M312" s="363" t="s">
        <v>214</v>
      </c>
      <c r="N312" s="363"/>
      <c r="O312" s="370">
        <f>((6*COUNTIF(E305,J306))+(3*COUNTIF(E306,J306))+((6*COUNTIF(E306,J306))+(3*COUNTIF(E307,J306)))+((6*COUNTIF(E307,J306))+(3*COUNTIF(E308,J306)))+((6*COUNTIF(E308,J306))+(3*COUNTIF(E309,J306)))+((6*COUNTIF(E309,J306))+(3*COUNTIF(E310,J306)))+((6*COUNTIF(E310,J306))+(3*COUNTIF(E311,J306)))+((6*COUNTIF(E311,J306))+(3*COUNTIF(E312,J306)))+((6*COUNTIF(E312,J306))+(3*COUNTIF(E313,J306)))+((6*COUNTIF(E313,J306))+(3*COUNTIF(E314,J306)))+((6*COUNTIF(E314,J306))+(3*COUNTIF(E315,J306)))+((6*COUNTIF(E315,J306))+(3*COUNTIF(E316,J306)))+((6*COUNTIF(E316,J306))+(3*COUNTIF(E317,J306)))+((6*COUNTIF(E317,J306))+(3*COUNTIF(E318,J306)))+((6*COUNTIF(E318,J306))+(3*COUNTIF(E319,J306)))+((6*COUNTIF(E319,J306))+(3*COUNTIF(E320,J306)))+((6*COUNTIF(E320,J306))+(3*COUNTIF(E321,J306)))+((6*COUNTIF(E321,J306))+(3*COUNTIF(E322,J306)))+((6*COUNTIF(E322,J306))+(3*COUNTIF(E323,J306)))+((6*COUNTIF(E323,J306))+(3*COUNTIF(E324,J306)))+((6*COUNTIF(E324,J306))+(3*COUNTIF(E325,J306)))+((6*COUNTIF(E325,J306))+(3*COUNTIF(E326,J306)))+((6*COUNTIF(E326,J306))+(3*COUNTIF(E327,J306)))+((6*COUNTIF(E327,J306))+(3*COUNTIF(E328,J306)))+((6*COUNTIF(E328,J306))+(3*COUNTIF(E329,J306)))+((6*COUNTIF(E329,J306))+(3*COUNTIF(E330,J306)))+((6*COUNTIF(E330,J306))+(3*COUNTIF(E331,J306)))+((6*COUNTIF(E331,J306))+(3*COUNTIF(E332,J306)))+((6*COUNTIF(E332,J306))+(3*COUNTIF(E333,J306)))+((6*COUNTIF(E333,J306))+(3*COUNTIF(E334,J306)))+((6*COUNTIF(E334,J306))+(3*COUNTIF(E335,J306))))</f>
        <v>0</v>
      </c>
      <c r="P312" s="328"/>
      <c r="Q312" s="555" t="str">
        <f>'FICHE DE PAIE'!A$8</f>
        <v>MAJORATION NUIT</v>
      </c>
      <c r="R312" s="555"/>
      <c r="S312" s="555"/>
      <c r="T312" s="555"/>
      <c r="U312" s="555"/>
      <c r="V312" s="555"/>
      <c r="W312" s="555"/>
      <c r="X312" s="555"/>
      <c r="Y312" s="555"/>
      <c r="Z312" s="494"/>
      <c r="AA312" s="557">
        <f>O312</f>
        <v>0</v>
      </c>
      <c r="AB312" s="557"/>
      <c r="AC312" s="557"/>
      <c r="AD312" s="558">
        <f>'FICHE DE PAIE'!N$8</f>
        <v>1.2074</v>
      </c>
      <c r="AE312" s="558"/>
      <c r="AF312" s="558"/>
      <c r="AG312" s="559">
        <f t="shared" si="74"/>
        <v>0</v>
      </c>
      <c r="AH312" s="559"/>
      <c r="AI312" s="559"/>
      <c r="AJ312" s="559"/>
      <c r="AK312" s="294"/>
      <c r="AL312" s="294"/>
      <c r="AM312" s="294"/>
      <c r="AN312" s="295"/>
      <c r="AO312" s="295"/>
      <c r="AP312" s="295"/>
      <c r="AQ312" s="295"/>
      <c r="AR312" s="295"/>
      <c r="AS312" s="295"/>
      <c r="AT312" s="295"/>
      <c r="AU312" s="295"/>
      <c r="AV312" s="290"/>
      <c r="AW312" s="591" t="s">
        <v>244</v>
      </c>
      <c r="AX312" s="591"/>
      <c r="AY312" s="591"/>
      <c r="AZ312" s="591"/>
      <c r="BA312" s="591"/>
      <c r="BB312" s="591"/>
      <c r="BC312" s="591"/>
      <c r="BD312" s="591"/>
      <c r="BE312" s="591"/>
      <c r="BF312" s="591"/>
      <c r="BG312" s="591"/>
      <c r="BH312" s="591"/>
      <c r="BI312" s="590">
        <f t="shared" si="76"/>
        <v>1952.5539499999998</v>
      </c>
      <c r="BJ312" s="590"/>
      <c r="BK312" s="590"/>
      <c r="BL312" s="590"/>
      <c r="BM312" s="590"/>
      <c r="BN312" s="590"/>
      <c r="BO312" s="590"/>
      <c r="BP312" s="590"/>
      <c r="BQ312" s="592">
        <f t="shared" si="77"/>
        <v>0</v>
      </c>
      <c r="BR312" s="592"/>
      <c r="BS312" s="592"/>
      <c r="BT312" s="592"/>
      <c r="BU312" s="594">
        <f>'FICHE DE PAIE'!BE$8</f>
        <v>4.0000000000000001E-3</v>
      </c>
      <c r="BV312" s="594"/>
      <c r="BW312" s="594"/>
      <c r="BX312" s="592">
        <f t="shared" si="78"/>
        <v>7.810215799999999</v>
      </c>
      <c r="BY312" s="592"/>
      <c r="BZ312" s="592"/>
      <c r="CA312" s="593"/>
    </row>
    <row r="313" spans="1:79" ht="15" customHeight="1">
      <c r="A313" s="334">
        <v>11</v>
      </c>
      <c r="B313" s="328">
        <v>8</v>
      </c>
      <c r="C313" s="328">
        <f t="shared" si="75"/>
        <v>312</v>
      </c>
      <c r="D313" s="360" t="str">
        <f>IF(I313='Jour Férié'!F$13,'Jour Férié'!E$13,""&amp;IF(I313='Jour Férié'!F$14,'Jour Férié'!E$14,""&amp;IF(I313='Jour Férié'!F$15,'Jour Férié'!E$15,""&amp;IF(I313='Jour Férié'!B$13,'Jour Férié'!A$13,""&amp;IF(I313='Jour Férié'!B$14,'Jour Férié'!A$14,""&amp;IF(MOD(MATCH(I313,vacances!$A$3:$A$202,1),2)=1,"vacances",""))))))</f>
        <v/>
      </c>
      <c r="E313" s="490"/>
      <c r="F313" s="490"/>
      <c r="G313" s="490"/>
      <c r="H313" s="624"/>
      <c r="I313" s="361">
        <f t="shared" si="73"/>
        <v>43412</v>
      </c>
      <c r="J313" s="371" t="s">
        <v>215</v>
      </c>
      <c r="K313" s="369" t="s">
        <v>216</v>
      </c>
      <c r="L313" s="324"/>
      <c r="M313" s="333" t="s">
        <v>217</v>
      </c>
      <c r="N313" s="333"/>
      <c r="O313" s="364">
        <f>O307*12</f>
        <v>0</v>
      </c>
      <c r="P313" s="328"/>
      <c r="Q313" s="555" t="str">
        <f>'FICHE DE PAIE'!A$9</f>
        <v>MAJORATION JOUR FERIE</v>
      </c>
      <c r="R313" s="555"/>
      <c r="S313" s="555"/>
      <c r="T313" s="555"/>
      <c r="U313" s="555"/>
      <c r="V313" s="555"/>
      <c r="W313" s="555"/>
      <c r="X313" s="555"/>
      <c r="Y313" s="555"/>
      <c r="Z313" s="494"/>
      <c r="AA313" s="557">
        <f>O318</f>
        <v>0</v>
      </c>
      <c r="AB313" s="557"/>
      <c r="AC313" s="557"/>
      <c r="AD313" s="558">
        <f>'FICHE DE PAIE'!N$9</f>
        <v>12.074</v>
      </c>
      <c r="AE313" s="558"/>
      <c r="AF313" s="558"/>
      <c r="AG313" s="559">
        <f t="shared" si="74"/>
        <v>0</v>
      </c>
      <c r="AH313" s="559"/>
      <c r="AI313" s="559"/>
      <c r="AJ313" s="559"/>
      <c r="AK313" s="294"/>
      <c r="AL313" s="294"/>
      <c r="AM313" s="294"/>
      <c r="AN313" s="295"/>
      <c r="AO313" s="295"/>
      <c r="AP313" s="295"/>
      <c r="AQ313" s="295"/>
      <c r="AR313" s="295"/>
      <c r="AS313" s="295"/>
      <c r="AT313" s="295"/>
      <c r="AU313" s="295"/>
      <c r="AV313" s="290"/>
      <c r="AW313" s="591" t="s">
        <v>246</v>
      </c>
      <c r="AX313" s="591"/>
      <c r="AY313" s="591"/>
      <c r="AZ313" s="591"/>
      <c r="BA313" s="591"/>
      <c r="BB313" s="591"/>
      <c r="BC313" s="591"/>
      <c r="BD313" s="591"/>
      <c r="BE313" s="591"/>
      <c r="BF313" s="591"/>
      <c r="BG313" s="591"/>
      <c r="BH313" s="591"/>
      <c r="BI313" s="590">
        <f t="shared" si="76"/>
        <v>1952.5539499999998</v>
      </c>
      <c r="BJ313" s="590"/>
      <c r="BK313" s="590"/>
      <c r="BL313" s="590"/>
      <c r="BM313" s="590"/>
      <c r="BN313" s="590"/>
      <c r="BO313" s="590"/>
      <c r="BP313" s="590"/>
      <c r="BQ313" s="592">
        <f t="shared" si="77"/>
        <v>0</v>
      </c>
      <c r="BR313" s="592"/>
      <c r="BS313" s="592"/>
      <c r="BT313" s="592"/>
      <c r="BU313" s="594">
        <f>'FICHE DE PAIE'!BE$9</f>
        <v>1.2999999999999999E-2</v>
      </c>
      <c r="BV313" s="594"/>
      <c r="BW313" s="594"/>
      <c r="BX313" s="592">
        <f t="shared" si="78"/>
        <v>25.383201349999997</v>
      </c>
      <c r="BY313" s="592"/>
      <c r="BZ313" s="592"/>
      <c r="CA313" s="593"/>
    </row>
    <row r="314" spans="1:79" ht="15" customHeight="1">
      <c r="A314" s="334">
        <v>11</v>
      </c>
      <c r="B314" s="328">
        <v>9</v>
      </c>
      <c r="C314" s="328">
        <f t="shared" si="75"/>
        <v>313</v>
      </c>
      <c r="D314" s="360" t="str">
        <f>IF(I314='Jour Férié'!F$13,'Jour Férié'!E$13,""&amp;IF(I314='Jour Férié'!F$14,'Jour Férié'!E$14,""&amp;IF(I314='Jour Férié'!F$15,'Jour Férié'!E$15,""&amp;IF(I314='Jour Férié'!B$13,'Jour Férié'!A$13,""&amp;IF(I314='Jour Férié'!B$14,'Jour Férié'!A$14,""&amp;IF(MOD(MATCH(I314,vacances!$A$3:$A$202,1),2)=1,"vacances",""))))))</f>
        <v/>
      </c>
      <c r="E314" s="490"/>
      <c r="F314" s="490"/>
      <c r="G314" s="490"/>
      <c r="H314" s="624"/>
      <c r="I314" s="361">
        <f t="shared" si="73"/>
        <v>43413</v>
      </c>
      <c r="J314" s="371" t="s">
        <v>218</v>
      </c>
      <c r="K314" s="330" t="s">
        <v>219</v>
      </c>
      <c r="L314" s="324"/>
      <c r="M314" s="333" t="s">
        <v>220</v>
      </c>
      <c r="N314" s="333"/>
      <c r="O314" s="364">
        <f>O308*7</f>
        <v>0</v>
      </c>
      <c r="P314" s="328"/>
      <c r="Q314" s="555" t="str">
        <f>'FICHE DE PAIE'!A$10</f>
        <v xml:space="preserve">PRIME ANCIENNETE </v>
      </c>
      <c r="R314" s="555"/>
      <c r="S314" s="555"/>
      <c r="T314" s="555"/>
      <c r="U314" s="555"/>
      <c r="V314" s="555"/>
      <c r="W314" s="555"/>
      <c r="X314" s="555"/>
      <c r="Y314" s="555"/>
      <c r="Z314" s="494"/>
      <c r="AA314" s="556">
        <v>1</v>
      </c>
      <c r="AB314" s="556"/>
      <c r="AC314" s="556"/>
      <c r="AD314" s="558">
        <f>'FICHE DE PAIE'!N$10</f>
        <v>36.630000000000003</v>
      </c>
      <c r="AE314" s="558"/>
      <c r="AF314" s="558"/>
      <c r="AG314" s="606"/>
      <c r="AH314" s="606"/>
      <c r="AI314" s="606"/>
      <c r="AJ314" s="606"/>
      <c r="AK314" s="294"/>
      <c r="AL314" s="294"/>
      <c r="AM314" s="294"/>
      <c r="AN314" s="295"/>
      <c r="AO314" s="295"/>
      <c r="AP314" s="295"/>
      <c r="AQ314" s="295"/>
      <c r="AR314" s="295"/>
      <c r="AS314" s="295"/>
      <c r="AT314" s="295"/>
      <c r="AU314" s="295"/>
      <c r="AV314" s="290"/>
      <c r="AW314" s="591" t="s">
        <v>248</v>
      </c>
      <c r="AX314" s="591"/>
      <c r="AY314" s="591"/>
      <c r="AZ314" s="591"/>
      <c r="BA314" s="591"/>
      <c r="BB314" s="591"/>
      <c r="BC314" s="591"/>
      <c r="BD314" s="591"/>
      <c r="BE314" s="591"/>
      <c r="BF314" s="591"/>
      <c r="BG314" s="591"/>
      <c r="BH314" s="591"/>
      <c r="BI314" s="590">
        <f t="shared" si="76"/>
        <v>1952.5539499999998</v>
      </c>
      <c r="BJ314" s="590"/>
      <c r="BK314" s="590"/>
      <c r="BL314" s="590"/>
      <c r="BM314" s="590"/>
      <c r="BN314" s="590"/>
      <c r="BO314" s="590"/>
      <c r="BP314" s="590"/>
      <c r="BQ314" s="592">
        <f t="shared" si="77"/>
        <v>0</v>
      </c>
      <c r="BR314" s="592"/>
      <c r="BS314" s="592"/>
      <c r="BT314" s="592"/>
      <c r="BU314" s="594">
        <f>'FICHE DE PAIE'!BE$10</f>
        <v>1.7600000000000001E-2</v>
      </c>
      <c r="BV314" s="594"/>
      <c r="BW314" s="594"/>
      <c r="BX314" s="592">
        <f t="shared" si="78"/>
        <v>34.364949519999996</v>
      </c>
      <c r="BY314" s="592"/>
      <c r="BZ314" s="592"/>
      <c r="CA314" s="593"/>
    </row>
    <row r="315" spans="1:79" ht="15" customHeight="1">
      <c r="A315" s="334">
        <v>11</v>
      </c>
      <c r="B315" s="328">
        <v>10</v>
      </c>
      <c r="C315" s="328">
        <f t="shared" si="75"/>
        <v>314</v>
      </c>
      <c r="D315" s="360" t="str">
        <f>IF(I315='Jour Férié'!F$13,'Jour Férié'!E$13,""&amp;IF(I315='Jour Férié'!F$14,'Jour Férié'!E$14,""&amp;IF(I315='Jour Férié'!F$15,'Jour Férié'!E$15,""&amp;IF(I315='Jour Férié'!B$13,'Jour Férié'!A$13,""&amp;IF(I315='Jour Férié'!B$14,'Jour Férié'!A$14,""&amp;IF(MOD(MATCH(I315,vacances!$A$3:$A$202,1),2)=1,"vacances",""))))))</f>
        <v/>
      </c>
      <c r="E315" s="490"/>
      <c r="F315" s="490"/>
      <c r="G315" s="490"/>
      <c r="H315" s="624"/>
      <c r="I315" s="361">
        <f t="shared" si="73"/>
        <v>43414</v>
      </c>
      <c r="J315" s="328" t="s">
        <v>221</v>
      </c>
      <c r="K315" s="330" t="s">
        <v>222</v>
      </c>
      <c r="L315" s="324"/>
      <c r="M315" s="363" t="s">
        <v>223</v>
      </c>
      <c r="N315" s="363"/>
      <c r="O315" s="370">
        <f>(O306+O307)*12</f>
        <v>0</v>
      </c>
      <c r="P315" s="328"/>
      <c r="Q315" s="555" t="str">
        <f>'FICHE DE PAIE'!A$11</f>
        <v>PRIME HABILLAGE</v>
      </c>
      <c r="R315" s="555"/>
      <c r="S315" s="555"/>
      <c r="T315" s="555"/>
      <c r="U315" s="555"/>
      <c r="V315" s="555"/>
      <c r="W315" s="555"/>
      <c r="X315" s="555"/>
      <c r="Y315" s="555"/>
      <c r="Z315" s="494"/>
      <c r="AA315" s="556">
        <f>AA308</f>
        <v>151.66999999999999</v>
      </c>
      <c r="AB315" s="556"/>
      <c r="AC315" s="556"/>
      <c r="AD315" s="558">
        <f>'FICHE DE PAIE'!N$11</f>
        <v>0.13100000000000001</v>
      </c>
      <c r="AE315" s="558"/>
      <c r="AF315" s="558"/>
      <c r="AG315" s="559">
        <f>AA315*AD315</f>
        <v>19.868769999999998</v>
      </c>
      <c r="AH315" s="559"/>
      <c r="AI315" s="559"/>
      <c r="AJ315" s="559"/>
      <c r="AK315" s="294"/>
      <c r="AL315" s="294"/>
      <c r="AM315" s="294"/>
      <c r="AN315" s="295"/>
      <c r="AO315" s="295"/>
      <c r="AP315" s="295"/>
      <c r="AQ315" s="295"/>
      <c r="AR315" s="295"/>
      <c r="AS315" s="295"/>
      <c r="AT315" s="295"/>
      <c r="AU315" s="295"/>
      <c r="AV315" s="290"/>
      <c r="AW315" s="591" t="s">
        <v>250</v>
      </c>
      <c r="AX315" s="591"/>
      <c r="AY315" s="591"/>
      <c r="AZ315" s="591"/>
      <c r="BA315" s="591"/>
      <c r="BB315" s="591"/>
      <c r="BC315" s="591"/>
      <c r="BD315" s="591"/>
      <c r="BE315" s="591"/>
      <c r="BF315" s="591"/>
      <c r="BG315" s="591"/>
      <c r="BH315" s="591"/>
      <c r="BI315" s="590">
        <f t="shared" si="76"/>
        <v>1952.5539499999998</v>
      </c>
      <c r="BJ315" s="590"/>
      <c r="BK315" s="590"/>
      <c r="BL315" s="590"/>
      <c r="BM315" s="590"/>
      <c r="BN315" s="590"/>
      <c r="BO315" s="590"/>
      <c r="BP315" s="590"/>
      <c r="BQ315" s="592">
        <f t="shared" si="77"/>
        <v>0</v>
      </c>
      <c r="BR315" s="592"/>
      <c r="BS315" s="592"/>
      <c r="BT315" s="592"/>
      <c r="BU315" s="594">
        <f>'FICHE DE PAIE'!BE$11</f>
        <v>3.4500000000000003E-2</v>
      </c>
      <c r="BV315" s="594"/>
      <c r="BW315" s="594"/>
      <c r="BX315" s="592">
        <f t="shared" si="78"/>
        <v>67.363111274999994</v>
      </c>
      <c r="BY315" s="592"/>
      <c r="BZ315" s="592"/>
      <c r="CA315" s="593"/>
    </row>
    <row r="316" spans="1:79" ht="15" customHeight="1">
      <c r="A316" s="334">
        <v>11</v>
      </c>
      <c r="B316" s="328">
        <v>11</v>
      </c>
      <c r="C316" s="328">
        <f t="shared" si="75"/>
        <v>315</v>
      </c>
      <c r="D316" s="360" t="str">
        <f>IF(I316='Jour Férié'!F$13,'Jour Férié'!E$13,""&amp;IF(I316='Jour Férié'!F$14,'Jour Férié'!E$14,""&amp;IF(I316='Jour Férié'!F$15,'Jour Férié'!E$15,""&amp;IF(I316='Jour Férié'!B$13,'Jour Férié'!A$13,""&amp;IF(I316='Jour Férié'!B$14,'Jour Férié'!A$14,""&amp;IF(MOD(MATCH(I316,vacances!$A$3:$A$202,1),2)=1,"vacances",""))))))</f>
        <v>Armistice 1918</v>
      </c>
      <c r="E316" s="490"/>
      <c r="F316" s="490"/>
      <c r="G316" s="490"/>
      <c r="H316" s="624"/>
      <c r="I316" s="361">
        <f t="shared" si="73"/>
        <v>43415</v>
      </c>
      <c r="J316" s="324"/>
      <c r="K316" s="324"/>
      <c r="L316" s="324"/>
      <c r="M316" s="577" t="s">
        <v>224</v>
      </c>
      <c r="N316" s="372">
        <f>(IF(WEEKDAY(I306,2)=7,(7*COUNTIF(E305,J306))+(12*COUNTIF(E306,J307))+(5*COUNTIF(E306,J306))))+(IF(WEEKDAY(I307,2)=7,(7*COUNTIF(E306,J306))+(12*COUNTIF(E307,J307))+(5*COUNTIF(E307,J306))))+(IF(WEEKDAY(I308,2)=7,(7*COUNTIF(E307,J306))+(12*COUNTIF(E308,J307))+(5*COUNTIF(E308,J306))))+(IF(WEEKDAY(I309,2)=7,(7*COUNTIF(E308,J306))+(12*COUNTIF(E309,J307))+(5*COUNTIF(E309,J306))))+(IF(WEEKDAY(I310,2)=7,(7*COUNTIF(E309,J306))+(12*COUNTIF(E310,J307))+(5*COUNTIF(E310,J306))))+(IF(WEEKDAY(I311,2)=7,(7*COUNTIF(E310,J306))+(12*COUNTIF(E311,J307))+(5*COUNTIF(E311,J306))))+(IF(WEEKDAY(I312,2)=7,(7*COUNTIF(E311,J306))+(12*COUNTIF(E312,J307))+(5*COUNTIF(E312,J306))))+(IF(WEEKDAY(I313,2)=7,(7*COUNTIF(E312,J306))+(12*COUNTIF(E313,J307))+(5*COUNTIF(E313,J306))))+(IF(WEEKDAY(I314,2)=7,(7*COUNTIF(E313,J306))+(12*COUNTIF(E314,J307))+(5*COUNTIF(E314,J306))))+(IF(WEEKDAY(I315,2)=7,(7*COUNTIF(E314,J306))+(12*COUNTIF(E315,J307))+(5*COUNTIF(E315,J306))))+(IF(WEEKDAY(I316,2)=7,(7*COUNTIF(E315,J306))+(12*COUNTIF(E316,J307))+(5*COUNTIF(E316,J306))))+(IF(WEEKDAY(I317,2)=7,(7*COUNTIF(E316,J306))+(12*COUNTIF(E317,J307))+(5*COUNTIF(E317,J306))))+(IF(WEEKDAY(I318,2)=7,(7*COUNTIF(E317,J306))+(12*COUNTIF(E318,J307))+(5*COUNTIF(E318,J306))))+(IF(WEEKDAY(I319,2)=7,(7*COUNTIF(E318,J306))+(12*COUNTIF(E319,J307))+(5*COUNTIF(E319,J306))))</f>
        <v>0</v>
      </c>
      <c r="O316" s="584">
        <f>SUM(N316:N317)</f>
        <v>0</v>
      </c>
      <c r="P316" s="328"/>
      <c r="Q316" s="555" t="str">
        <f>'FICHE DE PAIE'!A$12</f>
        <v>PRIME ASTREINTE</v>
      </c>
      <c r="R316" s="555"/>
      <c r="S316" s="555"/>
      <c r="T316" s="555"/>
      <c r="U316" s="555"/>
      <c r="V316" s="555"/>
      <c r="W316" s="555"/>
      <c r="X316" s="555"/>
      <c r="Y316" s="555"/>
      <c r="Z316" s="494"/>
      <c r="AA316" s="561"/>
      <c r="AB316" s="561"/>
      <c r="AC316" s="561"/>
      <c r="AD316" s="558">
        <f>'FICHE DE PAIE'!N$12</f>
        <v>90</v>
      </c>
      <c r="AE316" s="558"/>
      <c r="AF316" s="558"/>
      <c r="AG316" s="559">
        <f>AA316*AD316</f>
        <v>0</v>
      </c>
      <c r="AH316" s="559"/>
      <c r="AI316" s="559"/>
      <c r="AJ316" s="559"/>
      <c r="AK316" s="294"/>
      <c r="AL316" s="294"/>
      <c r="AM316" s="294"/>
      <c r="AN316" s="295"/>
      <c r="AO316" s="295"/>
      <c r="AP316" s="295"/>
      <c r="AQ316" s="295"/>
      <c r="AR316" s="295"/>
      <c r="AS316" s="295"/>
      <c r="AT316" s="295"/>
      <c r="AU316" s="295"/>
      <c r="AV316" s="290"/>
      <c r="AW316" s="591" t="s">
        <v>252</v>
      </c>
      <c r="AX316" s="591"/>
      <c r="AY316" s="591"/>
      <c r="AZ316" s="591"/>
      <c r="BA316" s="591"/>
      <c r="BB316" s="591"/>
      <c r="BC316" s="591"/>
      <c r="BD316" s="591"/>
      <c r="BE316" s="591"/>
      <c r="BF316" s="591"/>
      <c r="BG316" s="591"/>
      <c r="BH316" s="591"/>
      <c r="BI316" s="590">
        <f t="shared" si="76"/>
        <v>1952.5539499999998</v>
      </c>
      <c r="BJ316" s="590"/>
      <c r="BK316" s="590"/>
      <c r="BL316" s="590"/>
      <c r="BM316" s="590"/>
      <c r="BN316" s="590"/>
      <c r="BO316" s="590"/>
      <c r="BP316" s="590"/>
      <c r="BQ316" s="592">
        <f t="shared" si="77"/>
        <v>0</v>
      </c>
      <c r="BR316" s="592"/>
      <c r="BS316" s="592"/>
      <c r="BT316" s="592"/>
      <c r="BU316" s="594">
        <f>'FICHE DE PAIE'!BE$12</f>
        <v>1.6000000000000001E-4</v>
      </c>
      <c r="BV316" s="594"/>
      <c r="BW316" s="594"/>
      <c r="BX316" s="592">
        <f t="shared" si="78"/>
        <v>0.31240863199999996</v>
      </c>
      <c r="BY316" s="592"/>
      <c r="BZ316" s="592"/>
      <c r="CA316" s="593"/>
    </row>
    <row r="317" spans="1:79" ht="15" customHeight="1">
      <c r="A317" s="334">
        <v>11</v>
      </c>
      <c r="B317" s="328">
        <v>12</v>
      </c>
      <c r="C317" s="328">
        <f t="shared" si="75"/>
        <v>316</v>
      </c>
      <c r="D317" s="360" t="str">
        <f>IF(I317='Jour Férié'!F$13,'Jour Férié'!E$13,""&amp;IF(I317='Jour Férié'!F$14,'Jour Férié'!E$14,""&amp;IF(I317='Jour Férié'!F$15,'Jour Férié'!E$15,""&amp;IF(I317='Jour Férié'!B$13,'Jour Férié'!A$13,""&amp;IF(I317='Jour Férié'!B$14,'Jour Férié'!A$14,""&amp;IF(MOD(MATCH(I317,vacances!$A$3:$A$202,1),2)=1,"vacances",""))))))</f>
        <v/>
      </c>
      <c r="E317" s="490"/>
      <c r="F317" s="490"/>
      <c r="G317" s="490" t="s">
        <v>335</v>
      </c>
      <c r="H317" s="624"/>
      <c r="I317" s="361">
        <f t="shared" si="73"/>
        <v>43416</v>
      </c>
      <c r="J317" s="328"/>
      <c r="K317" s="328"/>
      <c r="L317" s="328"/>
      <c r="M317" s="577"/>
      <c r="N317" s="373">
        <f>(IF(WEEKDAY(I320,2)=7,(7*COUNTIF(E319,J306))+(12*COUNTIF(E320,J307))+(5*COUNTIF(E320,J306))))+(IF(WEEKDAY(I321,2)=7,(7*COUNTIF(E320,J306))+(12*COUNTIF(E321,J307))+(5*COUNTIF(E321,J306))))+(IF(WEEKDAY(I322,2)=7,(7*COUNTIF(E321,J306))+(12*COUNTIF(E322,J307))+(5*COUNTIF(E322,J306))))+(IF(WEEKDAY(I323,2)=7,(7*COUNTIF(E322,J306))+(12*COUNTIF(E323,J307))+(5*COUNTIF(E323,J306))))+(IF(WEEKDAY(I324,2)=7,(7*COUNTIF(E323,J306))+(12*COUNTIF(E324,J307))+(5*COUNTIF(E324,J306))))+(IF(WEEKDAY(I325,2)=7,(7*COUNTIF(E324,J306))+(12*COUNTIF(E325,J307))+(5*COUNTIF(E325,J306))))+(IF(WEEKDAY(I326,2)=7,(7*COUNTIF(E325,J306))+(12*COUNTIF(E326,J307))+(5*COUNTIF(E326,J306))))+(IF(WEEKDAY(I327,2)=7,(7*COUNTIF(E326,J306))+(12*COUNTIF(E327,J307))+(5*COUNTIF(E327,J306))))+(IF(WEEKDAY(I328,2)=7,(7*COUNTIF(E327,J306))+(12*COUNTIF(E328,J307))+(5*COUNTIF(E328,J306))))+(IF(WEEKDAY(I329,2)=7,(7*COUNTIF(E328,J306))+(12*COUNTIF(E329,J307))+(5*COUNTIF(E329,J306))))+(IF(WEEKDAY(I330,2)=7,(7*COUNTIF(E329,J306))+(12*COUNTIF(E330,J307))+(5*COUNTIF(E330,J306))))+(IF(WEEKDAY(I331,2)=7,(7*COUNTIF(E330,J306))+(12*COUNTIF(E331,J307))+(5*COUNTIF(E331,J306))))+(IF(WEEKDAY(I332,2)=7,(7*COUNTIF(E331,J306))+(12*COUNTIF(E332,J307))+(5*COUNTIF(E332,J306))))+(IF(WEEKDAY(I333,2)=7,(7*COUNTIF(E332,J306))+(12*COUNTIF(E333,J307))+(5*COUNTIF(E333,J306))))+(IF(WEEKDAY(I334,2)=7,(7*COUNTIF(E333,J306))+(12*COUNTIF(E334,J307))+(5*COUNTIF(E334,J306))))+(IF(WEEKDAY(I335,2)=7,(7*COUNTIF(E334,J306))+(12*COUNTIF(E335,J307))+(5*COUNTIF(E335,J306))))+(IF(WEEKDAY(I336,2)=7,(7*COUNTIF(E335,J306))+(12*COUNTIF(E336,J307))+(5*COUNTIF(E336,J306))))</f>
        <v>0</v>
      </c>
      <c r="O317" s="584"/>
      <c r="P317" s="328"/>
      <c r="Q317" s="555" t="str">
        <f>'FICHE DE PAIE'!A$13</f>
        <v>AUTRE PRIME</v>
      </c>
      <c r="R317" s="555"/>
      <c r="S317" s="555"/>
      <c r="T317" s="555"/>
      <c r="U317" s="555"/>
      <c r="V317" s="555"/>
      <c r="W317" s="555"/>
      <c r="X317" s="555"/>
      <c r="Y317" s="555"/>
      <c r="Z317" s="494"/>
      <c r="AA317" s="561"/>
      <c r="AB317" s="561"/>
      <c r="AC317" s="561"/>
      <c r="AD317" s="605"/>
      <c r="AE317" s="605"/>
      <c r="AF317" s="605"/>
      <c r="AG317" s="559">
        <f>AA317*AD317</f>
        <v>0</v>
      </c>
      <c r="AH317" s="559"/>
      <c r="AI317" s="559"/>
      <c r="AJ317" s="559"/>
      <c r="AK317" s="294"/>
      <c r="AL317" s="294"/>
      <c r="AM317" s="294"/>
      <c r="AN317" s="295"/>
      <c r="AO317" s="296"/>
      <c r="AP317" s="296"/>
      <c r="AQ317" s="295"/>
      <c r="AR317" s="295"/>
      <c r="AS317" s="295"/>
      <c r="AT317" s="295"/>
      <c r="AU317" s="295"/>
      <c r="AV317" s="290"/>
      <c r="AW317" s="591" t="s">
        <v>254</v>
      </c>
      <c r="AX317" s="591"/>
      <c r="AY317" s="591"/>
      <c r="AZ317" s="591"/>
      <c r="BA317" s="591"/>
      <c r="BB317" s="591"/>
      <c r="BC317" s="591"/>
      <c r="BD317" s="591"/>
      <c r="BE317" s="591"/>
      <c r="BF317" s="591"/>
      <c r="BG317" s="591"/>
      <c r="BH317" s="591"/>
      <c r="BI317" s="590">
        <f t="shared" si="76"/>
        <v>1952.5539499999998</v>
      </c>
      <c r="BJ317" s="590"/>
      <c r="BK317" s="590"/>
      <c r="BL317" s="590"/>
      <c r="BM317" s="594">
        <f>'FICHE DE PAIE'!AW$13</f>
        <v>9.4999999999999998E-3</v>
      </c>
      <c r="BN317" s="594"/>
      <c r="BO317" s="594"/>
      <c r="BP317" s="594"/>
      <c r="BQ317" s="592">
        <f t="shared" si="77"/>
        <v>18.549262524999996</v>
      </c>
      <c r="BR317" s="592"/>
      <c r="BS317" s="592"/>
      <c r="BT317" s="592"/>
      <c r="BU317" s="594">
        <f>'FICHE DE PAIE'!BE$13</f>
        <v>4.0500000000000001E-2</v>
      </c>
      <c r="BV317" s="594"/>
      <c r="BW317" s="594"/>
      <c r="BX317" s="592">
        <f t="shared" si="78"/>
        <v>79.078434974999993</v>
      </c>
      <c r="BY317" s="592"/>
      <c r="BZ317" s="592"/>
      <c r="CA317" s="593"/>
    </row>
    <row r="318" spans="1:79" ht="15" customHeight="1">
      <c r="A318" s="334">
        <v>11</v>
      </c>
      <c r="B318" s="328">
        <v>13</v>
      </c>
      <c r="C318" s="328">
        <f t="shared" si="75"/>
        <v>317</v>
      </c>
      <c r="D318" s="360" t="str">
        <f>IF(I318='Jour Férié'!F$13,'Jour Férié'!E$13,""&amp;IF(I318='Jour Férié'!F$14,'Jour Férié'!E$14,""&amp;IF(I318='Jour Férié'!F$15,'Jour Férié'!E$15,""&amp;IF(I318='Jour Férié'!B$13,'Jour Férié'!A$13,""&amp;IF(I318='Jour Férié'!B$14,'Jour Férié'!A$14,""&amp;IF(MOD(MATCH(I318,vacances!$A$3:$A$202,1),2)=1,"vacances",""))))))</f>
        <v/>
      </c>
      <c r="E318" s="490"/>
      <c r="F318" s="490"/>
      <c r="G318" s="490"/>
      <c r="H318" s="624"/>
      <c r="I318" s="361">
        <f t="shared" si="73"/>
        <v>43417</v>
      </c>
      <c r="J318" s="328"/>
      <c r="K318" s="328"/>
      <c r="L318" s="328"/>
      <c r="M318" s="363" t="s">
        <v>225</v>
      </c>
      <c r="N318" s="363"/>
      <c r="O318" s="370">
        <f>(IF((I306)='Jour Férié'!B13,(5*COUNTIF(E305,J$1))+(12*COUNTIF(E306,J$2))+(5*COUNTIF(E306,J$1))))+(IF((I316)='Jour Férié'!B14,(5*COUNTIF(E315,J$1))+(12*COUNTIF(E316,J$2))+(5*COUNTIF(E316,J$1))))</f>
        <v>0</v>
      </c>
      <c r="P318" s="328"/>
      <c r="Q318" s="555" t="str">
        <f>'FICHE DE PAIE'!A$14</f>
        <v>Absence congé payé</v>
      </c>
      <c r="R318" s="555"/>
      <c r="S318" s="555"/>
      <c r="T318" s="555"/>
      <c r="U318" s="555"/>
      <c r="V318" s="555"/>
      <c r="W318" s="555"/>
      <c r="X318" s="555"/>
      <c r="Y318" s="555"/>
      <c r="Z318" s="494"/>
      <c r="AA318" s="557">
        <f>O320*35/6</f>
        <v>0</v>
      </c>
      <c r="AB318" s="557"/>
      <c r="AC318" s="557"/>
      <c r="AD318" s="558">
        <f>'FICHE DE PAIE'!N$14</f>
        <v>12.074</v>
      </c>
      <c r="AE318" s="558"/>
      <c r="AF318" s="558"/>
      <c r="AG318" s="559"/>
      <c r="AH318" s="559"/>
      <c r="AI318" s="559"/>
      <c r="AJ318" s="559"/>
      <c r="AK318" s="602">
        <f>AA318*AD318</f>
        <v>0</v>
      </c>
      <c r="AL318" s="602"/>
      <c r="AM318" s="602"/>
      <c r="AN318" s="602"/>
      <c r="AO318" s="294"/>
      <c r="AP318" s="296"/>
      <c r="AQ318" s="295"/>
      <c r="AR318" s="295"/>
      <c r="AS318" s="295"/>
      <c r="AT318" s="295"/>
      <c r="AU318" s="295"/>
      <c r="AV318" s="290"/>
      <c r="AW318" s="591" t="s">
        <v>256</v>
      </c>
      <c r="AX318" s="591"/>
      <c r="AY318" s="591"/>
      <c r="AZ318" s="591"/>
      <c r="BA318" s="591"/>
      <c r="BB318" s="591"/>
      <c r="BC318" s="591"/>
      <c r="BD318" s="591"/>
      <c r="BE318" s="591"/>
      <c r="BF318" s="591"/>
      <c r="BG318" s="591"/>
      <c r="BH318" s="591"/>
      <c r="BI318" s="590">
        <f t="shared" si="76"/>
        <v>1952.5539499999998</v>
      </c>
      <c r="BJ318" s="590"/>
      <c r="BK318" s="590"/>
      <c r="BL318" s="590"/>
      <c r="BM318" s="590"/>
      <c r="BN318" s="590"/>
      <c r="BO318" s="590"/>
      <c r="BP318" s="590"/>
      <c r="BQ318" s="592">
        <f t="shared" si="77"/>
        <v>0</v>
      </c>
      <c r="BR318" s="592"/>
      <c r="BS318" s="592"/>
      <c r="BT318" s="592"/>
      <c r="BU318" s="594">
        <f>'FICHE DE PAIE'!BE$14</f>
        <v>1.5E-3</v>
      </c>
      <c r="BV318" s="594"/>
      <c r="BW318" s="594"/>
      <c r="BX318" s="592">
        <f t="shared" si="78"/>
        <v>2.9288309249999998</v>
      </c>
      <c r="BY318" s="592"/>
      <c r="BZ318" s="592"/>
      <c r="CA318" s="593"/>
    </row>
    <row r="319" spans="1:79" ht="15" customHeight="1">
      <c r="A319" s="334">
        <v>11</v>
      </c>
      <c r="B319" s="328">
        <v>14</v>
      </c>
      <c r="C319" s="328">
        <f t="shared" si="75"/>
        <v>318</v>
      </c>
      <c r="D319" s="360" t="str">
        <f>IF(I319='Jour Férié'!F$13,'Jour Férié'!E$13,""&amp;IF(I319='Jour Férié'!F$14,'Jour Férié'!E$14,""&amp;IF(I319='Jour Férié'!F$15,'Jour Férié'!E$15,""&amp;IF(I319='Jour Férié'!B$13,'Jour Férié'!A$13,""&amp;IF(I319='Jour Férié'!B$14,'Jour Férié'!A$14,""&amp;IF(MOD(MATCH(I319,vacances!$A$3:$A$202,1),2)=1,"vacances",""))))))</f>
        <v/>
      </c>
      <c r="E319" s="490"/>
      <c r="F319" s="490"/>
      <c r="G319" s="490" t="s">
        <v>335</v>
      </c>
      <c r="H319" s="624"/>
      <c r="I319" s="361">
        <f t="shared" si="73"/>
        <v>43418</v>
      </c>
      <c r="J319" s="328"/>
      <c r="K319" s="328"/>
      <c r="L319" s="328"/>
      <c r="M319" s="374" t="s">
        <v>226</v>
      </c>
      <c r="N319" s="374"/>
      <c r="O319" s="364">
        <f>(COUNTIF($E306:$E336,$J315))</f>
        <v>0</v>
      </c>
      <c r="P319" s="328"/>
      <c r="Q319" s="555" t="str">
        <f>'FICHE DE PAIE'!A$15</f>
        <v>paiement congé payé</v>
      </c>
      <c r="R319" s="555"/>
      <c r="S319" s="555"/>
      <c r="T319" s="555"/>
      <c r="U319" s="555"/>
      <c r="V319" s="555"/>
      <c r="W319" s="555"/>
      <c r="X319" s="555"/>
      <c r="Y319" s="555"/>
      <c r="Z319" s="494"/>
      <c r="AA319" s="556"/>
      <c r="AB319" s="556"/>
      <c r="AC319" s="556"/>
      <c r="AD319" s="566"/>
      <c r="AE319" s="566"/>
      <c r="AF319" s="566"/>
      <c r="AG319" s="604"/>
      <c r="AH319" s="604"/>
      <c r="AI319" s="604"/>
      <c r="AJ319" s="604"/>
      <c r="AK319" s="297"/>
      <c r="AL319" s="297"/>
      <c r="AM319" s="297"/>
      <c r="AN319" s="298"/>
      <c r="AO319" s="299"/>
      <c r="AP319" s="296"/>
      <c r="AQ319" s="295"/>
      <c r="AR319" s="295"/>
      <c r="AS319" s="295"/>
      <c r="AT319" s="295"/>
      <c r="AU319" s="295"/>
      <c r="AV319" s="290"/>
      <c r="AW319" s="591" t="s">
        <v>258</v>
      </c>
      <c r="AX319" s="591"/>
      <c r="AY319" s="591"/>
      <c r="AZ319" s="591"/>
      <c r="BA319" s="591"/>
      <c r="BB319" s="591"/>
      <c r="BC319" s="591"/>
      <c r="BD319" s="591"/>
      <c r="BE319" s="591"/>
      <c r="BF319" s="591"/>
      <c r="BG319" s="591"/>
      <c r="BH319" s="591"/>
      <c r="BI319" s="590">
        <f t="shared" si="76"/>
        <v>1952.5539499999998</v>
      </c>
      <c r="BJ319" s="590"/>
      <c r="BK319" s="590"/>
      <c r="BL319" s="590"/>
      <c r="BM319" s="594">
        <f>'FICHE DE PAIE'!AW$15</f>
        <v>3.1E-2</v>
      </c>
      <c r="BN319" s="594"/>
      <c r="BO319" s="594"/>
      <c r="BP319" s="594"/>
      <c r="BQ319" s="592">
        <f t="shared" si="77"/>
        <v>60.52917244999999</v>
      </c>
      <c r="BR319" s="592"/>
      <c r="BS319" s="592"/>
      <c r="BT319" s="592"/>
      <c r="BU319" s="594">
        <f>'FICHE DE PAIE'!BE$15</f>
        <v>4.65E-2</v>
      </c>
      <c r="BV319" s="594"/>
      <c r="BW319" s="594"/>
      <c r="BX319" s="592">
        <f t="shared" si="78"/>
        <v>90.793758674999992</v>
      </c>
      <c r="BY319" s="592"/>
      <c r="BZ319" s="592"/>
      <c r="CA319" s="593"/>
    </row>
    <row r="320" spans="1:79" ht="15" customHeight="1">
      <c r="A320" s="334">
        <v>11</v>
      </c>
      <c r="B320" s="328">
        <v>15</v>
      </c>
      <c r="C320" s="328">
        <f t="shared" si="75"/>
        <v>319</v>
      </c>
      <c r="D320" s="360" t="str">
        <f>IF(I320='Jour Férié'!F$13,'Jour Férié'!E$13,""&amp;IF(I320='Jour Férié'!F$14,'Jour Férié'!E$14,""&amp;IF(I320='Jour Férié'!F$15,'Jour Férié'!E$15,""&amp;IF(I320='Jour Férié'!B$13,'Jour Férié'!A$13,""&amp;IF(I320='Jour Férié'!B$14,'Jour Férié'!A$14,""&amp;IF(MOD(MATCH(I320,vacances!$A$3:$A$202,1),2)=1,"vacances",""))))))</f>
        <v/>
      </c>
      <c r="E320" s="490"/>
      <c r="F320" s="490"/>
      <c r="G320" s="490"/>
      <c r="H320" s="624"/>
      <c r="I320" s="361">
        <f t="shared" si="73"/>
        <v>43419</v>
      </c>
      <c r="J320" s="328"/>
      <c r="K320" s="328"/>
      <c r="L320" s="328"/>
      <c r="M320" s="374" t="s">
        <v>227</v>
      </c>
      <c r="N320" s="374"/>
      <c r="O320" s="364">
        <f>(COUNTIF($E306:$E336,$J313))</f>
        <v>0</v>
      </c>
      <c r="P320" s="328"/>
      <c r="Q320" s="555" t="str">
        <f>'FICHE DE PAIE'!A$16</f>
        <v>Absence maladie</v>
      </c>
      <c r="R320" s="555"/>
      <c r="S320" s="555"/>
      <c r="T320" s="555"/>
      <c r="U320" s="555"/>
      <c r="V320" s="555"/>
      <c r="W320" s="555"/>
      <c r="X320" s="555"/>
      <c r="Y320" s="555"/>
      <c r="Z320" s="494"/>
      <c r="AA320" s="556"/>
      <c r="AB320" s="556"/>
      <c r="AC320" s="556"/>
      <c r="AD320" s="566"/>
      <c r="AE320" s="566"/>
      <c r="AF320" s="566"/>
      <c r="AG320" s="559"/>
      <c r="AH320" s="559"/>
      <c r="AI320" s="559"/>
      <c r="AJ320" s="559"/>
      <c r="AK320" s="599"/>
      <c r="AL320" s="599"/>
      <c r="AM320" s="599"/>
      <c r="AN320" s="599"/>
      <c r="AO320" s="294"/>
      <c r="AP320" s="296"/>
      <c r="AQ320" s="295"/>
      <c r="AR320" s="295"/>
      <c r="AS320" s="295"/>
      <c r="AT320" s="295"/>
      <c r="AU320" s="295"/>
      <c r="AV320" s="290"/>
      <c r="AW320" s="591" t="s">
        <v>260</v>
      </c>
      <c r="AX320" s="591"/>
      <c r="AY320" s="591"/>
      <c r="AZ320" s="591"/>
      <c r="BA320" s="591"/>
      <c r="BB320" s="591"/>
      <c r="BC320" s="591"/>
      <c r="BD320" s="591"/>
      <c r="BE320" s="591"/>
      <c r="BF320" s="591"/>
      <c r="BG320" s="591"/>
      <c r="BH320" s="591"/>
      <c r="BI320" s="590">
        <f t="shared" si="76"/>
        <v>1952.5539499999998</v>
      </c>
      <c r="BJ320" s="590"/>
      <c r="BK320" s="590"/>
      <c r="BL320" s="590"/>
      <c r="BM320" s="594">
        <f>'FICHE DE PAIE'!AW$16</f>
        <v>8.0000000000000002E-3</v>
      </c>
      <c r="BN320" s="594"/>
      <c r="BO320" s="594"/>
      <c r="BP320" s="594"/>
      <c r="BQ320" s="592">
        <f t="shared" si="77"/>
        <v>15.620431599999998</v>
      </c>
      <c r="BR320" s="592"/>
      <c r="BS320" s="592"/>
      <c r="BT320" s="592"/>
      <c r="BU320" s="594">
        <f>'FICHE DE PAIE'!BE$16</f>
        <v>1.2E-2</v>
      </c>
      <c r="BV320" s="594"/>
      <c r="BW320" s="594"/>
      <c r="BX320" s="592">
        <f t="shared" si="78"/>
        <v>23.430647399999998</v>
      </c>
      <c r="BY320" s="592"/>
      <c r="BZ320" s="592"/>
      <c r="CA320" s="593"/>
    </row>
    <row r="321" spans="1:79" ht="15" customHeight="1">
      <c r="A321" s="334">
        <v>11</v>
      </c>
      <c r="B321" s="328">
        <v>16</v>
      </c>
      <c r="C321" s="328">
        <f t="shared" si="75"/>
        <v>320</v>
      </c>
      <c r="D321" s="360" t="str">
        <f>IF(I321='Jour Férié'!F$13,'Jour Férié'!E$13,""&amp;IF(I321='Jour Férié'!F$14,'Jour Férié'!E$14,""&amp;IF(I321='Jour Férié'!F$15,'Jour Férié'!E$15,""&amp;IF(I321='Jour Férié'!B$13,'Jour Férié'!A$13,""&amp;IF(I321='Jour Férié'!B$14,'Jour Férié'!A$14,""&amp;IF(MOD(MATCH(I321,vacances!$A$3:$A$202,1),2)=1,"vacances",""))))))</f>
        <v/>
      </c>
      <c r="E321" s="490"/>
      <c r="F321" s="490"/>
      <c r="G321" s="490"/>
      <c r="H321" s="624"/>
      <c r="I321" s="361">
        <f t="shared" si="73"/>
        <v>43420</v>
      </c>
      <c r="J321" s="328"/>
      <c r="K321" s="328"/>
      <c r="L321" s="328"/>
      <c r="M321" s="374" t="s">
        <v>228</v>
      </c>
      <c r="N321" s="374"/>
      <c r="O321" s="364">
        <f>(COUNTIF($E306:$E336,$J314))</f>
        <v>0</v>
      </c>
      <c r="P321" s="328"/>
      <c r="Q321" s="555"/>
      <c r="R321" s="555"/>
      <c r="S321" s="555"/>
      <c r="T321" s="555"/>
      <c r="U321" s="555"/>
      <c r="V321" s="555"/>
      <c r="W321" s="555"/>
      <c r="X321" s="555"/>
      <c r="Y321" s="555"/>
      <c r="Z321" s="494"/>
      <c r="AA321" s="556"/>
      <c r="AB321" s="556"/>
      <c r="AC321" s="556"/>
      <c r="AD321" s="600"/>
      <c r="AE321" s="600"/>
      <c r="AF321" s="600"/>
      <c r="AG321" s="559"/>
      <c r="AH321" s="559"/>
      <c r="AI321" s="559"/>
      <c r="AJ321" s="559"/>
      <c r="AK321" s="297"/>
      <c r="AL321" s="297"/>
      <c r="AM321" s="297"/>
      <c r="AN321" s="298"/>
      <c r="AO321" s="299"/>
      <c r="AP321" s="296"/>
      <c r="AQ321" s="295"/>
      <c r="AR321" s="295"/>
      <c r="AS321" s="295"/>
      <c r="AT321" s="295"/>
      <c r="AU321" s="295"/>
      <c r="AV321" s="290"/>
      <c r="AW321" s="499" t="s">
        <v>261</v>
      </c>
      <c r="AX321" s="499"/>
      <c r="AY321" s="499"/>
      <c r="AZ321" s="499"/>
      <c r="BA321" s="499"/>
      <c r="BB321" s="499"/>
      <c r="BC321" s="499"/>
      <c r="BD321" s="499"/>
      <c r="BE321" s="499"/>
      <c r="BF321" s="499"/>
      <c r="BG321" s="499"/>
      <c r="BH321" s="499"/>
      <c r="BI321" s="590">
        <f t="shared" si="76"/>
        <v>1952.5539499999998</v>
      </c>
      <c r="BJ321" s="590"/>
      <c r="BK321" s="590"/>
      <c r="BL321" s="590"/>
      <c r="BM321" s="594">
        <f>'FICHE DE PAIE'!AW$17</f>
        <v>5.4000000000000003E-3</v>
      </c>
      <c r="BN321" s="594"/>
      <c r="BO321" s="594"/>
      <c r="BP321" s="594"/>
      <c r="BQ321" s="592">
        <f t="shared" si="77"/>
        <v>10.543791329999999</v>
      </c>
      <c r="BR321" s="592"/>
      <c r="BS321" s="592"/>
      <c r="BT321" s="592"/>
      <c r="BU321" s="594">
        <f>'FICHE DE PAIE'!BE$17</f>
        <v>5.4000000000000003E-3</v>
      </c>
      <c r="BV321" s="594"/>
      <c r="BW321" s="594"/>
      <c r="BX321" s="592">
        <f t="shared" si="78"/>
        <v>10.543791329999999</v>
      </c>
      <c r="BY321" s="592"/>
      <c r="BZ321" s="592"/>
      <c r="CA321" s="593"/>
    </row>
    <row r="322" spans="1:79" ht="15" customHeight="1">
      <c r="A322" s="334">
        <v>11</v>
      </c>
      <c r="B322" s="328">
        <v>17</v>
      </c>
      <c r="C322" s="328">
        <f t="shared" si="75"/>
        <v>321</v>
      </c>
      <c r="D322" s="360" t="str">
        <f>IF(I322='Jour Férié'!F$13,'Jour Férié'!E$13,""&amp;IF(I322='Jour Férié'!F$14,'Jour Férié'!E$14,""&amp;IF(I322='Jour Férié'!F$15,'Jour Férié'!E$15,""&amp;IF(I322='Jour Férié'!B$13,'Jour Férié'!A$13,""&amp;IF(I322='Jour Férié'!B$14,'Jour Férié'!A$14,""&amp;IF(MOD(MATCH(I322,vacances!$A$3:$A$202,1),2)=1,"vacances",""))))))</f>
        <v/>
      </c>
      <c r="E322" s="490"/>
      <c r="F322" s="490"/>
      <c r="G322" s="490"/>
      <c r="H322" s="624"/>
      <c r="I322" s="361">
        <f t="shared" si="73"/>
        <v>43421</v>
      </c>
      <c r="J322" s="328"/>
      <c r="K322" s="328"/>
      <c r="L322" s="328"/>
      <c r="M322" s="328"/>
      <c r="N322" s="328"/>
      <c r="O322" s="375"/>
      <c r="P322" s="328"/>
      <c r="Q322" s="562" t="s">
        <v>262</v>
      </c>
      <c r="R322" s="562"/>
      <c r="S322" s="562"/>
      <c r="T322" s="562"/>
      <c r="U322" s="562"/>
      <c r="V322" s="562"/>
      <c r="W322" s="562"/>
      <c r="X322" s="563"/>
      <c r="Y322" s="563"/>
      <c r="Z322" s="563"/>
      <c r="AA322" s="563"/>
      <c r="AB322" s="563"/>
      <c r="AC322" s="563"/>
      <c r="AD322" s="563"/>
      <c r="AE322" s="563"/>
      <c r="AF322" s="563"/>
      <c r="AG322" s="564">
        <f>SUM(AG308:AJ317)+AG319-AK318-AK320</f>
        <v>1851.1323499999999</v>
      </c>
      <c r="AH322" s="564"/>
      <c r="AI322" s="564"/>
      <c r="AJ322" s="564"/>
      <c r="AK322" s="300"/>
      <c r="AL322" s="300"/>
      <c r="AM322" s="300"/>
      <c r="AN322" s="295"/>
      <c r="AO322" s="565">
        <f>AG322-AO308</f>
        <v>-1094.8676500000001</v>
      </c>
      <c r="AP322" s="565"/>
      <c r="AQ322" s="565"/>
      <c r="AR322" s="498"/>
      <c r="AS322" s="498"/>
      <c r="AT322" s="498"/>
      <c r="AU322" s="295"/>
      <c r="AV322" s="301"/>
      <c r="AW322" s="591" t="s">
        <v>263</v>
      </c>
      <c r="AX322" s="591"/>
      <c r="AY322" s="591"/>
      <c r="AZ322" s="591"/>
      <c r="BA322" s="591"/>
      <c r="BB322" s="591"/>
      <c r="BC322" s="591"/>
      <c r="BD322" s="591"/>
      <c r="BE322" s="591"/>
      <c r="BF322" s="591"/>
      <c r="BG322" s="591"/>
      <c r="BH322" s="591"/>
      <c r="BI322" s="601"/>
      <c r="BJ322" s="601"/>
      <c r="BK322" s="601"/>
      <c r="BL322" s="601"/>
      <c r="BM322" s="590"/>
      <c r="BN322" s="590"/>
      <c r="BO322" s="590"/>
      <c r="BP322" s="590"/>
      <c r="BQ322" s="592">
        <f t="shared" si="77"/>
        <v>0</v>
      </c>
      <c r="BR322" s="592"/>
      <c r="BS322" s="592"/>
      <c r="BT322" s="592"/>
      <c r="BU322" s="594">
        <f>'FICHE DE PAIE'!BE$18</f>
        <v>0.08</v>
      </c>
      <c r="BV322" s="594"/>
      <c r="BW322" s="594"/>
      <c r="BX322" s="592">
        <f t="shared" si="78"/>
        <v>0</v>
      </c>
      <c r="BY322" s="592"/>
      <c r="BZ322" s="592"/>
      <c r="CA322" s="593"/>
    </row>
    <row r="323" spans="1:79" ht="15" customHeight="1">
      <c r="A323" s="334">
        <v>11</v>
      </c>
      <c r="B323" s="328">
        <v>18</v>
      </c>
      <c r="C323" s="328">
        <f t="shared" si="75"/>
        <v>322</v>
      </c>
      <c r="D323" s="360" t="str">
        <f>IF(I323='Jour Férié'!F$13,'Jour Férié'!E$13,""&amp;IF(I323='Jour Férié'!F$14,'Jour Férié'!E$14,""&amp;IF(I323='Jour Férié'!F$15,'Jour Férié'!E$15,""&amp;IF(I323='Jour Férié'!B$13,'Jour Férié'!A$13,""&amp;IF(I323='Jour Férié'!B$14,'Jour Férié'!A$14,""&amp;IF(MOD(MATCH(I323,vacances!$A$3:$A$202,1),2)=1,"vacances",""))))))</f>
        <v/>
      </c>
      <c r="E323" s="490"/>
      <c r="F323" s="490"/>
      <c r="G323" s="490"/>
      <c r="H323" s="624"/>
      <c r="I323" s="361">
        <f t="shared" si="73"/>
        <v>43422</v>
      </c>
      <c r="J323" s="328"/>
      <c r="K323" s="328"/>
      <c r="L323" s="328"/>
      <c r="M323" s="575" t="s">
        <v>320</v>
      </c>
      <c r="N323" s="335">
        <f>(IF(WEEKDAY(I305,2)=6,(COUNTIF(E305,"*"))))*AND(IF(WEEKDAY(I306,2)=7,(COUNTIF(E306,"*"))))+(IF(WEEKDAY(I306,2)=6,(COUNTIF(E306,"*"))))*AND(IF(WEEKDAY(I307,2)=7,(COUNTIF(E307,"*"))))+(IF(WEEKDAY(I307,2)=6,(COUNTIF(E307,"*"))))*AND(IF(WEEKDAY(I308,2)=7,(COUNTIF(E308,"*"))))+(IF(WEEKDAY(I308,2)=6,(COUNTIF(E308,"*"))))*AND(IF(WEEKDAY(I309,2)=7,(COUNTIF(E309,"*"))))+(IF(WEEKDAY(I309,2)=6,(COUNTIF(E309,"*"))))*AND(IF(WEEKDAY(I310,2)=7,(COUNTIF(E310,"*"))))+(IF(WEEKDAY(I310,2)=6,(COUNTIF(E310,"*"))))*AND(IF(WEEKDAY(I311,2)=7,(COUNTIF(E311,"*"))))+(IF(WEEKDAY(I311,2)=6,(COUNTIF(E311,"*"))))*AND(IF(WEEKDAY(I312,2)=7,(COUNTIF(E312,"*"))))+(IF(WEEKDAY(I312,2)=6,(COUNTIF(E312,"*"))))*AND(IF(WEEKDAY(I313,2)=7,(COUNTIF(E313,"*"))))+(IF(WEEKDAY(I313,2)=6,(COUNTIF(E313,"*"))))*AND(IF(WEEKDAY(I314,2)=7,(COUNTIF(E314,"*"))))+(IF(WEEKDAY(I314,2)=6,(COUNTIF(E314,"*"))))*AND(IF(WEEKDAY(I315,2)=7,(COUNTIF(E315,"*"))))+(IF(WEEKDAY(I315,2)=6,(COUNTIF(E315,"*"))))*AND(IF(WEEKDAY(I316,2)=7,(COUNTIF(E316,"*"))))+(IF(WEEKDAY(I316,2)=6,(COUNTIF(E316,"*"))))*AND(IF(WEEKDAY(I317,2)=7,(COUNTIF(E317,"*"))))+(IF(WEEKDAY(I317,2)=6,(COUNTIF(E317,"*"))))*AND(IF(WEEKDAY(I318,2)=7,(COUNTIF(E318,"*"))))+(IF(WEEKDAY(I318,2)=6,(COUNTIF(E318,"*"))))*AND(IF(WEEKDAY(I319,2)=7,(COUNTIF(E319,"*"))))+(IF(WEEKDAY(I319,2)=6,(COUNTIF(E319,"*"))))*AND(IF(WEEKDAY(I320,2)=7,(COUNTIF(E320,"*"))))+(IF(WEEKDAY(I320,2)=6,(COUNTIF(E320,"*"))))*AND(IF(WEEKDAY(I321,2)=7,(COUNTIF(E321,"*"))))</f>
        <v>0</v>
      </c>
      <c r="O323" s="576">
        <f>SUM(N323:N324)</f>
        <v>0</v>
      </c>
      <c r="P323" s="328"/>
      <c r="Q323" s="376"/>
      <c r="R323" s="376"/>
      <c r="S323" s="376"/>
      <c r="T323" s="376"/>
      <c r="U323" s="376"/>
      <c r="V323" s="376"/>
      <c r="W323" s="376"/>
      <c r="X323" s="376"/>
      <c r="Y323" s="376"/>
      <c r="Z323" s="376"/>
      <c r="AA323" s="377"/>
      <c r="AB323" s="377"/>
      <c r="AC323" s="377"/>
      <c r="AD323" s="378"/>
      <c r="AE323" s="378"/>
      <c r="AF323" s="378"/>
      <c r="AG323" s="376"/>
      <c r="AH323" s="376"/>
      <c r="AI323" s="376"/>
      <c r="AJ323" s="379"/>
      <c r="AK323" s="379"/>
      <c r="AL323" s="379"/>
      <c r="AM323" s="379"/>
      <c r="AN323" s="365"/>
      <c r="AO323" s="365"/>
      <c r="AP323" s="365"/>
      <c r="AQ323" s="365"/>
      <c r="AR323" s="365"/>
      <c r="AS323" s="365"/>
      <c r="AT323" s="365"/>
      <c r="AU323" s="365"/>
      <c r="AV323" s="302"/>
      <c r="AW323" s="591" t="s">
        <v>264</v>
      </c>
      <c r="AX323" s="591"/>
      <c r="AY323" s="591"/>
      <c r="AZ323" s="591"/>
      <c r="BA323" s="591"/>
      <c r="BB323" s="591"/>
      <c r="BC323" s="591"/>
      <c r="BD323" s="591"/>
      <c r="BE323" s="591"/>
      <c r="BF323" s="591"/>
      <c r="BG323" s="591"/>
      <c r="BH323" s="591"/>
      <c r="BI323" s="590">
        <f>$AG$17*98.25%</f>
        <v>1918.3842558749998</v>
      </c>
      <c r="BJ323" s="590"/>
      <c r="BK323" s="590"/>
      <c r="BL323" s="590"/>
      <c r="BM323" s="594">
        <f>'FICHE DE PAIE'!AW$19</f>
        <v>6.8000000000000005E-2</v>
      </c>
      <c r="BN323" s="594"/>
      <c r="BO323" s="594"/>
      <c r="BP323" s="594"/>
      <c r="BQ323" s="592">
        <f t="shared" si="77"/>
        <v>130.45012939949999</v>
      </c>
      <c r="BR323" s="592"/>
      <c r="BS323" s="592"/>
      <c r="BT323" s="592"/>
      <c r="BU323" s="595"/>
      <c r="BV323" s="595"/>
      <c r="BW323" s="595"/>
      <c r="BX323" s="592">
        <f t="shared" si="78"/>
        <v>0</v>
      </c>
      <c r="BY323" s="592"/>
      <c r="BZ323" s="592"/>
      <c r="CA323" s="593"/>
    </row>
    <row r="324" spans="1:79" ht="15" customHeight="1">
      <c r="A324" s="334">
        <v>11</v>
      </c>
      <c r="B324" s="328">
        <v>19</v>
      </c>
      <c r="C324" s="328">
        <f t="shared" si="75"/>
        <v>323</v>
      </c>
      <c r="D324" s="360" t="str">
        <f>IF(I324='Jour Férié'!F$13,'Jour Férié'!E$13,""&amp;IF(I324='Jour Férié'!F$14,'Jour Férié'!E$14,""&amp;IF(I324='Jour Férié'!F$15,'Jour Férié'!E$15,""&amp;IF(I324='Jour Férié'!B$13,'Jour Férié'!A$13,""&amp;IF(I324='Jour Férié'!B$14,'Jour Férié'!A$14,""&amp;IF(MOD(MATCH(I324,vacances!$A$3:$A$202,1),2)=1,"vacances",""))))))</f>
        <v/>
      </c>
      <c r="E324" s="490"/>
      <c r="F324" s="490"/>
      <c r="G324" s="490"/>
      <c r="H324" s="624"/>
      <c r="I324" s="361">
        <f t="shared" si="73"/>
        <v>43423</v>
      </c>
      <c r="J324" s="328"/>
      <c r="K324" s="328"/>
      <c r="L324" s="328"/>
      <c r="M324" s="575"/>
      <c r="N324" s="338">
        <f>(IF(WEEKDAY(I321,2)=6,(COUNTIF(E321,"*"))))*AND(IF(WEEKDAY(I322,2)=7,(COUNTIF(E322,"*"))))+(IF(WEEKDAY(I322,2)=6,(COUNTIF(E322,"*"))))*AND(IF(WEEKDAY(I323,2)=7,(COUNTIF(E323,"*"))))+(IF(WEEKDAY(I323,2)=6,(COUNTIF(E323,"*"))))*AND(IF(WEEKDAY(I324,2)=7,(COUNTIF(E324,"*"))))+(IF(WEEKDAY(I324,2)=6,(COUNTIF(E324,"*"))))*AND(IF(WEEKDAY(I325,2)=7,(COUNTIF(E325,"*"))))+(IF(WEEKDAY(I325,2)=6,(COUNTIF(E325,"*"))))*AND(IF(WEEKDAY(I326,2)=7,(COUNTIF(E326,"*"))))+(IF(WEEKDAY(I326,2)=6,(COUNTIF(E326,"*"))))*AND(IF(WEEKDAY(I327,2)=7,(COUNTIF(E327,"*"))))+(IF(WEEKDAY(I327,2)=6,(COUNTIF(E327,"*"))))*AND(IF(WEEKDAY(I328,2)=7,(COUNTIF(E328,"*"))))+(IF(WEEKDAY(I328,2)=6,(COUNTIF(E328,"*"))))*AND(IF(WEEKDAY(I329,2)=7,(COUNTIF(E329,"*"))))+(IF(WEEKDAY(I329,2)=6,(COUNTIF(E329,"*"))))*AND(IF(WEEKDAY(I330,2)=7,(COUNTIF(E330,"*"))))+(IF(WEEKDAY(I330,2)=6,(COUNTIF(E330,"*"))))*AND(IF(WEEKDAY(I331,2)=7,(COUNTIF(E331,"*"))))+(IF(WEEKDAY(I331,2)=6,(COUNTIF(E331,"*"))))*AND(IF(WEEKDAY(I332,2)=7,(COUNTIF(E332,"*"))))+(IF(WEEKDAY(I332,2)=6,(COUNTIF(E332,"*"))))*AND(IF(WEEKDAY(I333,2)=7,(COUNTIF(E333,"*"))))+(IF(WEEKDAY(I333,2)=6,(COUNTIF(E333,"*"))))*AND(IF(WEEKDAY(I334,2)=7,(COUNTIF(E334,"*"))))+(IF(WEEKDAY(I334,2)=6,(COUNTIF(E334,"*"))))*AND(IF(WEEKDAY(I335,2)=7,(COUNTIF(E335,"*"))))+(IF(WEEKDAY(I335,2)=6,(COUNTIF(E335,"*"))))*AND(IF(WEEKDAY(I336,2)=7,(COUNTIF(E336,"*"))))</f>
        <v>0</v>
      </c>
      <c r="O324" s="576"/>
      <c r="P324" s="328"/>
      <c r="Q324" s="550">
        <f>Q306</f>
        <v>43405</v>
      </c>
      <c r="R324" s="550"/>
      <c r="S324" s="550"/>
      <c r="T324" s="550"/>
      <c r="U324" s="550"/>
      <c r="V324" s="550"/>
      <c r="W324" s="550"/>
      <c r="X324" s="550"/>
      <c r="Y324" s="550"/>
      <c r="Z324" s="550"/>
      <c r="AA324" s="550"/>
      <c r="AB324" s="550"/>
      <c r="AC324" s="550"/>
      <c r="AD324" s="550"/>
      <c r="AE324" s="550"/>
      <c r="AF324" s="550"/>
      <c r="AG324" s="550"/>
      <c r="AH324" s="550"/>
      <c r="AI324" s="550"/>
      <c r="AJ324" s="550"/>
      <c r="AK324" s="550"/>
      <c r="AL324" s="550"/>
      <c r="AM324" s="550"/>
      <c r="AN324" s="550"/>
      <c r="AO324" s="550"/>
      <c r="AP324" s="550"/>
      <c r="AQ324" s="550"/>
      <c r="AR324" s="550"/>
      <c r="AS324" s="550"/>
      <c r="AT324" s="550"/>
      <c r="AU324" s="550"/>
      <c r="AV324" s="303"/>
      <c r="AW324" s="591" t="s">
        <v>265</v>
      </c>
      <c r="AX324" s="591"/>
      <c r="AY324" s="591"/>
      <c r="AZ324" s="591"/>
      <c r="BA324" s="591"/>
      <c r="BB324" s="591"/>
      <c r="BC324" s="591"/>
      <c r="BD324" s="591"/>
      <c r="BE324" s="591"/>
      <c r="BF324" s="591"/>
      <c r="BG324" s="591"/>
      <c r="BH324" s="591"/>
      <c r="BI324" s="590">
        <f>$AG$17*98.25%</f>
        <v>1918.3842558749998</v>
      </c>
      <c r="BJ324" s="590"/>
      <c r="BK324" s="590"/>
      <c r="BL324" s="590"/>
      <c r="BM324" s="594">
        <f>'FICHE DE PAIE'!AW$20</f>
        <v>2.4E-2</v>
      </c>
      <c r="BN324" s="594"/>
      <c r="BO324" s="594"/>
      <c r="BP324" s="594"/>
      <c r="BQ324" s="592">
        <f t="shared" si="77"/>
        <v>46.041222140999999</v>
      </c>
      <c r="BR324" s="592"/>
      <c r="BS324" s="592"/>
      <c r="BT324" s="592"/>
      <c r="BU324" s="595"/>
      <c r="BV324" s="595"/>
      <c r="BW324" s="595"/>
      <c r="BX324" s="592">
        <f t="shared" si="78"/>
        <v>0</v>
      </c>
      <c r="BY324" s="592"/>
      <c r="BZ324" s="592"/>
      <c r="CA324" s="593"/>
    </row>
    <row r="325" spans="1:79" ht="15" customHeight="1">
      <c r="A325" s="334">
        <v>11</v>
      </c>
      <c r="B325" s="328">
        <v>20</v>
      </c>
      <c r="C325" s="328">
        <f t="shared" si="75"/>
        <v>324</v>
      </c>
      <c r="D325" s="360" t="str">
        <f>IF(I325='Jour Férié'!F$13,'Jour Férié'!E$13,""&amp;IF(I325='Jour Férié'!F$14,'Jour Férié'!E$14,""&amp;IF(I325='Jour Férié'!F$15,'Jour Férié'!E$15,""&amp;IF(I325='Jour Férié'!B$13,'Jour Férié'!A$13,""&amp;IF(I325='Jour Férié'!B$14,'Jour Férié'!A$14,""&amp;IF(MOD(MATCH(I325,vacances!$A$3:$A$202,1),2)=1,"vacances",""))))))</f>
        <v/>
      </c>
      <c r="E325" s="490"/>
      <c r="F325" s="490"/>
      <c r="G325" s="490" t="s">
        <v>335</v>
      </c>
      <c r="H325" s="624"/>
      <c r="I325" s="361">
        <f t="shared" si="73"/>
        <v>43424</v>
      </c>
      <c r="J325" s="328"/>
      <c r="K325" s="328"/>
      <c r="L325" s="328"/>
      <c r="M325" s="575" t="s">
        <v>321</v>
      </c>
      <c r="N325" s="338">
        <f>(IF(WEEKDAY(I305,2)=5,(COUNTIF(E305,$J$1))))*AND(IF(WEEKDAY(I308,2)=1,(COUNTIF(E308,"*"))))+(IF(WEEKDAY(I306,2)=5,(COUNTIF(E306,$J$1))))*AND(IF(WEEKDAY(I309,2)=1,(COUNTIF(E309,"*"))))+(IF(WEEKDAY(I307,2)=5,(COUNTIF(E307,$J$1))))*AND(IF(WEEKDAY(I310,2)=1,(COUNTIF(E310,"*"))))+(IF(WEEKDAY(I308,2)=5,(COUNTIF(E308,$J$1))))*AND(IF(WEEKDAY(I311,2)=1,(COUNTIF(E311,"*"))))+(IF(WEEKDAY(I309,2)=5,(COUNTIF(E309,$J$1))))*AND(IF(WEEKDAY(I312,2)=1,(COUNTIF(E312,"*"))))+(IF(WEEKDAY(I310,2)=5,(COUNTIF(E310,$J$1))))*AND(IF(WEEKDAY(I313,2)=1,(COUNTIF(E313,"*"))))+(IF(WEEKDAY(I311,2)=5,(COUNTIF(E311,$J$1))))*AND(IF(WEEKDAY(I314,2)=1,(COUNTIF(E314,"*"))))+(IF(WEEKDAY(I312,2)=5,(COUNTIF(E312,$J$1))))*AND(IF(WEEKDAY(I315,2)=1,(COUNTIF(E315,"*"))))+(IF(WEEKDAY(I313,2)=5,(COUNTIF(E313,$J$1))))*AND(IF(WEEKDAY(I316,2)=1,(COUNTIF(E316,"*"))))+(IF(WEEKDAY(I314,2)=5,(COUNTIF(E314,$J$1))))*AND(IF(WEEKDAY(I317,2)=1,(COUNTIF(E317,"*"))))+(IF(WEEKDAY(I315,2)=5,(COUNTIF(E315,$J$1))))*AND(IF(WEEKDAY(I318,2)=1,(COUNTIF(E318,"*"))))+(IF(WEEKDAY(I316,2)=5,(COUNTIF(E316,$J$1))))*AND(IF(WEEKDAY(I319,2)=1,(COUNTIF(E319,"*"))))+(IF(WEEKDAY(I317,2)=5,(COUNTIF(E317,$J$1))))*AND(IF(WEEKDAY(I320,2)=1,(COUNTIF(E320,"*"))))+(IF(WEEKDAY(I318,2)=5,(COUNTIF(E318,$J$1))))*AND(IF(WEEKDAY(I321,2)=1,(COUNTIF(E321,"*"))))+(IF(WEEKDAY(I319,2)=5,(COUNTIF(E319,$J$1))))*AND(IF(WEEKDAY(I322,2)=1,(COUNTIF(E322,"*"))))+(IF(WEEKDAY(I320,2)=5,(COUNTIF(E320,$J$1))))*AND(IF(WEEKDAY(I323,2)=1,(COUNTIF(E323,"*"))))+(IF(WEEKDAY(I321,2)=5,(COUNTIF(E321,$J$1))))*AND(IF(WEEKDAY(I324,2)=1,(COUNTIF(E324,"*"))))+(IF(WEEKDAY(I322,2)=5,(COUNTIF(E322,$J$1))))*AND(IF(WEEKDAY(I325,2)=1,(COUNTIF(E325,"*"))))</f>
        <v>0</v>
      </c>
      <c r="O325" s="576">
        <f>SUM(N325:N326)</f>
        <v>0</v>
      </c>
      <c r="P325" s="328"/>
      <c r="Q325" s="281"/>
      <c r="R325" s="281"/>
      <c r="S325" s="281"/>
      <c r="T325" s="281"/>
      <c r="U325" s="281"/>
      <c r="V325" s="281"/>
      <c r="W325" s="281"/>
      <c r="X325" s="304"/>
      <c r="Y325" s="304"/>
      <c r="Z325" s="304"/>
      <c r="AA325" s="305"/>
      <c r="AB325" s="305"/>
      <c r="AC325" s="305"/>
      <c r="AD325" s="306"/>
      <c r="AE325" s="306"/>
      <c r="AF325" s="306"/>
      <c r="AG325" s="304"/>
      <c r="AH325" s="304"/>
      <c r="AI325" s="304"/>
      <c r="AJ325" s="304"/>
      <c r="AK325" s="304"/>
      <c r="AL325" s="304"/>
      <c r="AM325" s="304"/>
      <c r="AN325" s="304"/>
      <c r="AO325" s="304"/>
      <c r="AP325" s="304"/>
      <c r="AQ325" s="304"/>
      <c r="AR325" s="304"/>
      <c r="AS325" s="304"/>
      <c r="AT325" s="304"/>
      <c r="AU325" s="304"/>
      <c r="AV325" s="304"/>
      <c r="AW325" s="499" t="s">
        <v>266</v>
      </c>
      <c r="AX325" s="499"/>
      <c r="AY325" s="499"/>
      <c r="AZ325" s="499"/>
      <c r="BA325" s="499"/>
      <c r="BB325" s="499"/>
      <c r="BC325" s="499"/>
      <c r="BD325" s="499"/>
      <c r="BE325" s="499"/>
      <c r="BF325" s="499"/>
      <c r="BG325" s="499"/>
      <c r="BH325" s="499"/>
      <c r="BI325" s="590">
        <f>$AG$17*98.25%</f>
        <v>1918.3842558749998</v>
      </c>
      <c r="BJ325" s="590"/>
      <c r="BK325" s="590"/>
      <c r="BL325" s="590"/>
      <c r="BM325" s="594">
        <f>'FICHE DE PAIE'!AW$21</f>
        <v>5.0000000000000001E-3</v>
      </c>
      <c r="BN325" s="594"/>
      <c r="BO325" s="594"/>
      <c r="BP325" s="594"/>
      <c r="BQ325" s="592">
        <f t="shared" si="77"/>
        <v>9.5919212793749988</v>
      </c>
      <c r="BR325" s="592"/>
      <c r="BS325" s="592"/>
      <c r="BT325" s="592"/>
      <c r="BU325" s="595"/>
      <c r="BV325" s="595"/>
      <c r="BW325" s="595"/>
      <c r="BX325" s="592">
        <f t="shared" si="78"/>
        <v>0</v>
      </c>
      <c r="BY325" s="592"/>
      <c r="BZ325" s="592"/>
      <c r="CA325" s="593"/>
    </row>
    <row r="326" spans="1:79" ht="15" customHeight="1">
      <c r="A326" s="334">
        <v>11</v>
      </c>
      <c r="B326" s="328">
        <v>21</v>
      </c>
      <c r="C326" s="328">
        <f t="shared" ref="C326:C336" si="79">VLOOKUP(A326,Données,4)+B326-1</f>
        <v>325</v>
      </c>
      <c r="D326" s="360" t="str">
        <f>IF(I326='Jour Férié'!F$13,'Jour Férié'!E$13,""&amp;IF(I326='Jour Férié'!F$14,'Jour Férié'!E$14,""&amp;IF(I326='Jour Férié'!F$15,'Jour Férié'!E$15,""&amp;IF(I326='Jour Férié'!B$13,'Jour Férié'!A$13,""&amp;IF(I326='Jour Férié'!B$14,'Jour Férié'!A$14,""&amp;IF(MOD(MATCH(I326,vacances!$A$3:$A$202,1),2)=1,"vacances",""))))))</f>
        <v/>
      </c>
      <c r="E326" s="490"/>
      <c r="F326" s="490"/>
      <c r="G326" s="490" t="s">
        <v>335</v>
      </c>
      <c r="H326" s="624"/>
      <c r="I326" s="361">
        <f t="shared" si="73"/>
        <v>43425</v>
      </c>
      <c r="J326" s="328"/>
      <c r="K326" s="328"/>
      <c r="L326" s="328"/>
      <c r="M326" s="575"/>
      <c r="N326" s="338">
        <f>(IF(WEEKDAY(I323,2)=5,(COUNTIF(E323,$J$1))))*AND(IF(WEEKDAY(I326,2)=1,(COUNTIF(E326,"*"))))+(IF(WEEKDAY(I324,2)=5,(COUNTIF(E324,$J$1))))*AND(IF(WEEKDAY(I327,2)=1,(COUNTIF(E327,"*"))))+(IF(WEEKDAY(I325,2)=5,(COUNTIF(E325,$J$1))))*AND(IF(WEEKDAY(I328,2)=1,(COUNTIF(E328,"*"))))+(IF(WEEKDAY(I326,2)=5,(COUNTIF(E326,$J$1))))*AND(IF(WEEKDAY(I329,2)=1,(COUNTIF(E329,"*"))))+(IF(WEEKDAY(I327,2)=5,(COUNTIF(E327,$J$1))))*AND(IF(WEEKDAY(I330,2)=1,(COUNTIF(E330,"*"))))+(IF(WEEKDAY(I328,2)=5,(COUNTIF(E328,$J$1))))*AND(IF(WEEKDAY(I331,2)=1,(COUNTIF(E331,"*"))))+(IF(WEEKDAY(I329,2)=5,(COUNTIF(E329,$J$1))))*AND(IF(WEEKDAY(I332,2)=1,(COUNTIF(E332,"*"))))+(IF(WEEKDAY(I330,2)=5,(COUNTIF(E330,$J$1))))*AND(IF(WEEKDAY(I333,2)=1,(COUNTIF(E333,"*"))))+(IF(WEEKDAY(I331,2)=5,(COUNTIF(E331,$J$1))))*AND(IF(WEEKDAY(I334,2)=1,(COUNTIF(E334,"*"))))+(IF(WEEKDAY(I332,2)=5,(COUNTIF(E332,$J$1))))*AND(IF(WEEKDAY(I335,2)=1,(COUNTIF(E335,"*"))))+(IF(WEEKDAY(I333,2)=5,(COUNTIF(E333,$J$1))))*AND(IF(WEEKDAY(I336,2)=1,(COUNTIF(E336,"*"))))+(IF(WEEKDAY(I334,2)=5,(COUNTIF(E334,$J$1))))*AND(IF(WEEKDAY(I337,2)=1,(COUNTIF(E337,"*"))))+(IF(WEEKDAY(I335,2)=5,(COUNTIF(E335,$J$1))))*AND(IF(WEEKDAY(I338,2)=1,(COUNTIF(E338,"*"))))</f>
        <v>0</v>
      </c>
      <c r="O326" s="576"/>
      <c r="P326" s="328"/>
      <c r="Q326" s="281"/>
      <c r="R326" s="281"/>
      <c r="S326" s="281"/>
      <c r="T326" s="281"/>
      <c r="U326" s="281"/>
      <c r="V326" s="281"/>
      <c r="W326" s="281"/>
      <c r="X326" s="307"/>
      <c r="Y326" s="307"/>
      <c r="Z326" s="307"/>
      <c r="AA326" s="308"/>
      <c r="AB326" s="308"/>
      <c r="AC326" s="308"/>
      <c r="AD326" s="309"/>
      <c r="AE326" s="309"/>
      <c r="AF326" s="309"/>
      <c r="AG326" s="307"/>
      <c r="AH326" s="307"/>
      <c r="AI326" s="307"/>
      <c r="AJ326" s="307"/>
      <c r="AK326" s="307"/>
      <c r="AL326" s="307"/>
      <c r="AM326" s="307"/>
      <c r="AN326" s="307"/>
      <c r="AO326" s="307"/>
      <c r="AP326" s="307"/>
      <c r="AQ326" s="307"/>
      <c r="AR326" s="307"/>
      <c r="AS326" s="307"/>
      <c r="AT326" s="307"/>
      <c r="AU326" s="307"/>
      <c r="AV326" s="307"/>
      <c r="AW326" s="499" t="s">
        <v>267</v>
      </c>
      <c r="AX326" s="499"/>
      <c r="AY326" s="499"/>
      <c r="AZ326" s="499"/>
      <c r="BA326" s="499"/>
      <c r="BB326" s="499"/>
      <c r="BC326" s="499"/>
      <c r="BD326" s="499"/>
      <c r="BE326" s="499"/>
      <c r="BF326" s="499"/>
      <c r="BG326" s="499"/>
      <c r="BH326" s="499"/>
      <c r="BI326" s="596">
        <f>BI322</f>
        <v>0</v>
      </c>
      <c r="BJ326" s="596"/>
      <c r="BK326" s="596"/>
      <c r="BL326" s="596"/>
      <c r="BM326" s="594">
        <f>'FICHE DE PAIE'!AW$22</f>
        <v>6.8000000000000005E-2</v>
      </c>
      <c r="BN326" s="594"/>
      <c r="BO326" s="594"/>
      <c r="BP326" s="594"/>
      <c r="BQ326" s="592">
        <f t="shared" si="77"/>
        <v>0</v>
      </c>
      <c r="BR326" s="592"/>
      <c r="BS326" s="592"/>
      <c r="BT326" s="592"/>
      <c r="BU326" s="595"/>
      <c r="BV326" s="595"/>
      <c r="BW326" s="595"/>
      <c r="BX326" s="592">
        <f t="shared" si="78"/>
        <v>0</v>
      </c>
      <c r="BY326" s="592"/>
      <c r="BZ326" s="592"/>
      <c r="CA326" s="593"/>
    </row>
    <row r="327" spans="1:79" ht="15" customHeight="1">
      <c r="A327" s="419">
        <v>11</v>
      </c>
      <c r="B327" s="360">
        <v>22</v>
      </c>
      <c r="C327" s="328">
        <f>VLOOKUP(A327,Données,4)+B327-1</f>
        <v>326</v>
      </c>
      <c r="D327" s="360" t="str">
        <f>IF(I327='Jour Férié'!F$13,'Jour Férié'!E$13,""&amp;IF(I327='Jour Férié'!F$14,'Jour Férié'!E$14,""&amp;IF(I327='Jour Férié'!F$15,'Jour Férié'!E$15,""&amp;IF(I327='Jour Férié'!B$13,'Jour Férié'!A$13,""&amp;IF(I327='Jour Férié'!B$14,'Jour Férié'!A$14,""&amp;IF(MOD(MATCH(I327,vacances!$A$3:$A$202,1),2)=1,"vacances",""))))))</f>
        <v/>
      </c>
      <c r="E327" s="490"/>
      <c r="F327" s="490"/>
      <c r="G327" s="490"/>
      <c r="H327" s="624"/>
      <c r="I327" s="361">
        <f t="shared" si="73"/>
        <v>43426</v>
      </c>
      <c r="J327" s="328"/>
      <c r="K327" s="328"/>
      <c r="L327" s="328"/>
      <c r="M327" s="575" t="s">
        <v>322</v>
      </c>
      <c r="N327" s="338">
        <f>((IF(WEEKDAY(I305,2)=7,(COUNTIF(E305,"*"))))*AND(IF(WEEKDAY(I306,2)=1,(COUNTIF(E306,"*")))))*AND(COUNTBLANK(E304))+((IF(WEEKDAY(I306,2)=7,(COUNTIF(E306,"*"))))*AND(IF(WEEKDAY(I307,2)=1,(COUNTIF(E307,"*")))))*AND(COUNTBLANK(E305))+((IF(WEEKDAY(I307,2)=7,(COUNTIF(E307,"*"))))*AND(IF(WEEKDAY(I308,2)=1,(COUNTIF(E308,"*"))))*AND(COUNTBLANK(E306)))+((IF(WEEKDAY(I308,2)=7,(COUNTIF(E308,"*"))))*AND(IF(WEEKDAY(I309,2)=1,(COUNTIF(E309,"*"))))*AND(COUNTBLANK(E307)))+((IF(WEEKDAY(I309,2)=7,(COUNTIF(E309,"*"))))*AND(IF(WEEKDAY(I310,2)=1,(COUNTIF(E310,"*"))))*AND(COUNTBLANK(E308)))+((IF(WEEKDAY(I310,2)=7,(COUNTIF(E310,"*"))))*AND(IF(WEEKDAY(I311,2)=1,(COUNTIF(E311,"*"))))*AND(COUNTBLANK(E309)))+((IF(WEEKDAY(I311,2)=7,(COUNTIF(E311,"*"))))*AND(IF(WEEKDAY(I312,2)=1,(COUNTIF(E312,"*"))))*AND(COUNTBLANK(E310)))+((IF(WEEKDAY(I312,2)=7,(COUNTIF(E312,"*"))))*AND(IF(WEEKDAY(I313,2)=1,(COUNTIF(E313,"*"))))*AND(COUNTBLANK(E311)))+((IF(WEEKDAY(I313,2)=7,(COUNTIF(E313,"*"))))*AND(IF(WEEKDAY(I314,2)=1,(COUNTIF(E314,"*"))))*AND(COUNTBLANK(E312)))</f>
        <v>0</v>
      </c>
      <c r="O327" s="576">
        <f>SUM(N327:N329)</f>
        <v>0</v>
      </c>
      <c r="P327" s="328"/>
      <c r="Q327" s="281"/>
      <c r="R327" s="281"/>
      <c r="S327" s="281"/>
      <c r="T327" s="552" t="s">
        <v>272</v>
      </c>
      <c r="U327" s="552"/>
      <c r="V327" s="552"/>
      <c r="W327" s="552"/>
      <c r="X327" s="552"/>
      <c r="Y327" s="552"/>
      <c r="Z327" s="552"/>
      <c r="AA327" s="552"/>
      <c r="AB327" s="552"/>
      <c r="AC327" s="553">
        <f>BV333</f>
        <v>1407.7499809251249</v>
      </c>
      <c r="AD327" s="553"/>
      <c r="AE327" s="553"/>
      <c r="AF327" s="553"/>
      <c r="AG327" s="553"/>
      <c r="AH327" s="553"/>
      <c r="AI327" s="553"/>
      <c r="AJ327" s="553"/>
      <c r="AK327" s="553"/>
      <c r="AL327" s="553"/>
      <c r="AM327" s="553"/>
      <c r="AN327" s="553"/>
      <c r="AO327" s="553"/>
      <c r="AP327" s="553"/>
      <c r="AQ327" s="553"/>
      <c r="AR327" s="290"/>
      <c r="AS327" s="290"/>
      <c r="AT327" s="290"/>
      <c r="AU327" s="290"/>
      <c r="AV327" s="290"/>
      <c r="AW327" s="499" t="s">
        <v>268</v>
      </c>
      <c r="AX327" s="499"/>
      <c r="AY327" s="499"/>
      <c r="AZ327" s="499"/>
      <c r="BA327" s="499"/>
      <c r="BB327" s="499"/>
      <c r="BC327" s="499"/>
      <c r="BD327" s="499"/>
      <c r="BE327" s="499"/>
      <c r="BF327" s="499"/>
      <c r="BG327" s="499"/>
      <c r="BH327" s="499"/>
      <c r="BI327" s="596">
        <f>BI322</f>
        <v>0</v>
      </c>
      <c r="BJ327" s="596"/>
      <c r="BK327" s="596"/>
      <c r="BL327" s="596"/>
      <c r="BM327" s="594">
        <f>'FICHE DE PAIE'!AW$23</f>
        <v>2.9000000000000001E-2</v>
      </c>
      <c r="BN327" s="594"/>
      <c r="BO327" s="594"/>
      <c r="BP327" s="594"/>
      <c r="BQ327" s="592">
        <f t="shared" si="77"/>
        <v>0</v>
      </c>
      <c r="BR327" s="592"/>
      <c r="BS327" s="592"/>
      <c r="BT327" s="592"/>
      <c r="BU327" s="595"/>
      <c r="BV327" s="595"/>
      <c r="BW327" s="595"/>
      <c r="BX327" s="592">
        <f t="shared" si="78"/>
        <v>0</v>
      </c>
      <c r="BY327" s="592"/>
      <c r="BZ327" s="592"/>
      <c r="CA327" s="593"/>
    </row>
    <row r="328" spans="1:79" ht="15" customHeight="1">
      <c r="A328" s="334">
        <v>11</v>
      </c>
      <c r="B328" s="328">
        <v>23</v>
      </c>
      <c r="C328" s="328">
        <f t="shared" si="79"/>
        <v>327</v>
      </c>
      <c r="D328" s="360" t="str">
        <f>IF(I328='Jour Férié'!F$13,'Jour Férié'!E$13,""&amp;IF(I328='Jour Férié'!F$14,'Jour Férié'!E$14,""&amp;IF(I328='Jour Férié'!F$15,'Jour Férié'!E$15,""&amp;IF(I328='Jour Férié'!B$13,'Jour Férié'!A$13,""&amp;IF(I328='Jour Férié'!B$14,'Jour Férié'!A$14,""&amp;IF(MOD(MATCH(I328,vacances!$A$3:$A$202,1),2)=1,"vacances",""))))))</f>
        <v/>
      </c>
      <c r="E328" s="490"/>
      <c r="F328" s="490"/>
      <c r="G328" s="490"/>
      <c r="H328" s="624"/>
      <c r="I328" s="361">
        <f t="shared" si="73"/>
        <v>43427</v>
      </c>
      <c r="J328" s="574"/>
      <c r="K328" s="574"/>
      <c r="L328" s="574"/>
      <c r="M328" s="575"/>
      <c r="N328" s="335">
        <f>((IF(WEEKDAY(I314,2)=7,(COUNTIF(E314,"*"))))*AND(IF(WEEKDAY(I315,2)=1,(COUNTIF(E315,"*"))))*AND(COUNTBLANK(E313)))+((IF(WEEKDAY(I315,2)=7,(COUNTIF(E315,"*"))))*AND(IF(WEEKDAY(I316,2)=1,(COUNTIF(E316,"*"))))*AND(COUNTBLANK(E314)))+((IF(WEEKDAY(I316,2)=7,(COUNTIF(E316,"*"))))*AND(IF(WEEKDAY(I317,2)=1,(COUNTIF(E317,"*"))))*AND(COUNTBLANK(E315)))+((IF(WEEKDAY(I317,2)=7,(COUNTIF(E317,"*"))))*AND(IF(WEEKDAY(I318,2)=1,(COUNTIF(E318,"*"))))*AND(COUNTBLANK(E316)))+((IF(WEEKDAY(I318,2)=7,(COUNTIF(E318,"*"))))*AND(IF(WEEKDAY(I319,2)=1,(COUNTIF(E319,"*"))))*AND(COUNTBLANK(E317)))+((IF(WEEKDAY(I319,2)=7,(COUNTIF(E319,"*"))))*AND(IF(WEEKDAY(I320,2)=1,(COUNTIF(E320,"*"))))*AND(COUNTBLANK(E318)))+((IF(WEEKDAY(I320,2)=7,(COUNTIF(E320,"*"))))*AND(IF(WEEKDAY(I321,2)=1,(COUNTIF(E321,"*"))))*AND(COUNTBLANK(E319)))+((IF(WEEKDAY(I321,2)=7,(COUNTIF(E321,"*"))))*AND(IF(WEEKDAY(I322,2)=1,(COUNTIF(E322,"*"))))*AND(COUNTBLANK(E320)))+((IF(WEEKDAY(I322,2)=7,(COUNTIF(E322,"*"))))*AND(IF(WEEKDAY(I323,2)=1,(COUNTIF(E323,"*"))))*AND(COUNTBLANK(E321)))+((IF(WEEKDAY(I323,2)=7,(COUNTIF(E323,"*"))))*AND(IF(WEEKDAY(I324,2)=1,(COUNTIF(E324,"*"))))*AND(COUNTBLANK(E322)))+((IF(WEEKDAY(I324,2)=7,(COUNTIF(E324,"*"))))*AND(IF(WEEKDAY(I325,2)=1,(COUNTIF(E325,"*"))))*AND(COUNTBLANK(E322)))+((IF(WEEKDAY(I325,2)=7,(COUNTIF(E325,"*"))))*AND(IF(WEEKDAY(I326,2)=1,(COUNTIF(E326,"*"))))*AND(COUNTBLANK(E323)))+((IF(WEEKDAY(I326,2)=7,(COUNTIF(E326,"*"))))*AND(IF(WEEKDAY(I327,2)=1,(COUNTIF(E327,"*"))))*AND(COUNTBLANK(E324)))</f>
        <v>0</v>
      </c>
      <c r="O328" s="576"/>
      <c r="P328" s="328"/>
      <c r="Q328" s="304"/>
      <c r="R328" s="304"/>
      <c r="S328" s="304"/>
      <c r="T328" s="552"/>
      <c r="U328" s="552"/>
      <c r="V328" s="552"/>
      <c r="W328" s="552"/>
      <c r="X328" s="552"/>
      <c r="Y328" s="552"/>
      <c r="Z328" s="552"/>
      <c r="AA328" s="552"/>
      <c r="AB328" s="552"/>
      <c r="AC328" s="553"/>
      <c r="AD328" s="553"/>
      <c r="AE328" s="553"/>
      <c r="AF328" s="553"/>
      <c r="AG328" s="553"/>
      <c r="AH328" s="553"/>
      <c r="AI328" s="553"/>
      <c r="AJ328" s="553"/>
      <c r="AK328" s="553"/>
      <c r="AL328" s="553"/>
      <c r="AM328" s="553"/>
      <c r="AN328" s="553"/>
      <c r="AO328" s="553"/>
      <c r="AP328" s="553"/>
      <c r="AQ328" s="553"/>
      <c r="AR328" s="304"/>
      <c r="AS328" s="304"/>
      <c r="AT328" s="304"/>
      <c r="AU328" s="304"/>
      <c r="AV328" s="304"/>
      <c r="AW328" s="499" t="s">
        <v>269</v>
      </c>
      <c r="AX328" s="499"/>
      <c r="AY328" s="499"/>
      <c r="AZ328" s="499"/>
      <c r="BA328" s="499"/>
      <c r="BB328" s="499"/>
      <c r="BC328" s="499"/>
      <c r="BD328" s="499"/>
      <c r="BE328" s="499"/>
      <c r="BF328" s="499"/>
      <c r="BG328" s="499"/>
      <c r="BH328" s="499"/>
      <c r="BI328" s="596"/>
      <c r="BJ328" s="596"/>
      <c r="BK328" s="596"/>
      <c r="BL328" s="596"/>
      <c r="BM328" s="590"/>
      <c r="BN328" s="590"/>
      <c r="BO328" s="590"/>
      <c r="BP328" s="590"/>
      <c r="BQ328" s="592">
        <v>9.52</v>
      </c>
      <c r="BR328" s="592"/>
      <c r="BS328" s="592"/>
      <c r="BT328" s="592"/>
      <c r="BU328" s="595"/>
      <c r="BV328" s="595"/>
      <c r="BW328" s="595"/>
      <c r="BX328" s="592">
        <f t="shared" si="78"/>
        <v>0</v>
      </c>
      <c r="BY328" s="592"/>
      <c r="BZ328" s="592"/>
      <c r="CA328" s="593"/>
    </row>
    <row r="329" spans="1:79" ht="15" customHeight="1">
      <c r="A329" s="334">
        <v>11</v>
      </c>
      <c r="B329" s="328">
        <v>24</v>
      </c>
      <c r="C329" s="328">
        <f t="shared" si="79"/>
        <v>328</v>
      </c>
      <c r="D329" s="360" t="str">
        <f>IF(I329='Jour Férié'!F$13,'Jour Férié'!E$13,""&amp;IF(I329='Jour Férié'!F$14,'Jour Férié'!E$14,""&amp;IF(I329='Jour Férié'!F$15,'Jour Férié'!E$15,""&amp;IF(I329='Jour Férié'!B$13,'Jour Férié'!A$13,""&amp;IF(I329='Jour Férié'!B$14,'Jour Férié'!A$14,""&amp;IF(MOD(MATCH(I329,vacances!$A$3:$A$202,1),2)=1,"vacances",""))))))</f>
        <v/>
      </c>
      <c r="E329" s="490"/>
      <c r="F329" s="490"/>
      <c r="G329" s="490"/>
      <c r="H329" s="624"/>
      <c r="I329" s="361">
        <f t="shared" si="73"/>
        <v>43428</v>
      </c>
      <c r="J329" s="574"/>
      <c r="K329" s="574"/>
      <c r="L329" s="328"/>
      <c r="M329" s="575"/>
      <c r="N329" s="335">
        <f>((IF(WEEKDAY(I327,2)=7,(COUNTIF(E327,"*"))))*AND(IF(WEEKDAY(I328,2)=1,(COUNTIF(E328,"*"))))*AND(COUNTBLANK(E325)))+((IF(WEEKDAY(I328,2)=7,(COUNTIF(E328,"*"))))*AND(IF(WEEKDAY(I329,2)=1,(COUNTIF(E329,"*"))))*AND(COUNTBLANK(E326)))+((IF(WEEKDAY(I329,2)=7,(COUNTIF(E329,"*"))))*AND(IF(WEEKDAY(I330,2)=1,(COUNTIF(E330,"*"))))*AND(COUNTBLANK(E326)))+((IF(WEEKDAY(I330,2)=7,(COUNTIF(E330,"*"))))*AND(IF(WEEKDAY(I331,2)=1,(COUNTIF(E331,"*"))))*AND(COUNTBLANK(E328)))+((IF(WEEKDAY(I331,2)=7,(COUNTIF(E331,"*"))))*AND(IF(WEEKDAY(I332,2)=1,(COUNTIF(E332,"*"))))*AND(COUNTBLANK(E329)))+((IF(WEEKDAY(I332,2)=7,(COUNTIF(E332,"*"))))*AND(IF(WEEKDAY(I333,2)=1,(COUNTIF(E333,"*"))))*AND(COUNTBLANK(E330)))+((IF(WEEKDAY(I333,2)=7,(COUNTIF(E333,"*"))))*AND(IF(WEEKDAY(I334,2)=1,(COUNTIF(E334,"*"))))*AND(COUNTBLANK(E331)))+((IF(WEEKDAY(I334,2)=7,(COUNTIF(E334,"*"))))*AND(IF(WEEKDAY(I335,2)=1,(COUNTIF(E335,"*"))))*AND(COUNTBLANK(E332)))+((IF(WEEKDAY(I335,2)=7,(COUNTIF(E335,"*"))))*AND(IF(WEEKDAY(I336,2)=1,(COUNTIF(E336,"*"))))*AND(COUNTBLANK(E333)))</f>
        <v>0</v>
      </c>
      <c r="O329" s="576"/>
      <c r="P329" s="328"/>
      <c r="Q329" s="307"/>
      <c r="R329" s="307"/>
      <c r="S329" s="307"/>
      <c r="T329" s="552"/>
      <c r="U329" s="552"/>
      <c r="V329" s="552"/>
      <c r="W329" s="552"/>
      <c r="X329" s="552"/>
      <c r="Y329" s="552"/>
      <c r="Z329" s="552"/>
      <c r="AA329" s="552"/>
      <c r="AB329" s="552"/>
      <c r="AC329" s="553"/>
      <c r="AD329" s="553"/>
      <c r="AE329" s="553"/>
      <c r="AF329" s="553"/>
      <c r="AG329" s="553"/>
      <c r="AH329" s="553"/>
      <c r="AI329" s="553"/>
      <c r="AJ329" s="553"/>
      <c r="AK329" s="553"/>
      <c r="AL329" s="553"/>
      <c r="AM329" s="553"/>
      <c r="AN329" s="553"/>
      <c r="AO329" s="553"/>
      <c r="AP329" s="553"/>
      <c r="AQ329" s="553"/>
      <c r="AR329" s="307"/>
      <c r="AS329" s="307"/>
      <c r="AT329" s="307"/>
      <c r="AU329" s="307"/>
      <c r="AV329" s="307"/>
      <c r="AW329" s="591"/>
      <c r="AX329" s="591"/>
      <c r="AY329" s="591"/>
      <c r="AZ329" s="591"/>
      <c r="BA329" s="591"/>
      <c r="BB329" s="591"/>
      <c r="BC329" s="591"/>
      <c r="BD329" s="591"/>
      <c r="BE329" s="591"/>
      <c r="BF329" s="591"/>
      <c r="BG329" s="591"/>
      <c r="BH329" s="591"/>
      <c r="BI329" s="590">
        <f>$Y$28</f>
        <v>0</v>
      </c>
      <c r="BJ329" s="590"/>
      <c r="BK329" s="590"/>
      <c r="BL329" s="590"/>
      <c r="BM329" s="590"/>
      <c r="BN329" s="590"/>
      <c r="BO329" s="590"/>
      <c r="BP329" s="590"/>
      <c r="BQ329" s="592">
        <f>BI329*BM329</f>
        <v>0</v>
      </c>
      <c r="BR329" s="592"/>
      <c r="BS329" s="592"/>
      <c r="BT329" s="592"/>
      <c r="BU329" s="595"/>
      <c r="BV329" s="595"/>
      <c r="BW329" s="595"/>
      <c r="BX329" s="592">
        <f t="shared" si="78"/>
        <v>0</v>
      </c>
      <c r="BY329" s="592"/>
      <c r="BZ329" s="592"/>
      <c r="CA329" s="593"/>
    </row>
    <row r="330" spans="1:79" ht="15" customHeight="1">
      <c r="A330" s="334">
        <v>11</v>
      </c>
      <c r="B330" s="328">
        <v>25</v>
      </c>
      <c r="C330" s="328">
        <f t="shared" si="79"/>
        <v>329</v>
      </c>
      <c r="D330" s="360" t="str">
        <f>IF(I330='Jour Férié'!F$13,'Jour Férié'!E$13,""&amp;IF(I330='Jour Férié'!F$14,'Jour Férié'!E$14,""&amp;IF(I330='Jour Férié'!F$15,'Jour Férié'!E$15,""&amp;IF(I330='Jour Férié'!B$13,'Jour Férié'!A$13,""&amp;IF(I330='Jour Férié'!B$14,'Jour Férié'!A$14,""&amp;IF(MOD(MATCH(I330,vacances!$A$3:$A$202,1),2)=1,"vacances",""))))))</f>
        <v/>
      </c>
      <c r="E330" s="490"/>
      <c r="F330" s="490"/>
      <c r="G330" s="490"/>
      <c r="H330" s="624"/>
      <c r="I330" s="361">
        <f t="shared" si="73"/>
        <v>43429</v>
      </c>
      <c r="J330" s="332"/>
      <c r="K330" s="332"/>
      <c r="L330" s="495"/>
      <c r="M330" s="328"/>
      <c r="N330" s="328"/>
      <c r="O330" s="375"/>
      <c r="P330" s="328"/>
      <c r="Q330" s="290"/>
      <c r="R330" s="290"/>
      <c r="S330" s="290"/>
      <c r="T330" s="290"/>
      <c r="U330" s="290"/>
      <c r="V330" s="290"/>
      <c r="W330" s="290"/>
      <c r="X330" s="290"/>
      <c r="Y330" s="290"/>
      <c r="Z330" s="290"/>
      <c r="AA330" s="310"/>
      <c r="AB330" s="310"/>
      <c r="AC330" s="553"/>
      <c r="AD330" s="553"/>
      <c r="AE330" s="553"/>
      <c r="AF330" s="553"/>
      <c r="AG330" s="553"/>
      <c r="AH330" s="553"/>
      <c r="AI330" s="553"/>
      <c r="AJ330" s="553"/>
      <c r="AK330" s="553"/>
      <c r="AL330" s="553"/>
      <c r="AM330" s="553"/>
      <c r="AN330" s="553"/>
      <c r="AO330" s="553"/>
      <c r="AP330" s="553"/>
      <c r="AQ330" s="553"/>
      <c r="AR330" s="290"/>
      <c r="AS330" s="290"/>
      <c r="AT330" s="290"/>
      <c r="AU330" s="290"/>
      <c r="AV330" s="290"/>
      <c r="AW330" s="562" t="s">
        <v>270</v>
      </c>
      <c r="AX330" s="562"/>
      <c r="AY330" s="562"/>
      <c r="AZ330" s="562"/>
      <c r="BA330" s="562"/>
      <c r="BB330" s="562"/>
      <c r="BC330" s="562"/>
      <c r="BD330" s="562"/>
      <c r="BE330" s="562"/>
      <c r="BF330" s="562"/>
      <c r="BG330" s="562"/>
      <c r="BH330" s="562"/>
      <c r="BI330" s="587"/>
      <c r="BJ330" s="587"/>
      <c r="BK330" s="587"/>
      <c r="BL330" s="587"/>
      <c r="BM330" s="588">
        <f>SUM(BM309:BP329)</f>
        <v>0.32090000000000002</v>
      </c>
      <c r="BN330" s="588"/>
      <c r="BO330" s="588"/>
      <c r="BP330" s="588"/>
      <c r="BQ330" s="586">
        <f>SUM(BQ309:BT329)</f>
        <v>443.38236907487493</v>
      </c>
      <c r="BR330" s="586"/>
      <c r="BS330" s="586"/>
      <c r="BT330" s="586"/>
      <c r="BU330" s="311"/>
      <c r="BV330" s="7"/>
      <c r="BW330" s="7"/>
      <c r="BX330" s="586">
        <f>SUM(BX309:CA329)</f>
        <v>807.69346695699983</v>
      </c>
      <c r="BY330" s="586"/>
      <c r="BZ330" s="586"/>
      <c r="CA330" s="589"/>
    </row>
    <row r="331" spans="1:79" ht="15" customHeight="1">
      <c r="A331" s="334">
        <v>11</v>
      </c>
      <c r="B331" s="328">
        <v>26</v>
      </c>
      <c r="C331" s="328">
        <f t="shared" si="79"/>
        <v>330</v>
      </c>
      <c r="D331" s="360" t="str">
        <f>IF(I331='Jour Férié'!F$13,'Jour Férié'!E$13,""&amp;IF(I331='Jour Férié'!F$14,'Jour Férié'!E$14,""&amp;IF(I331='Jour Férié'!F$15,'Jour Férié'!E$15,""&amp;IF(I331='Jour Férié'!B$13,'Jour Férié'!A$13,""&amp;IF(I331='Jour Férié'!B$14,'Jour Férié'!A$14,""&amp;IF(MOD(MATCH(I331,vacances!$A$3:$A$202,1),2)=1,"vacances",""))))))</f>
        <v/>
      </c>
      <c r="E331" s="490"/>
      <c r="F331" s="490"/>
      <c r="G331" s="490"/>
      <c r="H331" s="624"/>
      <c r="I331" s="361">
        <f t="shared" si="73"/>
        <v>43430</v>
      </c>
      <c r="J331" s="332"/>
      <c r="K331" s="332"/>
      <c r="L331" s="333"/>
      <c r="M331" s="380" t="s">
        <v>323</v>
      </c>
      <c r="N331" s="574">
        <f>SUM(O323:O329)</f>
        <v>0</v>
      </c>
      <c r="O331" s="574"/>
      <c r="P331" s="328"/>
      <c r="Q331" s="304"/>
      <c r="R331" s="304"/>
      <c r="S331" s="304"/>
      <c r="T331" s="304"/>
      <c r="U331" s="304"/>
      <c r="V331" s="304"/>
      <c r="W331" s="304"/>
      <c r="X331" s="304"/>
      <c r="Y331" s="304"/>
      <c r="Z331" s="304"/>
      <c r="AA331" s="305"/>
      <c r="AB331" s="305"/>
      <c r="AC331" s="553"/>
      <c r="AD331" s="553"/>
      <c r="AE331" s="553"/>
      <c r="AF331" s="553"/>
      <c r="AG331" s="553"/>
      <c r="AH331" s="553"/>
      <c r="AI331" s="553"/>
      <c r="AJ331" s="553"/>
      <c r="AK331" s="553"/>
      <c r="AL331" s="553"/>
      <c r="AM331" s="553"/>
      <c r="AN331" s="553"/>
      <c r="AO331" s="553"/>
      <c r="AP331" s="553"/>
      <c r="AQ331" s="553"/>
      <c r="AR331" s="304"/>
      <c r="AS331" s="304"/>
      <c r="AT331" s="304"/>
      <c r="AU331" s="304"/>
      <c r="AV331" s="304"/>
      <c r="AW331" s="312" t="s">
        <v>271</v>
      </c>
      <c r="AX331" s="312"/>
      <c r="AY331" s="312"/>
      <c r="AZ331" s="312"/>
      <c r="BA331" s="312"/>
      <c r="BB331" s="312"/>
      <c r="BC331" s="312"/>
      <c r="BD331" s="313"/>
      <c r="BE331" s="313"/>
      <c r="BF331" s="313"/>
      <c r="BG331" s="313"/>
      <c r="BH331" s="313"/>
      <c r="BI331" s="569">
        <f>O309</f>
        <v>0</v>
      </c>
      <c r="BJ331" s="569"/>
      <c r="BK331" s="569"/>
      <c r="BL331" s="569"/>
      <c r="BM331" s="590">
        <f>'FICHE DE PAIE'!AW$27</f>
        <v>3.5259999999999998</v>
      </c>
      <c r="BN331" s="590"/>
      <c r="BO331" s="590"/>
      <c r="BP331" s="590"/>
      <c r="BQ331" s="381">
        <f>BI331*BM331</f>
        <v>0</v>
      </c>
      <c r="BR331" s="381"/>
      <c r="BS331" s="381"/>
      <c r="BT331" s="381"/>
      <c r="BU331" s="314"/>
      <c r="BV331" s="7"/>
      <c r="BW331" s="7"/>
      <c r="BX331" s="7"/>
      <c r="BY331" s="7"/>
      <c r="BZ331" s="7"/>
      <c r="CA331" s="315"/>
    </row>
    <row r="332" spans="1:79" ht="15" customHeight="1">
      <c r="A332" s="334">
        <v>11</v>
      </c>
      <c r="B332" s="328">
        <v>27</v>
      </c>
      <c r="C332" s="328">
        <f t="shared" si="79"/>
        <v>331</v>
      </c>
      <c r="D332" s="360" t="str">
        <f>IF(I332='Jour Férié'!F$13,'Jour Férié'!E$13,""&amp;IF(I332='Jour Férié'!F$14,'Jour Férié'!E$14,""&amp;IF(I332='Jour Férié'!F$15,'Jour Férié'!E$15,""&amp;IF(I332='Jour Férié'!B$13,'Jour Férié'!A$13,""&amp;IF(I332='Jour Férié'!B$14,'Jour Férié'!A$14,""&amp;IF(MOD(MATCH(I332,vacances!$A$3:$A$202,1),2)=1,"vacances",""))))))</f>
        <v/>
      </c>
      <c r="E332" s="490"/>
      <c r="F332" s="490"/>
      <c r="G332" s="490"/>
      <c r="H332" s="624"/>
      <c r="I332" s="361">
        <f t="shared" si="73"/>
        <v>43431</v>
      </c>
      <c r="J332" s="332"/>
      <c r="K332" s="328"/>
      <c r="L332" s="330"/>
      <c r="M332" s="328"/>
      <c r="N332" s="328"/>
      <c r="O332" s="375"/>
      <c r="P332" s="328"/>
      <c r="Q332" s="307"/>
      <c r="R332" s="307"/>
      <c r="S332" s="307"/>
      <c r="T332" s="307"/>
      <c r="U332" s="307"/>
      <c r="V332" s="307"/>
      <c r="W332" s="307"/>
      <c r="X332" s="307"/>
      <c r="Y332" s="307"/>
      <c r="Z332" s="307"/>
      <c r="AA332" s="308"/>
      <c r="AB332" s="308"/>
      <c r="AC332" s="553"/>
      <c r="AD332" s="553"/>
      <c r="AE332" s="553"/>
      <c r="AF332" s="553"/>
      <c r="AG332" s="553"/>
      <c r="AH332" s="553"/>
      <c r="AI332" s="553"/>
      <c r="AJ332" s="553"/>
      <c r="AK332" s="553"/>
      <c r="AL332" s="553"/>
      <c r="AM332" s="553"/>
      <c r="AN332" s="553"/>
      <c r="AO332" s="553"/>
      <c r="AP332" s="553"/>
      <c r="AQ332" s="553"/>
      <c r="AR332" s="307"/>
      <c r="AS332" s="307"/>
      <c r="AT332" s="307"/>
      <c r="AU332" s="307"/>
      <c r="AV332" s="307"/>
      <c r="AW332" s="550">
        <f>Q306</f>
        <v>43405</v>
      </c>
      <c r="AX332" s="550"/>
      <c r="AY332" s="550"/>
      <c r="AZ332" s="550"/>
      <c r="BA332" s="550"/>
      <c r="BB332" s="550"/>
      <c r="BC332" s="550"/>
      <c r="BD332" s="550"/>
      <c r="BE332" s="550"/>
      <c r="BF332" s="550"/>
      <c r="BG332" s="550"/>
      <c r="BH332" s="550"/>
      <c r="BI332" s="550"/>
      <c r="BJ332" s="550"/>
      <c r="BK332" s="550"/>
      <c r="BL332" s="550"/>
      <c r="BM332" s="550"/>
      <c r="BN332" s="550"/>
      <c r="BO332" s="550"/>
      <c r="BP332" s="550"/>
      <c r="BQ332" s="550"/>
      <c r="BR332" s="550"/>
      <c r="BS332" s="550"/>
      <c r="BT332" s="550"/>
      <c r="BU332" s="550"/>
      <c r="BV332" s="550"/>
      <c r="BW332" s="550"/>
      <c r="BX332" s="550"/>
      <c r="BY332" s="550"/>
      <c r="BZ332" s="550"/>
      <c r="CA332" s="551"/>
    </row>
    <row r="333" spans="1:79" ht="15" customHeight="1">
      <c r="A333" s="334">
        <v>11</v>
      </c>
      <c r="B333" s="328">
        <v>28</v>
      </c>
      <c r="C333" s="328">
        <f t="shared" si="79"/>
        <v>332</v>
      </c>
      <c r="D333" s="360" t="str">
        <f>IF(I333='Jour Férié'!F$13,'Jour Férié'!E$13,""&amp;IF(I333='Jour Férié'!F$14,'Jour Férié'!E$14,""&amp;IF(I333='Jour Férié'!F$15,'Jour Férié'!E$15,""&amp;IF(I333='Jour Férié'!B$13,'Jour Férié'!A$13,""&amp;IF(I333='Jour Férié'!B$14,'Jour Férié'!A$14,""&amp;IF(MOD(MATCH(I333,vacances!$A$3:$A$202,1),2)=1,"vacances",""))))))</f>
        <v/>
      </c>
      <c r="E333" s="490"/>
      <c r="F333" s="490"/>
      <c r="G333" s="490"/>
      <c r="H333" s="624"/>
      <c r="I333" s="361">
        <f t="shared" si="73"/>
        <v>43432</v>
      </c>
      <c r="J333" s="332"/>
      <c r="K333" s="328"/>
      <c r="L333" s="330"/>
      <c r="M333" s="328"/>
      <c r="N333" s="328"/>
      <c r="O333" s="375"/>
      <c r="P333" s="328"/>
      <c r="Q333" s="290"/>
      <c r="R333" s="290"/>
      <c r="S333" s="290"/>
      <c r="T333" s="290"/>
      <c r="U333" s="290"/>
      <c r="V333" s="290"/>
      <c r="W333" s="290"/>
      <c r="X333" s="290"/>
      <c r="Y333" s="290"/>
      <c r="Z333" s="290"/>
      <c r="AA333" s="310"/>
      <c r="AB333" s="310"/>
      <c r="AC333" s="553"/>
      <c r="AD333" s="553"/>
      <c r="AE333" s="553"/>
      <c r="AF333" s="553"/>
      <c r="AG333" s="553"/>
      <c r="AH333" s="553"/>
      <c r="AI333" s="553"/>
      <c r="AJ333" s="553"/>
      <c r="AK333" s="553"/>
      <c r="AL333" s="553"/>
      <c r="AM333" s="553"/>
      <c r="AN333" s="553"/>
      <c r="AO333" s="553"/>
      <c r="AP333" s="553"/>
      <c r="AQ333" s="553"/>
      <c r="AR333" s="290"/>
      <c r="AS333" s="290"/>
      <c r="AT333" s="290"/>
      <c r="AU333" s="290"/>
      <c r="AV333" s="290"/>
      <c r="AW333" s="313"/>
      <c r="AX333" s="313"/>
      <c r="AY333" s="313"/>
      <c r="AZ333" s="313"/>
      <c r="BA333" s="313"/>
      <c r="BB333" s="313"/>
      <c r="BC333" s="313"/>
      <c r="BD333" s="313"/>
      <c r="BE333" s="313"/>
      <c r="BF333" s="313"/>
      <c r="BG333" s="313"/>
      <c r="BH333" s="313"/>
      <c r="BI333" s="313"/>
      <c r="BJ333" s="313"/>
      <c r="BK333" s="313"/>
      <c r="BL333" s="316"/>
      <c r="BM333" s="316"/>
      <c r="BN333" s="587" t="s">
        <v>272</v>
      </c>
      <c r="BO333" s="587"/>
      <c r="BP333" s="587"/>
      <c r="BQ333" s="587"/>
      <c r="BR333" s="587"/>
      <c r="BS333" s="587"/>
      <c r="BT333" s="587"/>
      <c r="BU333" s="587"/>
      <c r="BV333" s="597">
        <f>AG322-BQ330+BQ331</f>
        <v>1407.7499809251249</v>
      </c>
      <c r="BW333" s="597"/>
      <c r="BX333" s="597"/>
      <c r="BY333" s="597"/>
      <c r="BZ333" s="597"/>
      <c r="CA333" s="598"/>
    </row>
    <row r="334" spans="1:79" ht="15" customHeight="1">
      <c r="A334" s="334">
        <v>11</v>
      </c>
      <c r="B334" s="328">
        <v>29</v>
      </c>
      <c r="C334" s="328">
        <f t="shared" si="79"/>
        <v>333</v>
      </c>
      <c r="D334" s="360" t="str">
        <f>IF(I334='Jour Férié'!F$13,'Jour Férié'!E$13,""&amp;IF(I334='Jour Férié'!F$14,'Jour Férié'!E$14,""&amp;IF(I334='Jour Férié'!F$15,'Jour Férié'!E$15,""&amp;IF(I334='Jour Férié'!B$13,'Jour Férié'!A$13,""&amp;IF(I334='Jour Férié'!B$14,'Jour Férié'!A$14,""&amp;IF(MOD(MATCH(I334,vacances!$A$3:$A$202,1),2)=1,"vacances",""))))))</f>
        <v/>
      </c>
      <c r="E334" s="490"/>
      <c r="F334" s="490"/>
      <c r="G334" s="490"/>
      <c r="H334" s="624"/>
      <c r="I334" s="361">
        <f t="shared" si="73"/>
        <v>43433</v>
      </c>
      <c r="J334" s="332"/>
      <c r="K334" s="328"/>
      <c r="L334" s="330"/>
      <c r="M334" s="328"/>
      <c r="N334" s="328"/>
      <c r="O334" s="375"/>
      <c r="P334" s="328"/>
      <c r="Q334" s="304"/>
      <c r="R334" s="304"/>
      <c r="S334" s="304"/>
      <c r="T334" s="304"/>
      <c r="U334" s="304"/>
      <c r="V334" s="304"/>
      <c r="W334" s="304"/>
      <c r="X334" s="304"/>
      <c r="Y334" s="304"/>
      <c r="Z334" s="304"/>
      <c r="AA334" s="305"/>
      <c r="AB334" s="305"/>
      <c r="AC334" s="553"/>
      <c r="AD334" s="553"/>
      <c r="AE334" s="553"/>
      <c r="AF334" s="553"/>
      <c r="AG334" s="553"/>
      <c r="AH334" s="553"/>
      <c r="AI334" s="553"/>
      <c r="AJ334" s="553"/>
      <c r="AK334" s="553"/>
      <c r="AL334" s="553"/>
      <c r="AM334" s="553"/>
      <c r="AN334" s="553"/>
      <c r="AO334" s="553"/>
      <c r="AP334" s="553"/>
      <c r="AQ334" s="553"/>
      <c r="AR334" s="304"/>
      <c r="AS334" s="304"/>
      <c r="AT334" s="304"/>
      <c r="AU334" s="304"/>
      <c r="AV334" s="304"/>
      <c r="AW334" s="317"/>
      <c r="AX334" s="317"/>
      <c r="AY334" s="317"/>
      <c r="AZ334" s="317"/>
      <c r="BA334" s="317"/>
      <c r="BB334" s="317"/>
      <c r="BC334" s="317"/>
      <c r="BD334" s="317"/>
      <c r="BE334" s="317"/>
      <c r="BF334" s="317"/>
      <c r="BG334" s="317"/>
      <c r="BH334" s="317"/>
      <c r="BI334" s="317"/>
      <c r="BJ334" s="317"/>
      <c r="BK334" s="317"/>
      <c r="BL334" s="585" t="s">
        <v>273</v>
      </c>
      <c r="BM334" s="585"/>
      <c r="BN334" s="585"/>
      <c r="BO334" s="585"/>
      <c r="BP334" s="585"/>
      <c r="BQ334" s="585"/>
      <c r="BR334" s="585"/>
      <c r="BS334" s="585"/>
      <c r="BT334" s="585"/>
      <c r="BU334" s="586">
        <f>BV333-BQ330+BQ331</f>
        <v>964.36761185024989</v>
      </c>
      <c r="BV334" s="586"/>
      <c r="BW334" s="586"/>
      <c r="BX334" s="586"/>
      <c r="BY334" s="586"/>
      <c r="BZ334" s="586"/>
      <c r="CA334" s="341"/>
    </row>
    <row r="335" spans="1:79" ht="15" customHeight="1" thickBot="1">
      <c r="A335" s="420">
        <v>11</v>
      </c>
      <c r="B335" s="329">
        <v>30</v>
      </c>
      <c r="C335" s="329">
        <f t="shared" si="79"/>
        <v>334</v>
      </c>
      <c r="D335" s="421" t="str">
        <f>IF(I335='Jour Férié'!F$13,'Jour Férié'!E$13,""&amp;IF(I335='Jour Férié'!F$14,'Jour Férié'!E$14,""&amp;IF(I335='Jour Férié'!F$15,'Jour Férié'!E$15,""&amp;IF(I335='Jour Férié'!B$13,'Jour Férié'!A$13,""&amp;IF(I335='Jour Férié'!B$14,'Jour Férié'!A$14,""&amp;IF(MOD(MATCH(I335,vacances!$A$3:$A$202,1),2)=1,"vacances",""))))))</f>
        <v/>
      </c>
      <c r="E335" s="491"/>
      <c r="F335" s="491"/>
      <c r="G335" s="491" t="s">
        <v>335</v>
      </c>
      <c r="H335" s="625"/>
      <c r="I335" s="422">
        <f t="shared" si="73"/>
        <v>43434</v>
      </c>
      <c r="J335" s="329"/>
      <c r="K335" s="329"/>
      <c r="L335" s="329"/>
      <c r="M335" s="329"/>
      <c r="N335" s="329"/>
      <c r="O335" s="423"/>
      <c r="P335" s="329"/>
      <c r="Q335" s="345"/>
      <c r="R335" s="345"/>
      <c r="S335" s="345"/>
      <c r="T335" s="345"/>
      <c r="U335" s="345"/>
      <c r="V335" s="345"/>
      <c r="W335" s="345"/>
      <c r="X335" s="345"/>
      <c r="Y335" s="345"/>
      <c r="Z335" s="345"/>
      <c r="AA335" s="346"/>
      <c r="AB335" s="346"/>
      <c r="AC335" s="346"/>
      <c r="AD335" s="352"/>
      <c r="AE335" s="352"/>
      <c r="AF335" s="352"/>
      <c r="AG335" s="345"/>
      <c r="AH335" s="345"/>
      <c r="AI335" s="345"/>
      <c r="AJ335" s="345"/>
      <c r="AK335" s="345"/>
      <c r="AL335" s="345"/>
      <c r="AM335" s="345"/>
      <c r="AN335" s="345"/>
      <c r="AO335" s="345"/>
      <c r="AP335" s="345"/>
      <c r="AQ335" s="345"/>
      <c r="AR335" s="345"/>
      <c r="AS335" s="345"/>
      <c r="AT335" s="345"/>
      <c r="AU335" s="345"/>
      <c r="AV335" s="345"/>
      <c r="AW335" s="345"/>
      <c r="AX335" s="345"/>
      <c r="AY335" s="345"/>
      <c r="AZ335" s="345"/>
      <c r="BA335" s="345"/>
      <c r="BB335" s="345"/>
      <c r="BC335" s="345"/>
      <c r="BD335" s="345"/>
      <c r="BE335" s="345"/>
      <c r="BF335" s="345"/>
      <c r="BG335" s="345"/>
      <c r="BH335" s="345"/>
      <c r="BI335" s="345"/>
      <c r="BJ335" s="345"/>
      <c r="BK335" s="345"/>
      <c r="BL335" s="345"/>
      <c r="BM335" s="345"/>
      <c r="BN335" s="345"/>
      <c r="BO335" s="345"/>
      <c r="BP335" s="345"/>
      <c r="BQ335" s="345"/>
      <c r="BR335" s="345"/>
      <c r="BS335" s="345"/>
      <c r="BT335" s="345"/>
      <c r="BU335" s="345"/>
      <c r="BV335" s="345"/>
      <c r="BW335" s="345"/>
      <c r="BX335" s="345"/>
      <c r="BY335" s="345"/>
      <c r="BZ335" s="345"/>
      <c r="CA335" s="353"/>
    </row>
    <row r="336" spans="1:79" ht="15" customHeight="1">
      <c r="A336" s="519">
        <v>12</v>
      </c>
      <c r="B336" s="520">
        <v>1</v>
      </c>
      <c r="C336" s="520">
        <f t="shared" si="79"/>
        <v>335</v>
      </c>
      <c r="D336" s="521" t="str">
        <f>IF(I336='Jour Férié'!F$13,'Jour Férié'!E$13,""&amp;IF(I336='Jour Férié'!F$14,'Jour Férié'!E$14,""&amp;IF(I336='Jour Férié'!F$15,'Jour Férié'!E$15,""&amp;IF(I336='Jour Férié'!B$15,'Jour Férié'!A$15,""&amp;IF(MOD(MATCH(I336,vacances!$A$3:$A$202,1),2)=1,"vacances","")))))</f>
        <v/>
      </c>
      <c r="E336" s="449"/>
      <c r="F336" s="449"/>
      <c r="G336" s="449" t="s">
        <v>335</v>
      </c>
      <c r="H336" s="620" t="s">
        <v>199</v>
      </c>
      <c r="I336" s="522">
        <f>DATE(annee,12,1)</f>
        <v>43435</v>
      </c>
      <c r="J336" s="523" t="s">
        <v>201</v>
      </c>
      <c r="K336" s="524" t="s">
        <v>202</v>
      </c>
      <c r="L336" s="292"/>
      <c r="M336" s="525" t="s">
        <v>203</v>
      </c>
      <c r="N336" s="525"/>
      <c r="O336" s="526">
        <f>(COUNTIF($E336:$E366,$J336))</f>
        <v>0</v>
      </c>
      <c r="P336" s="527"/>
      <c r="Q336" s="560">
        <f>DATE(annee,12,1)</f>
        <v>43435</v>
      </c>
      <c r="R336" s="560"/>
      <c r="S336" s="560"/>
      <c r="T336" s="560"/>
      <c r="U336" s="560"/>
      <c r="V336" s="560"/>
      <c r="W336" s="560"/>
      <c r="X336" s="560"/>
      <c r="Y336" s="560"/>
      <c r="Z336" s="560"/>
      <c r="AA336" s="560"/>
      <c r="AB336" s="560"/>
      <c r="AC336" s="560"/>
      <c r="AD336" s="560"/>
      <c r="AE336" s="560"/>
      <c r="AF336" s="560"/>
      <c r="AG336" s="560"/>
      <c r="AH336" s="560"/>
      <c r="AI336" s="560"/>
      <c r="AJ336" s="560"/>
      <c r="AK336" s="560"/>
      <c r="AL336" s="560"/>
      <c r="AM336" s="560"/>
      <c r="AN336" s="560"/>
      <c r="AO336" s="560"/>
      <c r="AP336" s="560"/>
      <c r="AQ336" s="560"/>
      <c r="AR336" s="560"/>
      <c r="AS336" s="560"/>
      <c r="AT336" s="560"/>
      <c r="AU336" s="560"/>
      <c r="AV336" s="292"/>
      <c r="AW336" s="560">
        <f>Q336</f>
        <v>43435</v>
      </c>
      <c r="AX336" s="560"/>
      <c r="AY336" s="560"/>
      <c r="AZ336" s="560"/>
      <c r="BA336" s="560"/>
      <c r="BB336" s="560"/>
      <c r="BC336" s="560"/>
      <c r="BD336" s="560"/>
      <c r="BE336" s="560"/>
      <c r="BF336" s="560"/>
      <c r="BG336" s="560"/>
      <c r="BH336" s="560"/>
      <c r="BI336" s="560"/>
      <c r="BJ336" s="560"/>
      <c r="BK336" s="560"/>
      <c r="BL336" s="560"/>
      <c r="BM336" s="560"/>
      <c r="BN336" s="560"/>
      <c r="BO336" s="560"/>
      <c r="BP336" s="560"/>
      <c r="BQ336" s="560"/>
      <c r="BR336" s="560"/>
      <c r="BS336" s="560"/>
      <c r="BT336" s="560"/>
      <c r="BU336" s="560"/>
      <c r="BV336" s="560"/>
      <c r="BW336" s="560"/>
      <c r="BX336" s="560"/>
      <c r="BY336" s="560"/>
      <c r="BZ336" s="560"/>
      <c r="CA336" s="607"/>
    </row>
    <row r="337" spans="1:79" ht="15" customHeight="1">
      <c r="A337" s="425">
        <v>12</v>
      </c>
      <c r="B337" s="383">
        <v>2</v>
      </c>
      <c r="C337" s="382">
        <f>VLOOKUP(A337,Données,4)+B337-1</f>
        <v>336</v>
      </c>
      <c r="D337" s="383" t="str">
        <f>IF(I337='Jour Férié'!F$13,'Jour Férié'!E$13,""&amp;IF(I337='Jour Férié'!F$14,'Jour Férié'!E$14,""&amp;IF(I337='Jour Férié'!F$15,'Jour Férié'!E$15,""&amp;IF(I337='Jour Férié'!B$15,'Jour Férié'!A$15,""&amp;IF(MOD(MATCH(I337,vacances!$A$3:$A$202,1),2)=1,"vacances","")))))</f>
        <v/>
      </c>
      <c r="E337" s="449"/>
      <c r="F337" s="449"/>
      <c r="G337" s="449" t="s">
        <v>335</v>
      </c>
      <c r="H337" s="621"/>
      <c r="I337" s="339">
        <f t="shared" ref="I337:I366" si="80">DATE(annee,12,1)+B336</f>
        <v>43436</v>
      </c>
      <c r="J337" s="384" t="s">
        <v>204</v>
      </c>
      <c r="K337" s="385" t="s">
        <v>205</v>
      </c>
      <c r="L337" s="290"/>
      <c r="M337" s="291" t="s">
        <v>206</v>
      </c>
      <c r="N337" s="291"/>
      <c r="O337" s="386">
        <f>(COUNTIF($E336:$E366,$J337))</f>
        <v>0</v>
      </c>
      <c r="P337" s="316"/>
      <c r="Q337" s="365"/>
      <c r="R337" s="365"/>
      <c r="S337" s="365"/>
      <c r="T337" s="365"/>
      <c r="U337" s="365"/>
      <c r="V337" s="365"/>
      <c r="W337" s="365"/>
      <c r="X337" s="365"/>
      <c r="Y337" s="365"/>
      <c r="Z337" s="365"/>
      <c r="AA337" s="366"/>
      <c r="AB337" s="366"/>
      <c r="AC337" s="366"/>
      <c r="AD337" s="367"/>
      <c r="AE337" s="367"/>
      <c r="AF337" s="367"/>
      <c r="AG337" s="365"/>
      <c r="AH337" s="365"/>
      <c r="AI337" s="365"/>
      <c r="AJ337" s="365"/>
      <c r="AK337" s="365"/>
      <c r="AL337" s="365"/>
      <c r="AM337" s="365"/>
      <c r="AN337" s="365"/>
      <c r="AO337" s="365"/>
      <c r="AP337" s="368"/>
      <c r="AQ337" s="368"/>
      <c r="AR337" s="368"/>
      <c r="AS337" s="368"/>
      <c r="AT337" s="368"/>
      <c r="AU337" s="368"/>
      <c r="AV337" s="290"/>
      <c r="AW337" s="608" t="s">
        <v>229</v>
      </c>
      <c r="AX337" s="608"/>
      <c r="AY337" s="608"/>
      <c r="AZ337" s="608"/>
      <c r="BA337" s="608"/>
      <c r="BB337" s="608"/>
      <c r="BC337" s="608"/>
      <c r="BD337" s="608"/>
      <c r="BE337" s="608"/>
      <c r="BF337" s="608"/>
      <c r="BG337" s="608"/>
      <c r="BH337" s="608"/>
      <c r="BI337" s="293"/>
      <c r="BJ337" s="293"/>
      <c r="BK337" s="293"/>
      <c r="BL337" s="585" t="s">
        <v>230</v>
      </c>
      <c r="BM337" s="585"/>
      <c r="BN337" s="585"/>
      <c r="BO337" s="585"/>
      <c r="BP337" s="585"/>
      <c r="BQ337" s="585"/>
      <c r="BR337" s="585"/>
      <c r="BS337" s="585"/>
      <c r="BT337" s="585"/>
      <c r="BU337" s="585" t="s">
        <v>231</v>
      </c>
      <c r="BV337" s="585"/>
      <c r="BW337" s="585"/>
      <c r="BX337" s="585"/>
      <c r="BY337" s="585"/>
      <c r="BZ337" s="585"/>
      <c r="CA337" s="609"/>
    </row>
    <row r="338" spans="1:79" ht="15" customHeight="1">
      <c r="A338" s="425">
        <v>12</v>
      </c>
      <c r="B338" s="383">
        <v>3</v>
      </c>
      <c r="C338" s="382">
        <f>VLOOKUP(A338,Données,4)+B338-1</f>
        <v>337</v>
      </c>
      <c r="D338" s="383" t="str">
        <f>IF(I338='Jour Férié'!F$13,'Jour Férié'!E$13,""&amp;IF(I338='Jour Férié'!F$14,'Jour Férié'!E$14,""&amp;IF(I338='Jour Férié'!F$15,'Jour Férié'!E$15,""&amp;IF(I338='Jour Férié'!B$15,'Jour Férié'!A$15,""&amp;IF(MOD(MATCH(I338,vacances!$A$3:$A$202,1),2)=1,"vacances","")))))</f>
        <v/>
      </c>
      <c r="E338" s="449"/>
      <c r="F338" s="449"/>
      <c r="G338" s="449"/>
      <c r="H338" s="621"/>
      <c r="I338" s="339">
        <f t="shared" si="80"/>
        <v>43437</v>
      </c>
      <c r="J338" s="610" t="s">
        <v>207</v>
      </c>
      <c r="K338" s="610"/>
      <c r="L338" s="290"/>
      <c r="M338" s="291" t="s">
        <v>208</v>
      </c>
      <c r="N338" s="291"/>
      <c r="O338" s="386">
        <f>(COUNTIF($E336:$E366,$J338))</f>
        <v>0</v>
      </c>
      <c r="P338" s="316"/>
      <c r="Q338" s="555" t="str">
        <f>'FICHE DE PAIE'!A$4</f>
        <v>Salaire de base</v>
      </c>
      <c r="R338" s="555"/>
      <c r="S338" s="555"/>
      <c r="T338" s="555"/>
      <c r="U338" s="555"/>
      <c r="V338" s="555"/>
      <c r="W338" s="555"/>
      <c r="X338" s="555"/>
      <c r="Y338" s="555"/>
      <c r="Z338" s="494"/>
      <c r="AA338" s="556">
        <f>'FICHE DE PAIE'!$K$4</f>
        <v>151.66999999999999</v>
      </c>
      <c r="AB338" s="556"/>
      <c r="AC338" s="556"/>
      <c r="AD338" s="558">
        <f>'FICHE DE PAIE'!N$4</f>
        <v>12.074</v>
      </c>
      <c r="AE338" s="558"/>
      <c r="AF338" s="558"/>
      <c r="AG338" s="559">
        <f t="shared" ref="AG338:AG343" si="81">AA338*AD338</f>
        <v>1831.2635799999998</v>
      </c>
      <c r="AH338" s="559"/>
      <c r="AI338" s="559"/>
      <c r="AJ338" s="559"/>
      <c r="AK338" s="567" t="s">
        <v>233</v>
      </c>
      <c r="AL338" s="567"/>
      <c r="AM338" s="567"/>
      <c r="AN338" s="567"/>
      <c r="AO338" s="568">
        <v>2946</v>
      </c>
      <c r="AP338" s="568"/>
      <c r="AQ338" s="568"/>
      <c r="AR338" s="500"/>
      <c r="AS338" s="500"/>
      <c r="AT338" s="500"/>
      <c r="AU338" s="297"/>
      <c r="AV338" s="290"/>
      <c r="AW338" s="608"/>
      <c r="AX338" s="608"/>
      <c r="AY338" s="608"/>
      <c r="AZ338" s="608"/>
      <c r="BA338" s="608"/>
      <c r="BB338" s="608"/>
      <c r="BC338" s="608"/>
      <c r="BD338" s="608"/>
      <c r="BE338" s="608"/>
      <c r="BF338" s="608"/>
      <c r="BG338" s="608"/>
      <c r="BH338" s="608"/>
      <c r="BI338" s="611" t="s">
        <v>234</v>
      </c>
      <c r="BJ338" s="611"/>
      <c r="BK338" s="611"/>
      <c r="BL338" s="611"/>
      <c r="BM338" s="611" t="s">
        <v>235</v>
      </c>
      <c r="BN338" s="611"/>
      <c r="BO338" s="611"/>
      <c r="BP338" s="611"/>
      <c r="BQ338" s="611" t="s">
        <v>236</v>
      </c>
      <c r="BR338" s="611"/>
      <c r="BS338" s="611"/>
      <c r="BT338" s="611"/>
      <c r="BU338" s="611" t="s">
        <v>235</v>
      </c>
      <c r="BV338" s="611"/>
      <c r="BW338" s="611"/>
      <c r="BX338" s="611" t="s">
        <v>236</v>
      </c>
      <c r="BY338" s="611"/>
      <c r="BZ338" s="611"/>
      <c r="CA338" s="612"/>
    </row>
    <row r="339" spans="1:79" ht="15" customHeight="1">
      <c r="A339" s="424">
        <v>12</v>
      </c>
      <c r="B339" s="382">
        <v>4</v>
      </c>
      <c r="C339" s="382">
        <f t="shared" ref="C339:C354" si="82">VLOOKUP(A339,Données,4)+B339-1</f>
        <v>338</v>
      </c>
      <c r="D339" s="383" t="str">
        <f>IF(I339='Jour Férié'!F$13,'Jour Férié'!E$13,""&amp;IF(I339='Jour Férié'!F$14,'Jour Férié'!E$14,""&amp;IF(I339='Jour Férié'!F$15,'Jour Férié'!E$15,""&amp;IF(I339='Jour Férié'!B$15,'Jour Férié'!A$15,""&amp;IF(MOD(MATCH(I339,vacances!$A$3:$A$202,1),2)=1,"vacances","")))))</f>
        <v/>
      </c>
      <c r="E339" s="449"/>
      <c r="F339" s="449"/>
      <c r="G339" s="449"/>
      <c r="H339" s="621"/>
      <c r="I339" s="339">
        <f t="shared" si="80"/>
        <v>43438</v>
      </c>
      <c r="J339" s="387"/>
      <c r="K339" s="388" t="s">
        <v>209</v>
      </c>
      <c r="L339" s="290"/>
      <c r="M339" s="291" t="s">
        <v>210</v>
      </c>
      <c r="N339" s="291"/>
      <c r="O339" s="386">
        <f>SUM(O336:O338)</f>
        <v>0</v>
      </c>
      <c r="P339" s="316"/>
      <c r="Q339" s="555" t="str">
        <f>'FICHE DE PAIE'!A$5</f>
        <v>HS à 25%</v>
      </c>
      <c r="R339" s="555"/>
      <c r="S339" s="555"/>
      <c r="T339" s="555"/>
      <c r="U339" s="555"/>
      <c r="V339" s="555"/>
      <c r="W339" s="555"/>
      <c r="X339" s="555"/>
      <c r="Y339" s="555"/>
      <c r="Z339" s="494"/>
      <c r="AA339" s="561"/>
      <c r="AB339" s="561"/>
      <c r="AC339" s="561"/>
      <c r="AD339" s="558">
        <f>'FICHE DE PAIE'!N$5</f>
        <v>15.092499999999999</v>
      </c>
      <c r="AE339" s="558"/>
      <c r="AF339" s="558"/>
      <c r="AG339" s="559">
        <f t="shared" si="81"/>
        <v>0</v>
      </c>
      <c r="AH339" s="559"/>
      <c r="AI339" s="559"/>
      <c r="AJ339" s="559"/>
      <c r="AK339" s="294"/>
      <c r="AL339" s="294"/>
      <c r="AM339" s="294"/>
      <c r="AN339" s="295"/>
      <c r="AO339" s="295"/>
      <c r="AP339" s="295"/>
      <c r="AQ339" s="295"/>
      <c r="AR339" s="295"/>
      <c r="AS339" s="295"/>
      <c r="AT339" s="295"/>
      <c r="AU339" s="295"/>
      <c r="AV339" s="290"/>
      <c r="AW339" s="591" t="s">
        <v>238</v>
      </c>
      <c r="AX339" s="591"/>
      <c r="AY339" s="591"/>
      <c r="AZ339" s="591"/>
      <c r="BA339" s="591"/>
      <c r="BB339" s="591"/>
      <c r="BC339" s="591"/>
      <c r="BD339" s="591"/>
      <c r="BE339" s="591"/>
      <c r="BF339" s="591"/>
      <c r="BG339" s="591"/>
      <c r="BH339" s="591"/>
      <c r="BI339" s="590">
        <f>$AG$17</f>
        <v>1952.5539499999998</v>
      </c>
      <c r="BJ339" s="590"/>
      <c r="BK339" s="590"/>
      <c r="BL339" s="590"/>
      <c r="BM339" s="594">
        <f>'FICHE DE PAIE'!AW$5</f>
        <v>4.0000000000000001E-3</v>
      </c>
      <c r="BN339" s="594"/>
      <c r="BO339" s="594"/>
      <c r="BP339" s="594"/>
      <c r="BQ339" s="592">
        <f>BI339*BM339</f>
        <v>7.810215799999999</v>
      </c>
      <c r="BR339" s="592"/>
      <c r="BS339" s="592"/>
      <c r="BT339" s="592"/>
      <c r="BU339" s="594">
        <f>'FICHE DE PAIE'!BE$5</f>
        <v>0.152</v>
      </c>
      <c r="BV339" s="594"/>
      <c r="BW339" s="594"/>
      <c r="BX339" s="592">
        <f>BI339*BU339</f>
        <v>296.78820039999994</v>
      </c>
      <c r="BY339" s="592"/>
      <c r="BZ339" s="592"/>
      <c r="CA339" s="593"/>
    </row>
    <row r="340" spans="1:79" ht="15" customHeight="1">
      <c r="A340" s="424">
        <v>12</v>
      </c>
      <c r="B340" s="382">
        <v>5</v>
      </c>
      <c r="C340" s="382">
        <f t="shared" si="82"/>
        <v>339</v>
      </c>
      <c r="D340" s="383" t="str">
        <f>IF(I340='Jour Férié'!F$13,'Jour Férié'!E$13,""&amp;IF(I340='Jour Férié'!F$14,'Jour Férié'!E$14,""&amp;IF(I340='Jour Férié'!F$15,'Jour Férié'!E$15,""&amp;IF(I340='Jour Férié'!B$15,'Jour Férié'!A$15,""&amp;IF(MOD(MATCH(I340,vacances!$A$3:$A$202,1),2)=1,"vacances","")))))</f>
        <v/>
      </c>
      <c r="E340" s="449"/>
      <c r="F340" s="449"/>
      <c r="G340" s="449"/>
      <c r="H340" s="621"/>
      <c r="I340" s="339">
        <f t="shared" si="80"/>
        <v>43439</v>
      </c>
      <c r="J340" s="7"/>
      <c r="K340" s="7"/>
      <c r="L340" s="290"/>
      <c r="M340" s="291" t="s">
        <v>211</v>
      </c>
      <c r="N340" s="291"/>
      <c r="O340" s="386">
        <f ca="1">(COUNTIF(I336:I344,dimanche(COUNTIF($E336:$E366,$J337))))</f>
        <v>0</v>
      </c>
      <c r="P340" s="316"/>
      <c r="Q340" s="555" t="str">
        <f>'FICHE DE PAIE'!A$6</f>
        <v>HS à 50%</v>
      </c>
      <c r="R340" s="555"/>
      <c r="S340" s="555"/>
      <c r="T340" s="555"/>
      <c r="U340" s="555"/>
      <c r="V340" s="555"/>
      <c r="W340" s="555"/>
      <c r="X340" s="555"/>
      <c r="Y340" s="555"/>
      <c r="Z340" s="494"/>
      <c r="AA340" s="561"/>
      <c r="AB340" s="561"/>
      <c r="AC340" s="561"/>
      <c r="AD340" s="558">
        <f>'FICHE DE PAIE'!N$6</f>
        <v>18.111000000000001</v>
      </c>
      <c r="AE340" s="558"/>
      <c r="AF340" s="558"/>
      <c r="AG340" s="559">
        <f t="shared" si="81"/>
        <v>0</v>
      </c>
      <c r="AH340" s="559"/>
      <c r="AI340" s="559"/>
      <c r="AJ340" s="559"/>
      <c r="AK340" s="294"/>
      <c r="AL340" s="294"/>
      <c r="AM340" s="294"/>
      <c r="AN340" s="295"/>
      <c r="AO340" s="295"/>
      <c r="AP340" s="295"/>
      <c r="AQ340" s="295"/>
      <c r="AR340" s="295"/>
      <c r="AS340" s="295"/>
      <c r="AT340" s="295"/>
      <c r="AU340" s="295"/>
      <c r="AV340" s="290"/>
      <c r="AW340" s="591" t="s">
        <v>240</v>
      </c>
      <c r="AX340" s="591"/>
      <c r="AY340" s="591"/>
      <c r="AZ340" s="591"/>
      <c r="BA340" s="591"/>
      <c r="BB340" s="591"/>
      <c r="BC340" s="591"/>
      <c r="BD340" s="591"/>
      <c r="BE340" s="591"/>
      <c r="BF340" s="591"/>
      <c r="BG340" s="591"/>
      <c r="BH340" s="591"/>
      <c r="BI340" s="590">
        <f t="shared" ref="BI340:BI351" si="83">$AG$17</f>
        <v>1952.5539499999998</v>
      </c>
      <c r="BJ340" s="590"/>
      <c r="BK340" s="590"/>
      <c r="BL340" s="590"/>
      <c r="BM340" s="594">
        <f>'FICHE DE PAIE'!AW$6</f>
        <v>6.9000000000000006E-2</v>
      </c>
      <c r="BN340" s="594"/>
      <c r="BO340" s="594"/>
      <c r="BP340" s="594"/>
      <c r="BQ340" s="592">
        <f t="shared" ref="BQ340:BQ357" si="84">BI340*BM340</f>
        <v>134.72622254999999</v>
      </c>
      <c r="BR340" s="592"/>
      <c r="BS340" s="592"/>
      <c r="BT340" s="592"/>
      <c r="BU340" s="594">
        <f>'FICHE DE PAIE'!BE$6</f>
        <v>8.5500000000000007E-2</v>
      </c>
      <c r="BV340" s="594"/>
      <c r="BW340" s="594"/>
      <c r="BX340" s="592">
        <f t="shared" ref="BX340:BX359" si="85">BI340*BU340</f>
        <v>166.94336272499999</v>
      </c>
      <c r="BY340" s="592"/>
      <c r="BZ340" s="592"/>
      <c r="CA340" s="593"/>
    </row>
    <row r="341" spans="1:79" ht="15" customHeight="1">
      <c r="A341" s="424">
        <v>12</v>
      </c>
      <c r="B341" s="382">
        <v>6</v>
      </c>
      <c r="C341" s="382">
        <f t="shared" si="82"/>
        <v>340</v>
      </c>
      <c r="D341" s="383" t="str">
        <f>IF(I341='Jour Férié'!F$13,'Jour Férié'!E$13,""&amp;IF(I341='Jour Férié'!F$14,'Jour Férié'!E$14,""&amp;IF(I341='Jour Férié'!F$15,'Jour Férié'!E$15,""&amp;IF(I341='Jour Férié'!B$15,'Jour Férié'!A$15,""&amp;IF(MOD(MATCH(I341,vacances!$A$3:$A$202,1),2)=1,"vacances","")))))</f>
        <v/>
      </c>
      <c r="E341" s="449"/>
      <c r="F341" s="449"/>
      <c r="G341" s="449"/>
      <c r="H341" s="621"/>
      <c r="I341" s="339">
        <f t="shared" si="80"/>
        <v>43440</v>
      </c>
      <c r="J341" s="389"/>
      <c r="K341" s="388" t="s">
        <v>212</v>
      </c>
      <c r="L341" s="290"/>
      <c r="M341" s="291" t="s">
        <v>213</v>
      </c>
      <c r="N341" s="291"/>
      <c r="O341" s="386">
        <f>SUM(O336:O337)</f>
        <v>0</v>
      </c>
      <c r="P341" s="316"/>
      <c r="Q341" s="555" t="str">
        <f>'FICHE DE PAIE'!A$7</f>
        <v>MAJORATION DIMANCHE</v>
      </c>
      <c r="R341" s="555"/>
      <c r="S341" s="555"/>
      <c r="T341" s="555"/>
      <c r="U341" s="555"/>
      <c r="V341" s="555"/>
      <c r="W341" s="555"/>
      <c r="X341" s="555"/>
      <c r="Y341" s="555"/>
      <c r="Z341" s="494"/>
      <c r="AA341" s="557">
        <f>O346</f>
        <v>0</v>
      </c>
      <c r="AB341" s="557"/>
      <c r="AC341" s="557"/>
      <c r="AD341" s="558">
        <f>'FICHE DE PAIE'!N$7</f>
        <v>1.2074</v>
      </c>
      <c r="AE341" s="558"/>
      <c r="AF341" s="558"/>
      <c r="AG341" s="559">
        <f t="shared" si="81"/>
        <v>0</v>
      </c>
      <c r="AH341" s="559"/>
      <c r="AI341" s="559"/>
      <c r="AJ341" s="559"/>
      <c r="AK341" s="294"/>
      <c r="AL341" s="294"/>
      <c r="AM341" s="294"/>
      <c r="AN341" s="295"/>
      <c r="AO341" s="295"/>
      <c r="AP341" s="295"/>
      <c r="AQ341" s="295"/>
      <c r="AR341" s="295"/>
      <c r="AS341" s="295"/>
      <c r="AT341" s="295"/>
      <c r="AU341" s="295"/>
      <c r="AV341" s="290"/>
      <c r="AW341" s="591" t="s">
        <v>242</v>
      </c>
      <c r="AX341" s="591"/>
      <c r="AY341" s="591"/>
      <c r="AZ341" s="591"/>
      <c r="BA341" s="591"/>
      <c r="BB341" s="591"/>
      <c r="BC341" s="591"/>
      <c r="BD341" s="591"/>
      <c r="BE341" s="591"/>
      <c r="BF341" s="591"/>
      <c r="BG341" s="591"/>
      <c r="BH341" s="591"/>
      <c r="BI341" s="590">
        <f t="shared" si="83"/>
        <v>1952.5539499999998</v>
      </c>
      <c r="BJ341" s="590"/>
      <c r="BK341" s="590"/>
      <c r="BL341" s="590"/>
      <c r="BM341" s="590"/>
      <c r="BN341" s="590"/>
      <c r="BO341" s="590"/>
      <c r="BP341" s="590"/>
      <c r="BQ341" s="592">
        <f t="shared" si="84"/>
        <v>0</v>
      </c>
      <c r="BR341" s="592"/>
      <c r="BS341" s="592"/>
      <c r="BT341" s="592"/>
      <c r="BU341" s="594">
        <f>'FICHE DE PAIE'!BE$7</f>
        <v>1E-3</v>
      </c>
      <c r="BV341" s="594"/>
      <c r="BW341" s="594"/>
      <c r="BX341" s="592">
        <f t="shared" si="85"/>
        <v>1.9525539499999998</v>
      </c>
      <c r="BY341" s="592"/>
      <c r="BZ341" s="592"/>
      <c r="CA341" s="593"/>
    </row>
    <row r="342" spans="1:79" ht="15" customHeight="1">
      <c r="A342" s="424">
        <v>12</v>
      </c>
      <c r="B342" s="382">
        <v>7</v>
      </c>
      <c r="C342" s="382">
        <f t="shared" si="82"/>
        <v>341</v>
      </c>
      <c r="D342" s="383" t="str">
        <f>IF(I342='Jour Férié'!F$13,'Jour Férié'!E$13,""&amp;IF(I342='Jour Férié'!F$14,'Jour Férié'!E$14,""&amp;IF(I342='Jour Férié'!F$15,'Jour Férié'!E$15,""&amp;IF(I342='Jour Férié'!B$15,'Jour Férié'!A$15,""&amp;IF(MOD(MATCH(I342,vacances!$A$3:$A$202,1),2)=1,"vacances","")))))</f>
        <v/>
      </c>
      <c r="E342" s="449"/>
      <c r="F342" s="449"/>
      <c r="G342" s="449"/>
      <c r="H342" s="621"/>
      <c r="I342" s="339">
        <f t="shared" si="80"/>
        <v>43441</v>
      </c>
      <c r="J342" s="7"/>
      <c r="K342" s="7"/>
      <c r="L342" s="290"/>
      <c r="M342" s="385" t="s">
        <v>214</v>
      </c>
      <c r="N342" s="385"/>
      <c r="O342" s="390">
        <f>((6*COUNTIF(E335,J336))+(3*COUNTIF(E336,J336))+((6*COUNTIF(E336,J336))+(3*COUNTIF(E337,J336)))+((6*COUNTIF(E337,J336))+(3*COUNTIF(E338,J336)))+((6*COUNTIF(E338,J336))+(3*COUNTIF(E339,J336)))+((6*COUNTIF(E339,J336))+(3*COUNTIF(E340,J336)))+((6*COUNTIF(E340,J336))+(3*COUNTIF(E341,J336)))+((6*COUNTIF(E341,J336))+(3*COUNTIF(E342,J336)))+((6*COUNTIF(E342,J336))+(3*COUNTIF(E343,J336)))+((6*COUNTIF(E343,J336))+(3*COUNTIF(E344,J336)))+((6*COUNTIF(E344,J336))+(3*COUNTIF(E345,J336)))+((6*COUNTIF(E345,J336))+(3*COUNTIF(E346,J336)))+((6*COUNTIF(E346,J336))+(3*COUNTIF(E347,J336)))+((6*COUNTIF(E347,J336))+(3*COUNTIF(E348,J336)))+((6*COUNTIF(E348,J336))+(3*COUNTIF(E349,J336)))+((6*COUNTIF(E349,J336))+(3*COUNTIF(E350,J336)))+((6*COUNTIF(E350,J336))+(3*COUNTIF(E351,J336)))+((6*COUNTIF(E351,J336))+(3*COUNTIF(E352,J336)))+((6*COUNTIF(E352,J336))+(3*COUNTIF(E353,J336)))+((6*COUNTIF(E353,J336))+(3*COUNTIF(E354,J336)))+((6*COUNTIF(E354,J336))+(3*COUNTIF(E355,J336)))+((6*COUNTIF(E355,J336))+(3*COUNTIF(E356,J336)))+((6*COUNTIF(E356,J336))+(3*COUNTIF(E357,J336)))+((6*COUNTIF(E357,J336))+(3*COUNTIF(E358,J336)))+((6*COUNTIF(E358,J336))+(3*COUNTIF(E359,J336)))+((6*COUNTIF(E359,J336))+(3*COUNTIF(E360,J336)))+((6*COUNTIF(E360,J336))+(3*COUNTIF(E361,J336)))+((6*COUNTIF(E361,J336))+(3*COUNTIF(E362,J336)))+((6*COUNTIF(E362,J336))+(3*COUNTIF(E363,J336)))+((6*COUNTIF(E363,J336))+(3*COUNTIF(E364,J336)))+((6*COUNTIF(E364,J336))+(3*COUNTIF(E365,J336)))+((6*COUNTIF(E365,J336))+(3*COUNTIF(E366,J336)))+((6*COUNTIF(E366,J336))))</f>
        <v>0</v>
      </c>
      <c r="P342" s="316"/>
      <c r="Q342" s="555" t="str">
        <f>'FICHE DE PAIE'!A$8</f>
        <v>MAJORATION NUIT</v>
      </c>
      <c r="R342" s="555"/>
      <c r="S342" s="555"/>
      <c r="T342" s="555"/>
      <c r="U342" s="555"/>
      <c r="V342" s="555"/>
      <c r="W342" s="555"/>
      <c r="X342" s="555"/>
      <c r="Y342" s="555"/>
      <c r="Z342" s="494"/>
      <c r="AA342" s="557">
        <f>O342</f>
        <v>0</v>
      </c>
      <c r="AB342" s="557"/>
      <c r="AC342" s="557"/>
      <c r="AD342" s="558">
        <f>'FICHE DE PAIE'!N$8</f>
        <v>1.2074</v>
      </c>
      <c r="AE342" s="558"/>
      <c r="AF342" s="558"/>
      <c r="AG342" s="559">
        <f t="shared" si="81"/>
        <v>0</v>
      </c>
      <c r="AH342" s="559"/>
      <c r="AI342" s="559"/>
      <c r="AJ342" s="559"/>
      <c r="AK342" s="294"/>
      <c r="AL342" s="294"/>
      <c r="AM342" s="294"/>
      <c r="AN342" s="295"/>
      <c r="AO342" s="295"/>
      <c r="AP342" s="295"/>
      <c r="AQ342" s="295"/>
      <c r="AR342" s="295"/>
      <c r="AS342" s="295"/>
      <c r="AT342" s="295"/>
      <c r="AU342" s="295"/>
      <c r="AV342" s="290"/>
      <c r="AW342" s="591" t="s">
        <v>244</v>
      </c>
      <c r="AX342" s="591"/>
      <c r="AY342" s="591"/>
      <c r="AZ342" s="591"/>
      <c r="BA342" s="591"/>
      <c r="BB342" s="591"/>
      <c r="BC342" s="591"/>
      <c r="BD342" s="591"/>
      <c r="BE342" s="591"/>
      <c r="BF342" s="591"/>
      <c r="BG342" s="591"/>
      <c r="BH342" s="591"/>
      <c r="BI342" s="590">
        <f t="shared" si="83"/>
        <v>1952.5539499999998</v>
      </c>
      <c r="BJ342" s="590"/>
      <c r="BK342" s="590"/>
      <c r="BL342" s="590"/>
      <c r="BM342" s="590"/>
      <c r="BN342" s="590"/>
      <c r="BO342" s="590"/>
      <c r="BP342" s="590"/>
      <c r="BQ342" s="592">
        <f t="shared" si="84"/>
        <v>0</v>
      </c>
      <c r="BR342" s="592"/>
      <c r="BS342" s="592"/>
      <c r="BT342" s="592"/>
      <c r="BU342" s="594">
        <f>'FICHE DE PAIE'!BE$8</f>
        <v>4.0000000000000001E-3</v>
      </c>
      <c r="BV342" s="594"/>
      <c r="BW342" s="594"/>
      <c r="BX342" s="592">
        <f t="shared" si="85"/>
        <v>7.810215799999999</v>
      </c>
      <c r="BY342" s="592"/>
      <c r="BZ342" s="592"/>
      <c r="CA342" s="593"/>
    </row>
    <row r="343" spans="1:79" ht="15" customHeight="1">
      <c r="A343" s="424">
        <v>12</v>
      </c>
      <c r="B343" s="382">
        <v>8</v>
      </c>
      <c r="C343" s="382">
        <f t="shared" si="82"/>
        <v>342</v>
      </c>
      <c r="D343" s="383" t="str">
        <f>IF(I343='Jour Férié'!F$13,'Jour Férié'!E$13,""&amp;IF(I343='Jour Férié'!F$14,'Jour Férié'!E$14,""&amp;IF(I343='Jour Férié'!F$15,'Jour Férié'!E$15,""&amp;IF(I343='Jour Férié'!B$15,'Jour Férié'!A$15,""&amp;IF(MOD(MATCH(I343,vacances!$A$3:$A$202,1),2)=1,"vacances","")))))</f>
        <v/>
      </c>
      <c r="E343" s="449"/>
      <c r="F343" s="449"/>
      <c r="G343" s="449"/>
      <c r="H343" s="621"/>
      <c r="I343" s="339">
        <f t="shared" si="80"/>
        <v>43442</v>
      </c>
      <c r="J343" s="391" t="s">
        <v>215</v>
      </c>
      <c r="K343" s="388" t="s">
        <v>216</v>
      </c>
      <c r="L343" s="290"/>
      <c r="M343" s="291" t="s">
        <v>217</v>
      </c>
      <c r="N343" s="291"/>
      <c r="O343" s="386">
        <f>O337*12</f>
        <v>0</v>
      </c>
      <c r="P343" s="316"/>
      <c r="Q343" s="555" t="str">
        <f>'FICHE DE PAIE'!A$9</f>
        <v>MAJORATION JOUR FERIE</v>
      </c>
      <c r="R343" s="555"/>
      <c r="S343" s="555"/>
      <c r="T343" s="555"/>
      <c r="U343" s="555"/>
      <c r="V343" s="555"/>
      <c r="W343" s="555"/>
      <c r="X343" s="555"/>
      <c r="Y343" s="555"/>
      <c r="Z343" s="494"/>
      <c r="AA343" s="557">
        <f>O348</f>
        <v>0</v>
      </c>
      <c r="AB343" s="557"/>
      <c r="AC343" s="557"/>
      <c r="AD343" s="558">
        <f>'FICHE DE PAIE'!N$9</f>
        <v>12.074</v>
      </c>
      <c r="AE343" s="558"/>
      <c r="AF343" s="558"/>
      <c r="AG343" s="559">
        <f t="shared" si="81"/>
        <v>0</v>
      </c>
      <c r="AH343" s="559"/>
      <c r="AI343" s="559"/>
      <c r="AJ343" s="559"/>
      <c r="AK343" s="294"/>
      <c r="AL343" s="294"/>
      <c r="AM343" s="294"/>
      <c r="AN343" s="295"/>
      <c r="AO343" s="295"/>
      <c r="AP343" s="295"/>
      <c r="AQ343" s="295"/>
      <c r="AR343" s="295"/>
      <c r="AS343" s="295"/>
      <c r="AT343" s="295"/>
      <c r="AU343" s="295"/>
      <c r="AV343" s="290"/>
      <c r="AW343" s="591" t="s">
        <v>246</v>
      </c>
      <c r="AX343" s="591"/>
      <c r="AY343" s="591"/>
      <c r="AZ343" s="591"/>
      <c r="BA343" s="591"/>
      <c r="BB343" s="591"/>
      <c r="BC343" s="591"/>
      <c r="BD343" s="591"/>
      <c r="BE343" s="591"/>
      <c r="BF343" s="591"/>
      <c r="BG343" s="591"/>
      <c r="BH343" s="591"/>
      <c r="BI343" s="590">
        <f t="shared" si="83"/>
        <v>1952.5539499999998</v>
      </c>
      <c r="BJ343" s="590"/>
      <c r="BK343" s="590"/>
      <c r="BL343" s="590"/>
      <c r="BM343" s="590"/>
      <c r="BN343" s="590"/>
      <c r="BO343" s="590"/>
      <c r="BP343" s="590"/>
      <c r="BQ343" s="592">
        <f t="shared" si="84"/>
        <v>0</v>
      </c>
      <c r="BR343" s="592"/>
      <c r="BS343" s="592"/>
      <c r="BT343" s="592"/>
      <c r="BU343" s="594">
        <f>'FICHE DE PAIE'!BE$9</f>
        <v>1.2999999999999999E-2</v>
      </c>
      <c r="BV343" s="594"/>
      <c r="BW343" s="594"/>
      <c r="BX343" s="592">
        <f t="shared" si="85"/>
        <v>25.383201349999997</v>
      </c>
      <c r="BY343" s="592"/>
      <c r="BZ343" s="592"/>
      <c r="CA343" s="593"/>
    </row>
    <row r="344" spans="1:79" ht="15" customHeight="1">
      <c r="A344" s="424">
        <v>12</v>
      </c>
      <c r="B344" s="382">
        <v>9</v>
      </c>
      <c r="C344" s="382">
        <f t="shared" si="82"/>
        <v>343</v>
      </c>
      <c r="D344" s="383" t="str">
        <f>IF(I344='Jour Férié'!F$13,'Jour Férié'!E$13,""&amp;IF(I344='Jour Férié'!F$14,'Jour Férié'!E$14,""&amp;IF(I344='Jour Férié'!F$15,'Jour Férié'!E$15,""&amp;IF(I344='Jour Férié'!B$15,'Jour Férié'!A$15,""&amp;IF(MOD(MATCH(I344,vacances!$A$3:$A$202,1),2)=1,"vacances","")))))</f>
        <v/>
      </c>
      <c r="E344" s="449"/>
      <c r="F344" s="449"/>
      <c r="G344" s="449"/>
      <c r="H344" s="621"/>
      <c r="I344" s="339">
        <f t="shared" si="80"/>
        <v>43443</v>
      </c>
      <c r="J344" s="391" t="s">
        <v>218</v>
      </c>
      <c r="K344" s="281" t="s">
        <v>219</v>
      </c>
      <c r="L344" s="290"/>
      <c r="M344" s="291" t="s">
        <v>220</v>
      </c>
      <c r="N344" s="291"/>
      <c r="O344" s="386">
        <f>O338*7</f>
        <v>0</v>
      </c>
      <c r="P344" s="316"/>
      <c r="Q344" s="555" t="str">
        <f>'FICHE DE PAIE'!A$10</f>
        <v xml:space="preserve">PRIME ANCIENNETE </v>
      </c>
      <c r="R344" s="555"/>
      <c r="S344" s="555"/>
      <c r="T344" s="555"/>
      <c r="U344" s="555"/>
      <c r="V344" s="555"/>
      <c r="W344" s="555"/>
      <c r="X344" s="555"/>
      <c r="Y344" s="555"/>
      <c r="Z344" s="494"/>
      <c r="AA344" s="556">
        <v>1</v>
      </c>
      <c r="AB344" s="556"/>
      <c r="AC344" s="556"/>
      <c r="AD344" s="558">
        <f>'FICHE DE PAIE'!N$10</f>
        <v>36.630000000000003</v>
      </c>
      <c r="AE344" s="558"/>
      <c r="AF344" s="558"/>
      <c r="AG344" s="606"/>
      <c r="AH344" s="606"/>
      <c r="AI344" s="606"/>
      <c r="AJ344" s="606"/>
      <c r="AK344" s="294"/>
      <c r="AL344" s="294"/>
      <c r="AM344" s="294"/>
      <c r="AN344" s="295"/>
      <c r="AO344" s="295"/>
      <c r="AP344" s="295"/>
      <c r="AQ344" s="295"/>
      <c r="AR344" s="295"/>
      <c r="AS344" s="295"/>
      <c r="AT344" s="295"/>
      <c r="AU344" s="295"/>
      <c r="AV344" s="290"/>
      <c r="AW344" s="591" t="s">
        <v>248</v>
      </c>
      <c r="AX344" s="591"/>
      <c r="AY344" s="591"/>
      <c r="AZ344" s="591"/>
      <c r="BA344" s="591"/>
      <c r="BB344" s="591"/>
      <c r="BC344" s="591"/>
      <c r="BD344" s="591"/>
      <c r="BE344" s="591"/>
      <c r="BF344" s="591"/>
      <c r="BG344" s="591"/>
      <c r="BH344" s="591"/>
      <c r="BI344" s="590">
        <f t="shared" si="83"/>
        <v>1952.5539499999998</v>
      </c>
      <c r="BJ344" s="590"/>
      <c r="BK344" s="590"/>
      <c r="BL344" s="590"/>
      <c r="BM344" s="590"/>
      <c r="BN344" s="590"/>
      <c r="BO344" s="590"/>
      <c r="BP344" s="590"/>
      <c r="BQ344" s="592">
        <f t="shared" si="84"/>
        <v>0</v>
      </c>
      <c r="BR344" s="592"/>
      <c r="BS344" s="592"/>
      <c r="BT344" s="592"/>
      <c r="BU344" s="594">
        <f>'FICHE DE PAIE'!BE$10</f>
        <v>1.7600000000000001E-2</v>
      </c>
      <c r="BV344" s="594"/>
      <c r="BW344" s="594"/>
      <c r="BX344" s="592">
        <f t="shared" si="85"/>
        <v>34.364949519999996</v>
      </c>
      <c r="BY344" s="592"/>
      <c r="BZ344" s="592"/>
      <c r="CA344" s="593"/>
    </row>
    <row r="345" spans="1:79" ht="15" customHeight="1">
      <c r="A345" s="424">
        <v>12</v>
      </c>
      <c r="B345" s="382">
        <v>10</v>
      </c>
      <c r="C345" s="382">
        <f t="shared" si="82"/>
        <v>344</v>
      </c>
      <c r="D345" s="383" t="str">
        <f>IF(I345='Jour Férié'!F$13,'Jour Férié'!E$13,""&amp;IF(I345='Jour Férié'!F$14,'Jour Férié'!E$14,""&amp;IF(I345='Jour Férié'!F$15,'Jour Férié'!E$15,""&amp;IF(I345='Jour Férié'!B$15,'Jour Férié'!A$15,""&amp;IF(MOD(MATCH(I345,vacances!$A$3:$A$202,1),2)=1,"vacances","")))))</f>
        <v/>
      </c>
      <c r="E345" s="449"/>
      <c r="F345" s="449"/>
      <c r="G345" s="449" t="s">
        <v>335</v>
      </c>
      <c r="H345" s="621"/>
      <c r="I345" s="339">
        <f t="shared" si="80"/>
        <v>43444</v>
      </c>
      <c r="J345" s="392" t="s">
        <v>221</v>
      </c>
      <c r="K345" s="281" t="s">
        <v>222</v>
      </c>
      <c r="L345" s="290"/>
      <c r="M345" s="385" t="s">
        <v>223</v>
      </c>
      <c r="N345" s="385"/>
      <c r="O345" s="390">
        <f>(O336+O337)*12</f>
        <v>0</v>
      </c>
      <c r="P345" s="316"/>
      <c r="Q345" s="555" t="str">
        <f>'FICHE DE PAIE'!A$11</f>
        <v>PRIME HABILLAGE</v>
      </c>
      <c r="R345" s="555"/>
      <c r="S345" s="555"/>
      <c r="T345" s="555"/>
      <c r="U345" s="555"/>
      <c r="V345" s="555"/>
      <c r="W345" s="555"/>
      <c r="X345" s="555"/>
      <c r="Y345" s="555"/>
      <c r="Z345" s="494"/>
      <c r="AA345" s="556">
        <f>AA338</f>
        <v>151.66999999999999</v>
      </c>
      <c r="AB345" s="556"/>
      <c r="AC345" s="556"/>
      <c r="AD345" s="558">
        <f>'FICHE DE PAIE'!N$11</f>
        <v>0.13100000000000001</v>
      </c>
      <c r="AE345" s="558"/>
      <c r="AF345" s="558"/>
      <c r="AG345" s="559">
        <f>AA345*AD345</f>
        <v>19.868769999999998</v>
      </c>
      <c r="AH345" s="559"/>
      <c r="AI345" s="559"/>
      <c r="AJ345" s="559"/>
      <c r="AK345" s="294"/>
      <c r="AL345" s="294"/>
      <c r="AM345" s="294"/>
      <c r="AN345" s="295"/>
      <c r="AO345" s="295"/>
      <c r="AP345" s="295"/>
      <c r="AQ345" s="295"/>
      <c r="AR345" s="295"/>
      <c r="AS345" s="295"/>
      <c r="AT345" s="295"/>
      <c r="AU345" s="295"/>
      <c r="AV345" s="290"/>
      <c r="AW345" s="591" t="s">
        <v>250</v>
      </c>
      <c r="AX345" s="591"/>
      <c r="AY345" s="591"/>
      <c r="AZ345" s="591"/>
      <c r="BA345" s="591"/>
      <c r="BB345" s="591"/>
      <c r="BC345" s="591"/>
      <c r="BD345" s="591"/>
      <c r="BE345" s="591"/>
      <c r="BF345" s="591"/>
      <c r="BG345" s="591"/>
      <c r="BH345" s="591"/>
      <c r="BI345" s="590">
        <f t="shared" si="83"/>
        <v>1952.5539499999998</v>
      </c>
      <c r="BJ345" s="590"/>
      <c r="BK345" s="590"/>
      <c r="BL345" s="590"/>
      <c r="BM345" s="590"/>
      <c r="BN345" s="590"/>
      <c r="BO345" s="590"/>
      <c r="BP345" s="590"/>
      <c r="BQ345" s="592">
        <f t="shared" si="84"/>
        <v>0</v>
      </c>
      <c r="BR345" s="592"/>
      <c r="BS345" s="592"/>
      <c r="BT345" s="592"/>
      <c r="BU345" s="594">
        <f>'FICHE DE PAIE'!BE$11</f>
        <v>3.4500000000000003E-2</v>
      </c>
      <c r="BV345" s="594"/>
      <c r="BW345" s="594"/>
      <c r="BX345" s="592">
        <f t="shared" si="85"/>
        <v>67.363111274999994</v>
      </c>
      <c r="BY345" s="592"/>
      <c r="BZ345" s="592"/>
      <c r="CA345" s="593"/>
    </row>
    <row r="346" spans="1:79" ht="15" customHeight="1">
      <c r="A346" s="424">
        <v>12</v>
      </c>
      <c r="B346" s="382">
        <v>11</v>
      </c>
      <c r="C346" s="382">
        <f t="shared" si="82"/>
        <v>345</v>
      </c>
      <c r="D346" s="383" t="str">
        <f>IF(I346='Jour Férié'!F$13,'Jour Férié'!E$13,""&amp;IF(I346='Jour Férié'!F$14,'Jour Férié'!E$14,""&amp;IF(I346='Jour Férié'!F$15,'Jour Férié'!E$15,""&amp;IF(I346='Jour Férié'!B$15,'Jour Férié'!A$15,""&amp;IF(MOD(MATCH(I346,vacances!$A$3:$A$202,1),2)=1,"vacances","")))))</f>
        <v/>
      </c>
      <c r="E346" s="449"/>
      <c r="F346" s="449"/>
      <c r="G346" s="449"/>
      <c r="H346" s="621"/>
      <c r="I346" s="339">
        <f t="shared" si="80"/>
        <v>43445</v>
      </c>
      <c r="J346" s="290"/>
      <c r="K346" s="290"/>
      <c r="L346" s="290"/>
      <c r="M346" s="578" t="s">
        <v>224</v>
      </c>
      <c r="N346" s="393">
        <f>(IF(WEEKDAY(I336,2)=7,(7*COUNTIF(E335,J336))+(12*COUNTIF(E336,J337))+(5*COUNTIF(E336,J336))))+(IF(WEEKDAY(I337,2)=7,(7*COUNTIF(E336,J336))+(12*COUNTIF(E337,J337))+(5*COUNTIF(E337,J336))))+(IF(WEEKDAY(I338,2)=7,(7*COUNTIF(E337,J336))+(12*COUNTIF(E338,J337))+(5*COUNTIF(E338,J336))))+(IF(WEEKDAY(I339,2)=7,(7*COUNTIF(E338,J336))+(12*COUNTIF(E339,J337))+(5*COUNTIF(E339,J336))))+(IF(WEEKDAY(I340,2)=7,(7*COUNTIF(E339,J336))+(12*COUNTIF(E340,J337))+(5*COUNTIF(E340,J336))))+(IF(WEEKDAY(I341,2)=7,(7*COUNTIF(E340,J336))+(12*COUNTIF(E341,J337))+(5*COUNTIF(E341,J336))))+(IF(WEEKDAY(I342,2)=7,(7*COUNTIF(E341,J336))+(12*COUNTIF(E342,J337))+(5*COUNTIF(E342,J336))))+(IF(WEEKDAY(I343,2)=7,(7*COUNTIF(E342,J336))+(12*COUNTIF(E343,J337))+(5*COUNTIF(E343,J336))))+(IF(WEEKDAY(I344,2)=7,(7*COUNTIF(E343,J336))+(12*COUNTIF(E344,J337))+(5*COUNTIF(E344,J336))))+(IF(WEEKDAY(I345,2)=7,(7*COUNTIF(E344,J336))+(12*COUNTIF(E345,J337))+(5*COUNTIF(E345,J336))))+(IF(WEEKDAY(I346,2)=7,(7*COUNTIF(E345,J336))+(12*COUNTIF(E346,J337))+(5*COUNTIF(E346,J336))))+(IF(WEEKDAY(I347,2)=7,(7*COUNTIF(E346,J336))+(12*COUNTIF(E347,J337))+(5*COUNTIF(E347,J336))))+(IF(WEEKDAY(I348,2)=7,(7*COUNTIF(E347,J336))+(12*COUNTIF(E348,J337))+(5*COUNTIF(E348,J336))))+(IF(WEEKDAY(I349,2)=7,(7*COUNTIF(E348,J336))+(12*COUNTIF(E349,J337))+(5*COUNTIF(E349,J336))))</f>
        <v>0</v>
      </c>
      <c r="O346" s="603">
        <f>SUM(N346:N347)</f>
        <v>0</v>
      </c>
      <c r="P346" s="316"/>
      <c r="Q346" s="555" t="str">
        <f>'FICHE DE PAIE'!A$12</f>
        <v>PRIME ASTREINTE</v>
      </c>
      <c r="R346" s="555"/>
      <c r="S346" s="555"/>
      <c r="T346" s="555"/>
      <c r="U346" s="555"/>
      <c r="V346" s="555"/>
      <c r="W346" s="555"/>
      <c r="X346" s="555"/>
      <c r="Y346" s="555"/>
      <c r="Z346" s="494"/>
      <c r="AA346" s="561"/>
      <c r="AB346" s="561"/>
      <c r="AC346" s="561"/>
      <c r="AD346" s="558">
        <f>'FICHE DE PAIE'!N$12</f>
        <v>90</v>
      </c>
      <c r="AE346" s="558"/>
      <c r="AF346" s="558"/>
      <c r="AG346" s="559">
        <f>AA346*AD346</f>
        <v>0</v>
      </c>
      <c r="AH346" s="559"/>
      <c r="AI346" s="559"/>
      <c r="AJ346" s="559"/>
      <c r="AK346" s="294"/>
      <c r="AL346" s="294"/>
      <c r="AM346" s="294"/>
      <c r="AN346" s="295"/>
      <c r="AO346" s="295"/>
      <c r="AP346" s="295"/>
      <c r="AQ346" s="295"/>
      <c r="AR346" s="295"/>
      <c r="AS346" s="295"/>
      <c r="AT346" s="295"/>
      <c r="AU346" s="295"/>
      <c r="AV346" s="290"/>
      <c r="AW346" s="591" t="s">
        <v>252</v>
      </c>
      <c r="AX346" s="591"/>
      <c r="AY346" s="591"/>
      <c r="AZ346" s="591"/>
      <c r="BA346" s="591"/>
      <c r="BB346" s="591"/>
      <c r="BC346" s="591"/>
      <c r="BD346" s="591"/>
      <c r="BE346" s="591"/>
      <c r="BF346" s="591"/>
      <c r="BG346" s="591"/>
      <c r="BH346" s="591"/>
      <c r="BI346" s="590">
        <f t="shared" si="83"/>
        <v>1952.5539499999998</v>
      </c>
      <c r="BJ346" s="590"/>
      <c r="BK346" s="590"/>
      <c r="BL346" s="590"/>
      <c r="BM346" s="590"/>
      <c r="BN346" s="590"/>
      <c r="BO346" s="590"/>
      <c r="BP346" s="590"/>
      <c r="BQ346" s="592">
        <f t="shared" si="84"/>
        <v>0</v>
      </c>
      <c r="BR346" s="592"/>
      <c r="BS346" s="592"/>
      <c r="BT346" s="592"/>
      <c r="BU346" s="594">
        <f>'FICHE DE PAIE'!BE$12</f>
        <v>1.6000000000000001E-4</v>
      </c>
      <c r="BV346" s="594"/>
      <c r="BW346" s="594"/>
      <c r="BX346" s="592">
        <f t="shared" si="85"/>
        <v>0.31240863199999996</v>
      </c>
      <c r="BY346" s="592"/>
      <c r="BZ346" s="592"/>
      <c r="CA346" s="593"/>
    </row>
    <row r="347" spans="1:79" ht="15" customHeight="1">
      <c r="A347" s="424">
        <v>12</v>
      </c>
      <c r="B347" s="382">
        <v>12</v>
      </c>
      <c r="C347" s="382">
        <f t="shared" si="82"/>
        <v>346</v>
      </c>
      <c r="D347" s="383" t="str">
        <f>IF(I347='Jour Férié'!F$13,'Jour Férié'!E$13,""&amp;IF(I347='Jour Férié'!F$14,'Jour Férié'!E$14,""&amp;IF(I347='Jour Férié'!F$15,'Jour Férié'!E$15,""&amp;IF(I347='Jour Férié'!B$15,'Jour Férié'!A$15,""&amp;IF(MOD(MATCH(I347,vacances!$A$3:$A$202,1),2)=1,"vacances","")))))</f>
        <v/>
      </c>
      <c r="E347" s="449"/>
      <c r="F347" s="449"/>
      <c r="G347" s="449" t="s">
        <v>335</v>
      </c>
      <c r="H347" s="621"/>
      <c r="I347" s="339">
        <f t="shared" si="80"/>
        <v>43446</v>
      </c>
      <c r="J347" s="7"/>
      <c r="K347" s="7"/>
      <c r="L347" s="7"/>
      <c r="M347" s="578"/>
      <c r="N347" s="394">
        <f>(IF(WEEKDAY(I350,2)=7,(7*COUNTIF(E349,J336))+(12*COUNTIF(E350,J337))+(5*COUNTIF(E350,J336))))+(IF(WEEKDAY(I351,2)=7,(7*COUNTIF(E350,J336))+(12*COUNTIF(E351,J337))+(5*COUNTIF(E351,J336))))+(IF(WEEKDAY(I352,2)=7,(7*COUNTIF(E351,J336))+(12*COUNTIF(E352,J337))+(5*COUNTIF(E352,J336))))+(IF(WEEKDAY(I353,2)=7,(7*COUNTIF(E352,J336))+(12*COUNTIF(E353,J337))+(5*COUNTIF(E353,J336))))+(IF(WEEKDAY(I354,2)=7,(7*COUNTIF(E353,J336))+(12*COUNTIF(E354,J337))+(5*COUNTIF(E354,J336))))+(IF(WEEKDAY(I355,2)=7,(7*COUNTIF(E354,J336))+(12*COUNTIF(E355,J337))+(5*COUNTIF(E355,J336))))+(IF(WEEKDAY(I356,2)=7,(7*COUNTIF(E355,J336))+(12*COUNTIF(E356,J337))+(5*COUNTIF(E356,J336))))+(IF(WEEKDAY(I357,2)=7,(7*COUNTIF(E356,J336))+(12*COUNTIF(E357,J337))+(5*COUNTIF(E357,J336))))+(IF(WEEKDAY(I358,2)=7,(7*COUNTIF(E357,J336))+(12*COUNTIF(E358,J337))+(5*COUNTIF(E358,J336))))+(IF(WEEKDAY(I359,2)=7,(7*COUNTIF(E358,J336))+(12*COUNTIF(E359,J337))+(5*COUNTIF(E359,J336))))+(IF(WEEKDAY(I360,2)=7,(7*COUNTIF(E359,J336))+(12*COUNTIF(E360,J337))+(5*COUNTIF(E360,J336))))+(IF(WEEKDAY(I361,2)=7,(7*COUNTIF(E360,J336))+(12*COUNTIF(E361,J337))+(5*COUNTIF(E361,J336))))+(IF(WEEKDAY(I362,2)=7,(7*COUNTIF(E361,J336))+(12*COUNTIF(E362,J337))+(5*COUNTIF(E362,J336))))+(IF(WEEKDAY(I363,2)=7,(7*COUNTIF(E362,J336))+(12*COUNTIF(E363,J337))+(5*COUNTIF(E363,J336))))+(IF(WEEKDAY(I364,2)=7,(7*COUNTIF(E363,J336))+(12*COUNTIF(E364,J337))+(5*COUNTIF(E364,J336))))+(IF(WEEKDAY(I365,2)=7,(7*COUNTIF(E364,J336))+(12*COUNTIF(E365,J337))+(5*COUNTIF(E365,J336))))+(IF(WEEKDAY(I366,2)=7,(7*COUNTIF(E365,J336))+(12*COUNTIF(E366,J337))+(5*COUNTIF(E366,J336))))</f>
        <v>0</v>
      </c>
      <c r="O347" s="603"/>
      <c r="P347" s="316"/>
      <c r="Q347" s="555" t="str">
        <f>'FICHE DE PAIE'!A$13</f>
        <v>AUTRE PRIME</v>
      </c>
      <c r="R347" s="555"/>
      <c r="S347" s="555"/>
      <c r="T347" s="555"/>
      <c r="U347" s="555"/>
      <c r="V347" s="555"/>
      <c r="W347" s="555"/>
      <c r="X347" s="555"/>
      <c r="Y347" s="555"/>
      <c r="Z347" s="494"/>
      <c r="AA347" s="561"/>
      <c r="AB347" s="561"/>
      <c r="AC347" s="561"/>
      <c r="AD347" s="605"/>
      <c r="AE347" s="605"/>
      <c r="AF347" s="605"/>
      <c r="AG347" s="559">
        <f>AA347*AD347</f>
        <v>0</v>
      </c>
      <c r="AH347" s="559"/>
      <c r="AI347" s="559"/>
      <c r="AJ347" s="559"/>
      <c r="AK347" s="294"/>
      <c r="AL347" s="294"/>
      <c r="AM347" s="294"/>
      <c r="AN347" s="295"/>
      <c r="AO347" s="296"/>
      <c r="AP347" s="296"/>
      <c r="AQ347" s="295"/>
      <c r="AR347" s="295"/>
      <c r="AS347" s="295"/>
      <c r="AT347" s="295"/>
      <c r="AU347" s="295"/>
      <c r="AV347" s="290"/>
      <c r="AW347" s="591" t="s">
        <v>254</v>
      </c>
      <c r="AX347" s="591"/>
      <c r="AY347" s="591"/>
      <c r="AZ347" s="591"/>
      <c r="BA347" s="591"/>
      <c r="BB347" s="591"/>
      <c r="BC347" s="591"/>
      <c r="BD347" s="591"/>
      <c r="BE347" s="591"/>
      <c r="BF347" s="591"/>
      <c r="BG347" s="591"/>
      <c r="BH347" s="591"/>
      <c r="BI347" s="590">
        <f t="shared" si="83"/>
        <v>1952.5539499999998</v>
      </c>
      <c r="BJ347" s="590"/>
      <c r="BK347" s="590"/>
      <c r="BL347" s="590"/>
      <c r="BM347" s="594">
        <f>'FICHE DE PAIE'!AW$13</f>
        <v>9.4999999999999998E-3</v>
      </c>
      <c r="BN347" s="594"/>
      <c r="BO347" s="594"/>
      <c r="BP347" s="594"/>
      <c r="BQ347" s="592">
        <f t="shared" si="84"/>
        <v>18.549262524999996</v>
      </c>
      <c r="BR347" s="592"/>
      <c r="BS347" s="592"/>
      <c r="BT347" s="592"/>
      <c r="BU347" s="594">
        <f>'FICHE DE PAIE'!BE$13</f>
        <v>4.0500000000000001E-2</v>
      </c>
      <c r="BV347" s="594"/>
      <c r="BW347" s="594"/>
      <c r="BX347" s="592">
        <f t="shared" si="85"/>
        <v>79.078434974999993</v>
      </c>
      <c r="BY347" s="592"/>
      <c r="BZ347" s="592"/>
      <c r="CA347" s="593"/>
    </row>
    <row r="348" spans="1:79" ht="15" customHeight="1">
      <c r="A348" s="424">
        <v>12</v>
      </c>
      <c r="B348" s="382">
        <v>13</v>
      </c>
      <c r="C348" s="382">
        <f t="shared" si="82"/>
        <v>347</v>
      </c>
      <c r="D348" s="383" t="str">
        <f>IF(I348='Jour Férié'!F$13,'Jour Férié'!E$13,""&amp;IF(I348='Jour Férié'!F$14,'Jour Férié'!E$14,""&amp;IF(I348='Jour Férié'!F$15,'Jour Férié'!E$15,""&amp;IF(I348='Jour Férié'!B$15,'Jour Férié'!A$15,""&amp;IF(MOD(MATCH(I348,vacances!$A$3:$A$202,1),2)=1,"vacances","")))))</f>
        <v/>
      </c>
      <c r="E348" s="449"/>
      <c r="F348" s="449"/>
      <c r="G348" s="449"/>
      <c r="H348" s="621"/>
      <c r="I348" s="339">
        <f t="shared" si="80"/>
        <v>43447</v>
      </c>
      <c r="J348" s="7"/>
      <c r="K348" s="7"/>
      <c r="L348" s="7"/>
      <c r="M348" s="385" t="s">
        <v>225</v>
      </c>
      <c r="N348" s="385"/>
      <c r="O348" s="390">
        <f>(IF((I360)='Jour Férié'!B15,(5*COUNTIF(E359,J$1))+(12*COUNTIF(E360,J$2))+(5*COUNTIF(E360,J$1))))+(IF((I361)='Jour Férié'!B15,(5*COUNTIF(E360,J$1))+(12*COUNTIF(E361,J$2))+(5*COUNTIF(E361,J$1))))</f>
        <v>0</v>
      </c>
      <c r="P348" s="316"/>
      <c r="Q348" s="555" t="str">
        <f>'FICHE DE PAIE'!A$14</f>
        <v>Absence congé payé</v>
      </c>
      <c r="R348" s="555"/>
      <c r="S348" s="555"/>
      <c r="T348" s="555"/>
      <c r="U348" s="555"/>
      <c r="V348" s="555"/>
      <c r="W348" s="555"/>
      <c r="X348" s="555"/>
      <c r="Y348" s="555"/>
      <c r="Z348" s="494"/>
      <c r="AA348" s="557">
        <f>O350*35/6</f>
        <v>0</v>
      </c>
      <c r="AB348" s="557"/>
      <c r="AC348" s="557"/>
      <c r="AD348" s="558">
        <f>'FICHE DE PAIE'!N$14</f>
        <v>12.074</v>
      </c>
      <c r="AE348" s="558"/>
      <c r="AF348" s="558"/>
      <c r="AG348" s="559"/>
      <c r="AH348" s="559"/>
      <c r="AI348" s="559"/>
      <c r="AJ348" s="559"/>
      <c r="AK348" s="602">
        <f>AA348*AD348</f>
        <v>0</v>
      </c>
      <c r="AL348" s="602"/>
      <c r="AM348" s="602"/>
      <c r="AN348" s="602"/>
      <c r="AO348" s="294"/>
      <c r="AP348" s="296"/>
      <c r="AQ348" s="295"/>
      <c r="AR348" s="295"/>
      <c r="AS348" s="295"/>
      <c r="AT348" s="295"/>
      <c r="AU348" s="295"/>
      <c r="AV348" s="290"/>
      <c r="AW348" s="591" t="s">
        <v>256</v>
      </c>
      <c r="AX348" s="591"/>
      <c r="AY348" s="591"/>
      <c r="AZ348" s="591"/>
      <c r="BA348" s="591"/>
      <c r="BB348" s="591"/>
      <c r="BC348" s="591"/>
      <c r="BD348" s="591"/>
      <c r="BE348" s="591"/>
      <c r="BF348" s="591"/>
      <c r="BG348" s="591"/>
      <c r="BH348" s="591"/>
      <c r="BI348" s="590">
        <f t="shared" si="83"/>
        <v>1952.5539499999998</v>
      </c>
      <c r="BJ348" s="590"/>
      <c r="BK348" s="590"/>
      <c r="BL348" s="590"/>
      <c r="BM348" s="590"/>
      <c r="BN348" s="590"/>
      <c r="BO348" s="590"/>
      <c r="BP348" s="590"/>
      <c r="BQ348" s="592">
        <f t="shared" si="84"/>
        <v>0</v>
      </c>
      <c r="BR348" s="592"/>
      <c r="BS348" s="592"/>
      <c r="BT348" s="592"/>
      <c r="BU348" s="594">
        <f>'FICHE DE PAIE'!BE$14</f>
        <v>1.5E-3</v>
      </c>
      <c r="BV348" s="594"/>
      <c r="BW348" s="594"/>
      <c r="BX348" s="592">
        <f t="shared" si="85"/>
        <v>2.9288309249999998</v>
      </c>
      <c r="BY348" s="592"/>
      <c r="BZ348" s="592"/>
      <c r="CA348" s="593"/>
    </row>
    <row r="349" spans="1:79" ht="15" customHeight="1">
      <c r="A349" s="424">
        <v>12</v>
      </c>
      <c r="B349" s="382">
        <v>14</v>
      </c>
      <c r="C349" s="382">
        <f t="shared" si="82"/>
        <v>348</v>
      </c>
      <c r="D349" s="383" t="str">
        <f>IF(I349='Jour Férié'!F$13,'Jour Férié'!E$13,""&amp;IF(I349='Jour Férié'!F$14,'Jour Férié'!E$14,""&amp;IF(I349='Jour Férié'!F$15,'Jour Férié'!E$15,""&amp;IF(I349='Jour Férié'!B$15,'Jour Férié'!A$15,""&amp;IF(MOD(MATCH(I349,vacances!$A$3:$A$202,1),2)=1,"vacances","")))))</f>
        <v/>
      </c>
      <c r="E349" s="449"/>
      <c r="F349" s="449"/>
      <c r="G349" s="449"/>
      <c r="H349" s="621"/>
      <c r="I349" s="339">
        <f t="shared" si="80"/>
        <v>43448</v>
      </c>
      <c r="J349" s="7"/>
      <c r="K349" s="7"/>
      <c r="L349" s="7"/>
      <c r="M349" s="395" t="s">
        <v>226</v>
      </c>
      <c r="N349" s="395"/>
      <c r="O349" s="386">
        <f>(COUNTIF($E336:$E364,$J345))</f>
        <v>0</v>
      </c>
      <c r="P349" s="316"/>
      <c r="Q349" s="555" t="str">
        <f>'FICHE DE PAIE'!A$15</f>
        <v>paiement congé payé</v>
      </c>
      <c r="R349" s="555"/>
      <c r="S349" s="555"/>
      <c r="T349" s="555"/>
      <c r="U349" s="555"/>
      <c r="V349" s="555"/>
      <c r="W349" s="555"/>
      <c r="X349" s="555"/>
      <c r="Y349" s="555"/>
      <c r="Z349" s="494"/>
      <c r="AA349" s="556"/>
      <c r="AB349" s="556"/>
      <c r="AC349" s="556"/>
      <c r="AD349" s="566"/>
      <c r="AE349" s="566"/>
      <c r="AF349" s="566"/>
      <c r="AG349" s="604"/>
      <c r="AH349" s="604"/>
      <c r="AI349" s="604"/>
      <c r="AJ349" s="604"/>
      <c r="AK349" s="297"/>
      <c r="AL349" s="297"/>
      <c r="AM349" s="297"/>
      <c r="AN349" s="298"/>
      <c r="AO349" s="299"/>
      <c r="AP349" s="296"/>
      <c r="AQ349" s="295"/>
      <c r="AR349" s="295"/>
      <c r="AS349" s="295"/>
      <c r="AT349" s="295"/>
      <c r="AU349" s="295"/>
      <c r="AV349" s="290"/>
      <c r="AW349" s="591" t="s">
        <v>258</v>
      </c>
      <c r="AX349" s="591"/>
      <c r="AY349" s="591"/>
      <c r="AZ349" s="591"/>
      <c r="BA349" s="591"/>
      <c r="BB349" s="591"/>
      <c r="BC349" s="591"/>
      <c r="BD349" s="591"/>
      <c r="BE349" s="591"/>
      <c r="BF349" s="591"/>
      <c r="BG349" s="591"/>
      <c r="BH349" s="591"/>
      <c r="BI349" s="590">
        <f t="shared" si="83"/>
        <v>1952.5539499999998</v>
      </c>
      <c r="BJ349" s="590"/>
      <c r="BK349" s="590"/>
      <c r="BL349" s="590"/>
      <c r="BM349" s="594">
        <f>'FICHE DE PAIE'!AW$15</f>
        <v>3.1E-2</v>
      </c>
      <c r="BN349" s="594"/>
      <c r="BO349" s="594"/>
      <c r="BP349" s="594"/>
      <c r="BQ349" s="592">
        <f t="shared" si="84"/>
        <v>60.52917244999999</v>
      </c>
      <c r="BR349" s="592"/>
      <c r="BS349" s="592"/>
      <c r="BT349" s="592"/>
      <c r="BU349" s="594">
        <f>'FICHE DE PAIE'!BE$15</f>
        <v>4.65E-2</v>
      </c>
      <c r="BV349" s="594"/>
      <c r="BW349" s="594"/>
      <c r="BX349" s="592">
        <f t="shared" si="85"/>
        <v>90.793758674999992</v>
      </c>
      <c r="BY349" s="592"/>
      <c r="BZ349" s="592"/>
      <c r="CA349" s="593"/>
    </row>
    <row r="350" spans="1:79" ht="15" customHeight="1">
      <c r="A350" s="424">
        <v>12</v>
      </c>
      <c r="B350" s="382">
        <v>15</v>
      </c>
      <c r="C350" s="382">
        <f t="shared" si="82"/>
        <v>349</v>
      </c>
      <c r="D350" s="383" t="str">
        <f>IF(I350='Jour Férié'!F$13,'Jour Férié'!E$13,""&amp;IF(I350='Jour Férié'!F$14,'Jour Férié'!E$14,""&amp;IF(I350='Jour Férié'!F$15,'Jour Férié'!E$15,""&amp;IF(I350='Jour Férié'!B$15,'Jour Férié'!A$15,""&amp;IF(MOD(MATCH(I350,vacances!$A$3:$A$202,1),2)=1,"vacances","")))))</f>
        <v/>
      </c>
      <c r="E350" s="449"/>
      <c r="F350" s="449"/>
      <c r="G350" s="449"/>
      <c r="H350" s="621"/>
      <c r="I350" s="339">
        <f t="shared" si="80"/>
        <v>43449</v>
      </c>
      <c r="J350" s="7"/>
      <c r="K350" s="7"/>
      <c r="L350" s="7"/>
      <c r="M350" s="395" t="s">
        <v>227</v>
      </c>
      <c r="N350" s="395"/>
      <c r="O350" s="386">
        <f>(COUNTIF($E336:$E364,$J343))</f>
        <v>0</v>
      </c>
      <c r="P350" s="7"/>
      <c r="Q350" s="555" t="str">
        <f>'FICHE DE PAIE'!A$16</f>
        <v>Absence maladie</v>
      </c>
      <c r="R350" s="555"/>
      <c r="S350" s="555"/>
      <c r="T350" s="555"/>
      <c r="U350" s="555"/>
      <c r="V350" s="555"/>
      <c r="W350" s="555"/>
      <c r="X350" s="555"/>
      <c r="Y350" s="555"/>
      <c r="Z350" s="494"/>
      <c r="AA350" s="556"/>
      <c r="AB350" s="556"/>
      <c r="AC350" s="556"/>
      <c r="AD350" s="566"/>
      <c r="AE350" s="566"/>
      <c r="AF350" s="566"/>
      <c r="AG350" s="559"/>
      <c r="AH350" s="559"/>
      <c r="AI350" s="559"/>
      <c r="AJ350" s="559"/>
      <c r="AK350" s="599"/>
      <c r="AL350" s="599"/>
      <c r="AM350" s="599"/>
      <c r="AN350" s="599"/>
      <c r="AO350" s="294"/>
      <c r="AP350" s="296"/>
      <c r="AQ350" s="295"/>
      <c r="AR350" s="295"/>
      <c r="AS350" s="295"/>
      <c r="AT350" s="295"/>
      <c r="AU350" s="295"/>
      <c r="AV350" s="290"/>
      <c r="AW350" s="591" t="s">
        <v>260</v>
      </c>
      <c r="AX350" s="591"/>
      <c r="AY350" s="591"/>
      <c r="AZ350" s="591"/>
      <c r="BA350" s="591"/>
      <c r="BB350" s="591"/>
      <c r="BC350" s="591"/>
      <c r="BD350" s="591"/>
      <c r="BE350" s="591"/>
      <c r="BF350" s="591"/>
      <c r="BG350" s="591"/>
      <c r="BH350" s="591"/>
      <c r="BI350" s="590">
        <f t="shared" si="83"/>
        <v>1952.5539499999998</v>
      </c>
      <c r="BJ350" s="590"/>
      <c r="BK350" s="590"/>
      <c r="BL350" s="590"/>
      <c r="BM350" s="594">
        <f>'FICHE DE PAIE'!AW$16</f>
        <v>8.0000000000000002E-3</v>
      </c>
      <c r="BN350" s="594"/>
      <c r="BO350" s="594"/>
      <c r="BP350" s="594"/>
      <c r="BQ350" s="592">
        <f t="shared" si="84"/>
        <v>15.620431599999998</v>
      </c>
      <c r="BR350" s="592"/>
      <c r="BS350" s="592"/>
      <c r="BT350" s="592"/>
      <c r="BU350" s="594">
        <f>'FICHE DE PAIE'!BE$16</f>
        <v>1.2E-2</v>
      </c>
      <c r="BV350" s="594"/>
      <c r="BW350" s="594"/>
      <c r="BX350" s="592">
        <f t="shared" si="85"/>
        <v>23.430647399999998</v>
      </c>
      <c r="BY350" s="592"/>
      <c r="BZ350" s="592"/>
      <c r="CA350" s="593"/>
    </row>
    <row r="351" spans="1:79" ht="15" customHeight="1">
      <c r="A351" s="424">
        <v>12</v>
      </c>
      <c r="B351" s="382">
        <v>16</v>
      </c>
      <c r="C351" s="382">
        <f t="shared" si="82"/>
        <v>350</v>
      </c>
      <c r="D351" s="383" t="str">
        <f>IF(I351='Jour Férié'!F$13,'Jour Férié'!E$13,""&amp;IF(I351='Jour Férié'!F$14,'Jour Férié'!E$14,""&amp;IF(I351='Jour Férié'!F$15,'Jour Férié'!E$15,""&amp;IF(I351='Jour Férié'!B$15,'Jour Férié'!A$15,""&amp;IF(MOD(MATCH(I351,vacances!$A$3:$A$202,1),2)=1,"vacances","")))))</f>
        <v/>
      </c>
      <c r="E351" s="449"/>
      <c r="F351" s="449"/>
      <c r="G351" s="449"/>
      <c r="H351" s="621"/>
      <c r="I351" s="339">
        <f t="shared" si="80"/>
        <v>43450</v>
      </c>
      <c r="J351" s="7"/>
      <c r="K351" s="7"/>
      <c r="L351" s="7"/>
      <c r="M351" s="395" t="s">
        <v>228</v>
      </c>
      <c r="N351" s="395"/>
      <c r="O351" s="386">
        <f>(COUNTIF($E336:$E364,$J344))</f>
        <v>0</v>
      </c>
      <c r="P351" s="7"/>
      <c r="Q351" s="555"/>
      <c r="R351" s="555"/>
      <c r="S351" s="555"/>
      <c r="T351" s="555"/>
      <c r="U351" s="555"/>
      <c r="V351" s="555"/>
      <c r="W351" s="555"/>
      <c r="X351" s="555"/>
      <c r="Y351" s="555"/>
      <c r="Z351" s="494"/>
      <c r="AA351" s="556"/>
      <c r="AB351" s="556"/>
      <c r="AC351" s="556"/>
      <c r="AD351" s="600"/>
      <c r="AE351" s="600"/>
      <c r="AF351" s="600"/>
      <c r="AG351" s="559"/>
      <c r="AH351" s="559"/>
      <c r="AI351" s="559"/>
      <c r="AJ351" s="559"/>
      <c r="AK351" s="297"/>
      <c r="AL351" s="297"/>
      <c r="AM351" s="297"/>
      <c r="AN351" s="298"/>
      <c r="AO351" s="299"/>
      <c r="AP351" s="296"/>
      <c r="AQ351" s="295"/>
      <c r="AR351" s="295"/>
      <c r="AS351" s="295"/>
      <c r="AT351" s="295"/>
      <c r="AU351" s="295"/>
      <c r="AV351" s="290"/>
      <c r="AW351" s="499" t="s">
        <v>261</v>
      </c>
      <c r="AX351" s="499"/>
      <c r="AY351" s="499"/>
      <c r="AZ351" s="499"/>
      <c r="BA351" s="499"/>
      <c r="BB351" s="499"/>
      <c r="BC351" s="499"/>
      <c r="BD351" s="499"/>
      <c r="BE351" s="499"/>
      <c r="BF351" s="499"/>
      <c r="BG351" s="499"/>
      <c r="BH351" s="499"/>
      <c r="BI351" s="590">
        <f t="shared" si="83"/>
        <v>1952.5539499999998</v>
      </c>
      <c r="BJ351" s="590"/>
      <c r="BK351" s="590"/>
      <c r="BL351" s="590"/>
      <c r="BM351" s="594">
        <f>'FICHE DE PAIE'!AW$17</f>
        <v>5.4000000000000003E-3</v>
      </c>
      <c r="BN351" s="594"/>
      <c r="BO351" s="594"/>
      <c r="BP351" s="594"/>
      <c r="BQ351" s="592">
        <f t="shared" si="84"/>
        <v>10.543791329999999</v>
      </c>
      <c r="BR351" s="592"/>
      <c r="BS351" s="592"/>
      <c r="BT351" s="592"/>
      <c r="BU351" s="594">
        <f>'FICHE DE PAIE'!BE$17</f>
        <v>5.4000000000000003E-3</v>
      </c>
      <c r="BV351" s="594"/>
      <c r="BW351" s="594"/>
      <c r="BX351" s="592">
        <f t="shared" si="85"/>
        <v>10.543791329999999</v>
      </c>
      <c r="BY351" s="592"/>
      <c r="BZ351" s="592"/>
      <c r="CA351" s="593"/>
    </row>
    <row r="352" spans="1:79" ht="15" customHeight="1">
      <c r="A352" s="424">
        <v>12</v>
      </c>
      <c r="B352" s="382">
        <v>17</v>
      </c>
      <c r="C352" s="382">
        <f t="shared" si="82"/>
        <v>351</v>
      </c>
      <c r="D352" s="383" t="str">
        <f>IF(I352='Jour Férié'!F$13,'Jour Férié'!E$13,""&amp;IF(I352='Jour Férié'!F$14,'Jour Férié'!E$14,""&amp;IF(I352='Jour Férié'!F$15,'Jour Férié'!E$15,""&amp;IF(I352='Jour Férié'!B$15,'Jour Férié'!A$15,""&amp;IF(MOD(MATCH(I352,vacances!$A$3:$A$202,1),2)=1,"vacances","")))))</f>
        <v/>
      </c>
      <c r="E352" s="449"/>
      <c r="F352" s="449"/>
      <c r="G352" s="449"/>
      <c r="H352" s="621"/>
      <c r="I352" s="339">
        <f t="shared" si="80"/>
        <v>43451</v>
      </c>
      <c r="J352" s="7"/>
      <c r="K352" s="7"/>
      <c r="L352" s="7"/>
      <c r="M352" s="7"/>
      <c r="N352" s="7"/>
      <c r="O352" s="340"/>
      <c r="P352" s="7"/>
      <c r="Q352" s="562" t="s">
        <v>262</v>
      </c>
      <c r="R352" s="562"/>
      <c r="S352" s="562"/>
      <c r="T352" s="562"/>
      <c r="U352" s="562"/>
      <c r="V352" s="562"/>
      <c r="W352" s="562"/>
      <c r="X352" s="563"/>
      <c r="Y352" s="563"/>
      <c r="Z352" s="563"/>
      <c r="AA352" s="563"/>
      <c r="AB352" s="563"/>
      <c r="AC352" s="563"/>
      <c r="AD352" s="563"/>
      <c r="AE352" s="563"/>
      <c r="AF352" s="563"/>
      <c r="AG352" s="564">
        <f>SUM(AG338:AJ347)+AG349-AK348-AK350</f>
        <v>1851.1323499999999</v>
      </c>
      <c r="AH352" s="564"/>
      <c r="AI352" s="564"/>
      <c r="AJ352" s="564"/>
      <c r="AK352" s="300"/>
      <c r="AL352" s="300"/>
      <c r="AM352" s="300"/>
      <c r="AN352" s="295"/>
      <c r="AO352" s="565">
        <f>AG352-AO338</f>
        <v>-1094.8676500000001</v>
      </c>
      <c r="AP352" s="565"/>
      <c r="AQ352" s="565"/>
      <c r="AR352" s="498"/>
      <c r="AS352" s="498"/>
      <c r="AT352" s="498"/>
      <c r="AU352" s="295"/>
      <c r="AV352" s="301"/>
      <c r="AW352" s="591" t="s">
        <v>263</v>
      </c>
      <c r="AX352" s="591"/>
      <c r="AY352" s="591"/>
      <c r="AZ352" s="591"/>
      <c r="BA352" s="591"/>
      <c r="BB352" s="591"/>
      <c r="BC352" s="591"/>
      <c r="BD352" s="591"/>
      <c r="BE352" s="591"/>
      <c r="BF352" s="591"/>
      <c r="BG352" s="591"/>
      <c r="BH352" s="591"/>
      <c r="BI352" s="601"/>
      <c r="BJ352" s="601"/>
      <c r="BK352" s="601"/>
      <c r="BL352" s="601"/>
      <c r="BM352" s="590"/>
      <c r="BN352" s="590"/>
      <c r="BO352" s="590"/>
      <c r="BP352" s="590"/>
      <c r="BQ352" s="592">
        <f t="shared" si="84"/>
        <v>0</v>
      </c>
      <c r="BR352" s="592"/>
      <c r="BS352" s="592"/>
      <c r="BT352" s="592"/>
      <c r="BU352" s="594">
        <f>'FICHE DE PAIE'!BE$18</f>
        <v>0.08</v>
      </c>
      <c r="BV352" s="594"/>
      <c r="BW352" s="594"/>
      <c r="BX352" s="592">
        <f t="shared" si="85"/>
        <v>0</v>
      </c>
      <c r="BY352" s="592"/>
      <c r="BZ352" s="592"/>
      <c r="CA352" s="593"/>
    </row>
    <row r="353" spans="1:79" ht="15" customHeight="1">
      <c r="A353" s="425">
        <v>12</v>
      </c>
      <c r="B353" s="383">
        <v>18</v>
      </c>
      <c r="C353" s="382">
        <f>VLOOKUP(A353,Données,4)+B353-1</f>
        <v>352</v>
      </c>
      <c r="D353" s="383" t="str">
        <f>IF(I353='Jour Férié'!F$13,'Jour Férié'!E$13,""&amp;IF(I353='Jour Férié'!F$14,'Jour Férié'!E$14,""&amp;IF(I353='Jour Férié'!F$15,'Jour Férié'!E$15,""&amp;IF(I353='Jour Férié'!B$15,'Jour Férié'!A$15,""&amp;IF(MOD(MATCH(I353,vacances!$A$3:$A$202,1),2)=1,"vacances","")))))</f>
        <v/>
      </c>
      <c r="E353" s="449"/>
      <c r="F353" s="449"/>
      <c r="G353" s="449" t="s">
        <v>335</v>
      </c>
      <c r="H353" s="621"/>
      <c r="I353" s="339">
        <f t="shared" si="80"/>
        <v>43452</v>
      </c>
      <c r="J353" s="7"/>
      <c r="K353" s="7"/>
      <c r="L353" s="7"/>
      <c r="M353" s="572" t="s">
        <v>320</v>
      </c>
      <c r="N353" s="321">
        <f>(IF(WEEKDAY(I335,2)=6,(COUNTIF(E335,"*"))))*AND(IF(WEEKDAY(I336,2)=7,(COUNTIF(E336,"*"))))+(IF(WEEKDAY(I336,2)=6,(COUNTIF(E336,"*"))))*AND(IF(WEEKDAY(I337,2)=7,(COUNTIF(E337,"*"))))+(IF(WEEKDAY(I337,2)=6,(COUNTIF(E337,"*"))))*AND(IF(WEEKDAY(I338,2)=7,(COUNTIF(E338,"*"))))+(IF(WEEKDAY(I338,2)=6,(COUNTIF(E338,"*"))))*AND(IF(WEEKDAY(I339,2)=7,(COUNTIF(E339,"*"))))+(IF(WEEKDAY(I339,2)=6,(COUNTIF(E339,"*"))))*AND(IF(WEEKDAY(I340,2)=7,(COUNTIF(E340,"*"))))+(IF(WEEKDAY(I340,2)=6,(COUNTIF(E340,"*"))))*AND(IF(WEEKDAY(I341,2)=7,(COUNTIF(E341,"*"))))+(IF(WEEKDAY(I341,2)=6,(COUNTIF(E341,"*"))))*AND(IF(WEEKDAY(I342,2)=7,(COUNTIF(E342,"*"))))+(IF(WEEKDAY(I342,2)=6,(COUNTIF(E342,"*"))))*AND(IF(WEEKDAY(I343,2)=7,(COUNTIF(E343,"*"))))+(IF(WEEKDAY(I343,2)=6,(COUNTIF(E343,"*"))))*AND(IF(WEEKDAY(I344,2)=7,(COUNTIF(E344,"*"))))+(IF(WEEKDAY(I344,2)=6,(COUNTIF(E344,"*"))))*AND(IF(WEEKDAY(I345,2)=7,(COUNTIF(E345,"*"))))+(IF(WEEKDAY(I345,2)=6,(COUNTIF(E345,"*"))))*AND(IF(WEEKDAY(I346,2)=7,(COUNTIF(E346,"*"))))+(IF(WEEKDAY(I346,2)=6,(COUNTIF(E346,"*"))))*AND(IF(WEEKDAY(I347,2)=7,(COUNTIF(E347,"*"))))+(IF(WEEKDAY(I347,2)=6,(COUNTIF(E347,"*"))))*AND(IF(WEEKDAY(I348,2)=7,(COUNTIF(E348,"*"))))+(IF(WEEKDAY(I348,2)=6,(COUNTIF(E348,"*"))))*AND(IF(WEEKDAY(I349,2)=7,(COUNTIF(E349,"*"))))+(IF(WEEKDAY(I349,2)=6,(COUNTIF(E349,"*"))))*AND(IF(WEEKDAY(I350,2)=7,(COUNTIF(E350,"*"))))+(IF(WEEKDAY(I350,2)=6,(COUNTIF(E350,"*"))))*AND(IF(WEEKDAY(I351,2)=7,(COUNTIF(E351,"*"))))</f>
        <v>0</v>
      </c>
      <c r="O353" s="573">
        <f>SUM(N353:N354)</f>
        <v>0</v>
      </c>
      <c r="P353" s="7"/>
      <c r="Q353" s="376"/>
      <c r="R353" s="376"/>
      <c r="S353" s="376"/>
      <c r="T353" s="376"/>
      <c r="U353" s="376"/>
      <c r="V353" s="376"/>
      <c r="W353" s="376"/>
      <c r="X353" s="376"/>
      <c r="Y353" s="376"/>
      <c r="Z353" s="376"/>
      <c r="AA353" s="377"/>
      <c r="AB353" s="377"/>
      <c r="AC353" s="377"/>
      <c r="AD353" s="378"/>
      <c r="AE353" s="378"/>
      <c r="AF353" s="378"/>
      <c r="AG353" s="376"/>
      <c r="AH353" s="376"/>
      <c r="AI353" s="376"/>
      <c r="AJ353" s="379"/>
      <c r="AK353" s="379"/>
      <c r="AL353" s="379"/>
      <c r="AM353" s="379"/>
      <c r="AN353" s="365"/>
      <c r="AO353" s="365"/>
      <c r="AP353" s="365"/>
      <c r="AQ353" s="365"/>
      <c r="AR353" s="365"/>
      <c r="AS353" s="365"/>
      <c r="AT353" s="365"/>
      <c r="AU353" s="365"/>
      <c r="AV353" s="302"/>
      <c r="AW353" s="591" t="s">
        <v>264</v>
      </c>
      <c r="AX353" s="591"/>
      <c r="AY353" s="591"/>
      <c r="AZ353" s="591"/>
      <c r="BA353" s="591"/>
      <c r="BB353" s="591"/>
      <c r="BC353" s="591"/>
      <c r="BD353" s="591"/>
      <c r="BE353" s="591"/>
      <c r="BF353" s="591"/>
      <c r="BG353" s="591"/>
      <c r="BH353" s="591"/>
      <c r="BI353" s="590">
        <f>$AG$17*98.25%</f>
        <v>1918.3842558749998</v>
      </c>
      <c r="BJ353" s="590"/>
      <c r="BK353" s="590"/>
      <c r="BL353" s="590"/>
      <c r="BM353" s="594">
        <f>'FICHE DE PAIE'!AW$19</f>
        <v>6.8000000000000005E-2</v>
      </c>
      <c r="BN353" s="594"/>
      <c r="BO353" s="594"/>
      <c r="BP353" s="594"/>
      <c r="BQ353" s="592">
        <f t="shared" si="84"/>
        <v>130.45012939949999</v>
      </c>
      <c r="BR353" s="592"/>
      <c r="BS353" s="592"/>
      <c r="BT353" s="592"/>
      <c r="BU353" s="595"/>
      <c r="BV353" s="595"/>
      <c r="BW353" s="595"/>
      <c r="BX353" s="592">
        <f t="shared" si="85"/>
        <v>0</v>
      </c>
      <c r="BY353" s="592"/>
      <c r="BZ353" s="592"/>
      <c r="CA353" s="593"/>
    </row>
    <row r="354" spans="1:79" ht="15" customHeight="1">
      <c r="A354" s="424">
        <v>12</v>
      </c>
      <c r="B354" s="382">
        <v>19</v>
      </c>
      <c r="C354" s="382">
        <f t="shared" si="82"/>
        <v>353</v>
      </c>
      <c r="D354" s="383" t="str">
        <f>IF(I354='Jour Férié'!F$13,'Jour Férié'!E$13,""&amp;IF(I354='Jour Férié'!F$14,'Jour Férié'!E$14,""&amp;IF(I354='Jour Férié'!F$15,'Jour Férié'!E$15,""&amp;IF(I354='Jour Férié'!B$15,'Jour Férié'!A$15,""&amp;IF(MOD(MATCH(I354,vacances!$A$3:$A$202,1),2)=1,"vacances","")))))</f>
        <v/>
      </c>
      <c r="E354" s="449"/>
      <c r="F354" s="449"/>
      <c r="G354" s="449"/>
      <c r="H354" s="621"/>
      <c r="I354" s="339">
        <f t="shared" si="80"/>
        <v>43453</v>
      </c>
      <c r="J354" s="7"/>
      <c r="K354" s="7"/>
      <c r="L354" s="7"/>
      <c r="M354" s="572"/>
      <c r="N354" s="323">
        <f>(IF(WEEKDAY(I351,2)=6,(COUNTIF(E351,"*"))))*AND(IF(WEEKDAY(I352,2)=7,(COUNTIF(E352,"*"))))+(IF(WEEKDAY(I352,2)=6,(COUNTIF(E352,"*"))))*AND(IF(WEEKDAY(I353,2)=7,(COUNTIF(E353,"*"))))+(IF(WEEKDAY(I353,2)=6,(COUNTIF(E353,"*"))))*AND(IF(WEEKDAY(I354,2)=7,(COUNTIF(E354,"*"))))+(IF(WEEKDAY(I354,2)=6,(COUNTIF(E354,"*"))))*AND(IF(WEEKDAY(I355,2)=7,(COUNTIF(E355,"*"))))+(IF(WEEKDAY(I355,2)=6,(COUNTIF(E355,"*"))))*AND(IF(WEEKDAY(I356,2)=7,(COUNTIF(E356,"*"))))+(IF(WEEKDAY(I356,2)=6,(COUNTIF(E356,"*"))))*AND(IF(WEEKDAY(I357,2)=7,(COUNTIF(E357,"*"))))+(IF(WEEKDAY(I357,2)=6,(COUNTIF(E357,"*"))))*AND(IF(WEEKDAY(I358,2)=7,(COUNTIF(E358,"*"))))+(IF(WEEKDAY(I358,2)=6,(COUNTIF(E358,"*"))))*AND(IF(WEEKDAY(I359,2)=7,(COUNTIF(E359,"*"))))+(IF(WEEKDAY(I359,2)=6,(COUNTIF(E359,"*"))))*AND(IF(WEEKDAY(I360,2)=7,(COUNTIF(E360,"*"))))+(IF(WEEKDAY(I360,2)=6,(COUNTIF(E360,"*"))))*AND(IF(WEEKDAY(I361,2)=7,(COUNTIF(E361,"*"))))+(IF(WEEKDAY(I361,2)=6,(COUNTIF(E361,"*"))))*AND(IF(WEEKDAY(I362,2)=7,(COUNTIF(E362,"*"))))+(IF(WEEKDAY(I362,2)=6,(COUNTIF(E362,"*"))))*AND(IF(WEEKDAY(I363,2)=7,(COUNTIF(E363,"*"))))+(IF(WEEKDAY(I363,2)=6,(COUNTIF(E363,"*"))))*AND(IF(WEEKDAY(I364,2)=7,(COUNTIF(E364,"*"))))+(IF(WEEKDAY(I364,2)=6,(COUNTIF(E364,"*"))))*AND(IF(WEEKDAY(I365,2)=7,(COUNTIF(E365,"*"))))+(IF(WEEKDAY(I365,2)=6,(COUNTIF(E365,"*"))))*AND(IF(WEEKDAY(I366,2)=7,(COUNTIF(E366,"*"))))+(IF(WEEKDAY(I366,2)=6,(COUNTIF(E366,"*"))))*AND(IF(WEEKDAY(I367,2)=7,(COUNTIF(E367,"*"))))</f>
        <v>0</v>
      </c>
      <c r="O354" s="573"/>
      <c r="P354" s="7"/>
      <c r="Q354" s="550">
        <f>Q336</f>
        <v>43435</v>
      </c>
      <c r="R354" s="550"/>
      <c r="S354" s="550"/>
      <c r="T354" s="550"/>
      <c r="U354" s="550"/>
      <c r="V354" s="550"/>
      <c r="W354" s="550"/>
      <c r="X354" s="550"/>
      <c r="Y354" s="550"/>
      <c r="Z354" s="550"/>
      <c r="AA354" s="550"/>
      <c r="AB354" s="550"/>
      <c r="AC354" s="550"/>
      <c r="AD354" s="550"/>
      <c r="AE354" s="550"/>
      <c r="AF354" s="550"/>
      <c r="AG354" s="550"/>
      <c r="AH354" s="550"/>
      <c r="AI354" s="550"/>
      <c r="AJ354" s="550"/>
      <c r="AK354" s="550"/>
      <c r="AL354" s="550"/>
      <c r="AM354" s="550"/>
      <c r="AN354" s="550"/>
      <c r="AO354" s="550"/>
      <c r="AP354" s="550"/>
      <c r="AQ354" s="550"/>
      <c r="AR354" s="550"/>
      <c r="AS354" s="550"/>
      <c r="AT354" s="550"/>
      <c r="AU354" s="550"/>
      <c r="AV354" s="303"/>
      <c r="AW354" s="591" t="s">
        <v>265</v>
      </c>
      <c r="AX354" s="591"/>
      <c r="AY354" s="591"/>
      <c r="AZ354" s="591"/>
      <c r="BA354" s="591"/>
      <c r="BB354" s="591"/>
      <c r="BC354" s="591"/>
      <c r="BD354" s="591"/>
      <c r="BE354" s="591"/>
      <c r="BF354" s="591"/>
      <c r="BG354" s="591"/>
      <c r="BH354" s="591"/>
      <c r="BI354" s="590">
        <f>$AG$17*98.25%</f>
        <v>1918.3842558749998</v>
      </c>
      <c r="BJ354" s="590"/>
      <c r="BK354" s="590"/>
      <c r="BL354" s="590"/>
      <c r="BM354" s="594">
        <f>'FICHE DE PAIE'!AW$20</f>
        <v>2.4E-2</v>
      </c>
      <c r="BN354" s="594"/>
      <c r="BO354" s="594"/>
      <c r="BP354" s="594"/>
      <c r="BQ354" s="592">
        <f t="shared" si="84"/>
        <v>46.041222140999999</v>
      </c>
      <c r="BR354" s="592"/>
      <c r="BS354" s="592"/>
      <c r="BT354" s="592"/>
      <c r="BU354" s="595"/>
      <c r="BV354" s="595"/>
      <c r="BW354" s="595"/>
      <c r="BX354" s="592">
        <f t="shared" si="85"/>
        <v>0</v>
      </c>
      <c r="BY354" s="592"/>
      <c r="BZ354" s="592"/>
      <c r="CA354" s="593"/>
    </row>
    <row r="355" spans="1:79" ht="15" customHeight="1">
      <c r="A355" s="424">
        <v>12</v>
      </c>
      <c r="B355" s="382">
        <v>20</v>
      </c>
      <c r="C355" s="382">
        <f t="shared" ref="C355:C366" si="86">VLOOKUP(A355,Données,4)+B355-1</f>
        <v>354</v>
      </c>
      <c r="D355" s="383" t="str">
        <f>IF(I355='Jour Férié'!F$13,'Jour Férié'!E$13,""&amp;IF(I355='Jour Férié'!F$14,'Jour Férié'!E$14,""&amp;IF(I355='Jour Férié'!F$15,'Jour Férié'!E$15,""&amp;IF(I355='Jour Férié'!B$15,'Jour Férié'!A$15,""&amp;IF(MOD(MATCH(I355,vacances!$A$3:$A$202,1),2)=1,"vacances","")))))</f>
        <v/>
      </c>
      <c r="E355" s="449"/>
      <c r="F355" s="449"/>
      <c r="G355" s="449" t="s">
        <v>335</v>
      </c>
      <c r="H355" s="621"/>
      <c r="I355" s="339">
        <f t="shared" si="80"/>
        <v>43454</v>
      </c>
      <c r="J355" s="7"/>
      <c r="K355" s="7"/>
      <c r="L355" s="7"/>
      <c r="M355" s="572" t="s">
        <v>321</v>
      </c>
      <c r="N355" s="323">
        <f>(IF(WEEKDAY(I335,2)=5,(COUNTIF(E335,$J$1))))*AND(IF(WEEKDAY(I338,2)=1,(COUNTIF(E338,"*"))))+(IF(WEEKDAY(I336,2)=5,(COUNTIF(E336,$J$1))))*AND(IF(WEEKDAY(I339,2)=1,(COUNTIF(E339,"*"))))+(IF(WEEKDAY(I337,2)=5,(COUNTIF(E337,$J$1))))*AND(IF(WEEKDAY(I340,2)=1,(COUNTIF(E340,"*"))))+(IF(WEEKDAY(I338,2)=5,(COUNTIF(E338,$J$1))))*AND(IF(WEEKDAY(I341,2)=1,(COUNTIF(E341,"*"))))+(IF(WEEKDAY(I339,2)=5,(COUNTIF(E339,$J$1))))*AND(IF(WEEKDAY(I342,2)=1,(COUNTIF(E342,"*"))))+(IF(WEEKDAY(I340,2)=5,(COUNTIF(E340,$J$1))))*AND(IF(WEEKDAY(I343,2)=1,(COUNTIF(E343,"*"))))+(IF(WEEKDAY(I341,2)=5,(COUNTIF(E341,$J$1))))*AND(IF(WEEKDAY(I344,2)=1,(COUNTIF(E344,"*"))))+(IF(WEEKDAY(I342,2)=5,(COUNTIF(E342,$J$1))))*AND(IF(WEEKDAY(I345,2)=1,(COUNTIF(E345,"*"))))+(IF(WEEKDAY(I343,2)=5,(COUNTIF(E343,$J$1))))*AND(IF(WEEKDAY(I346,2)=1,(COUNTIF(E346,"*"))))+(IF(WEEKDAY(I344,2)=5,(COUNTIF(E344,$J$1))))*AND(IF(WEEKDAY(I347,2)=1,(COUNTIF(E347,"*"))))+(IF(WEEKDAY(I345,2)=5,(COUNTIF(E345,$J$1))))*AND(IF(WEEKDAY(I348,2)=1,(COUNTIF(E348,"*"))))+(IF(WEEKDAY(I346,2)=5,(COUNTIF(E346,$J$1))))*AND(IF(WEEKDAY(I349,2)=1,(COUNTIF(E349,"*"))))+(IF(WEEKDAY(I347,2)=5,(COUNTIF(E347,$J$1))))*AND(IF(WEEKDAY(I350,2)=1,(COUNTIF(E350,"*"))))+(IF(WEEKDAY(I348,2)=5,(COUNTIF(E348,$J$1))))*AND(IF(WEEKDAY(I351,2)=1,(COUNTIF(E351,"*"))))+(IF(WEEKDAY(I349,2)=5,(COUNTIF(E349,$J$1))))*AND(IF(WEEKDAY(I352,2)=1,(COUNTIF(E352,"*"))))+(IF(WEEKDAY(I350,2)=5,(COUNTIF(E350,$J$1))))*AND(IF(WEEKDAY(I353,2)=1,(COUNTIF(E353,"*"))))+(IF(WEEKDAY(I351,2)=5,(COUNTIF(E351,$J$1))))*AND(IF(WEEKDAY(I354,2)=1,(COUNTIF(E354,"*"))))+(IF(WEEKDAY(I352,2)=5,(COUNTIF(E352,$J$1))))*AND(IF(WEEKDAY(I355,2)=1,(COUNTIF(E355,"*"))))</f>
        <v>0</v>
      </c>
      <c r="O355" s="573">
        <f>SUM(N355:N356)</f>
        <v>0</v>
      </c>
      <c r="P355" s="7"/>
      <c r="Q355" s="281"/>
      <c r="R355" s="281"/>
      <c r="S355" s="281"/>
      <c r="T355" s="281"/>
      <c r="U355" s="281"/>
      <c r="V355" s="281"/>
      <c r="W355" s="281"/>
      <c r="X355" s="304"/>
      <c r="Y355" s="304"/>
      <c r="Z355" s="304"/>
      <c r="AA355" s="305"/>
      <c r="AB355" s="305"/>
      <c r="AC355" s="305"/>
      <c r="AD355" s="306"/>
      <c r="AE355" s="306"/>
      <c r="AF355" s="306"/>
      <c r="AG355" s="304"/>
      <c r="AH355" s="304"/>
      <c r="AI355" s="304"/>
      <c r="AJ355" s="304"/>
      <c r="AK355" s="304"/>
      <c r="AL355" s="304"/>
      <c r="AM355" s="304"/>
      <c r="AN355" s="304"/>
      <c r="AO355" s="304"/>
      <c r="AP355" s="304"/>
      <c r="AQ355" s="304"/>
      <c r="AR355" s="304"/>
      <c r="AS355" s="304"/>
      <c r="AT355" s="304"/>
      <c r="AU355" s="304"/>
      <c r="AV355" s="304"/>
      <c r="AW355" s="499" t="s">
        <v>266</v>
      </c>
      <c r="AX355" s="499"/>
      <c r="AY355" s="499"/>
      <c r="AZ355" s="499"/>
      <c r="BA355" s="499"/>
      <c r="BB355" s="499"/>
      <c r="BC355" s="499"/>
      <c r="BD355" s="499"/>
      <c r="BE355" s="499"/>
      <c r="BF355" s="499"/>
      <c r="BG355" s="499"/>
      <c r="BH355" s="499"/>
      <c r="BI355" s="590">
        <f>$AG$17*98.25%</f>
        <v>1918.3842558749998</v>
      </c>
      <c r="BJ355" s="590"/>
      <c r="BK355" s="590"/>
      <c r="BL355" s="590"/>
      <c r="BM355" s="594">
        <f>'FICHE DE PAIE'!AW$21</f>
        <v>5.0000000000000001E-3</v>
      </c>
      <c r="BN355" s="594"/>
      <c r="BO355" s="594"/>
      <c r="BP355" s="594"/>
      <c r="BQ355" s="592">
        <f t="shared" si="84"/>
        <v>9.5919212793749988</v>
      </c>
      <c r="BR355" s="592"/>
      <c r="BS355" s="592"/>
      <c r="BT355" s="592"/>
      <c r="BU355" s="595"/>
      <c r="BV355" s="595"/>
      <c r="BW355" s="595"/>
      <c r="BX355" s="592">
        <f t="shared" si="85"/>
        <v>0</v>
      </c>
      <c r="BY355" s="592"/>
      <c r="BZ355" s="592"/>
      <c r="CA355" s="593"/>
    </row>
    <row r="356" spans="1:79" ht="15" customHeight="1">
      <c r="A356" s="424">
        <v>12</v>
      </c>
      <c r="B356" s="382">
        <v>21</v>
      </c>
      <c r="C356" s="382">
        <f t="shared" si="86"/>
        <v>355</v>
      </c>
      <c r="D356" s="383" t="str">
        <f>IF(I356='Jour Férié'!F$13,'Jour Férié'!E$13,""&amp;IF(I356='Jour Férié'!F$14,'Jour Férié'!E$14,""&amp;IF(I356='Jour Férié'!F$15,'Jour Férié'!E$15,""&amp;IF(I356='Jour Férié'!B$15,'Jour Férié'!A$15,""&amp;IF(MOD(MATCH(I356,vacances!$A$3:$A$202,1),2)=1,"vacances","")))))</f>
        <v/>
      </c>
      <c r="E356" s="449"/>
      <c r="F356" s="449"/>
      <c r="G356" s="449"/>
      <c r="H356" s="621"/>
      <c r="I356" s="339">
        <f t="shared" si="80"/>
        <v>43455</v>
      </c>
      <c r="J356" s="7"/>
      <c r="K356" s="7"/>
      <c r="L356" s="7"/>
      <c r="M356" s="572"/>
      <c r="N356" s="323">
        <f>(IF(WEEKDAY(I353,2)=5,(COUNTIF(E353,$J$1))))*AND(IF(WEEKDAY(I356,2)=1,(COUNTIF(E356,"*"))))+(IF(WEEKDAY(I354,2)=5,(COUNTIF(E354,$J$1))))*AND(IF(WEEKDAY(I357,2)=1,(COUNTIF(E357,"*"))))+(IF(WEEKDAY(I355,2)=5,(COUNTIF(E355,$J$1))))*AND(IF(WEEKDAY(I358,2)=1,(COUNTIF(E358,"*"))))+(IF(WEEKDAY(I356,2)=5,(COUNTIF(E356,$J$1))))*AND(IF(WEEKDAY(I359,2)=1,(COUNTIF(E359,"*"))))+(IF(WEEKDAY(I357,2)=5,(COUNTIF(E357,$J$1))))*AND(IF(WEEKDAY(I360,2)=1,(COUNTIF(E360,"*"))))+(IF(WEEKDAY(I358,2)=5,(COUNTIF(E358,$J$1))))*AND(IF(WEEKDAY(I361,2)=1,(COUNTIF(E361,"*"))))+(IF(WEEKDAY(I359,2)=5,(COUNTIF(E359,$J$1))))*AND(IF(WEEKDAY(I362,2)=1,(COUNTIF(E362,"*"))))+(IF(WEEKDAY(I360,2)=5,(COUNTIF(E360,$J$1))))*AND(IF(WEEKDAY(I363,2)=1,(COUNTIF(E363,"*"))))+(IF(WEEKDAY(I361,2)=5,(COUNTIF(E361,$J$1))))*AND(IF(WEEKDAY(I364,2)=1,(COUNTIF(E364,"*"))))+(IF(WEEKDAY(I362,2)=5,(COUNTIF(E362,$J$1))))*AND(IF(WEEKDAY(I365,2)=1,(COUNTIF(E365,"*"))))+(IF(WEEKDAY(I363,2)=5,(COUNTIF(E363,$J$1))))*AND(IF(WEEKDAY(I366,2)=1,(COUNTIF(E366,"*"))))+(IF(WEEKDAY(I364,2)=5,(COUNTIF(E364,$J$1))))*AND(IF(WEEKDAY(I367,2)=1,(COUNTIF(E367,"*"))))+(IF(WEEKDAY(I365,2)=5,(COUNTIF(E365,$J$1))))*AND(IF(WEEKDAY(I368,2)=1,(COUNTIF(E368,"*"))))+(IF(WEEKDAY(I366,2)=5,(COUNTIF(E366,$J$1))))*AND(IF(WEEKDAY(I369,2)=1,(COUNTIF(E369,"*"))))</f>
        <v>0</v>
      </c>
      <c r="O356" s="573"/>
      <c r="P356" s="7"/>
      <c r="Q356" s="281"/>
      <c r="R356" s="281"/>
      <c r="S356" s="281"/>
      <c r="T356" s="281"/>
      <c r="U356" s="281"/>
      <c r="V356" s="281"/>
      <c r="W356" s="281"/>
      <c r="X356" s="307"/>
      <c r="Y356" s="307"/>
      <c r="Z356" s="307"/>
      <c r="AA356" s="308"/>
      <c r="AB356" s="308"/>
      <c r="AC356" s="308"/>
      <c r="AD356" s="309"/>
      <c r="AE356" s="309"/>
      <c r="AF356" s="309"/>
      <c r="AG356" s="307"/>
      <c r="AH356" s="307"/>
      <c r="AI356" s="307"/>
      <c r="AJ356" s="307"/>
      <c r="AK356" s="307"/>
      <c r="AL356" s="307"/>
      <c r="AM356" s="307"/>
      <c r="AN356" s="307"/>
      <c r="AO356" s="307"/>
      <c r="AP356" s="307"/>
      <c r="AQ356" s="307"/>
      <c r="AR356" s="307"/>
      <c r="AS356" s="307"/>
      <c r="AT356" s="307"/>
      <c r="AU356" s="307"/>
      <c r="AV356" s="307"/>
      <c r="AW356" s="499" t="s">
        <v>267</v>
      </c>
      <c r="AX356" s="499"/>
      <c r="AY356" s="499"/>
      <c r="AZ356" s="499"/>
      <c r="BA356" s="499"/>
      <c r="BB356" s="499"/>
      <c r="BC356" s="499"/>
      <c r="BD356" s="499"/>
      <c r="BE356" s="499"/>
      <c r="BF356" s="499"/>
      <c r="BG356" s="499"/>
      <c r="BH356" s="499"/>
      <c r="BI356" s="596">
        <f>BI352</f>
        <v>0</v>
      </c>
      <c r="BJ356" s="596"/>
      <c r="BK356" s="596"/>
      <c r="BL356" s="596"/>
      <c r="BM356" s="594">
        <f>'FICHE DE PAIE'!AW$22</f>
        <v>6.8000000000000005E-2</v>
      </c>
      <c r="BN356" s="594"/>
      <c r="BO356" s="594"/>
      <c r="BP356" s="594"/>
      <c r="BQ356" s="592">
        <f t="shared" si="84"/>
        <v>0</v>
      </c>
      <c r="BR356" s="592"/>
      <c r="BS356" s="592"/>
      <c r="BT356" s="592"/>
      <c r="BU356" s="595"/>
      <c r="BV356" s="595"/>
      <c r="BW356" s="595"/>
      <c r="BX356" s="592">
        <f t="shared" si="85"/>
        <v>0</v>
      </c>
      <c r="BY356" s="592"/>
      <c r="BZ356" s="592"/>
      <c r="CA356" s="593"/>
    </row>
    <row r="357" spans="1:79" ht="15" customHeight="1">
      <c r="A357" s="424">
        <v>12</v>
      </c>
      <c r="B357" s="382">
        <v>22</v>
      </c>
      <c r="C357" s="382">
        <f t="shared" si="86"/>
        <v>356</v>
      </c>
      <c r="D357" s="383" t="str">
        <f>IF(I357='Jour Férié'!F$13,'Jour Férié'!E$13,""&amp;IF(I357='Jour Férié'!F$14,'Jour Férié'!E$14,""&amp;IF(I357='Jour Férié'!F$15,'Jour Férié'!E$15,""&amp;IF(I357='Jour Férié'!B$15,'Jour Férié'!A$15,""&amp;IF(MOD(MATCH(I357,vacances!$A$3:$A$202,1),2)=1,"vacances","")))))</f>
        <v>vacances</v>
      </c>
      <c r="E357" s="449"/>
      <c r="F357" s="449"/>
      <c r="G357" s="449"/>
      <c r="H357" s="621"/>
      <c r="I357" s="339">
        <f t="shared" si="80"/>
        <v>43456</v>
      </c>
      <c r="J357" s="7"/>
      <c r="K357" s="7"/>
      <c r="L357" s="7"/>
      <c r="M357" s="572" t="s">
        <v>322</v>
      </c>
      <c r="N357" s="323">
        <f>((IF(WEEKDAY(I335,2)=7,(COUNTIF(E335,"*"))))*AND(IF(WEEKDAY(I336,2)=1,(COUNTIF(E336,"*")))))*AND(COUNTBLANK(E334))+((IF(WEEKDAY(I336,2)=7,(COUNTIF(E336,"*"))))*AND(IF(WEEKDAY(I337,2)=1,(COUNTIF(E337,"*")))))*AND(COUNTBLANK(E335))+((IF(WEEKDAY(I337,2)=7,(COUNTIF(E337,"*"))))*AND(IF(WEEKDAY(I338,2)=1,(COUNTIF(E338,"*"))))*AND(COUNTBLANK(E336)))+((IF(WEEKDAY(I338,2)=7,(COUNTIF(E338,"*"))))*AND(IF(WEEKDAY(I339,2)=1,(COUNTIF(E339,"*"))))*AND(COUNTBLANK(E337)))+((IF(WEEKDAY(I339,2)=7,(COUNTIF(E339,"*"))))*AND(IF(WEEKDAY(I340,2)=1,(COUNTIF(E340,"*"))))*AND(COUNTBLANK(E338)))+((IF(WEEKDAY(I340,2)=7,(COUNTIF(E340,"*"))))*AND(IF(WEEKDAY(I341,2)=1,(COUNTIF(E341,"*"))))*AND(COUNTBLANK(E339)))+((IF(WEEKDAY(I341,2)=7,(COUNTIF(E341,"*"))))*AND(IF(WEEKDAY(I342,2)=1,(COUNTIF(E342,"*"))))*AND(COUNTBLANK(E340)))+((IF(WEEKDAY(I342,2)=7,(COUNTIF(E342,"*"))))*AND(IF(WEEKDAY(I343,2)=1,(COUNTIF(E343,"*"))))*AND(COUNTBLANK(E341)))+((IF(WEEKDAY(I343,2)=7,(COUNTIF(E343,"*"))))*AND(IF(WEEKDAY(I344,2)=1,(COUNTIF(E344,"*"))))*AND(COUNTBLANK(E342)))</f>
        <v>0</v>
      </c>
      <c r="O357" s="573">
        <f>SUM(N357:N359)</f>
        <v>0</v>
      </c>
      <c r="P357" s="7"/>
      <c r="Q357" s="281"/>
      <c r="R357" s="281"/>
      <c r="S357" s="281"/>
      <c r="T357" s="552" t="s">
        <v>272</v>
      </c>
      <c r="U357" s="552"/>
      <c r="V357" s="552"/>
      <c r="W357" s="552"/>
      <c r="X357" s="552"/>
      <c r="Y357" s="552"/>
      <c r="Z357" s="552"/>
      <c r="AA357" s="552"/>
      <c r="AB357" s="552"/>
      <c r="AC357" s="553">
        <f>BV363</f>
        <v>1407.7499809251249</v>
      </c>
      <c r="AD357" s="553"/>
      <c r="AE357" s="553"/>
      <c r="AF357" s="553"/>
      <c r="AG357" s="553"/>
      <c r="AH357" s="553"/>
      <c r="AI357" s="553"/>
      <c r="AJ357" s="553"/>
      <c r="AK357" s="553"/>
      <c r="AL357" s="553"/>
      <c r="AM357" s="553"/>
      <c r="AN357" s="553"/>
      <c r="AO357" s="553"/>
      <c r="AP357" s="553"/>
      <c r="AQ357" s="553"/>
      <c r="AR357" s="290"/>
      <c r="AS357" s="290"/>
      <c r="AT357" s="290"/>
      <c r="AU357" s="290"/>
      <c r="AV357" s="290"/>
      <c r="AW357" s="499" t="s">
        <v>268</v>
      </c>
      <c r="AX357" s="499"/>
      <c r="AY357" s="499"/>
      <c r="AZ357" s="499"/>
      <c r="BA357" s="499"/>
      <c r="BB357" s="499"/>
      <c r="BC357" s="499"/>
      <c r="BD357" s="499"/>
      <c r="BE357" s="499"/>
      <c r="BF357" s="499"/>
      <c r="BG357" s="499"/>
      <c r="BH357" s="499"/>
      <c r="BI357" s="596">
        <f>BI352</f>
        <v>0</v>
      </c>
      <c r="BJ357" s="596"/>
      <c r="BK357" s="596"/>
      <c r="BL357" s="596"/>
      <c r="BM357" s="594">
        <f>'FICHE DE PAIE'!AW$23</f>
        <v>2.9000000000000001E-2</v>
      </c>
      <c r="BN357" s="594"/>
      <c r="BO357" s="594"/>
      <c r="BP357" s="594"/>
      <c r="BQ357" s="592">
        <f t="shared" si="84"/>
        <v>0</v>
      </c>
      <c r="BR357" s="592"/>
      <c r="BS357" s="592"/>
      <c r="BT357" s="592"/>
      <c r="BU357" s="595"/>
      <c r="BV357" s="595"/>
      <c r="BW357" s="595"/>
      <c r="BX357" s="592">
        <f t="shared" si="85"/>
        <v>0</v>
      </c>
      <c r="BY357" s="592"/>
      <c r="BZ357" s="592"/>
      <c r="CA357" s="593"/>
    </row>
    <row r="358" spans="1:79" ht="15" customHeight="1">
      <c r="A358" s="424">
        <v>12</v>
      </c>
      <c r="B358" s="382">
        <v>23</v>
      </c>
      <c r="C358" s="382">
        <f t="shared" si="86"/>
        <v>357</v>
      </c>
      <c r="D358" s="383" t="str">
        <f>IF(I358='Jour Férié'!F$13,'Jour Férié'!E$13,""&amp;IF(I358='Jour Férié'!F$14,'Jour Férié'!E$14,""&amp;IF(I358='Jour Férié'!F$15,'Jour Férié'!E$15,""&amp;IF(I358='Jour Férié'!B$15,'Jour Férié'!A$15,""&amp;IF(MOD(MATCH(I358,vacances!$A$3:$A$202,1),2)=1,"vacances","")))))</f>
        <v>vacances</v>
      </c>
      <c r="E358" s="449"/>
      <c r="F358" s="449"/>
      <c r="G358" s="449"/>
      <c r="H358" s="621"/>
      <c r="I358" s="339">
        <f t="shared" si="80"/>
        <v>43457</v>
      </c>
      <c r="J358" s="7"/>
      <c r="K358" s="7"/>
      <c r="L358" s="7"/>
      <c r="M358" s="572"/>
      <c r="N358" s="321">
        <f>((IF(WEEKDAY(I344,2)=7,(COUNTIF(E344,"*"))))*AND(IF(WEEKDAY(I345,2)=1,(COUNTIF(E345,"*"))))*AND(COUNTBLANK(E343)))+((IF(WEEKDAY(I345,2)=7,(COUNTIF(E345,"*"))))*AND(IF(WEEKDAY(I346,2)=1,(COUNTIF(E346,"*"))))*AND(COUNTBLANK(E344)))+((IF(WEEKDAY(I346,2)=7,(COUNTIF(E346,"*"))))*AND(IF(WEEKDAY(I347,2)=1,(COUNTIF(E347,"*"))))*AND(COUNTBLANK(E345)))+((IF(WEEKDAY(I347,2)=7,(COUNTIF(E347,"*"))))*AND(IF(WEEKDAY(I348,2)=1,(COUNTIF(E348,"*"))))*AND(COUNTBLANK(E346)))+((IF(WEEKDAY(I348,2)=7,(COUNTIF(E348,"*"))))*AND(IF(WEEKDAY(I349,2)=1,(COUNTIF(E349,"*"))))*AND(COUNTBLANK(E347)))+((IF(WEEKDAY(I349,2)=7,(COUNTIF(E349,"*"))))*AND(IF(WEEKDAY(I350,2)=1,(COUNTIF(E350,"*"))))*AND(COUNTBLANK(E348)))+((IF(WEEKDAY(I350,2)=7,(COUNTIF(E350,"*"))))*AND(IF(WEEKDAY(I351,2)=1,(COUNTIF(E351,"*"))))*AND(COUNTBLANK(E349)))+((IF(WEEKDAY(I351,2)=7,(COUNTIF(E351,"*"))))*AND(IF(WEEKDAY(I352,2)=1,(COUNTIF(E352,"*"))))*AND(COUNTBLANK(E350)))+((IF(WEEKDAY(I352,2)=7,(COUNTIF(E352,"*"))))*AND(IF(WEEKDAY(I353,2)=1,(COUNTIF(E353,"*"))))*AND(COUNTBLANK(E351)))+((IF(WEEKDAY(I353,2)=7,(COUNTIF(E353,"*"))))*AND(IF(WEEKDAY(I354,2)=1,(COUNTIF(E354,"*"))))*AND(COUNTBLANK(E352)))+((IF(WEEKDAY(I354,2)=7,(COUNTIF(E354,"*"))))*AND(IF(WEEKDAY(I355,2)=1,(COUNTIF(E355,"*"))))*AND(COUNTBLANK(E352)))+((IF(WEEKDAY(I355,2)=7,(COUNTIF(E355,"*"))))*AND(IF(WEEKDAY(I356,2)=1,(COUNTIF(E356,"*"))))*AND(COUNTBLANK(E353)))+((IF(WEEKDAY(I356,2)=7,(COUNTIF(E356,"*"))))*AND(IF(WEEKDAY(I357,2)=1,(COUNTIF(E357,"*"))))*AND(COUNTBLANK(E354)))</f>
        <v>0</v>
      </c>
      <c r="O358" s="573"/>
      <c r="P358" s="7"/>
      <c r="Q358" s="304"/>
      <c r="R358" s="304"/>
      <c r="S358" s="304"/>
      <c r="T358" s="552"/>
      <c r="U358" s="552"/>
      <c r="V358" s="552"/>
      <c r="W358" s="552"/>
      <c r="X358" s="552"/>
      <c r="Y358" s="552"/>
      <c r="Z358" s="552"/>
      <c r="AA358" s="552"/>
      <c r="AB358" s="552"/>
      <c r="AC358" s="553"/>
      <c r="AD358" s="553"/>
      <c r="AE358" s="553"/>
      <c r="AF358" s="553"/>
      <c r="AG358" s="553"/>
      <c r="AH358" s="553"/>
      <c r="AI358" s="553"/>
      <c r="AJ358" s="553"/>
      <c r="AK358" s="553"/>
      <c r="AL358" s="553"/>
      <c r="AM358" s="553"/>
      <c r="AN358" s="553"/>
      <c r="AO358" s="553"/>
      <c r="AP358" s="553"/>
      <c r="AQ358" s="553"/>
      <c r="AR358" s="304"/>
      <c r="AS358" s="304"/>
      <c r="AT358" s="304"/>
      <c r="AU358" s="304"/>
      <c r="AV358" s="304"/>
      <c r="AW358" s="499" t="s">
        <v>269</v>
      </c>
      <c r="AX358" s="499"/>
      <c r="AY358" s="499"/>
      <c r="AZ358" s="499"/>
      <c r="BA358" s="499"/>
      <c r="BB358" s="499"/>
      <c r="BC358" s="499"/>
      <c r="BD358" s="499"/>
      <c r="BE358" s="499"/>
      <c r="BF358" s="499"/>
      <c r="BG358" s="499"/>
      <c r="BH358" s="499"/>
      <c r="BI358" s="596"/>
      <c r="BJ358" s="596"/>
      <c r="BK358" s="596"/>
      <c r="BL358" s="596"/>
      <c r="BM358" s="590"/>
      <c r="BN358" s="590"/>
      <c r="BO358" s="590"/>
      <c r="BP358" s="590"/>
      <c r="BQ358" s="592">
        <v>9.52</v>
      </c>
      <c r="BR358" s="592"/>
      <c r="BS358" s="592"/>
      <c r="BT358" s="592"/>
      <c r="BU358" s="595"/>
      <c r="BV358" s="595"/>
      <c r="BW358" s="595"/>
      <c r="BX358" s="592">
        <f t="shared" si="85"/>
        <v>0</v>
      </c>
      <c r="BY358" s="592"/>
      <c r="BZ358" s="592"/>
      <c r="CA358" s="593"/>
    </row>
    <row r="359" spans="1:79" ht="15" customHeight="1">
      <c r="A359" s="424">
        <v>12</v>
      </c>
      <c r="B359" s="382">
        <v>24</v>
      </c>
      <c r="C359" s="382">
        <f t="shared" si="86"/>
        <v>358</v>
      </c>
      <c r="D359" s="383" t="str">
        <f>IF(I359='Jour Férié'!F$13,'Jour Férié'!E$13,""&amp;IF(I359='Jour Férié'!F$14,'Jour Férié'!E$14,""&amp;IF(I359='Jour Férié'!F$15,'Jour Férié'!E$15,""&amp;IF(I359='Jour Férié'!B$15,'Jour Férié'!A$15,""&amp;IF(MOD(MATCH(I359,vacances!$A$3:$A$202,1),2)=1,"vacances","")))))</f>
        <v>vacances</v>
      </c>
      <c r="E359" s="449"/>
      <c r="F359" s="449"/>
      <c r="G359" s="449"/>
      <c r="H359" s="621"/>
      <c r="I359" s="339">
        <f t="shared" si="80"/>
        <v>43458</v>
      </c>
      <c r="J359" s="569"/>
      <c r="K359" s="569"/>
      <c r="L359" s="569"/>
      <c r="M359" s="572"/>
      <c r="N359" s="321">
        <f>((IF(WEEKDAY(I357,2)=7,(COUNTIF(E357,"*"))))*AND(IF(WEEKDAY(I358,2)=1,(COUNTIF(E358,"*"))))*AND(COUNTBLANK(E355)))+((IF(WEEKDAY(I358,2)=7,(COUNTIF(E358,"*"))))*AND(IF(WEEKDAY(I359,2)=1,(COUNTIF(E359,"*"))))*AND(COUNTBLANK(E356)))+((IF(WEEKDAY(I359,2)=7,(COUNTIF(E359,"*"))))*AND(IF(WEEKDAY(I360,2)=1,(COUNTIF(E360,"*"))))*AND(COUNTBLANK(E356)))+((IF(WEEKDAY(I360,2)=7,(COUNTIF(E360,"*"))))*AND(IF(WEEKDAY(I361,2)=1,(COUNTIF(E361,"*"))))*AND(COUNTBLANK(E358)))+((IF(WEEKDAY(I361,2)=7,(COUNTIF(E361,"*"))))*AND(IF(WEEKDAY(I362,2)=1,(COUNTIF(E362,"*"))))*AND(COUNTBLANK(E359)))+((IF(WEEKDAY(I362,2)=7,(COUNTIF(E362,"*"))))*AND(IF(WEEKDAY(I363,2)=1,(COUNTIF(E363,"*"))))*AND(COUNTBLANK(E360)))+((IF(WEEKDAY(I363,2)=7,(COUNTIF(E363,"*"))))*AND(IF(WEEKDAY(I364,2)=1,(COUNTIF(E364,"*"))))*AND(COUNTBLANK(E361)))+((IF(WEEKDAY(I364,2)=7,(COUNTIF(E364,"*"))))*AND(IF(WEEKDAY(I365,2)=1,(COUNTIF(E365,"*"))))*AND(COUNTBLANK(E362)))+((IF(WEEKDAY(I365,2)=7,(COUNTIF(E365,"*"))))*AND(IF(WEEKDAY(I366,2)=1,(COUNTIF(E366,"*"))))*AND(COUNTBLANK(E363)))+((IF(WEEKDAY(I366,2)=7,(COUNTIF(E366,"*"))))*AND(IF(WEEKDAY(I367,2)=1,(COUNTIF(E367,"*"))))*AND(COUNTBLANK(E364)))</f>
        <v>0</v>
      </c>
      <c r="O359" s="573"/>
      <c r="P359" s="7"/>
      <c r="Q359" s="307"/>
      <c r="R359" s="307"/>
      <c r="S359" s="307"/>
      <c r="T359" s="552"/>
      <c r="U359" s="552"/>
      <c r="V359" s="552"/>
      <c r="W359" s="552"/>
      <c r="X359" s="552"/>
      <c r="Y359" s="552"/>
      <c r="Z359" s="552"/>
      <c r="AA359" s="552"/>
      <c r="AB359" s="552"/>
      <c r="AC359" s="553"/>
      <c r="AD359" s="553"/>
      <c r="AE359" s="553"/>
      <c r="AF359" s="553"/>
      <c r="AG359" s="553"/>
      <c r="AH359" s="553"/>
      <c r="AI359" s="553"/>
      <c r="AJ359" s="553"/>
      <c r="AK359" s="553"/>
      <c r="AL359" s="553"/>
      <c r="AM359" s="553"/>
      <c r="AN359" s="553"/>
      <c r="AO359" s="553"/>
      <c r="AP359" s="553"/>
      <c r="AQ359" s="553"/>
      <c r="AR359" s="307"/>
      <c r="AS359" s="307"/>
      <c r="AT359" s="307"/>
      <c r="AU359" s="307"/>
      <c r="AV359" s="307"/>
      <c r="AW359" s="591"/>
      <c r="AX359" s="591"/>
      <c r="AY359" s="591"/>
      <c r="AZ359" s="591"/>
      <c r="BA359" s="591"/>
      <c r="BB359" s="591"/>
      <c r="BC359" s="591"/>
      <c r="BD359" s="591"/>
      <c r="BE359" s="591"/>
      <c r="BF359" s="591"/>
      <c r="BG359" s="591"/>
      <c r="BH359" s="591"/>
      <c r="BI359" s="590">
        <f>$Y$28</f>
        <v>0</v>
      </c>
      <c r="BJ359" s="590"/>
      <c r="BK359" s="590"/>
      <c r="BL359" s="590"/>
      <c r="BM359" s="590"/>
      <c r="BN359" s="590"/>
      <c r="BO359" s="590"/>
      <c r="BP359" s="590"/>
      <c r="BQ359" s="592">
        <f>BI359*BM359</f>
        <v>0</v>
      </c>
      <c r="BR359" s="592"/>
      <c r="BS359" s="592"/>
      <c r="BT359" s="592"/>
      <c r="BU359" s="595"/>
      <c r="BV359" s="595"/>
      <c r="BW359" s="595"/>
      <c r="BX359" s="592">
        <f t="shared" si="85"/>
        <v>0</v>
      </c>
      <c r="BY359" s="592"/>
      <c r="BZ359" s="592"/>
      <c r="CA359" s="593"/>
    </row>
    <row r="360" spans="1:79" ht="15" customHeight="1">
      <c r="A360" s="424">
        <v>12</v>
      </c>
      <c r="B360" s="382">
        <v>25</v>
      </c>
      <c r="C360" s="382">
        <f t="shared" si="86"/>
        <v>359</v>
      </c>
      <c r="D360" s="383" t="str">
        <f>IF(I360='Jour Férié'!F$13,'Jour Férié'!E$13,""&amp;IF(I360='Jour Férié'!F$14,'Jour Férié'!E$14,""&amp;IF(I360='Jour Férié'!F$15,'Jour Férié'!E$15,""&amp;IF(I360='Jour Férié'!B$15,'Jour Férié'!A$15,""&amp;IF(MOD(MATCH(I360,vacances!$A$3:$A$202,1),2)=1,"vacances","")))))</f>
        <v>Noël</v>
      </c>
      <c r="E360" s="449"/>
      <c r="F360" s="449"/>
      <c r="G360" s="449"/>
      <c r="H360" s="621"/>
      <c r="I360" s="339">
        <f t="shared" si="80"/>
        <v>43459</v>
      </c>
      <c r="J360" s="569"/>
      <c r="K360" s="569"/>
      <c r="L360" s="7"/>
      <c r="M360" s="7"/>
      <c r="N360" s="7"/>
      <c r="O360" s="340"/>
      <c r="P360" s="7"/>
      <c r="Q360" s="290"/>
      <c r="R360" s="290"/>
      <c r="S360" s="290"/>
      <c r="T360" s="290"/>
      <c r="U360" s="290"/>
      <c r="V360" s="290"/>
      <c r="W360" s="290"/>
      <c r="X360" s="290"/>
      <c r="Y360" s="290"/>
      <c r="Z360" s="290"/>
      <c r="AA360" s="310"/>
      <c r="AB360" s="310"/>
      <c r="AC360" s="553"/>
      <c r="AD360" s="553"/>
      <c r="AE360" s="553"/>
      <c r="AF360" s="553"/>
      <c r="AG360" s="553"/>
      <c r="AH360" s="553"/>
      <c r="AI360" s="553"/>
      <c r="AJ360" s="553"/>
      <c r="AK360" s="553"/>
      <c r="AL360" s="553"/>
      <c r="AM360" s="553"/>
      <c r="AN360" s="553"/>
      <c r="AO360" s="553"/>
      <c r="AP360" s="553"/>
      <c r="AQ360" s="553"/>
      <c r="AR360" s="290"/>
      <c r="AS360" s="290"/>
      <c r="AT360" s="290"/>
      <c r="AU360" s="290"/>
      <c r="AV360" s="290"/>
      <c r="AW360" s="562" t="s">
        <v>270</v>
      </c>
      <c r="AX360" s="562"/>
      <c r="AY360" s="562"/>
      <c r="AZ360" s="562"/>
      <c r="BA360" s="562"/>
      <c r="BB360" s="562"/>
      <c r="BC360" s="562"/>
      <c r="BD360" s="562"/>
      <c r="BE360" s="562"/>
      <c r="BF360" s="562"/>
      <c r="BG360" s="562"/>
      <c r="BH360" s="562"/>
      <c r="BI360" s="587"/>
      <c r="BJ360" s="587"/>
      <c r="BK360" s="587"/>
      <c r="BL360" s="587"/>
      <c r="BM360" s="588">
        <f>SUM(BM339:BP359)</f>
        <v>0.32090000000000002</v>
      </c>
      <c r="BN360" s="588"/>
      <c r="BO360" s="588"/>
      <c r="BP360" s="588"/>
      <c r="BQ360" s="586">
        <f>SUM(BQ339:BT359)</f>
        <v>443.38236907487493</v>
      </c>
      <c r="BR360" s="586"/>
      <c r="BS360" s="586"/>
      <c r="BT360" s="586"/>
      <c r="BU360" s="311"/>
      <c r="BV360" s="7"/>
      <c r="BW360" s="7"/>
      <c r="BX360" s="586">
        <f>SUM(BX339:CA359)</f>
        <v>807.69346695699983</v>
      </c>
      <c r="BY360" s="586"/>
      <c r="BZ360" s="586"/>
      <c r="CA360" s="589"/>
    </row>
    <row r="361" spans="1:79" ht="15" customHeight="1">
      <c r="A361" s="424">
        <v>12</v>
      </c>
      <c r="B361" s="382">
        <v>26</v>
      </c>
      <c r="C361" s="382">
        <f t="shared" si="86"/>
        <v>360</v>
      </c>
      <c r="D361" s="383" t="str">
        <f>IF(I361='Jour Férié'!F$13,'Jour Férié'!E$13,""&amp;IF(I361='Jour Férié'!F$14,'Jour Férié'!E$14,""&amp;IF(I361='Jour Férié'!F$15,'Jour Férié'!E$15,""&amp;IF(I361='Jour Férié'!B$15,'Jour Férié'!A$15,""&amp;IF(MOD(MATCH(I361,vacances!$A$3:$A$202,1),2)=1,"vacances","")))))</f>
        <v>vacances</v>
      </c>
      <c r="E361" s="449"/>
      <c r="F361" s="449"/>
      <c r="G361" s="449"/>
      <c r="H361" s="621"/>
      <c r="I361" s="339">
        <f t="shared" si="80"/>
        <v>43460</v>
      </c>
      <c r="J361" s="285"/>
      <c r="K361" s="285"/>
      <c r="L361" s="289"/>
      <c r="M361" s="398" t="s">
        <v>323</v>
      </c>
      <c r="N361" s="569">
        <f>SUM(O353:O359)</f>
        <v>0</v>
      </c>
      <c r="O361" s="569"/>
      <c r="P361" s="7"/>
      <c r="Q361" s="304"/>
      <c r="R361" s="304"/>
      <c r="S361" s="304"/>
      <c r="T361" s="304"/>
      <c r="U361" s="304"/>
      <c r="V361" s="304"/>
      <c r="W361" s="304"/>
      <c r="X361" s="304"/>
      <c r="Y361" s="304"/>
      <c r="Z361" s="304"/>
      <c r="AA361" s="305"/>
      <c r="AB361" s="305"/>
      <c r="AC361" s="553"/>
      <c r="AD361" s="553"/>
      <c r="AE361" s="553"/>
      <c r="AF361" s="553"/>
      <c r="AG361" s="553"/>
      <c r="AH361" s="553"/>
      <c r="AI361" s="553"/>
      <c r="AJ361" s="553"/>
      <c r="AK361" s="553"/>
      <c r="AL361" s="553"/>
      <c r="AM361" s="553"/>
      <c r="AN361" s="553"/>
      <c r="AO361" s="553"/>
      <c r="AP361" s="553"/>
      <c r="AQ361" s="553"/>
      <c r="AR361" s="304"/>
      <c r="AS361" s="304"/>
      <c r="AT361" s="304"/>
      <c r="AU361" s="304"/>
      <c r="AV361" s="304"/>
      <c r="AW361" s="312" t="s">
        <v>271</v>
      </c>
      <c r="AX361" s="312"/>
      <c r="AY361" s="312"/>
      <c r="AZ361" s="312"/>
      <c r="BA361" s="312"/>
      <c r="BB361" s="312"/>
      <c r="BC361" s="312"/>
      <c r="BD361" s="313"/>
      <c r="BE361" s="313"/>
      <c r="BF361" s="313"/>
      <c r="BG361" s="313"/>
      <c r="BH361" s="313"/>
      <c r="BI361" s="569">
        <f>O339</f>
        <v>0</v>
      </c>
      <c r="BJ361" s="569"/>
      <c r="BK361" s="569"/>
      <c r="BL361" s="569"/>
      <c r="BM361" s="590">
        <f>'FICHE DE PAIE'!AW$27</f>
        <v>3.5259999999999998</v>
      </c>
      <c r="BN361" s="590"/>
      <c r="BO361" s="590"/>
      <c r="BP361" s="590"/>
      <c r="BQ361" s="381">
        <f>BI361*BM361</f>
        <v>0</v>
      </c>
      <c r="BR361" s="381"/>
      <c r="BS361" s="381"/>
      <c r="BT361" s="381"/>
      <c r="BU361" s="314"/>
      <c r="BV361" s="7"/>
      <c r="BW361" s="7"/>
      <c r="BX361" s="7"/>
      <c r="BY361" s="7"/>
      <c r="BZ361" s="7"/>
      <c r="CA361" s="315"/>
    </row>
    <row r="362" spans="1:79" ht="15" customHeight="1">
      <c r="A362" s="424">
        <v>12</v>
      </c>
      <c r="B362" s="382">
        <v>27</v>
      </c>
      <c r="C362" s="382">
        <f t="shared" si="86"/>
        <v>361</v>
      </c>
      <c r="D362" s="383" t="str">
        <f>IF(I362='Jour Férié'!F$13,'Jour Férié'!E$13,""&amp;IF(I362='Jour Férié'!F$14,'Jour Férié'!E$14,""&amp;IF(I362='Jour Férié'!F$15,'Jour Férié'!E$15,""&amp;IF(I362='Jour Férié'!B$15,'Jour Férié'!A$15,""&amp;IF(MOD(MATCH(I362,vacances!$A$3:$A$202,1),2)=1,"vacances","")))))</f>
        <v>vacances</v>
      </c>
      <c r="E362" s="449"/>
      <c r="F362" s="449"/>
      <c r="G362" s="449"/>
      <c r="H362" s="621"/>
      <c r="I362" s="339">
        <f t="shared" si="80"/>
        <v>43461</v>
      </c>
      <c r="J362" s="285"/>
      <c r="K362" s="285"/>
      <c r="L362" s="291"/>
      <c r="M362" s="7"/>
      <c r="N362" s="7"/>
      <c r="O362" s="340"/>
      <c r="P362" s="7"/>
      <c r="Q362" s="307"/>
      <c r="R362" s="307"/>
      <c r="S362" s="307"/>
      <c r="T362" s="307"/>
      <c r="U362" s="307"/>
      <c r="V362" s="307"/>
      <c r="W362" s="307"/>
      <c r="X362" s="307"/>
      <c r="Y362" s="307"/>
      <c r="Z362" s="307"/>
      <c r="AA362" s="308"/>
      <c r="AB362" s="308"/>
      <c r="AC362" s="553"/>
      <c r="AD362" s="553"/>
      <c r="AE362" s="553"/>
      <c r="AF362" s="553"/>
      <c r="AG362" s="553"/>
      <c r="AH362" s="553"/>
      <c r="AI362" s="553"/>
      <c r="AJ362" s="553"/>
      <c r="AK362" s="553"/>
      <c r="AL362" s="553"/>
      <c r="AM362" s="553"/>
      <c r="AN362" s="553"/>
      <c r="AO362" s="553"/>
      <c r="AP362" s="553"/>
      <c r="AQ362" s="553"/>
      <c r="AR362" s="307"/>
      <c r="AS362" s="307"/>
      <c r="AT362" s="307"/>
      <c r="AU362" s="307"/>
      <c r="AV362" s="307"/>
      <c r="AW362" s="550">
        <f>Q336</f>
        <v>43435</v>
      </c>
      <c r="AX362" s="550"/>
      <c r="AY362" s="550"/>
      <c r="AZ362" s="550"/>
      <c r="BA362" s="550"/>
      <c r="BB362" s="550"/>
      <c r="BC362" s="550"/>
      <c r="BD362" s="550"/>
      <c r="BE362" s="550"/>
      <c r="BF362" s="550"/>
      <c r="BG362" s="550"/>
      <c r="BH362" s="550"/>
      <c r="BI362" s="550"/>
      <c r="BJ362" s="550"/>
      <c r="BK362" s="550"/>
      <c r="BL362" s="550"/>
      <c r="BM362" s="550"/>
      <c r="BN362" s="550"/>
      <c r="BO362" s="550"/>
      <c r="BP362" s="550"/>
      <c r="BQ362" s="550"/>
      <c r="BR362" s="550"/>
      <c r="BS362" s="550"/>
      <c r="BT362" s="550"/>
      <c r="BU362" s="550"/>
      <c r="BV362" s="550"/>
      <c r="BW362" s="550"/>
      <c r="BX362" s="550"/>
      <c r="BY362" s="550"/>
      <c r="BZ362" s="550"/>
      <c r="CA362" s="551"/>
    </row>
    <row r="363" spans="1:79" ht="15" customHeight="1">
      <c r="A363" s="424">
        <v>12</v>
      </c>
      <c r="B363" s="382">
        <v>28</v>
      </c>
      <c r="C363" s="382">
        <f t="shared" si="86"/>
        <v>362</v>
      </c>
      <c r="D363" s="383" t="str">
        <f>IF(I363='Jour Férié'!F$13,'Jour Férié'!E$13,""&amp;IF(I363='Jour Férié'!F$14,'Jour Férié'!E$14,""&amp;IF(I363='Jour Férié'!F$15,'Jour Férié'!E$15,""&amp;IF(I363='Jour Férié'!B$15,'Jour Férié'!A$15,""&amp;IF(MOD(MATCH(I363,vacances!$A$3:$A$202,1),2)=1,"vacances","")))))</f>
        <v>vacances</v>
      </c>
      <c r="E363" s="449"/>
      <c r="F363" s="449"/>
      <c r="G363" s="449" t="s">
        <v>335</v>
      </c>
      <c r="H363" s="621"/>
      <c r="I363" s="339">
        <f t="shared" si="80"/>
        <v>43462</v>
      </c>
      <c r="J363" s="285"/>
      <c r="K363" s="7"/>
      <c r="L363" s="281"/>
      <c r="M363" s="7"/>
      <c r="N363" s="7"/>
      <c r="O363" s="340"/>
      <c r="P363" s="7"/>
      <c r="Q363" s="290"/>
      <c r="R363" s="290"/>
      <c r="S363" s="290"/>
      <c r="T363" s="290"/>
      <c r="U363" s="290"/>
      <c r="V363" s="290"/>
      <c r="W363" s="290"/>
      <c r="X363" s="290"/>
      <c r="Y363" s="290"/>
      <c r="Z363" s="290"/>
      <c r="AA363" s="310"/>
      <c r="AB363" s="310"/>
      <c r="AC363" s="553"/>
      <c r="AD363" s="553"/>
      <c r="AE363" s="553"/>
      <c r="AF363" s="553"/>
      <c r="AG363" s="553"/>
      <c r="AH363" s="553"/>
      <c r="AI363" s="553"/>
      <c r="AJ363" s="553"/>
      <c r="AK363" s="553"/>
      <c r="AL363" s="553"/>
      <c r="AM363" s="553"/>
      <c r="AN363" s="553"/>
      <c r="AO363" s="553"/>
      <c r="AP363" s="553"/>
      <c r="AQ363" s="553"/>
      <c r="AR363" s="290"/>
      <c r="AS363" s="290"/>
      <c r="AT363" s="290"/>
      <c r="AU363" s="290"/>
      <c r="AV363" s="290"/>
      <c r="AW363" s="313"/>
      <c r="AX363" s="313"/>
      <c r="AY363" s="313"/>
      <c r="AZ363" s="313"/>
      <c r="BA363" s="313"/>
      <c r="BB363" s="313"/>
      <c r="BC363" s="313"/>
      <c r="BD363" s="313"/>
      <c r="BE363" s="313"/>
      <c r="BF363" s="313"/>
      <c r="BG363" s="313"/>
      <c r="BH363" s="313"/>
      <c r="BI363" s="313"/>
      <c r="BJ363" s="313"/>
      <c r="BK363" s="313"/>
      <c r="BL363" s="316"/>
      <c r="BM363" s="316"/>
      <c r="BN363" s="587" t="s">
        <v>272</v>
      </c>
      <c r="BO363" s="587"/>
      <c r="BP363" s="587"/>
      <c r="BQ363" s="587"/>
      <c r="BR363" s="587"/>
      <c r="BS363" s="587"/>
      <c r="BT363" s="587"/>
      <c r="BU363" s="587"/>
      <c r="BV363" s="597">
        <f>AG352-BQ360+BQ361</f>
        <v>1407.7499809251249</v>
      </c>
      <c r="BW363" s="597"/>
      <c r="BX363" s="597"/>
      <c r="BY363" s="597"/>
      <c r="BZ363" s="597"/>
      <c r="CA363" s="598"/>
    </row>
    <row r="364" spans="1:79" ht="15" customHeight="1">
      <c r="A364" s="424">
        <v>12</v>
      </c>
      <c r="B364" s="382">
        <v>29</v>
      </c>
      <c r="C364" s="382">
        <f t="shared" si="86"/>
        <v>363</v>
      </c>
      <c r="D364" s="383" t="str">
        <f>IF(I364='Jour Férié'!F$13,'Jour Férié'!E$13,""&amp;IF(I364='Jour Férié'!F$14,'Jour Férié'!E$14,""&amp;IF(I364='Jour Férié'!F$15,'Jour Férié'!E$15,""&amp;IF(I364='Jour Férié'!B$15,'Jour Férié'!A$15,""&amp;IF(MOD(MATCH(I364,vacances!$A$3:$A$202,1),2)=1,"vacances","")))))</f>
        <v>vacances</v>
      </c>
      <c r="E364" s="449"/>
      <c r="F364" s="449"/>
      <c r="G364" s="449" t="s">
        <v>335</v>
      </c>
      <c r="H364" s="621"/>
      <c r="I364" s="339">
        <f t="shared" si="80"/>
        <v>43463</v>
      </c>
      <c r="J364" s="285"/>
      <c r="K364" s="7"/>
      <c r="L364" s="281"/>
      <c r="M364" s="7"/>
      <c r="N364" s="7"/>
      <c r="O364" s="340"/>
      <c r="P364" s="7"/>
      <c r="Q364" s="304"/>
      <c r="R364" s="304"/>
      <c r="S364" s="304"/>
      <c r="T364" s="304"/>
      <c r="U364" s="304"/>
      <c r="V364" s="304"/>
      <c r="W364" s="304"/>
      <c r="X364" s="304"/>
      <c r="Y364" s="304"/>
      <c r="Z364" s="304"/>
      <c r="AA364" s="305"/>
      <c r="AB364" s="305"/>
      <c r="AC364" s="553"/>
      <c r="AD364" s="553"/>
      <c r="AE364" s="553"/>
      <c r="AF364" s="553"/>
      <c r="AG364" s="553"/>
      <c r="AH364" s="553"/>
      <c r="AI364" s="553"/>
      <c r="AJ364" s="553"/>
      <c r="AK364" s="553"/>
      <c r="AL364" s="553"/>
      <c r="AM364" s="553"/>
      <c r="AN364" s="553"/>
      <c r="AO364" s="553"/>
      <c r="AP364" s="553"/>
      <c r="AQ364" s="553"/>
      <c r="AR364" s="304"/>
      <c r="AS364" s="304"/>
      <c r="AT364" s="304"/>
      <c r="AU364" s="304"/>
      <c r="AV364" s="304"/>
      <c r="AW364" s="317"/>
      <c r="AX364" s="317"/>
      <c r="AY364" s="317"/>
      <c r="AZ364" s="317"/>
      <c r="BA364" s="317"/>
      <c r="BB364" s="317"/>
      <c r="BC364" s="317"/>
      <c r="BD364" s="317"/>
      <c r="BE364" s="317"/>
      <c r="BF364" s="317"/>
      <c r="BG364" s="317"/>
      <c r="BH364" s="317"/>
      <c r="BI364" s="317"/>
      <c r="BJ364" s="317"/>
      <c r="BK364" s="317"/>
      <c r="BL364" s="585" t="s">
        <v>273</v>
      </c>
      <c r="BM364" s="585"/>
      <c r="BN364" s="585"/>
      <c r="BO364" s="585"/>
      <c r="BP364" s="585"/>
      <c r="BQ364" s="585"/>
      <c r="BR364" s="585"/>
      <c r="BS364" s="585"/>
      <c r="BT364" s="585"/>
      <c r="BU364" s="586">
        <f>BV363-BQ360+BQ361</f>
        <v>964.36761185024989</v>
      </c>
      <c r="BV364" s="586"/>
      <c r="BW364" s="586"/>
      <c r="BX364" s="586"/>
      <c r="BY364" s="586"/>
      <c r="BZ364" s="586"/>
      <c r="CA364" s="341"/>
    </row>
    <row r="365" spans="1:79" ht="15" customHeight="1">
      <c r="A365" s="424">
        <v>12</v>
      </c>
      <c r="B365" s="382">
        <v>30</v>
      </c>
      <c r="C365" s="382">
        <f t="shared" si="86"/>
        <v>364</v>
      </c>
      <c r="D365" s="383" t="str">
        <f>IF(I365='Jour Férié'!F$13,'Jour Férié'!E$13,""&amp;IF(I365='Jour Férié'!F$14,'Jour Férié'!E$14,""&amp;IF(I365='Jour Férié'!F$15,'Jour Férié'!E$15,""&amp;IF(I365='Jour Férié'!B$15,'Jour Férié'!A$15,""&amp;IF(MOD(MATCH(I365,vacances!$A$3:$A$202,1),2)=1,"vacances","")))))</f>
        <v>vacances</v>
      </c>
      <c r="E365" s="449"/>
      <c r="F365" s="449"/>
      <c r="G365" s="449" t="s">
        <v>335</v>
      </c>
      <c r="H365" s="621"/>
      <c r="I365" s="339">
        <f t="shared" si="80"/>
        <v>43464</v>
      </c>
      <c r="J365" s="285"/>
      <c r="K365" s="7"/>
      <c r="L365" s="281"/>
      <c r="M365" s="7"/>
      <c r="N365" s="7"/>
      <c r="O365" s="340"/>
      <c r="P365" s="7"/>
      <c r="CA365" s="134"/>
    </row>
    <row r="366" spans="1:79" ht="15" customHeight="1" thickBot="1">
      <c r="A366" s="426">
        <v>12</v>
      </c>
      <c r="B366" s="427">
        <v>31</v>
      </c>
      <c r="C366" s="427">
        <f t="shared" si="86"/>
        <v>365</v>
      </c>
      <c r="D366" s="428" t="str">
        <f>IF(I366='Jour Férié'!F$13,'Jour Férié'!E$13,""&amp;IF(I366='Jour Férié'!F$14,'Jour Férié'!E$14,""&amp;IF(I366='Jour Férié'!F$15,'Jour Férié'!E$15,""&amp;IF(I366='Jour Férié'!B$15,'Jour Férié'!A$15,""&amp;IF(MOD(MATCH(I366,vacances!$A$3:$A$202,1),2)=1,"vacances","")))))</f>
        <v>vacances</v>
      </c>
      <c r="E366" s="493"/>
      <c r="F366" s="493"/>
      <c r="G366" s="493"/>
      <c r="H366" s="622"/>
      <c r="I366" s="344">
        <f t="shared" si="80"/>
        <v>43465</v>
      </c>
      <c r="J366" s="345"/>
      <c r="K366" s="345"/>
      <c r="L366" s="345"/>
      <c r="M366" s="345"/>
      <c r="N366" s="345"/>
      <c r="O366" s="346"/>
      <c r="P366" s="345"/>
      <c r="Q366" s="347"/>
      <c r="R366" s="347"/>
      <c r="S366" s="347"/>
      <c r="T366" s="347"/>
      <c r="U366" s="347"/>
      <c r="V366" s="347"/>
      <c r="W366" s="347"/>
      <c r="X366" s="347"/>
      <c r="Y366" s="347"/>
      <c r="Z366" s="347"/>
      <c r="AA366" s="348"/>
      <c r="AB366" s="348"/>
      <c r="AC366" s="348"/>
      <c r="AD366" s="349"/>
      <c r="AE366" s="349"/>
      <c r="AF366" s="349"/>
      <c r="AG366" s="347"/>
      <c r="AH366" s="347"/>
      <c r="AI366" s="347"/>
      <c r="AJ366" s="347"/>
      <c r="AK366" s="347"/>
      <c r="AL366" s="347"/>
      <c r="AM366" s="347"/>
      <c r="AN366" s="347"/>
      <c r="AO366" s="347"/>
      <c r="AP366" s="347"/>
      <c r="AQ366" s="347"/>
      <c r="AR366" s="347"/>
      <c r="AS366" s="347"/>
      <c r="AT366" s="347"/>
      <c r="AU366" s="347"/>
      <c r="AV366" s="347"/>
      <c r="AW366" s="347"/>
      <c r="AX366" s="347"/>
      <c r="AY366" s="347"/>
      <c r="AZ366" s="347"/>
      <c r="BA366" s="347"/>
      <c r="BB366" s="347"/>
      <c r="BC366" s="347"/>
      <c r="BD366" s="347"/>
      <c r="BE366" s="347"/>
      <c r="BF366" s="347"/>
      <c r="BG366" s="347"/>
      <c r="BH366" s="347"/>
      <c r="BI366" s="347"/>
      <c r="BJ366" s="347"/>
      <c r="BK366" s="347"/>
      <c r="BL366" s="347"/>
      <c r="BM366" s="347"/>
      <c r="BN366" s="347"/>
      <c r="BO366" s="347"/>
      <c r="BP366" s="347"/>
      <c r="BQ366" s="347"/>
      <c r="BR366" s="347"/>
      <c r="BS366" s="347"/>
      <c r="BT366" s="347"/>
      <c r="BU366" s="347"/>
      <c r="BV366" s="347"/>
      <c r="BW366" s="347"/>
      <c r="BX366" s="347"/>
      <c r="BY366" s="347"/>
      <c r="BZ366" s="347"/>
      <c r="CA366" s="350"/>
    </row>
    <row r="367" spans="1:79">
      <c r="H367" s="429"/>
    </row>
  </sheetData>
  <sheetProtection formatCells="0"/>
  <mergeCells count="2658">
    <mergeCell ref="P20:P21"/>
    <mergeCell ref="O22:O23"/>
    <mergeCell ref="P22:P23"/>
    <mergeCell ref="O11:O12"/>
    <mergeCell ref="O42:O43"/>
    <mergeCell ref="O71:O72"/>
    <mergeCell ref="O102:O103"/>
    <mergeCell ref="O163:O164"/>
    <mergeCell ref="O193:O194"/>
    <mergeCell ref="N57:O57"/>
    <mergeCell ref="O18:O19"/>
    <mergeCell ref="O20:O21"/>
    <mergeCell ref="H32:H60"/>
    <mergeCell ref="H61:H91"/>
    <mergeCell ref="H92:H121"/>
    <mergeCell ref="H122:H152"/>
    <mergeCell ref="H153:H182"/>
    <mergeCell ref="H1:H2"/>
    <mergeCell ref="H3:H31"/>
    <mergeCell ref="H183:H213"/>
    <mergeCell ref="M132:M133"/>
    <mergeCell ref="J207:K207"/>
    <mergeCell ref="J206:L206"/>
    <mergeCell ref="M18:M19"/>
    <mergeCell ref="M20:M21"/>
    <mergeCell ref="M22:M24"/>
    <mergeCell ref="J34:K34"/>
    <mergeCell ref="M42:M43"/>
    <mergeCell ref="H214:H244"/>
    <mergeCell ref="H245:H274"/>
    <mergeCell ref="H275:H305"/>
    <mergeCell ref="H306:H335"/>
    <mergeCell ref="H336:H366"/>
    <mergeCell ref="J3:K3"/>
    <mergeCell ref="M11:M12"/>
    <mergeCell ref="Q1:AU1"/>
    <mergeCell ref="AW1:CA1"/>
    <mergeCell ref="AW2:BH3"/>
    <mergeCell ref="BL2:BT2"/>
    <mergeCell ref="BU2:CA2"/>
    <mergeCell ref="Q3:Y3"/>
    <mergeCell ref="AA3:AC3"/>
    <mergeCell ref="BM3:BP3"/>
    <mergeCell ref="J24:L24"/>
    <mergeCell ref="AD3:AF3"/>
    <mergeCell ref="AG3:AJ3"/>
    <mergeCell ref="AK3:AN3"/>
    <mergeCell ref="AO3:AQ3"/>
    <mergeCell ref="BI3:BL3"/>
    <mergeCell ref="AA9:AC9"/>
    <mergeCell ref="AD9:AF9"/>
    <mergeCell ref="AG9:AJ9"/>
    <mergeCell ref="AW9:BH9"/>
    <mergeCell ref="BQ3:BT3"/>
    <mergeCell ref="BU3:BW3"/>
    <mergeCell ref="BX3:CA3"/>
    <mergeCell ref="Q4:Y4"/>
    <mergeCell ref="AA4:AC4"/>
    <mergeCell ref="AD4:AF4"/>
    <mergeCell ref="AG4:AJ4"/>
    <mergeCell ref="AW4:BH4"/>
    <mergeCell ref="BI4:BL4"/>
    <mergeCell ref="BM4:BP4"/>
    <mergeCell ref="BQ4:BT4"/>
    <mergeCell ref="BU4:BW4"/>
    <mergeCell ref="BX4:CA4"/>
    <mergeCell ref="Q5:Y5"/>
    <mergeCell ref="AA5:AC5"/>
    <mergeCell ref="AD5:AF5"/>
    <mergeCell ref="AG5:AJ5"/>
    <mergeCell ref="AW5:BH5"/>
    <mergeCell ref="BI5:BL5"/>
    <mergeCell ref="BM5:BP5"/>
    <mergeCell ref="BQ5:BT5"/>
    <mergeCell ref="BU5:BW5"/>
    <mergeCell ref="BX5:CA5"/>
    <mergeCell ref="AA6:AC6"/>
    <mergeCell ref="AD6:AF6"/>
    <mergeCell ref="AG6:AJ6"/>
    <mergeCell ref="AW6:BH6"/>
    <mergeCell ref="BI6:BL6"/>
    <mergeCell ref="BM6:BP6"/>
    <mergeCell ref="BQ6:BT6"/>
    <mergeCell ref="Q6:Y6"/>
    <mergeCell ref="AA7:AC7"/>
    <mergeCell ref="AD7:AF7"/>
    <mergeCell ref="AG7:AJ7"/>
    <mergeCell ref="AW7:BH7"/>
    <mergeCell ref="BI7:BL7"/>
    <mergeCell ref="BM7:BP7"/>
    <mergeCell ref="BI8:BL8"/>
    <mergeCell ref="BM8:BP8"/>
    <mergeCell ref="BQ8:BT8"/>
    <mergeCell ref="BU8:BW8"/>
    <mergeCell ref="BX8:CA8"/>
    <mergeCell ref="BU6:BW6"/>
    <mergeCell ref="BX6:CA6"/>
    <mergeCell ref="BQ7:BT7"/>
    <mergeCell ref="BU7:BW7"/>
    <mergeCell ref="AA10:AC10"/>
    <mergeCell ref="AD10:AF10"/>
    <mergeCell ref="AG10:AJ10"/>
    <mergeCell ref="AW10:BH10"/>
    <mergeCell ref="BI10:BL10"/>
    <mergeCell ref="BX7:CA7"/>
    <mergeCell ref="AA8:AC8"/>
    <mergeCell ref="AD8:AF8"/>
    <mergeCell ref="AG8:AJ8"/>
    <mergeCell ref="AW8:BH8"/>
    <mergeCell ref="BM11:BP11"/>
    <mergeCell ref="BI9:BL9"/>
    <mergeCell ref="BM9:BP9"/>
    <mergeCell ref="BQ9:BT9"/>
    <mergeCell ref="BU9:BW9"/>
    <mergeCell ref="BX9:CA9"/>
    <mergeCell ref="BQ12:BT12"/>
    <mergeCell ref="BM10:BP10"/>
    <mergeCell ref="BQ10:BT10"/>
    <mergeCell ref="BU10:BW10"/>
    <mergeCell ref="BX10:CA10"/>
    <mergeCell ref="AA11:AC11"/>
    <mergeCell ref="AD11:AF11"/>
    <mergeCell ref="AG11:AJ11"/>
    <mergeCell ref="AW11:BH11"/>
    <mergeCell ref="BI11:BL11"/>
    <mergeCell ref="BQ13:BT13"/>
    <mergeCell ref="BQ11:BT11"/>
    <mergeCell ref="BU11:BW11"/>
    <mergeCell ref="BX11:CA11"/>
    <mergeCell ref="AA12:AC12"/>
    <mergeCell ref="AD12:AF12"/>
    <mergeCell ref="AG12:AJ12"/>
    <mergeCell ref="AW12:BH12"/>
    <mergeCell ref="BI12:BL12"/>
    <mergeCell ref="BM12:BP12"/>
    <mergeCell ref="BU12:BW12"/>
    <mergeCell ref="BX12:CA12"/>
    <mergeCell ref="AA13:AC13"/>
    <mergeCell ref="AD13:AF13"/>
    <mergeCell ref="AG13:AJ13"/>
    <mergeCell ref="AK13:AN13"/>
    <mergeCell ref="AW13:BH13"/>
    <mergeCell ref="BI13:BL13"/>
    <mergeCell ref="BM13:BP13"/>
    <mergeCell ref="BU15:BW15"/>
    <mergeCell ref="BU13:BW13"/>
    <mergeCell ref="BX13:CA13"/>
    <mergeCell ref="AA14:AC14"/>
    <mergeCell ref="AD14:AF14"/>
    <mergeCell ref="AG14:AJ14"/>
    <mergeCell ref="AW14:BH14"/>
    <mergeCell ref="BI14:BL14"/>
    <mergeCell ref="BM14:BP14"/>
    <mergeCell ref="BQ14:BT14"/>
    <mergeCell ref="BX16:CA16"/>
    <mergeCell ref="BX14:CA14"/>
    <mergeCell ref="AA15:AC15"/>
    <mergeCell ref="AD15:AF15"/>
    <mergeCell ref="AG15:AJ15"/>
    <mergeCell ref="AK15:AN15"/>
    <mergeCell ref="AW15:BH15"/>
    <mergeCell ref="BI15:BL15"/>
    <mergeCell ref="BM15:BP15"/>
    <mergeCell ref="BQ15:BT15"/>
    <mergeCell ref="BI17:BL17"/>
    <mergeCell ref="BM17:BP17"/>
    <mergeCell ref="BX15:CA15"/>
    <mergeCell ref="AA16:AC16"/>
    <mergeCell ref="AD16:AF16"/>
    <mergeCell ref="AG16:AJ16"/>
    <mergeCell ref="BI16:BL16"/>
    <mergeCell ref="BM16:BP16"/>
    <mergeCell ref="BQ16:BT16"/>
    <mergeCell ref="BU16:BW16"/>
    <mergeCell ref="BQ17:BT17"/>
    <mergeCell ref="BU17:BW17"/>
    <mergeCell ref="BX17:CA17"/>
    <mergeCell ref="BU14:BW14"/>
    <mergeCell ref="AW18:BH18"/>
    <mergeCell ref="BI18:BL18"/>
    <mergeCell ref="BM18:BP18"/>
    <mergeCell ref="BQ18:BT18"/>
    <mergeCell ref="BU18:BW18"/>
    <mergeCell ref="BX18:CA18"/>
    <mergeCell ref="AW17:BH17"/>
    <mergeCell ref="AW19:BH19"/>
    <mergeCell ref="BI19:BL19"/>
    <mergeCell ref="BM19:BP19"/>
    <mergeCell ref="BQ19:BT19"/>
    <mergeCell ref="BU19:BW19"/>
    <mergeCell ref="BX19:CA19"/>
    <mergeCell ref="BI20:BL20"/>
    <mergeCell ref="BM20:BP20"/>
    <mergeCell ref="BQ20:BT20"/>
    <mergeCell ref="BU20:BW20"/>
    <mergeCell ref="BX20:CA20"/>
    <mergeCell ref="BI21:BL21"/>
    <mergeCell ref="BM21:BP21"/>
    <mergeCell ref="BQ21:BT21"/>
    <mergeCell ref="BU21:BW21"/>
    <mergeCell ref="BX21:CA21"/>
    <mergeCell ref="BI22:BL22"/>
    <mergeCell ref="BM22:BP22"/>
    <mergeCell ref="BQ22:BT22"/>
    <mergeCell ref="BU22:BW22"/>
    <mergeCell ref="BX22:CA22"/>
    <mergeCell ref="BI23:BL23"/>
    <mergeCell ref="BM23:BP23"/>
    <mergeCell ref="BQ23:BT23"/>
    <mergeCell ref="BU23:BW23"/>
    <mergeCell ref="BX23:CA23"/>
    <mergeCell ref="AW24:BH24"/>
    <mergeCell ref="BI24:BL24"/>
    <mergeCell ref="BM24:BP24"/>
    <mergeCell ref="BQ24:BT24"/>
    <mergeCell ref="BU24:BW24"/>
    <mergeCell ref="BX24:CA24"/>
    <mergeCell ref="AW25:BH25"/>
    <mergeCell ref="BI25:BL25"/>
    <mergeCell ref="BM25:BP25"/>
    <mergeCell ref="BQ25:BT25"/>
    <mergeCell ref="BX25:CA25"/>
    <mergeCell ref="AK34:AN34"/>
    <mergeCell ref="AO34:AQ34"/>
    <mergeCell ref="BI34:BL34"/>
    <mergeCell ref="BM34:BP34"/>
    <mergeCell ref="BQ34:BT34"/>
    <mergeCell ref="AW32:CA32"/>
    <mergeCell ref="AW33:BH34"/>
    <mergeCell ref="BL33:BT33"/>
    <mergeCell ref="BU33:CA33"/>
    <mergeCell ref="Q34:Y34"/>
    <mergeCell ref="AA34:AC34"/>
    <mergeCell ref="AD34:AF34"/>
    <mergeCell ref="AG34:AJ34"/>
    <mergeCell ref="BU34:BW34"/>
    <mergeCell ref="BU29:BZ29"/>
    <mergeCell ref="BM26:BP26"/>
    <mergeCell ref="BI26:BL26"/>
    <mergeCell ref="BV28:CA28"/>
    <mergeCell ref="BN28:BU28"/>
    <mergeCell ref="BL29:BT29"/>
    <mergeCell ref="AW27:CA27"/>
    <mergeCell ref="BX34:CA34"/>
    <mergeCell ref="Q35:Y35"/>
    <mergeCell ref="AA35:AC35"/>
    <mergeCell ref="AD35:AF35"/>
    <mergeCell ref="AG35:AJ35"/>
    <mergeCell ref="AW35:BH35"/>
    <mergeCell ref="BI35:BL35"/>
    <mergeCell ref="BM35:BP35"/>
    <mergeCell ref="BQ35:BT35"/>
    <mergeCell ref="BU35:BW35"/>
    <mergeCell ref="BX35:CA35"/>
    <mergeCell ref="Q36:Y36"/>
    <mergeCell ref="AA36:AC36"/>
    <mergeCell ref="AD36:AF36"/>
    <mergeCell ref="AG36:AJ36"/>
    <mergeCell ref="AW36:BH36"/>
    <mergeCell ref="BI36:BL36"/>
    <mergeCell ref="BM36:BP36"/>
    <mergeCell ref="BQ36:BT36"/>
    <mergeCell ref="BU36:BW36"/>
    <mergeCell ref="BX36:CA36"/>
    <mergeCell ref="AA37:AC37"/>
    <mergeCell ref="AD37:AF37"/>
    <mergeCell ref="AG37:AJ37"/>
    <mergeCell ref="AW37:BH37"/>
    <mergeCell ref="BI37:BL37"/>
    <mergeCell ref="BM37:BP37"/>
    <mergeCell ref="BQ37:BT37"/>
    <mergeCell ref="BU37:BW37"/>
    <mergeCell ref="BX37:CA37"/>
    <mergeCell ref="AA38:AC38"/>
    <mergeCell ref="AD38:AF38"/>
    <mergeCell ref="AG38:AJ38"/>
    <mergeCell ref="AW38:BH38"/>
    <mergeCell ref="BI38:BL38"/>
    <mergeCell ref="BM38:BP38"/>
    <mergeCell ref="BQ38:BT38"/>
    <mergeCell ref="BU38:BW38"/>
    <mergeCell ref="BX38:CA38"/>
    <mergeCell ref="AA39:AC39"/>
    <mergeCell ref="AD39:AF39"/>
    <mergeCell ref="AG39:AJ39"/>
    <mergeCell ref="AW39:BH39"/>
    <mergeCell ref="BI39:BL39"/>
    <mergeCell ref="BM39:BP39"/>
    <mergeCell ref="BQ39:BT39"/>
    <mergeCell ref="BU39:BW39"/>
    <mergeCell ref="BX39:CA39"/>
    <mergeCell ref="AA40:AC40"/>
    <mergeCell ref="AD40:AF40"/>
    <mergeCell ref="AG40:AJ40"/>
    <mergeCell ref="AW40:BH40"/>
    <mergeCell ref="BI40:BL40"/>
    <mergeCell ref="BM40:BP40"/>
    <mergeCell ref="BQ40:BT40"/>
    <mergeCell ref="BU40:BW40"/>
    <mergeCell ref="BX40:CA40"/>
    <mergeCell ref="AA41:AC41"/>
    <mergeCell ref="AD41:AF41"/>
    <mergeCell ref="AG41:AJ41"/>
    <mergeCell ref="AW41:BH41"/>
    <mergeCell ref="BI41:BL41"/>
    <mergeCell ref="BM41:BP41"/>
    <mergeCell ref="BQ41:BT41"/>
    <mergeCell ref="BU41:BW41"/>
    <mergeCell ref="BX41:CA41"/>
    <mergeCell ref="AA42:AC42"/>
    <mergeCell ref="AD42:AF42"/>
    <mergeCell ref="AG42:AJ42"/>
    <mergeCell ref="AW42:BH42"/>
    <mergeCell ref="BI42:BL42"/>
    <mergeCell ref="BM42:BP42"/>
    <mergeCell ref="BQ42:BT42"/>
    <mergeCell ref="BU42:BW42"/>
    <mergeCell ref="BX42:CA42"/>
    <mergeCell ref="AA43:AC43"/>
    <mergeCell ref="AD43:AF43"/>
    <mergeCell ref="AG43:AJ43"/>
    <mergeCell ref="AW43:BH43"/>
    <mergeCell ref="BI43:BL43"/>
    <mergeCell ref="BM43:BP43"/>
    <mergeCell ref="BQ43:BT43"/>
    <mergeCell ref="BU43:BW43"/>
    <mergeCell ref="BX43:CA43"/>
    <mergeCell ref="AA44:AC44"/>
    <mergeCell ref="AD44:AF44"/>
    <mergeCell ref="AG44:AJ44"/>
    <mergeCell ref="AK44:AN44"/>
    <mergeCell ref="AW44:BH44"/>
    <mergeCell ref="BI44:BL44"/>
    <mergeCell ref="BM44:BP44"/>
    <mergeCell ref="BQ44:BT44"/>
    <mergeCell ref="BU44:BW44"/>
    <mergeCell ref="BX44:CA44"/>
    <mergeCell ref="AA45:AC45"/>
    <mergeCell ref="AD45:AF45"/>
    <mergeCell ref="AG45:AJ45"/>
    <mergeCell ref="AW45:BH45"/>
    <mergeCell ref="BI45:BL45"/>
    <mergeCell ref="BM45:BP45"/>
    <mergeCell ref="BQ45:BT45"/>
    <mergeCell ref="BU45:BW45"/>
    <mergeCell ref="BX45:CA45"/>
    <mergeCell ref="AA46:AC46"/>
    <mergeCell ref="AD46:AF46"/>
    <mergeCell ref="AG46:AJ46"/>
    <mergeCell ref="AK46:AN46"/>
    <mergeCell ref="AW46:BH46"/>
    <mergeCell ref="BI46:BL46"/>
    <mergeCell ref="BM46:BP46"/>
    <mergeCell ref="BQ46:BT46"/>
    <mergeCell ref="BU46:BW46"/>
    <mergeCell ref="BX46:CA46"/>
    <mergeCell ref="AA47:AC47"/>
    <mergeCell ref="AD47:AF47"/>
    <mergeCell ref="AG47:AJ47"/>
    <mergeCell ref="BI47:BL47"/>
    <mergeCell ref="BM47:BP47"/>
    <mergeCell ref="BQ47:BT47"/>
    <mergeCell ref="BU47:BW47"/>
    <mergeCell ref="BX47:CA47"/>
    <mergeCell ref="Q48:AF48"/>
    <mergeCell ref="AG48:AJ48"/>
    <mergeCell ref="AO48:AQ48"/>
    <mergeCell ref="AW48:BH48"/>
    <mergeCell ref="BI48:BL48"/>
    <mergeCell ref="BM48:BP48"/>
    <mergeCell ref="BQ48:BT48"/>
    <mergeCell ref="BU48:BW48"/>
    <mergeCell ref="BX48:CA48"/>
    <mergeCell ref="AW49:BH49"/>
    <mergeCell ref="BI49:BL49"/>
    <mergeCell ref="BM49:BP49"/>
    <mergeCell ref="BQ49:BT49"/>
    <mergeCell ref="BU49:BW49"/>
    <mergeCell ref="BX49:CA49"/>
    <mergeCell ref="AW50:BH50"/>
    <mergeCell ref="BI50:BL50"/>
    <mergeCell ref="BM50:BP50"/>
    <mergeCell ref="BQ50:BT50"/>
    <mergeCell ref="BU50:BW50"/>
    <mergeCell ref="BX50:CA50"/>
    <mergeCell ref="BI51:BL51"/>
    <mergeCell ref="BM51:BP51"/>
    <mergeCell ref="BQ51:BT51"/>
    <mergeCell ref="BU51:BW51"/>
    <mergeCell ref="BX51:CA51"/>
    <mergeCell ref="BI52:BL52"/>
    <mergeCell ref="BM52:BP52"/>
    <mergeCell ref="BQ52:BT52"/>
    <mergeCell ref="BU52:BW52"/>
    <mergeCell ref="BX52:CA52"/>
    <mergeCell ref="BI53:BL53"/>
    <mergeCell ref="BM53:BP53"/>
    <mergeCell ref="BQ53:BT53"/>
    <mergeCell ref="BU53:BW53"/>
    <mergeCell ref="BX53:CA53"/>
    <mergeCell ref="BI54:BL54"/>
    <mergeCell ref="BM54:BP54"/>
    <mergeCell ref="BQ54:BT54"/>
    <mergeCell ref="BU54:BW54"/>
    <mergeCell ref="BX54:CA54"/>
    <mergeCell ref="AW55:BH55"/>
    <mergeCell ref="BI55:BL55"/>
    <mergeCell ref="BM55:BP55"/>
    <mergeCell ref="BQ55:BT55"/>
    <mergeCell ref="BU55:BW55"/>
    <mergeCell ref="BX55:CA55"/>
    <mergeCell ref="AW56:BH56"/>
    <mergeCell ref="BI56:BL56"/>
    <mergeCell ref="BM56:BP56"/>
    <mergeCell ref="BQ56:BT56"/>
    <mergeCell ref="BX56:CA56"/>
    <mergeCell ref="BI57:BL57"/>
    <mergeCell ref="BM57:BP57"/>
    <mergeCell ref="BN59:BU59"/>
    <mergeCell ref="BV59:CA59"/>
    <mergeCell ref="BL60:BT60"/>
    <mergeCell ref="BU60:BZ60"/>
    <mergeCell ref="Q61:AU61"/>
    <mergeCell ref="AW61:CA61"/>
    <mergeCell ref="AW62:BH63"/>
    <mergeCell ref="BL62:BT62"/>
    <mergeCell ref="BU62:CA62"/>
    <mergeCell ref="J63:K63"/>
    <mergeCell ref="Q63:Y63"/>
    <mergeCell ref="AA63:AC63"/>
    <mergeCell ref="AD63:AF63"/>
    <mergeCell ref="AG63:AJ63"/>
    <mergeCell ref="AK63:AN63"/>
    <mergeCell ref="AO63:AQ63"/>
    <mergeCell ref="BI63:BL63"/>
    <mergeCell ref="BM63:BP63"/>
    <mergeCell ref="BQ63:BT63"/>
    <mergeCell ref="BU63:BW63"/>
    <mergeCell ref="BX63:CA63"/>
    <mergeCell ref="Q64:Y64"/>
    <mergeCell ref="AA64:AC64"/>
    <mergeCell ref="AD64:AF64"/>
    <mergeCell ref="AG64:AJ64"/>
    <mergeCell ref="AW64:BH64"/>
    <mergeCell ref="BI64:BL64"/>
    <mergeCell ref="BM64:BP64"/>
    <mergeCell ref="BQ64:BT64"/>
    <mergeCell ref="BU64:BW64"/>
    <mergeCell ref="BX64:CA64"/>
    <mergeCell ref="Q65:Y65"/>
    <mergeCell ref="AA65:AC65"/>
    <mergeCell ref="AD65:AF65"/>
    <mergeCell ref="AG65:AJ65"/>
    <mergeCell ref="AW65:BH65"/>
    <mergeCell ref="BI65:BL65"/>
    <mergeCell ref="BM65:BP65"/>
    <mergeCell ref="BQ65:BT65"/>
    <mergeCell ref="BU65:BW65"/>
    <mergeCell ref="BX65:CA65"/>
    <mergeCell ref="AA66:AC66"/>
    <mergeCell ref="AD66:AF66"/>
    <mergeCell ref="AG66:AJ66"/>
    <mergeCell ref="AW66:BH66"/>
    <mergeCell ref="BI66:BL66"/>
    <mergeCell ref="BM66:BP66"/>
    <mergeCell ref="BQ66:BT66"/>
    <mergeCell ref="BU66:BW66"/>
    <mergeCell ref="BX66:CA66"/>
    <mergeCell ref="AA67:AC67"/>
    <mergeCell ref="AD67:AF67"/>
    <mergeCell ref="AG67:AJ67"/>
    <mergeCell ref="AW67:BH67"/>
    <mergeCell ref="BI67:BL67"/>
    <mergeCell ref="BM67:BP67"/>
    <mergeCell ref="BQ67:BT67"/>
    <mergeCell ref="BU67:BW67"/>
    <mergeCell ref="BX67:CA67"/>
    <mergeCell ref="AA68:AC68"/>
    <mergeCell ref="AD68:AF68"/>
    <mergeCell ref="AG68:AJ68"/>
    <mergeCell ref="AW68:BH68"/>
    <mergeCell ref="BI68:BL68"/>
    <mergeCell ref="BM68:BP68"/>
    <mergeCell ref="BQ68:BT68"/>
    <mergeCell ref="BU68:BW68"/>
    <mergeCell ref="BX68:CA68"/>
    <mergeCell ref="AA69:AC69"/>
    <mergeCell ref="AD69:AF69"/>
    <mergeCell ref="AG69:AJ69"/>
    <mergeCell ref="AW69:BH69"/>
    <mergeCell ref="BI69:BL69"/>
    <mergeCell ref="BM69:BP69"/>
    <mergeCell ref="BQ69:BT69"/>
    <mergeCell ref="BU69:BW69"/>
    <mergeCell ref="BX69:CA69"/>
    <mergeCell ref="AA70:AC70"/>
    <mergeCell ref="AD70:AF70"/>
    <mergeCell ref="AG70:AJ70"/>
    <mergeCell ref="AW70:BH70"/>
    <mergeCell ref="BI70:BL70"/>
    <mergeCell ref="BM70:BP70"/>
    <mergeCell ref="BQ70:BT70"/>
    <mergeCell ref="BU70:BW70"/>
    <mergeCell ref="BX70:CA70"/>
    <mergeCell ref="AA71:AC71"/>
    <mergeCell ref="AD71:AF71"/>
    <mergeCell ref="AG71:AJ71"/>
    <mergeCell ref="AW71:BH71"/>
    <mergeCell ref="J145:L145"/>
    <mergeCell ref="J114:L114"/>
    <mergeCell ref="J115:K115"/>
    <mergeCell ref="Q71:Y71"/>
    <mergeCell ref="Q72:Y72"/>
    <mergeCell ref="AW78:BH78"/>
    <mergeCell ref="BI71:BL71"/>
    <mergeCell ref="BM71:BP71"/>
    <mergeCell ref="BQ71:BT71"/>
    <mergeCell ref="BU71:BW71"/>
    <mergeCell ref="BX71:CA71"/>
    <mergeCell ref="AA72:AC72"/>
    <mergeCell ref="AD72:AF72"/>
    <mergeCell ref="AG72:AJ72"/>
    <mergeCell ref="AW72:BH72"/>
    <mergeCell ref="BI72:BL72"/>
    <mergeCell ref="BM72:BP72"/>
    <mergeCell ref="BQ72:BT72"/>
    <mergeCell ref="BU72:BW72"/>
    <mergeCell ref="BX72:CA72"/>
    <mergeCell ref="AA73:AC73"/>
    <mergeCell ref="AD73:AF73"/>
    <mergeCell ref="AG73:AJ73"/>
    <mergeCell ref="AK73:AN73"/>
    <mergeCell ref="AW73:BH73"/>
    <mergeCell ref="BI73:BL73"/>
    <mergeCell ref="BM73:BP73"/>
    <mergeCell ref="BQ73:BT73"/>
    <mergeCell ref="BU73:BW73"/>
    <mergeCell ref="BX73:CA73"/>
    <mergeCell ref="AA74:AC74"/>
    <mergeCell ref="AD74:AF74"/>
    <mergeCell ref="AG74:AJ74"/>
    <mergeCell ref="AW74:BH74"/>
    <mergeCell ref="BI74:BL74"/>
    <mergeCell ref="BM74:BP74"/>
    <mergeCell ref="BQ74:BT74"/>
    <mergeCell ref="BU74:BW74"/>
    <mergeCell ref="BX74:CA74"/>
    <mergeCell ref="AA75:AC75"/>
    <mergeCell ref="AD75:AF75"/>
    <mergeCell ref="AG75:AJ75"/>
    <mergeCell ref="AK75:AN75"/>
    <mergeCell ref="AW75:BH75"/>
    <mergeCell ref="BI75:BL75"/>
    <mergeCell ref="BM75:BP75"/>
    <mergeCell ref="BQ75:BT75"/>
    <mergeCell ref="BU75:BW75"/>
    <mergeCell ref="BX75:CA75"/>
    <mergeCell ref="AA76:AC76"/>
    <mergeCell ref="AD76:AF76"/>
    <mergeCell ref="AG76:AJ76"/>
    <mergeCell ref="BI76:BL76"/>
    <mergeCell ref="BM76:BP76"/>
    <mergeCell ref="BQ76:BT76"/>
    <mergeCell ref="BU76:BW76"/>
    <mergeCell ref="BX76:CA76"/>
    <mergeCell ref="Q77:AF77"/>
    <mergeCell ref="AG77:AJ77"/>
    <mergeCell ref="AO77:AQ77"/>
    <mergeCell ref="AW77:BH77"/>
    <mergeCell ref="BI77:BL77"/>
    <mergeCell ref="BM77:BP77"/>
    <mergeCell ref="BQ77:BT77"/>
    <mergeCell ref="BU77:BW77"/>
    <mergeCell ref="BX77:CA77"/>
    <mergeCell ref="BI78:BL78"/>
    <mergeCell ref="BM78:BP78"/>
    <mergeCell ref="BQ78:BT78"/>
    <mergeCell ref="BU78:BW78"/>
    <mergeCell ref="BX78:CA78"/>
    <mergeCell ref="AW79:BH79"/>
    <mergeCell ref="BI79:BL79"/>
    <mergeCell ref="BM79:BP79"/>
    <mergeCell ref="BQ79:BT79"/>
    <mergeCell ref="BU79:BW79"/>
    <mergeCell ref="BX79:CA79"/>
    <mergeCell ref="BI80:BL80"/>
    <mergeCell ref="BM80:BP80"/>
    <mergeCell ref="BQ80:BT80"/>
    <mergeCell ref="BU80:BW80"/>
    <mergeCell ref="BX80:CA80"/>
    <mergeCell ref="BI81:BL81"/>
    <mergeCell ref="BM81:BP81"/>
    <mergeCell ref="BQ81:BT81"/>
    <mergeCell ref="BU81:BW81"/>
    <mergeCell ref="BX81:CA81"/>
    <mergeCell ref="BI82:BL82"/>
    <mergeCell ref="BM82:BP82"/>
    <mergeCell ref="BQ82:BT82"/>
    <mergeCell ref="BU82:BW82"/>
    <mergeCell ref="BX82:CA82"/>
    <mergeCell ref="BI83:BL83"/>
    <mergeCell ref="BM83:BP83"/>
    <mergeCell ref="BQ83:BT83"/>
    <mergeCell ref="BU83:BW83"/>
    <mergeCell ref="BX83:CA83"/>
    <mergeCell ref="AW84:BH84"/>
    <mergeCell ref="BI84:BL84"/>
    <mergeCell ref="BM84:BP84"/>
    <mergeCell ref="BQ84:BT84"/>
    <mergeCell ref="BU84:BW84"/>
    <mergeCell ref="BX84:CA84"/>
    <mergeCell ref="AW85:BH85"/>
    <mergeCell ref="BI85:BL85"/>
    <mergeCell ref="BM85:BP85"/>
    <mergeCell ref="BQ85:BT85"/>
    <mergeCell ref="BX85:CA85"/>
    <mergeCell ref="BI86:BL86"/>
    <mergeCell ref="BM86:BP86"/>
    <mergeCell ref="BN88:BU88"/>
    <mergeCell ref="BV88:CA88"/>
    <mergeCell ref="BL89:BT89"/>
    <mergeCell ref="BU89:BZ89"/>
    <mergeCell ref="Q92:AU92"/>
    <mergeCell ref="AW92:CA92"/>
    <mergeCell ref="AW93:BH94"/>
    <mergeCell ref="BL93:BT93"/>
    <mergeCell ref="BU93:CA93"/>
    <mergeCell ref="J94:K94"/>
    <mergeCell ref="Q94:Y94"/>
    <mergeCell ref="AA94:AC94"/>
    <mergeCell ref="AD94:AF94"/>
    <mergeCell ref="AG94:AJ94"/>
    <mergeCell ref="AK94:AN94"/>
    <mergeCell ref="AO94:AQ94"/>
    <mergeCell ref="BI94:BL94"/>
    <mergeCell ref="BM94:BP94"/>
    <mergeCell ref="BQ94:BT94"/>
    <mergeCell ref="BU94:BW94"/>
    <mergeCell ref="BX94:CA94"/>
    <mergeCell ref="Q95:Y95"/>
    <mergeCell ref="AA95:AC95"/>
    <mergeCell ref="AD95:AF95"/>
    <mergeCell ref="AG95:AJ95"/>
    <mergeCell ref="AW95:BH95"/>
    <mergeCell ref="BI95:BL95"/>
    <mergeCell ref="BM95:BP95"/>
    <mergeCell ref="BQ95:BT95"/>
    <mergeCell ref="BU95:BW95"/>
    <mergeCell ref="BX95:CA95"/>
    <mergeCell ref="Q96:Y96"/>
    <mergeCell ref="AA96:AC96"/>
    <mergeCell ref="AD96:AF96"/>
    <mergeCell ref="AG96:AJ96"/>
    <mergeCell ref="AW96:BH96"/>
    <mergeCell ref="BI96:BL96"/>
    <mergeCell ref="BM96:BP96"/>
    <mergeCell ref="BQ96:BT96"/>
    <mergeCell ref="BU96:BW96"/>
    <mergeCell ref="BX96:CA96"/>
    <mergeCell ref="AA97:AC97"/>
    <mergeCell ref="AD97:AF97"/>
    <mergeCell ref="AG97:AJ97"/>
    <mergeCell ref="AW97:BH97"/>
    <mergeCell ref="BI97:BL97"/>
    <mergeCell ref="BM97:BP97"/>
    <mergeCell ref="BQ97:BT97"/>
    <mergeCell ref="BU97:BW97"/>
    <mergeCell ref="BX97:CA97"/>
    <mergeCell ref="AA98:AC98"/>
    <mergeCell ref="AD98:AF98"/>
    <mergeCell ref="AG98:AJ98"/>
    <mergeCell ref="AW98:BH98"/>
    <mergeCell ref="BI98:BL98"/>
    <mergeCell ref="BM98:BP98"/>
    <mergeCell ref="BQ98:BT98"/>
    <mergeCell ref="BU98:BW98"/>
    <mergeCell ref="BX98:CA98"/>
    <mergeCell ref="AA99:AC99"/>
    <mergeCell ref="AD99:AF99"/>
    <mergeCell ref="AG99:AJ99"/>
    <mergeCell ref="AW99:BH99"/>
    <mergeCell ref="BI99:BL99"/>
    <mergeCell ref="BM99:BP99"/>
    <mergeCell ref="BQ99:BT99"/>
    <mergeCell ref="BU99:BW99"/>
    <mergeCell ref="BX99:CA99"/>
    <mergeCell ref="AA100:AC100"/>
    <mergeCell ref="AD100:AF100"/>
    <mergeCell ref="AG100:AJ100"/>
    <mergeCell ref="AW100:BH100"/>
    <mergeCell ref="BI100:BL100"/>
    <mergeCell ref="BM100:BP100"/>
    <mergeCell ref="BQ100:BT100"/>
    <mergeCell ref="BU100:BW100"/>
    <mergeCell ref="BX100:CA100"/>
    <mergeCell ref="AA101:AC101"/>
    <mergeCell ref="AD101:AF101"/>
    <mergeCell ref="AG101:AJ101"/>
    <mergeCell ref="AW101:BH101"/>
    <mergeCell ref="BI101:BL101"/>
    <mergeCell ref="BM101:BP101"/>
    <mergeCell ref="BQ101:BT101"/>
    <mergeCell ref="BU101:BW101"/>
    <mergeCell ref="BX101:CA101"/>
    <mergeCell ref="AA102:AC102"/>
    <mergeCell ref="AD102:AF102"/>
    <mergeCell ref="AG102:AJ102"/>
    <mergeCell ref="AW102:BH102"/>
    <mergeCell ref="J146:K146"/>
    <mergeCell ref="AW109:BH109"/>
    <mergeCell ref="Q122:AU122"/>
    <mergeCell ref="AW122:CA122"/>
    <mergeCell ref="AW123:BH124"/>
    <mergeCell ref="O132:O133"/>
    <mergeCell ref="BI102:BL102"/>
    <mergeCell ref="BM102:BP102"/>
    <mergeCell ref="BQ102:BT102"/>
    <mergeCell ref="BU102:BW102"/>
    <mergeCell ref="BX102:CA102"/>
    <mergeCell ref="AA103:AC103"/>
    <mergeCell ref="AD103:AF103"/>
    <mergeCell ref="AG103:AJ103"/>
    <mergeCell ref="AW103:BH103"/>
    <mergeCell ref="BI103:BL103"/>
    <mergeCell ref="BM103:BP103"/>
    <mergeCell ref="BQ103:BT103"/>
    <mergeCell ref="BU103:BW103"/>
    <mergeCell ref="BX103:CA103"/>
    <mergeCell ref="AA104:AC104"/>
    <mergeCell ref="AD104:AF104"/>
    <mergeCell ref="AG104:AJ104"/>
    <mergeCell ref="AK104:AN104"/>
    <mergeCell ref="AW104:BH104"/>
    <mergeCell ref="BI104:BL104"/>
    <mergeCell ref="BM104:BP104"/>
    <mergeCell ref="BQ104:BT104"/>
    <mergeCell ref="BU104:BW104"/>
    <mergeCell ref="BX104:CA104"/>
    <mergeCell ref="AA105:AC105"/>
    <mergeCell ref="AD105:AF105"/>
    <mergeCell ref="AG105:AJ105"/>
    <mergeCell ref="AW105:BH105"/>
    <mergeCell ref="BI105:BL105"/>
    <mergeCell ref="BM105:BP105"/>
    <mergeCell ref="BQ105:BT105"/>
    <mergeCell ref="BU105:BW105"/>
    <mergeCell ref="BX105:CA105"/>
    <mergeCell ref="AA106:AC106"/>
    <mergeCell ref="AD106:AF106"/>
    <mergeCell ref="AG106:AJ106"/>
    <mergeCell ref="AK106:AN106"/>
    <mergeCell ref="AW106:BH106"/>
    <mergeCell ref="BI106:BL106"/>
    <mergeCell ref="BM106:BP106"/>
    <mergeCell ref="BQ106:BT106"/>
    <mergeCell ref="BU106:BW106"/>
    <mergeCell ref="BX106:CA106"/>
    <mergeCell ref="AA107:AC107"/>
    <mergeCell ref="AD107:AF107"/>
    <mergeCell ref="AG107:AJ107"/>
    <mergeCell ref="BI107:BL107"/>
    <mergeCell ref="BM107:BP107"/>
    <mergeCell ref="BQ107:BT107"/>
    <mergeCell ref="BU107:BW107"/>
    <mergeCell ref="BX107:CA107"/>
    <mergeCell ref="Q108:AF108"/>
    <mergeCell ref="AG108:AJ108"/>
    <mergeCell ref="AO108:AQ108"/>
    <mergeCell ref="AW108:BH108"/>
    <mergeCell ref="BI108:BL108"/>
    <mergeCell ref="BM108:BP108"/>
    <mergeCell ref="BQ108:BT108"/>
    <mergeCell ref="BU108:BW108"/>
    <mergeCell ref="BX108:CA108"/>
    <mergeCell ref="BI109:BL109"/>
    <mergeCell ref="BM109:BP109"/>
    <mergeCell ref="BQ109:BT109"/>
    <mergeCell ref="BU109:BW109"/>
    <mergeCell ref="BX109:CA109"/>
    <mergeCell ref="AW110:BH110"/>
    <mergeCell ref="BI110:BL110"/>
    <mergeCell ref="BM110:BP110"/>
    <mergeCell ref="BQ110:BT110"/>
    <mergeCell ref="BU110:BW110"/>
    <mergeCell ref="BX110:CA110"/>
    <mergeCell ref="BI111:BL111"/>
    <mergeCell ref="BM111:BP111"/>
    <mergeCell ref="BQ111:BT111"/>
    <mergeCell ref="BU111:BW111"/>
    <mergeCell ref="BX111:CA111"/>
    <mergeCell ref="BI112:BL112"/>
    <mergeCell ref="BM112:BP112"/>
    <mergeCell ref="BQ112:BT112"/>
    <mergeCell ref="BU112:BW112"/>
    <mergeCell ref="BX112:CA112"/>
    <mergeCell ref="BI113:BL113"/>
    <mergeCell ref="BM113:BP113"/>
    <mergeCell ref="BQ113:BT113"/>
    <mergeCell ref="BU113:BW113"/>
    <mergeCell ref="BX113:CA113"/>
    <mergeCell ref="BI114:BL114"/>
    <mergeCell ref="BM114:BP114"/>
    <mergeCell ref="BQ114:BT114"/>
    <mergeCell ref="BU114:BW114"/>
    <mergeCell ref="BX114:CA114"/>
    <mergeCell ref="AW115:BH115"/>
    <mergeCell ref="BI115:BL115"/>
    <mergeCell ref="BM115:BP115"/>
    <mergeCell ref="BQ115:BT115"/>
    <mergeCell ref="BU115:BW115"/>
    <mergeCell ref="BX115:CA115"/>
    <mergeCell ref="AW116:BH116"/>
    <mergeCell ref="BI116:BL116"/>
    <mergeCell ref="BM116:BP116"/>
    <mergeCell ref="BQ116:BT116"/>
    <mergeCell ref="BX116:CA116"/>
    <mergeCell ref="BI117:BL117"/>
    <mergeCell ref="BM117:BP117"/>
    <mergeCell ref="BN119:BU119"/>
    <mergeCell ref="BV119:CA119"/>
    <mergeCell ref="BL120:BT120"/>
    <mergeCell ref="BU120:BZ120"/>
    <mergeCell ref="AW118:CA118"/>
    <mergeCell ref="BL123:BT123"/>
    <mergeCell ref="BU123:CA123"/>
    <mergeCell ref="J124:K124"/>
    <mergeCell ref="Q124:Y124"/>
    <mergeCell ref="AA124:AC124"/>
    <mergeCell ref="AD124:AF124"/>
    <mergeCell ref="AG124:AJ124"/>
    <mergeCell ref="AK124:AN124"/>
    <mergeCell ref="AO124:AQ124"/>
    <mergeCell ref="BI124:BL124"/>
    <mergeCell ref="BM124:BP124"/>
    <mergeCell ref="BQ124:BT124"/>
    <mergeCell ref="BU124:BW124"/>
    <mergeCell ref="BX124:CA124"/>
    <mergeCell ref="Q125:Y125"/>
    <mergeCell ref="AA125:AC125"/>
    <mergeCell ref="AD125:AF125"/>
    <mergeCell ref="AG125:AJ125"/>
    <mergeCell ref="AW125:BH125"/>
    <mergeCell ref="BI125:BL125"/>
    <mergeCell ref="BM125:BP125"/>
    <mergeCell ref="BQ125:BT125"/>
    <mergeCell ref="BU125:BW125"/>
    <mergeCell ref="BX125:CA125"/>
    <mergeCell ref="AG126:AJ126"/>
    <mergeCell ref="AW126:BH126"/>
    <mergeCell ref="BI126:BL126"/>
    <mergeCell ref="BM126:BP126"/>
    <mergeCell ref="BQ126:BT126"/>
    <mergeCell ref="BU126:BW126"/>
    <mergeCell ref="BX126:CA126"/>
    <mergeCell ref="AW127:BH127"/>
    <mergeCell ref="BI127:BL127"/>
    <mergeCell ref="BM127:BP127"/>
    <mergeCell ref="BQ127:BT127"/>
    <mergeCell ref="BU127:BW127"/>
    <mergeCell ref="BX127:CA127"/>
    <mergeCell ref="AA128:AC128"/>
    <mergeCell ref="AD128:AF128"/>
    <mergeCell ref="AG128:AJ128"/>
    <mergeCell ref="AW128:BH128"/>
    <mergeCell ref="BI128:BL128"/>
    <mergeCell ref="BM128:BP128"/>
    <mergeCell ref="BQ128:BT128"/>
    <mergeCell ref="BU128:BW128"/>
    <mergeCell ref="BX128:CA128"/>
    <mergeCell ref="BX132:CA132"/>
    <mergeCell ref="AA131:AC131"/>
    <mergeCell ref="BU129:BW129"/>
    <mergeCell ref="BX129:CA129"/>
    <mergeCell ref="AA130:AC130"/>
    <mergeCell ref="AD130:AF130"/>
    <mergeCell ref="AG130:AJ130"/>
    <mergeCell ref="AW130:BH130"/>
    <mergeCell ref="BI130:BL130"/>
    <mergeCell ref="BM130:BP130"/>
    <mergeCell ref="AA132:AC132"/>
    <mergeCell ref="AD132:AF132"/>
    <mergeCell ref="AG132:AJ132"/>
    <mergeCell ref="AW132:BH132"/>
    <mergeCell ref="BU132:BW132"/>
    <mergeCell ref="BQ131:BT131"/>
    <mergeCell ref="AD131:AF131"/>
    <mergeCell ref="AG131:AJ131"/>
    <mergeCell ref="AW131:BH131"/>
    <mergeCell ref="BX130:CA130"/>
    <mergeCell ref="BX131:CA131"/>
    <mergeCell ref="BQ130:BT130"/>
    <mergeCell ref="BU130:BW130"/>
    <mergeCell ref="BU131:BW131"/>
    <mergeCell ref="BM131:BP131"/>
    <mergeCell ref="BU133:BW133"/>
    <mergeCell ref="BI131:BL131"/>
    <mergeCell ref="BQ132:BT132"/>
    <mergeCell ref="J25:K25"/>
    <mergeCell ref="J53:L53"/>
    <mergeCell ref="J54:K54"/>
    <mergeCell ref="BI132:BL132"/>
    <mergeCell ref="BM132:BP132"/>
    <mergeCell ref="BQ133:BT133"/>
    <mergeCell ref="O78:O79"/>
    <mergeCell ref="M71:M72"/>
    <mergeCell ref="M82:M84"/>
    <mergeCell ref="O82:O84"/>
    <mergeCell ref="M80:M81"/>
    <mergeCell ref="O80:O81"/>
    <mergeCell ref="M102:M103"/>
    <mergeCell ref="M51:M52"/>
    <mergeCell ref="O51:O52"/>
    <mergeCell ref="M53:M55"/>
    <mergeCell ref="O53:O55"/>
    <mergeCell ref="N26:O26"/>
    <mergeCell ref="M78:M79"/>
    <mergeCell ref="AA129:AC129"/>
    <mergeCell ref="AD129:AF129"/>
    <mergeCell ref="AG129:AJ129"/>
    <mergeCell ref="AW129:BH129"/>
    <mergeCell ref="BI129:BL129"/>
    <mergeCell ref="BM129:BP129"/>
    <mergeCell ref="BQ129:BT129"/>
    <mergeCell ref="Q126:Y126"/>
    <mergeCell ref="AA126:AC126"/>
    <mergeCell ref="AD126:AF126"/>
    <mergeCell ref="BX133:CA133"/>
    <mergeCell ref="AA134:AC134"/>
    <mergeCell ref="AD134:AF134"/>
    <mergeCell ref="AG134:AJ134"/>
    <mergeCell ref="AK134:AN134"/>
    <mergeCell ref="AW134:BH134"/>
    <mergeCell ref="BI134:BL134"/>
    <mergeCell ref="BM134:BP134"/>
    <mergeCell ref="BQ134:BT134"/>
    <mergeCell ref="BU134:BW134"/>
    <mergeCell ref="AA135:AC135"/>
    <mergeCell ref="AD135:AF135"/>
    <mergeCell ref="AG135:AJ135"/>
    <mergeCell ref="AW135:BH135"/>
    <mergeCell ref="BI135:BL135"/>
    <mergeCell ref="BM135:BP135"/>
    <mergeCell ref="AD136:AF136"/>
    <mergeCell ref="AG136:AJ136"/>
    <mergeCell ref="AK136:AN136"/>
    <mergeCell ref="AW136:BH136"/>
    <mergeCell ref="BI136:BL136"/>
    <mergeCell ref="BX134:CA134"/>
    <mergeCell ref="BQ135:BT135"/>
    <mergeCell ref="BU135:BW135"/>
    <mergeCell ref="BX135:CA135"/>
    <mergeCell ref="BQ136:BT136"/>
    <mergeCell ref="BX136:CA136"/>
    <mergeCell ref="AD133:AF133"/>
    <mergeCell ref="AG133:AJ133"/>
    <mergeCell ref="AW133:BH133"/>
    <mergeCell ref="BI133:BL133"/>
    <mergeCell ref="BM133:BP133"/>
    <mergeCell ref="AA137:AC137"/>
    <mergeCell ref="AD137:AF137"/>
    <mergeCell ref="AG137:AJ137"/>
    <mergeCell ref="BI137:BL137"/>
    <mergeCell ref="BM137:BP137"/>
    <mergeCell ref="BQ137:BT137"/>
    <mergeCell ref="BU137:BW137"/>
    <mergeCell ref="AA136:AC136"/>
    <mergeCell ref="BX137:CA137"/>
    <mergeCell ref="AO138:AQ138"/>
    <mergeCell ref="AW138:BH138"/>
    <mergeCell ref="BI138:BL138"/>
    <mergeCell ref="BM138:BP138"/>
    <mergeCell ref="BU136:BW136"/>
    <mergeCell ref="BQ138:BT138"/>
    <mergeCell ref="BU138:BW138"/>
    <mergeCell ref="BX138:CA138"/>
    <mergeCell ref="BM136:BP136"/>
    <mergeCell ref="AW139:BH139"/>
    <mergeCell ref="BI139:BL139"/>
    <mergeCell ref="BM139:BP139"/>
    <mergeCell ref="BQ139:BT139"/>
    <mergeCell ref="BU139:BW139"/>
    <mergeCell ref="BX139:CA139"/>
    <mergeCell ref="AW140:BH140"/>
    <mergeCell ref="BI140:BL140"/>
    <mergeCell ref="BM140:BP140"/>
    <mergeCell ref="BQ140:BT140"/>
    <mergeCell ref="BU140:BW140"/>
    <mergeCell ref="BX140:CA140"/>
    <mergeCell ref="BI141:BL141"/>
    <mergeCell ref="BM141:BP141"/>
    <mergeCell ref="BQ141:BT141"/>
    <mergeCell ref="BU141:BW141"/>
    <mergeCell ref="BX141:CA141"/>
    <mergeCell ref="BI142:BL142"/>
    <mergeCell ref="BM142:BP142"/>
    <mergeCell ref="BQ142:BT142"/>
    <mergeCell ref="BU142:BW142"/>
    <mergeCell ref="BX142:CA142"/>
    <mergeCell ref="BI143:BL143"/>
    <mergeCell ref="BM143:BP143"/>
    <mergeCell ref="BQ143:BT143"/>
    <mergeCell ref="BU143:BW143"/>
    <mergeCell ref="BX143:CA143"/>
    <mergeCell ref="BI144:BL144"/>
    <mergeCell ref="BM144:BP144"/>
    <mergeCell ref="BQ144:BT144"/>
    <mergeCell ref="BU144:BW144"/>
    <mergeCell ref="BX144:CA144"/>
    <mergeCell ref="AW145:BH145"/>
    <mergeCell ref="BI145:BL145"/>
    <mergeCell ref="BM145:BP145"/>
    <mergeCell ref="BQ145:BT145"/>
    <mergeCell ref="BU145:BW145"/>
    <mergeCell ref="BX145:CA145"/>
    <mergeCell ref="AW146:BH146"/>
    <mergeCell ref="BI146:BL146"/>
    <mergeCell ref="BM146:BP146"/>
    <mergeCell ref="BQ146:BT146"/>
    <mergeCell ref="BX146:CA146"/>
    <mergeCell ref="BI147:BL147"/>
    <mergeCell ref="BM147:BP147"/>
    <mergeCell ref="BN149:BU149"/>
    <mergeCell ref="BV149:CA149"/>
    <mergeCell ref="BL150:BT150"/>
    <mergeCell ref="BU150:BZ150"/>
    <mergeCell ref="Q153:AU153"/>
    <mergeCell ref="AW153:CA153"/>
    <mergeCell ref="AW154:BH155"/>
    <mergeCell ref="BL154:BT154"/>
    <mergeCell ref="BU154:CA154"/>
    <mergeCell ref="J155:K155"/>
    <mergeCell ref="Q155:Y155"/>
    <mergeCell ref="AA155:AC155"/>
    <mergeCell ref="AD155:AF155"/>
    <mergeCell ref="AG155:AJ155"/>
    <mergeCell ref="AK155:AN155"/>
    <mergeCell ref="AO155:AQ155"/>
    <mergeCell ref="BI155:BL155"/>
    <mergeCell ref="BM155:BP155"/>
    <mergeCell ref="BQ155:BT155"/>
    <mergeCell ref="BU155:BW155"/>
    <mergeCell ref="BX155:CA155"/>
    <mergeCell ref="AW148:CA148"/>
    <mergeCell ref="Q156:Y156"/>
    <mergeCell ref="AA156:AC156"/>
    <mergeCell ref="AD156:AF156"/>
    <mergeCell ref="AG156:AJ156"/>
    <mergeCell ref="AW156:BH156"/>
    <mergeCell ref="BI156:BL156"/>
    <mergeCell ref="BM156:BP156"/>
    <mergeCell ref="BQ156:BT156"/>
    <mergeCell ref="BU156:BW156"/>
    <mergeCell ref="BX156:CA156"/>
    <mergeCell ref="Q157:Y157"/>
    <mergeCell ref="AA157:AC157"/>
    <mergeCell ref="AD157:AF157"/>
    <mergeCell ref="AG157:AJ157"/>
    <mergeCell ref="AW157:BH157"/>
    <mergeCell ref="BI157:BL157"/>
    <mergeCell ref="BM157:BP157"/>
    <mergeCell ref="BQ157:BT157"/>
    <mergeCell ref="BU157:BW157"/>
    <mergeCell ref="BX157:CA157"/>
    <mergeCell ref="AA158:AC158"/>
    <mergeCell ref="AD158:AF158"/>
    <mergeCell ref="AG158:AJ158"/>
    <mergeCell ref="AW158:BH158"/>
    <mergeCell ref="BI158:BL158"/>
    <mergeCell ref="BM158:BP158"/>
    <mergeCell ref="BQ158:BT158"/>
    <mergeCell ref="BU158:BW158"/>
    <mergeCell ref="BX158:CA158"/>
    <mergeCell ref="AA159:AC159"/>
    <mergeCell ref="AD159:AF159"/>
    <mergeCell ref="AG159:AJ159"/>
    <mergeCell ref="AW159:BH159"/>
    <mergeCell ref="BI159:BL159"/>
    <mergeCell ref="BM159:BP159"/>
    <mergeCell ref="BQ159:BT159"/>
    <mergeCell ref="BU159:BW159"/>
    <mergeCell ref="BX159:CA159"/>
    <mergeCell ref="AA160:AC160"/>
    <mergeCell ref="AD160:AF160"/>
    <mergeCell ref="AG160:AJ160"/>
    <mergeCell ref="AW160:BH160"/>
    <mergeCell ref="BI160:BL160"/>
    <mergeCell ref="BM160:BP160"/>
    <mergeCell ref="BQ160:BT160"/>
    <mergeCell ref="BU160:BW160"/>
    <mergeCell ref="BX160:CA160"/>
    <mergeCell ref="AA161:AC161"/>
    <mergeCell ref="AD161:AF161"/>
    <mergeCell ref="AG161:AJ161"/>
    <mergeCell ref="AW161:BH161"/>
    <mergeCell ref="BI161:BL161"/>
    <mergeCell ref="BM161:BP161"/>
    <mergeCell ref="BQ161:BT161"/>
    <mergeCell ref="BU161:BW161"/>
    <mergeCell ref="BX161:CA161"/>
    <mergeCell ref="AA162:AC162"/>
    <mergeCell ref="AD162:AF162"/>
    <mergeCell ref="AG162:AJ162"/>
    <mergeCell ref="AW162:BH162"/>
    <mergeCell ref="BI162:BL162"/>
    <mergeCell ref="BM162:BP162"/>
    <mergeCell ref="BQ162:BT162"/>
    <mergeCell ref="BU162:BW162"/>
    <mergeCell ref="BX162:CA162"/>
    <mergeCell ref="AA163:AC163"/>
    <mergeCell ref="AD163:AF163"/>
    <mergeCell ref="AG163:AJ163"/>
    <mergeCell ref="AW163:BH163"/>
    <mergeCell ref="J176:K176"/>
    <mergeCell ref="J175:L175"/>
    <mergeCell ref="AW170:BH170"/>
    <mergeCell ref="Q163:Y163"/>
    <mergeCell ref="Q164:Y164"/>
    <mergeCell ref="Q165:Y165"/>
    <mergeCell ref="BI163:BL163"/>
    <mergeCell ref="BM163:BP163"/>
    <mergeCell ref="BQ163:BT163"/>
    <mergeCell ref="BU163:BW163"/>
    <mergeCell ref="BX163:CA163"/>
    <mergeCell ref="AA164:AC164"/>
    <mergeCell ref="AD164:AF164"/>
    <mergeCell ref="AG164:AJ164"/>
    <mergeCell ref="AW164:BH164"/>
    <mergeCell ref="BI164:BL164"/>
    <mergeCell ref="BM164:BP164"/>
    <mergeCell ref="BQ164:BT164"/>
    <mergeCell ref="BU164:BW164"/>
    <mergeCell ref="BX164:CA164"/>
    <mergeCell ref="AA165:AC165"/>
    <mergeCell ref="AD165:AF165"/>
    <mergeCell ref="AG165:AJ165"/>
    <mergeCell ref="AK165:AN165"/>
    <mergeCell ref="AW165:BH165"/>
    <mergeCell ref="BI165:BL165"/>
    <mergeCell ref="BM165:BP165"/>
    <mergeCell ref="BQ165:BT165"/>
    <mergeCell ref="BU165:BW165"/>
    <mergeCell ref="BX165:CA165"/>
    <mergeCell ref="AA166:AC166"/>
    <mergeCell ref="AD166:AF166"/>
    <mergeCell ref="AG166:AJ166"/>
    <mergeCell ref="AW166:BH166"/>
    <mergeCell ref="BI166:BL166"/>
    <mergeCell ref="BM166:BP166"/>
    <mergeCell ref="BQ166:BT166"/>
    <mergeCell ref="BU166:BW166"/>
    <mergeCell ref="BX166:CA166"/>
    <mergeCell ref="AA167:AC167"/>
    <mergeCell ref="AD167:AF167"/>
    <mergeCell ref="AG167:AJ167"/>
    <mergeCell ref="AK167:AN167"/>
    <mergeCell ref="AW167:BH167"/>
    <mergeCell ref="BI167:BL167"/>
    <mergeCell ref="BM167:BP167"/>
    <mergeCell ref="BQ167:BT167"/>
    <mergeCell ref="BU167:BW167"/>
    <mergeCell ref="BX167:CA167"/>
    <mergeCell ref="AA168:AC168"/>
    <mergeCell ref="AD168:AF168"/>
    <mergeCell ref="AG168:AJ168"/>
    <mergeCell ref="BI168:BL168"/>
    <mergeCell ref="BM168:BP168"/>
    <mergeCell ref="BQ168:BT168"/>
    <mergeCell ref="BU168:BW168"/>
    <mergeCell ref="BX168:CA168"/>
    <mergeCell ref="AO169:AQ169"/>
    <mergeCell ref="AW169:BH169"/>
    <mergeCell ref="BI169:BL169"/>
    <mergeCell ref="BM169:BP169"/>
    <mergeCell ref="BQ169:BT169"/>
    <mergeCell ref="BU169:BW169"/>
    <mergeCell ref="BX169:CA169"/>
    <mergeCell ref="BI170:BL170"/>
    <mergeCell ref="BM170:BP170"/>
    <mergeCell ref="BQ170:BT170"/>
    <mergeCell ref="BU170:BW170"/>
    <mergeCell ref="BX170:CA170"/>
    <mergeCell ref="AW171:BH171"/>
    <mergeCell ref="BI171:BL171"/>
    <mergeCell ref="BM171:BP171"/>
    <mergeCell ref="BQ171:BT171"/>
    <mergeCell ref="BU171:BW171"/>
    <mergeCell ref="BX171:CA171"/>
    <mergeCell ref="BU181:BZ181"/>
    <mergeCell ref="AW179:CA179"/>
    <mergeCell ref="BI172:BL172"/>
    <mergeCell ref="BM172:BP172"/>
    <mergeCell ref="BQ172:BT172"/>
    <mergeCell ref="BU172:BW172"/>
    <mergeCell ref="BX172:CA172"/>
    <mergeCell ref="BI173:BL173"/>
    <mergeCell ref="BM173:BP173"/>
    <mergeCell ref="BQ173:BT173"/>
    <mergeCell ref="BU173:BW173"/>
    <mergeCell ref="BX173:CA173"/>
    <mergeCell ref="BI174:BL174"/>
    <mergeCell ref="BM174:BP174"/>
    <mergeCell ref="BQ174:BT174"/>
    <mergeCell ref="BU174:BW174"/>
    <mergeCell ref="BX174:CA174"/>
    <mergeCell ref="BI175:BL175"/>
    <mergeCell ref="BM175:BP175"/>
    <mergeCell ref="BQ175:BT175"/>
    <mergeCell ref="BU175:BW175"/>
    <mergeCell ref="BX175:CA175"/>
    <mergeCell ref="AW183:CA183"/>
    <mergeCell ref="AW184:BH185"/>
    <mergeCell ref="BL184:BT184"/>
    <mergeCell ref="BU184:CA184"/>
    <mergeCell ref="J185:K185"/>
    <mergeCell ref="Q185:Y185"/>
    <mergeCell ref="AA185:AC185"/>
    <mergeCell ref="AD185:AF185"/>
    <mergeCell ref="AG185:AJ185"/>
    <mergeCell ref="BU186:BW186"/>
    <mergeCell ref="AK185:AN185"/>
    <mergeCell ref="AO185:AQ185"/>
    <mergeCell ref="BI185:BL185"/>
    <mergeCell ref="BM185:BP185"/>
    <mergeCell ref="BQ185:BT185"/>
    <mergeCell ref="BU185:BW185"/>
    <mergeCell ref="AW176:BH176"/>
    <mergeCell ref="BI176:BL176"/>
    <mergeCell ref="BM176:BP176"/>
    <mergeCell ref="BQ176:BT176"/>
    <mergeCell ref="BU176:BW176"/>
    <mergeCell ref="BX176:CA176"/>
    <mergeCell ref="AW177:BH177"/>
    <mergeCell ref="BI177:BL177"/>
    <mergeCell ref="BM177:BP177"/>
    <mergeCell ref="BQ177:BT177"/>
    <mergeCell ref="BX177:CA177"/>
    <mergeCell ref="BI178:BL178"/>
    <mergeCell ref="BM178:BP178"/>
    <mergeCell ref="BN180:BU180"/>
    <mergeCell ref="BV180:CA180"/>
    <mergeCell ref="BL181:BT181"/>
    <mergeCell ref="BU187:BW187"/>
    <mergeCell ref="BX185:CA185"/>
    <mergeCell ref="Q186:Y186"/>
    <mergeCell ref="AA186:AC186"/>
    <mergeCell ref="AD186:AF186"/>
    <mergeCell ref="AG186:AJ186"/>
    <mergeCell ref="AW186:BH186"/>
    <mergeCell ref="BI186:BL186"/>
    <mergeCell ref="BM186:BP186"/>
    <mergeCell ref="BQ186:BT186"/>
    <mergeCell ref="BM188:BP188"/>
    <mergeCell ref="BX186:CA186"/>
    <mergeCell ref="Q187:Y187"/>
    <mergeCell ref="AA187:AC187"/>
    <mergeCell ref="AD187:AF187"/>
    <mergeCell ref="AG187:AJ187"/>
    <mergeCell ref="AW187:BH187"/>
    <mergeCell ref="BI187:BL187"/>
    <mergeCell ref="BM187:BP187"/>
    <mergeCell ref="BQ187:BT187"/>
    <mergeCell ref="BX187:CA187"/>
    <mergeCell ref="BQ188:BT188"/>
    <mergeCell ref="BU188:BW188"/>
    <mergeCell ref="BX188:CA188"/>
    <mergeCell ref="BQ189:BT189"/>
    <mergeCell ref="AA188:AC188"/>
    <mergeCell ref="AD188:AF188"/>
    <mergeCell ref="AG188:AJ188"/>
    <mergeCell ref="AW188:BH188"/>
    <mergeCell ref="BI188:BL188"/>
    <mergeCell ref="BU190:BW190"/>
    <mergeCell ref="AD189:AF189"/>
    <mergeCell ref="AG189:AJ189"/>
    <mergeCell ref="AW189:BH189"/>
    <mergeCell ref="BI189:BL189"/>
    <mergeCell ref="BM189:BP189"/>
    <mergeCell ref="BX191:CA191"/>
    <mergeCell ref="BU189:BW189"/>
    <mergeCell ref="BX189:CA189"/>
    <mergeCell ref="AA190:AC190"/>
    <mergeCell ref="AD190:AF190"/>
    <mergeCell ref="AG190:AJ190"/>
    <mergeCell ref="AW190:BH190"/>
    <mergeCell ref="BI190:BL190"/>
    <mergeCell ref="BM190:BP190"/>
    <mergeCell ref="BQ190:BT190"/>
    <mergeCell ref="BM192:BP192"/>
    <mergeCell ref="BX190:CA190"/>
    <mergeCell ref="AA191:AC191"/>
    <mergeCell ref="AD191:AF191"/>
    <mergeCell ref="AG191:AJ191"/>
    <mergeCell ref="AW191:BH191"/>
    <mergeCell ref="BI191:BL191"/>
    <mergeCell ref="BM191:BP191"/>
    <mergeCell ref="BQ191:BT191"/>
    <mergeCell ref="BU191:BW191"/>
    <mergeCell ref="Q197:Y197"/>
    <mergeCell ref="AA192:AC192"/>
    <mergeCell ref="AD192:AF192"/>
    <mergeCell ref="AG192:AJ192"/>
    <mergeCell ref="AW192:BH192"/>
    <mergeCell ref="BI192:BL192"/>
    <mergeCell ref="AK195:AN195"/>
    <mergeCell ref="AD196:AF196"/>
    <mergeCell ref="AG196:AJ196"/>
    <mergeCell ref="AW196:BH196"/>
    <mergeCell ref="BQ192:BT192"/>
    <mergeCell ref="BU192:BW192"/>
    <mergeCell ref="BX192:CA192"/>
    <mergeCell ref="AW193:BH193"/>
    <mergeCell ref="BX196:CA196"/>
    <mergeCell ref="AA197:AC197"/>
    <mergeCell ref="AD197:AF197"/>
    <mergeCell ref="AG197:AJ197"/>
    <mergeCell ref="AK197:AN197"/>
    <mergeCell ref="AW197:BH197"/>
    <mergeCell ref="BI197:BL197"/>
    <mergeCell ref="BM197:BP197"/>
    <mergeCell ref="BQ194:BT194"/>
    <mergeCell ref="Q196:Y196"/>
    <mergeCell ref="AA193:AC193"/>
    <mergeCell ref="BI193:BL193"/>
    <mergeCell ref="BM193:BP193"/>
    <mergeCell ref="BQ193:BT193"/>
    <mergeCell ref="BU193:BW193"/>
    <mergeCell ref="AA195:AC195"/>
    <mergeCell ref="BQ195:BT195"/>
    <mergeCell ref="BU195:BW195"/>
    <mergeCell ref="BI196:BL196"/>
    <mergeCell ref="BX195:CA195"/>
    <mergeCell ref="BX193:CA193"/>
    <mergeCell ref="AA194:AC194"/>
    <mergeCell ref="AD194:AF194"/>
    <mergeCell ref="AG194:AJ194"/>
    <mergeCell ref="AW194:BH194"/>
    <mergeCell ref="BI194:BL194"/>
    <mergeCell ref="BM194:BP194"/>
    <mergeCell ref="BU194:BW194"/>
    <mergeCell ref="BX194:CA194"/>
    <mergeCell ref="BM196:BP196"/>
    <mergeCell ref="AW195:BH195"/>
    <mergeCell ref="BI195:BL195"/>
    <mergeCell ref="BM195:BP195"/>
    <mergeCell ref="AD195:AF195"/>
    <mergeCell ref="AG195:AJ195"/>
    <mergeCell ref="BQ196:BT196"/>
    <mergeCell ref="BU196:BW196"/>
    <mergeCell ref="BQ197:BT197"/>
    <mergeCell ref="BU197:BW197"/>
    <mergeCell ref="BX197:CA197"/>
    <mergeCell ref="AA198:AC198"/>
    <mergeCell ref="AD198:AF198"/>
    <mergeCell ref="AG198:AJ198"/>
    <mergeCell ref="BI198:BL198"/>
    <mergeCell ref="BM198:BP198"/>
    <mergeCell ref="BQ198:BT198"/>
    <mergeCell ref="BU198:BW198"/>
    <mergeCell ref="BX198:CA198"/>
    <mergeCell ref="Q199:AF199"/>
    <mergeCell ref="AG199:AJ199"/>
    <mergeCell ref="AO199:AQ199"/>
    <mergeCell ref="AW199:BH199"/>
    <mergeCell ref="BI199:BL199"/>
    <mergeCell ref="BM199:BP199"/>
    <mergeCell ref="BQ199:BT199"/>
    <mergeCell ref="BU199:BW199"/>
    <mergeCell ref="BX199:CA199"/>
    <mergeCell ref="BI200:BL200"/>
    <mergeCell ref="BM200:BP200"/>
    <mergeCell ref="BQ200:BT200"/>
    <mergeCell ref="BU200:BW200"/>
    <mergeCell ref="BX200:CA200"/>
    <mergeCell ref="AW201:BH201"/>
    <mergeCell ref="BI201:BL201"/>
    <mergeCell ref="BM201:BP201"/>
    <mergeCell ref="BQ201:BT201"/>
    <mergeCell ref="BU201:BW201"/>
    <mergeCell ref="BX201:CA201"/>
    <mergeCell ref="BI202:BL202"/>
    <mergeCell ref="BM202:BP202"/>
    <mergeCell ref="BQ202:BT202"/>
    <mergeCell ref="BU202:BW202"/>
    <mergeCell ref="BX202:CA202"/>
    <mergeCell ref="BI203:BL203"/>
    <mergeCell ref="BM203:BP203"/>
    <mergeCell ref="BQ203:BT203"/>
    <mergeCell ref="BU203:BW203"/>
    <mergeCell ref="BX203:CA203"/>
    <mergeCell ref="AW200:BH200"/>
    <mergeCell ref="J216:K216"/>
    <mergeCell ref="Q216:Y216"/>
    <mergeCell ref="AA216:AC216"/>
    <mergeCell ref="AD216:AF216"/>
    <mergeCell ref="AG216:AJ216"/>
    <mergeCell ref="Q214:AU214"/>
    <mergeCell ref="N208:O208"/>
    <mergeCell ref="BI204:BL204"/>
    <mergeCell ref="BM204:BP204"/>
    <mergeCell ref="BQ204:BT204"/>
    <mergeCell ref="BU204:BW204"/>
    <mergeCell ref="BX204:CA204"/>
    <mergeCell ref="BI205:BL205"/>
    <mergeCell ref="BM205:BP205"/>
    <mergeCell ref="BQ205:BT205"/>
    <mergeCell ref="BU205:BW205"/>
    <mergeCell ref="BX205:CA205"/>
    <mergeCell ref="AW206:BH206"/>
    <mergeCell ref="BI206:BL206"/>
    <mergeCell ref="BM206:BP206"/>
    <mergeCell ref="BQ206:BT206"/>
    <mergeCell ref="BU206:BW206"/>
    <mergeCell ref="BX206:CA206"/>
    <mergeCell ref="AW207:BH207"/>
    <mergeCell ref="BI207:BL207"/>
    <mergeCell ref="BM207:BP207"/>
    <mergeCell ref="BQ207:BT207"/>
    <mergeCell ref="BX207:CA207"/>
    <mergeCell ref="M204:M206"/>
    <mergeCell ref="O204:O206"/>
    <mergeCell ref="BI216:BL216"/>
    <mergeCell ref="BM216:BP216"/>
    <mergeCell ref="BQ216:BT216"/>
    <mergeCell ref="BU216:BW216"/>
    <mergeCell ref="BM218:BP218"/>
    <mergeCell ref="BQ218:BT218"/>
    <mergeCell ref="BU218:BW218"/>
    <mergeCell ref="BX216:CA216"/>
    <mergeCell ref="Q217:Y217"/>
    <mergeCell ref="AA217:AC217"/>
    <mergeCell ref="AD217:AF217"/>
    <mergeCell ref="AG217:AJ217"/>
    <mergeCell ref="AW217:BH217"/>
    <mergeCell ref="BI217:BL217"/>
    <mergeCell ref="BI208:BL208"/>
    <mergeCell ref="BM208:BP208"/>
    <mergeCell ref="BN210:BU210"/>
    <mergeCell ref="BV210:CA210"/>
    <mergeCell ref="BL211:BT211"/>
    <mergeCell ref="BU211:BZ211"/>
    <mergeCell ref="AW209:CA209"/>
    <mergeCell ref="AW214:CA214"/>
    <mergeCell ref="AW215:BH216"/>
    <mergeCell ref="BL215:BT215"/>
    <mergeCell ref="BU215:CA215"/>
    <mergeCell ref="BQ219:BT219"/>
    <mergeCell ref="BU219:BW219"/>
    <mergeCell ref="BX219:CA219"/>
    <mergeCell ref="BX217:CA217"/>
    <mergeCell ref="Q218:Y218"/>
    <mergeCell ref="AA218:AC218"/>
    <mergeCell ref="AD218:AF218"/>
    <mergeCell ref="AG218:AJ218"/>
    <mergeCell ref="AW218:BH218"/>
    <mergeCell ref="BI218:BL218"/>
    <mergeCell ref="AW220:BH220"/>
    <mergeCell ref="BI220:BL220"/>
    <mergeCell ref="BM220:BP220"/>
    <mergeCell ref="BX218:CA218"/>
    <mergeCell ref="AA219:AC219"/>
    <mergeCell ref="AD219:AF219"/>
    <mergeCell ref="AG219:AJ219"/>
    <mergeCell ref="AW219:BH219"/>
    <mergeCell ref="BI219:BL219"/>
    <mergeCell ref="BM219:BP219"/>
    <mergeCell ref="BQ220:BT220"/>
    <mergeCell ref="BU220:BW220"/>
    <mergeCell ref="BX220:CA220"/>
    <mergeCell ref="BM217:BP217"/>
    <mergeCell ref="BQ217:BT217"/>
    <mergeCell ref="BU217:BW217"/>
    <mergeCell ref="AA221:AC221"/>
    <mergeCell ref="AD221:AF221"/>
    <mergeCell ref="AG221:AJ221"/>
    <mergeCell ref="AW221:BH221"/>
    <mergeCell ref="BI221:BL221"/>
    <mergeCell ref="BM221:BP221"/>
    <mergeCell ref="BQ221:BT221"/>
    <mergeCell ref="BU221:BW221"/>
    <mergeCell ref="BX221:CA221"/>
    <mergeCell ref="AA222:AC222"/>
    <mergeCell ref="AD222:AF222"/>
    <mergeCell ref="AG222:AJ222"/>
    <mergeCell ref="AW222:BH222"/>
    <mergeCell ref="BI222:BL222"/>
    <mergeCell ref="BM222:BP222"/>
    <mergeCell ref="BQ222:BT222"/>
    <mergeCell ref="BU222:BW222"/>
    <mergeCell ref="BX222:CA222"/>
    <mergeCell ref="AA223:AC223"/>
    <mergeCell ref="AD223:AF223"/>
    <mergeCell ref="AG223:AJ223"/>
    <mergeCell ref="AW223:BH223"/>
    <mergeCell ref="BI223:BL223"/>
    <mergeCell ref="BM223:BP223"/>
    <mergeCell ref="BQ223:BT223"/>
    <mergeCell ref="BU223:BW223"/>
    <mergeCell ref="BX223:CA223"/>
    <mergeCell ref="AG224:AJ224"/>
    <mergeCell ref="AW224:BH224"/>
    <mergeCell ref="J238:K238"/>
    <mergeCell ref="J237:L237"/>
    <mergeCell ref="AW231:BH231"/>
    <mergeCell ref="O224:O225"/>
    <mergeCell ref="Q224:Y224"/>
    <mergeCell ref="Q225:Y225"/>
    <mergeCell ref="BI224:BL224"/>
    <mergeCell ref="BM224:BP224"/>
    <mergeCell ref="BQ224:BT224"/>
    <mergeCell ref="BU224:BW224"/>
    <mergeCell ref="BX224:CA224"/>
    <mergeCell ref="AA225:AC225"/>
    <mergeCell ref="AD225:AF225"/>
    <mergeCell ref="AG225:AJ225"/>
    <mergeCell ref="AW225:BH225"/>
    <mergeCell ref="BI225:BL225"/>
    <mergeCell ref="BM225:BP225"/>
    <mergeCell ref="BQ225:BT225"/>
    <mergeCell ref="BU225:BW225"/>
    <mergeCell ref="BX225:CA225"/>
    <mergeCell ref="AA226:AC226"/>
    <mergeCell ref="AD226:AF226"/>
    <mergeCell ref="AG226:AJ226"/>
    <mergeCell ref="AK226:AN226"/>
    <mergeCell ref="AW226:BH226"/>
    <mergeCell ref="BI226:BL226"/>
    <mergeCell ref="BM226:BP226"/>
    <mergeCell ref="BQ226:BT226"/>
    <mergeCell ref="BU226:BW226"/>
    <mergeCell ref="BX226:CA226"/>
    <mergeCell ref="AA227:AC227"/>
    <mergeCell ref="AD227:AF227"/>
    <mergeCell ref="AG227:AJ227"/>
    <mergeCell ref="AW227:BH227"/>
    <mergeCell ref="BI227:BL227"/>
    <mergeCell ref="BM227:BP227"/>
    <mergeCell ref="BQ227:BT227"/>
    <mergeCell ref="BU227:BW227"/>
    <mergeCell ref="BX227:CA227"/>
    <mergeCell ref="AA228:AC228"/>
    <mergeCell ref="AD228:AF228"/>
    <mergeCell ref="AG228:AJ228"/>
    <mergeCell ref="AK228:AN228"/>
    <mergeCell ref="AW228:BH228"/>
    <mergeCell ref="BI228:BL228"/>
    <mergeCell ref="BM228:BP228"/>
    <mergeCell ref="BQ228:BT228"/>
    <mergeCell ref="BU228:BW228"/>
    <mergeCell ref="BX228:CA228"/>
    <mergeCell ref="AA229:AC229"/>
    <mergeCell ref="AD229:AF229"/>
    <mergeCell ref="AG229:AJ229"/>
    <mergeCell ref="BI229:BL229"/>
    <mergeCell ref="BM229:BP229"/>
    <mergeCell ref="BQ229:BT229"/>
    <mergeCell ref="BU229:BW229"/>
    <mergeCell ref="BX229:CA229"/>
    <mergeCell ref="Q230:AF230"/>
    <mergeCell ref="AG230:AJ230"/>
    <mergeCell ref="AO230:AQ230"/>
    <mergeCell ref="AW230:BH230"/>
    <mergeCell ref="BI230:BL230"/>
    <mergeCell ref="BM230:BP230"/>
    <mergeCell ref="BQ230:BT230"/>
    <mergeCell ref="BU230:BW230"/>
    <mergeCell ref="BX230:CA230"/>
    <mergeCell ref="BI231:BL231"/>
    <mergeCell ref="BM231:BP231"/>
    <mergeCell ref="BQ231:BT231"/>
    <mergeCell ref="BU231:BW231"/>
    <mergeCell ref="BX231:CA231"/>
    <mergeCell ref="AW232:BH232"/>
    <mergeCell ref="BI232:BL232"/>
    <mergeCell ref="BM232:BP232"/>
    <mergeCell ref="BQ232:BT232"/>
    <mergeCell ref="BU232:BW232"/>
    <mergeCell ref="BX232:CA232"/>
    <mergeCell ref="BI233:BL233"/>
    <mergeCell ref="BM233:BP233"/>
    <mergeCell ref="BQ233:BT233"/>
    <mergeCell ref="BU233:BW233"/>
    <mergeCell ref="BX233:CA233"/>
    <mergeCell ref="BI234:BL234"/>
    <mergeCell ref="BM234:BP234"/>
    <mergeCell ref="BQ234:BT234"/>
    <mergeCell ref="BU234:BW234"/>
    <mergeCell ref="BX234:CA234"/>
    <mergeCell ref="BI235:BL235"/>
    <mergeCell ref="BM235:BP235"/>
    <mergeCell ref="BQ235:BT235"/>
    <mergeCell ref="BU235:BW235"/>
    <mergeCell ref="BX235:CA235"/>
    <mergeCell ref="BI236:BL236"/>
    <mergeCell ref="BM236:BP236"/>
    <mergeCell ref="BQ236:BT236"/>
    <mergeCell ref="BU236:BW236"/>
    <mergeCell ref="BX236:CA236"/>
    <mergeCell ref="AW237:BH237"/>
    <mergeCell ref="BI237:BL237"/>
    <mergeCell ref="BM237:BP237"/>
    <mergeCell ref="BQ237:BT237"/>
    <mergeCell ref="BU237:BW237"/>
    <mergeCell ref="BX237:CA237"/>
    <mergeCell ref="AW238:BH238"/>
    <mergeCell ref="BI238:BL238"/>
    <mergeCell ref="BM238:BP238"/>
    <mergeCell ref="BQ238:BT238"/>
    <mergeCell ref="BX238:CA238"/>
    <mergeCell ref="BI239:BL239"/>
    <mergeCell ref="BM239:BP239"/>
    <mergeCell ref="BN241:BU241"/>
    <mergeCell ref="BV241:CA241"/>
    <mergeCell ref="BL242:BT242"/>
    <mergeCell ref="BU242:BZ242"/>
    <mergeCell ref="AW240:CA240"/>
    <mergeCell ref="AW245:CA245"/>
    <mergeCell ref="AW246:BH247"/>
    <mergeCell ref="BL246:BT246"/>
    <mergeCell ref="BU246:CA246"/>
    <mergeCell ref="J247:K247"/>
    <mergeCell ref="Q247:Y247"/>
    <mergeCell ref="AA247:AC247"/>
    <mergeCell ref="AD247:AF247"/>
    <mergeCell ref="AG247:AJ247"/>
    <mergeCell ref="BM248:BP248"/>
    <mergeCell ref="BQ248:BT248"/>
    <mergeCell ref="BU248:BW248"/>
    <mergeCell ref="AK247:AN247"/>
    <mergeCell ref="AO247:AQ247"/>
    <mergeCell ref="BI247:BL247"/>
    <mergeCell ref="BM247:BP247"/>
    <mergeCell ref="BQ247:BT247"/>
    <mergeCell ref="BU247:BW247"/>
    <mergeCell ref="BX247:CA247"/>
    <mergeCell ref="Q248:Y248"/>
    <mergeCell ref="AA248:AC248"/>
    <mergeCell ref="AD248:AF248"/>
    <mergeCell ref="AG248:AJ248"/>
    <mergeCell ref="AW248:BH248"/>
    <mergeCell ref="BI248:BL248"/>
    <mergeCell ref="BX248:CA248"/>
    <mergeCell ref="Q249:Y249"/>
    <mergeCell ref="AA249:AC249"/>
    <mergeCell ref="AD249:AF249"/>
    <mergeCell ref="AG249:AJ249"/>
    <mergeCell ref="AW249:BH249"/>
    <mergeCell ref="BI249:BL249"/>
    <mergeCell ref="AW251:BH251"/>
    <mergeCell ref="BI251:BL251"/>
    <mergeCell ref="BM251:BP251"/>
    <mergeCell ref="BX249:CA249"/>
    <mergeCell ref="AA250:AC250"/>
    <mergeCell ref="AD250:AF250"/>
    <mergeCell ref="AG250:AJ250"/>
    <mergeCell ref="AW250:BH250"/>
    <mergeCell ref="BI250:BL250"/>
    <mergeCell ref="BM250:BP250"/>
    <mergeCell ref="BQ251:BT251"/>
    <mergeCell ref="BU251:BW251"/>
    <mergeCell ref="BX251:CA251"/>
    <mergeCell ref="AA252:AC252"/>
    <mergeCell ref="AD252:AF252"/>
    <mergeCell ref="AG252:AJ252"/>
    <mergeCell ref="AW252:BH252"/>
    <mergeCell ref="BI252:BL252"/>
    <mergeCell ref="BM252:BP252"/>
    <mergeCell ref="BQ252:BT252"/>
    <mergeCell ref="BU252:BW252"/>
    <mergeCell ref="BX252:CA252"/>
    <mergeCell ref="AD251:AF251"/>
    <mergeCell ref="AG251:AJ251"/>
    <mergeCell ref="BM249:BP249"/>
    <mergeCell ref="BQ249:BT249"/>
    <mergeCell ref="BU249:BW249"/>
    <mergeCell ref="AA253:AC253"/>
    <mergeCell ref="AD253:AF253"/>
    <mergeCell ref="AG253:AJ253"/>
    <mergeCell ref="AW253:BH253"/>
    <mergeCell ref="BI253:BL253"/>
    <mergeCell ref="BM253:BP253"/>
    <mergeCell ref="BQ253:BT253"/>
    <mergeCell ref="BU253:BW253"/>
    <mergeCell ref="BX253:CA253"/>
    <mergeCell ref="BQ250:BT250"/>
    <mergeCell ref="BU250:BW250"/>
    <mergeCell ref="BX250:CA250"/>
    <mergeCell ref="AA254:AC254"/>
    <mergeCell ref="AD254:AF254"/>
    <mergeCell ref="AG254:AJ254"/>
    <mergeCell ref="AW254:BH254"/>
    <mergeCell ref="BI254:BL254"/>
    <mergeCell ref="BM254:BP254"/>
    <mergeCell ref="BQ254:BT254"/>
    <mergeCell ref="BU254:BW254"/>
    <mergeCell ref="BX254:CA254"/>
    <mergeCell ref="M255:M256"/>
    <mergeCell ref="AA255:AC255"/>
    <mergeCell ref="AD255:AF255"/>
    <mergeCell ref="AG255:AJ255"/>
    <mergeCell ref="AW255:BH255"/>
    <mergeCell ref="J268:K268"/>
    <mergeCell ref="J267:L267"/>
    <mergeCell ref="AW262:BH262"/>
    <mergeCell ref="O266:O268"/>
    <mergeCell ref="O255:O256"/>
    <mergeCell ref="BI255:BL255"/>
    <mergeCell ref="BM255:BP255"/>
    <mergeCell ref="BQ255:BT255"/>
    <mergeCell ref="BU255:BW255"/>
    <mergeCell ref="BX255:CA255"/>
    <mergeCell ref="AA256:AC256"/>
    <mergeCell ref="AD256:AF256"/>
    <mergeCell ref="AG256:AJ256"/>
    <mergeCell ref="AW256:BH256"/>
    <mergeCell ref="BI256:BL256"/>
    <mergeCell ref="BM256:BP256"/>
    <mergeCell ref="BQ256:BT256"/>
    <mergeCell ref="BU256:BW256"/>
    <mergeCell ref="BX256:CA256"/>
    <mergeCell ref="AA257:AC257"/>
    <mergeCell ref="AD257:AF257"/>
    <mergeCell ref="AG257:AJ257"/>
    <mergeCell ref="AK257:AN257"/>
    <mergeCell ref="AW257:BH257"/>
    <mergeCell ref="BI257:BL257"/>
    <mergeCell ref="BM257:BP257"/>
    <mergeCell ref="BQ257:BT257"/>
    <mergeCell ref="BU257:BW257"/>
    <mergeCell ref="BX257:CA257"/>
    <mergeCell ref="AA258:AC258"/>
    <mergeCell ref="AD258:AF258"/>
    <mergeCell ref="AG258:AJ258"/>
    <mergeCell ref="AW258:BH258"/>
    <mergeCell ref="BI258:BL258"/>
    <mergeCell ref="BM258:BP258"/>
    <mergeCell ref="BQ258:BT258"/>
    <mergeCell ref="BU258:BW258"/>
    <mergeCell ref="BX258:CA258"/>
    <mergeCell ref="AA259:AC259"/>
    <mergeCell ref="AD259:AF259"/>
    <mergeCell ref="AG259:AJ259"/>
    <mergeCell ref="AK259:AN259"/>
    <mergeCell ref="AW259:BH259"/>
    <mergeCell ref="BI259:BL259"/>
    <mergeCell ref="BM259:BP259"/>
    <mergeCell ref="BQ259:BT259"/>
    <mergeCell ref="BU259:BW259"/>
    <mergeCell ref="BX259:CA259"/>
    <mergeCell ref="AA260:AC260"/>
    <mergeCell ref="AD260:AF260"/>
    <mergeCell ref="AG260:AJ260"/>
    <mergeCell ref="BI260:BL260"/>
    <mergeCell ref="BM260:BP260"/>
    <mergeCell ref="BQ260:BT260"/>
    <mergeCell ref="BU260:BW260"/>
    <mergeCell ref="BX260:CA260"/>
    <mergeCell ref="Q261:AF261"/>
    <mergeCell ref="AG261:AJ261"/>
    <mergeCell ref="AO261:AQ261"/>
    <mergeCell ref="AW261:BH261"/>
    <mergeCell ref="BI261:BL261"/>
    <mergeCell ref="BM261:BP261"/>
    <mergeCell ref="BQ261:BT261"/>
    <mergeCell ref="BU261:BW261"/>
    <mergeCell ref="BX261:CA261"/>
    <mergeCell ref="Q260:Y260"/>
    <mergeCell ref="BI262:BL262"/>
    <mergeCell ref="BM262:BP262"/>
    <mergeCell ref="BQ262:BT262"/>
    <mergeCell ref="BU262:BW262"/>
    <mergeCell ref="BX262:CA262"/>
    <mergeCell ref="AW263:BH263"/>
    <mergeCell ref="BI263:BL263"/>
    <mergeCell ref="BM263:BP263"/>
    <mergeCell ref="BQ263:BT263"/>
    <mergeCell ref="BU263:BW263"/>
    <mergeCell ref="BX263:CA263"/>
    <mergeCell ref="BI264:BL264"/>
    <mergeCell ref="BM264:BP264"/>
    <mergeCell ref="BQ264:BT264"/>
    <mergeCell ref="BU264:BW264"/>
    <mergeCell ref="BX264:CA264"/>
    <mergeCell ref="BI265:BL265"/>
    <mergeCell ref="BM265:BP265"/>
    <mergeCell ref="BQ265:BT265"/>
    <mergeCell ref="BU265:BW265"/>
    <mergeCell ref="BX265:CA265"/>
    <mergeCell ref="BI266:BL266"/>
    <mergeCell ref="BM266:BP266"/>
    <mergeCell ref="BQ266:BT266"/>
    <mergeCell ref="BU266:BW266"/>
    <mergeCell ref="BX266:CA266"/>
    <mergeCell ref="BI267:BL267"/>
    <mergeCell ref="BM267:BP267"/>
    <mergeCell ref="BQ267:BT267"/>
    <mergeCell ref="BU267:BW267"/>
    <mergeCell ref="BX267:CA267"/>
    <mergeCell ref="AW268:BH268"/>
    <mergeCell ref="BI268:BL268"/>
    <mergeCell ref="BM268:BP268"/>
    <mergeCell ref="BQ268:BT268"/>
    <mergeCell ref="BU268:BW268"/>
    <mergeCell ref="BX268:CA268"/>
    <mergeCell ref="AW269:BH269"/>
    <mergeCell ref="BI269:BL269"/>
    <mergeCell ref="BM269:BP269"/>
    <mergeCell ref="BQ269:BT269"/>
    <mergeCell ref="BX269:CA269"/>
    <mergeCell ref="BI270:BL270"/>
    <mergeCell ref="BM270:BP270"/>
    <mergeCell ref="BN272:BU272"/>
    <mergeCell ref="BV272:CA272"/>
    <mergeCell ref="BL273:BT273"/>
    <mergeCell ref="BU273:BZ273"/>
    <mergeCell ref="AW271:CA271"/>
    <mergeCell ref="AW275:CA275"/>
    <mergeCell ref="AW276:BH277"/>
    <mergeCell ref="BL276:BT276"/>
    <mergeCell ref="BU276:CA276"/>
    <mergeCell ref="J277:K277"/>
    <mergeCell ref="Q277:Y277"/>
    <mergeCell ref="AA277:AC277"/>
    <mergeCell ref="AD277:AF277"/>
    <mergeCell ref="AG277:AJ277"/>
    <mergeCell ref="BM278:BP278"/>
    <mergeCell ref="BQ278:BT278"/>
    <mergeCell ref="BU278:BW278"/>
    <mergeCell ref="AK277:AN277"/>
    <mergeCell ref="AO277:AQ277"/>
    <mergeCell ref="BI277:BL277"/>
    <mergeCell ref="BM277:BP277"/>
    <mergeCell ref="BQ277:BT277"/>
    <mergeCell ref="BU277:BW277"/>
    <mergeCell ref="BX277:CA277"/>
    <mergeCell ref="Q278:Y278"/>
    <mergeCell ref="AA278:AC278"/>
    <mergeCell ref="AD278:AF278"/>
    <mergeCell ref="AG278:AJ278"/>
    <mergeCell ref="AW278:BH278"/>
    <mergeCell ref="BI278:BL278"/>
    <mergeCell ref="BX278:CA278"/>
    <mergeCell ref="Q279:Y279"/>
    <mergeCell ref="AA279:AC279"/>
    <mergeCell ref="AD279:AF279"/>
    <mergeCell ref="AG279:AJ279"/>
    <mergeCell ref="AW279:BH279"/>
    <mergeCell ref="BI279:BL279"/>
    <mergeCell ref="Q280:Y280"/>
    <mergeCell ref="AW281:BH281"/>
    <mergeCell ref="BI281:BL281"/>
    <mergeCell ref="BM281:BP281"/>
    <mergeCell ref="BX279:CA279"/>
    <mergeCell ref="AA280:AC280"/>
    <mergeCell ref="AD280:AF280"/>
    <mergeCell ref="AG280:AJ280"/>
    <mergeCell ref="AW280:BH280"/>
    <mergeCell ref="BI280:BL280"/>
    <mergeCell ref="BM280:BP280"/>
    <mergeCell ref="BQ281:BT281"/>
    <mergeCell ref="BU281:BW281"/>
    <mergeCell ref="BX281:CA281"/>
    <mergeCell ref="AA282:AC282"/>
    <mergeCell ref="AD282:AF282"/>
    <mergeCell ref="AG282:AJ282"/>
    <mergeCell ref="AW282:BH282"/>
    <mergeCell ref="BI282:BL282"/>
    <mergeCell ref="BM282:BP282"/>
    <mergeCell ref="BQ282:BT282"/>
    <mergeCell ref="BU282:BW282"/>
    <mergeCell ref="BX282:CA282"/>
    <mergeCell ref="BM279:BP279"/>
    <mergeCell ref="BQ279:BT279"/>
    <mergeCell ref="BU279:BW279"/>
    <mergeCell ref="AA283:AC283"/>
    <mergeCell ref="AD283:AF283"/>
    <mergeCell ref="AG283:AJ283"/>
    <mergeCell ref="AW283:BH283"/>
    <mergeCell ref="BI283:BL283"/>
    <mergeCell ref="BM283:BP283"/>
    <mergeCell ref="BQ283:BT283"/>
    <mergeCell ref="BU283:BW283"/>
    <mergeCell ref="BX283:CA283"/>
    <mergeCell ref="BQ280:BT280"/>
    <mergeCell ref="BU280:BW280"/>
    <mergeCell ref="BX280:CA280"/>
    <mergeCell ref="AA284:AC284"/>
    <mergeCell ref="AD284:AF284"/>
    <mergeCell ref="AG284:AJ284"/>
    <mergeCell ref="AW284:BH284"/>
    <mergeCell ref="BI284:BL284"/>
    <mergeCell ref="BM284:BP284"/>
    <mergeCell ref="BQ284:BT284"/>
    <mergeCell ref="BU284:BW284"/>
    <mergeCell ref="BX284:CA284"/>
    <mergeCell ref="AA285:AC285"/>
    <mergeCell ref="AD285:AF285"/>
    <mergeCell ref="AG285:AJ285"/>
    <mergeCell ref="AW285:BH285"/>
    <mergeCell ref="J299:K299"/>
    <mergeCell ref="J298:L298"/>
    <mergeCell ref="AW292:BH292"/>
    <mergeCell ref="O285:O286"/>
    <mergeCell ref="Q289:Y289"/>
    <mergeCell ref="Q290:Y290"/>
    <mergeCell ref="BI285:BL285"/>
    <mergeCell ref="BM285:BP285"/>
    <mergeCell ref="BQ285:BT285"/>
    <mergeCell ref="BU285:BW285"/>
    <mergeCell ref="BX285:CA285"/>
    <mergeCell ref="AA286:AC286"/>
    <mergeCell ref="AD286:AF286"/>
    <mergeCell ref="AG286:AJ286"/>
    <mergeCell ref="AW286:BH286"/>
    <mergeCell ref="BI286:BL286"/>
    <mergeCell ref="BM286:BP286"/>
    <mergeCell ref="BQ286:BT286"/>
    <mergeCell ref="BU286:BW286"/>
    <mergeCell ref="BX286:CA286"/>
    <mergeCell ref="AA287:AC287"/>
    <mergeCell ref="AD287:AF287"/>
    <mergeCell ref="AG287:AJ287"/>
    <mergeCell ref="AK287:AN287"/>
    <mergeCell ref="AW287:BH287"/>
    <mergeCell ref="BI287:BL287"/>
    <mergeCell ref="BM287:BP287"/>
    <mergeCell ref="BQ287:BT287"/>
    <mergeCell ref="BU287:BW287"/>
    <mergeCell ref="BX287:CA287"/>
    <mergeCell ref="AA288:AC288"/>
    <mergeCell ref="AD288:AF288"/>
    <mergeCell ref="AG288:AJ288"/>
    <mergeCell ref="AW288:BH288"/>
    <mergeCell ref="BI288:BL288"/>
    <mergeCell ref="BM288:BP288"/>
    <mergeCell ref="BQ288:BT288"/>
    <mergeCell ref="BU288:BW288"/>
    <mergeCell ref="BX288:CA288"/>
    <mergeCell ref="AA289:AC289"/>
    <mergeCell ref="AD289:AF289"/>
    <mergeCell ref="AG289:AJ289"/>
    <mergeCell ref="AK289:AN289"/>
    <mergeCell ref="AW289:BH289"/>
    <mergeCell ref="BI289:BL289"/>
    <mergeCell ref="BM289:BP289"/>
    <mergeCell ref="BQ289:BT289"/>
    <mergeCell ref="BU289:BW289"/>
    <mergeCell ref="BX289:CA289"/>
    <mergeCell ref="AA290:AC290"/>
    <mergeCell ref="AD290:AF290"/>
    <mergeCell ref="AG290:AJ290"/>
    <mergeCell ref="BI290:BL290"/>
    <mergeCell ref="BM290:BP290"/>
    <mergeCell ref="BQ290:BT290"/>
    <mergeCell ref="BU290:BW290"/>
    <mergeCell ref="BX290:CA290"/>
    <mergeCell ref="Q291:AF291"/>
    <mergeCell ref="AG291:AJ291"/>
    <mergeCell ref="AO291:AQ291"/>
    <mergeCell ref="AW291:BH291"/>
    <mergeCell ref="BI291:BL291"/>
    <mergeCell ref="BM291:BP291"/>
    <mergeCell ref="BQ291:BT291"/>
    <mergeCell ref="BU291:BW291"/>
    <mergeCell ref="BX291:CA291"/>
    <mergeCell ref="BI292:BL292"/>
    <mergeCell ref="BM292:BP292"/>
    <mergeCell ref="BQ292:BT292"/>
    <mergeCell ref="BU292:BW292"/>
    <mergeCell ref="BX292:CA292"/>
    <mergeCell ref="AW293:BH293"/>
    <mergeCell ref="BI293:BL293"/>
    <mergeCell ref="BM293:BP293"/>
    <mergeCell ref="BQ293:BT293"/>
    <mergeCell ref="BU293:BW293"/>
    <mergeCell ref="BX293:CA293"/>
    <mergeCell ref="BI294:BL294"/>
    <mergeCell ref="BM294:BP294"/>
    <mergeCell ref="BQ294:BT294"/>
    <mergeCell ref="BU294:BW294"/>
    <mergeCell ref="BX294:CA294"/>
    <mergeCell ref="BI295:BL295"/>
    <mergeCell ref="BM295:BP295"/>
    <mergeCell ref="BQ295:BT295"/>
    <mergeCell ref="BU295:BW295"/>
    <mergeCell ref="BX295:CA295"/>
    <mergeCell ref="BI296:BL296"/>
    <mergeCell ref="BM296:BP296"/>
    <mergeCell ref="BQ296:BT296"/>
    <mergeCell ref="BU296:BW296"/>
    <mergeCell ref="BX296:CA296"/>
    <mergeCell ref="BI297:BL297"/>
    <mergeCell ref="BM297:BP297"/>
    <mergeCell ref="BQ297:BT297"/>
    <mergeCell ref="BU297:BW297"/>
    <mergeCell ref="BX297:CA297"/>
    <mergeCell ref="J308:K308"/>
    <mergeCell ref="Q308:Y308"/>
    <mergeCell ref="AA308:AC308"/>
    <mergeCell ref="AD308:AF308"/>
    <mergeCell ref="AG308:AJ308"/>
    <mergeCell ref="AK308:AN308"/>
    <mergeCell ref="AO308:AQ308"/>
    <mergeCell ref="BI308:BL308"/>
    <mergeCell ref="BM308:BP308"/>
    <mergeCell ref="BQ308:BT308"/>
    <mergeCell ref="BU308:BW308"/>
    <mergeCell ref="BX308:CA308"/>
    <mergeCell ref="AW298:BH298"/>
    <mergeCell ref="BI298:BL298"/>
    <mergeCell ref="BM298:BP298"/>
    <mergeCell ref="BQ298:BT298"/>
    <mergeCell ref="BU298:BW298"/>
    <mergeCell ref="BX298:CA298"/>
    <mergeCell ref="AW299:BH299"/>
    <mergeCell ref="BI299:BL299"/>
    <mergeCell ref="BM299:BP299"/>
    <mergeCell ref="BQ299:BT299"/>
    <mergeCell ref="BX299:CA299"/>
    <mergeCell ref="BI300:BL300"/>
    <mergeCell ref="BM300:BP300"/>
    <mergeCell ref="BN302:BU302"/>
    <mergeCell ref="BV302:CA302"/>
    <mergeCell ref="BL303:BT303"/>
    <mergeCell ref="BU303:BZ303"/>
    <mergeCell ref="N300:O300"/>
    <mergeCell ref="Q306:AU306"/>
    <mergeCell ref="AW306:CA306"/>
    <mergeCell ref="Q309:Y309"/>
    <mergeCell ref="AA309:AC309"/>
    <mergeCell ref="AD309:AF309"/>
    <mergeCell ref="AG309:AJ309"/>
    <mergeCell ref="AW309:BH309"/>
    <mergeCell ref="BI309:BL309"/>
    <mergeCell ref="BM309:BP309"/>
    <mergeCell ref="BQ309:BT309"/>
    <mergeCell ref="BU309:BW309"/>
    <mergeCell ref="BX309:CA309"/>
    <mergeCell ref="Q310:Y310"/>
    <mergeCell ref="AA310:AC310"/>
    <mergeCell ref="AD310:AF310"/>
    <mergeCell ref="AG310:AJ310"/>
    <mergeCell ref="AW310:BH310"/>
    <mergeCell ref="BI310:BL310"/>
    <mergeCell ref="BM310:BP310"/>
    <mergeCell ref="BQ310:BT310"/>
    <mergeCell ref="BU310:BW310"/>
    <mergeCell ref="AW307:BH308"/>
    <mergeCell ref="BL307:BT307"/>
    <mergeCell ref="BU307:CA307"/>
    <mergeCell ref="AA311:AC311"/>
    <mergeCell ref="AD311:AF311"/>
    <mergeCell ref="AG311:AJ311"/>
    <mergeCell ref="AW311:BH311"/>
    <mergeCell ref="BI311:BL311"/>
    <mergeCell ref="BM311:BP311"/>
    <mergeCell ref="AD312:AF312"/>
    <mergeCell ref="AG312:AJ312"/>
    <mergeCell ref="AW312:BH312"/>
    <mergeCell ref="BI312:BL312"/>
    <mergeCell ref="BM312:BP312"/>
    <mergeCell ref="BX310:CA310"/>
    <mergeCell ref="BQ311:BT311"/>
    <mergeCell ref="BU311:BW311"/>
    <mergeCell ref="BX311:CA311"/>
    <mergeCell ref="BQ312:BT312"/>
    <mergeCell ref="BU312:BW312"/>
    <mergeCell ref="BX312:CA312"/>
    <mergeCell ref="BX317:CA317"/>
    <mergeCell ref="AA318:AC318"/>
    <mergeCell ref="AA313:AC313"/>
    <mergeCell ref="AD313:AF313"/>
    <mergeCell ref="AG313:AJ313"/>
    <mergeCell ref="AW313:BH313"/>
    <mergeCell ref="BI313:BL313"/>
    <mergeCell ref="BM313:BP313"/>
    <mergeCell ref="BQ313:BT313"/>
    <mergeCell ref="BU313:BW313"/>
    <mergeCell ref="BX313:CA313"/>
    <mergeCell ref="AA314:AC314"/>
    <mergeCell ref="AD314:AF314"/>
    <mergeCell ref="AG314:AJ314"/>
    <mergeCell ref="AW314:BH314"/>
    <mergeCell ref="BI314:BL314"/>
    <mergeCell ref="BM314:BP314"/>
    <mergeCell ref="BQ314:BT314"/>
    <mergeCell ref="BU314:BW314"/>
    <mergeCell ref="BX314:CA314"/>
    <mergeCell ref="BU319:BW319"/>
    <mergeCell ref="BX319:CA319"/>
    <mergeCell ref="AA315:AC315"/>
    <mergeCell ref="AD315:AF315"/>
    <mergeCell ref="AG315:AJ315"/>
    <mergeCell ref="AW315:BH315"/>
    <mergeCell ref="BI315:BL315"/>
    <mergeCell ref="BM315:BP315"/>
    <mergeCell ref="BQ315:BT315"/>
    <mergeCell ref="BU315:BW315"/>
    <mergeCell ref="BX315:CA315"/>
    <mergeCell ref="AW316:BH316"/>
    <mergeCell ref="J329:K329"/>
    <mergeCell ref="J328:L328"/>
    <mergeCell ref="AW323:BH323"/>
    <mergeCell ref="O316:O317"/>
    <mergeCell ref="Q317:Y317"/>
    <mergeCell ref="Q318:Y318"/>
    <mergeCell ref="AG316:AJ316"/>
    <mergeCell ref="BI316:BL316"/>
    <mergeCell ref="BM316:BP316"/>
    <mergeCell ref="BQ316:BT316"/>
    <mergeCell ref="BU316:BW316"/>
    <mergeCell ref="BX316:CA316"/>
    <mergeCell ref="AA317:AC317"/>
    <mergeCell ref="AD317:AF317"/>
    <mergeCell ref="AG317:AJ317"/>
    <mergeCell ref="AW317:BH317"/>
    <mergeCell ref="BI317:BL317"/>
    <mergeCell ref="BM317:BP317"/>
    <mergeCell ref="BQ317:BT317"/>
    <mergeCell ref="BU317:BW317"/>
    <mergeCell ref="AG320:AJ320"/>
    <mergeCell ref="AK320:AN320"/>
    <mergeCell ref="AW320:BH320"/>
    <mergeCell ref="BI320:BL320"/>
    <mergeCell ref="BM320:BP320"/>
    <mergeCell ref="BQ320:BT320"/>
    <mergeCell ref="BU320:BW320"/>
    <mergeCell ref="BX320:CA320"/>
    <mergeCell ref="AA321:AC321"/>
    <mergeCell ref="AD321:AF321"/>
    <mergeCell ref="AG321:AJ321"/>
    <mergeCell ref="BI321:BL321"/>
    <mergeCell ref="BM321:BP321"/>
    <mergeCell ref="BQ321:BT321"/>
    <mergeCell ref="BU321:BW321"/>
    <mergeCell ref="BX321:CA321"/>
    <mergeCell ref="AD318:AF318"/>
    <mergeCell ref="AG318:AJ318"/>
    <mergeCell ref="AK318:AN318"/>
    <mergeCell ref="AW318:BH318"/>
    <mergeCell ref="BI318:BL318"/>
    <mergeCell ref="BM318:BP318"/>
    <mergeCell ref="BQ318:BT318"/>
    <mergeCell ref="BU318:BW318"/>
    <mergeCell ref="BX318:CA318"/>
    <mergeCell ref="AA319:AC319"/>
    <mergeCell ref="AD319:AF319"/>
    <mergeCell ref="AG319:AJ319"/>
    <mergeCell ref="AW319:BH319"/>
    <mergeCell ref="BI319:BL319"/>
    <mergeCell ref="BM319:BP319"/>
    <mergeCell ref="BQ319:BT319"/>
    <mergeCell ref="AW322:BH322"/>
    <mergeCell ref="BI322:BL322"/>
    <mergeCell ref="BM322:BP322"/>
    <mergeCell ref="BQ322:BT322"/>
    <mergeCell ref="BU322:BW322"/>
    <mergeCell ref="BX322:CA322"/>
    <mergeCell ref="BI323:BL323"/>
    <mergeCell ref="BM323:BP323"/>
    <mergeCell ref="BQ323:BT323"/>
    <mergeCell ref="BU323:BW323"/>
    <mergeCell ref="BX323:CA323"/>
    <mergeCell ref="AW324:BH324"/>
    <mergeCell ref="BI324:BL324"/>
    <mergeCell ref="BM324:BP324"/>
    <mergeCell ref="BQ324:BT324"/>
    <mergeCell ref="BU324:BW324"/>
    <mergeCell ref="BX324:CA324"/>
    <mergeCell ref="BI325:BL325"/>
    <mergeCell ref="BM325:BP325"/>
    <mergeCell ref="BQ325:BT325"/>
    <mergeCell ref="BU325:BW325"/>
    <mergeCell ref="BX325:CA325"/>
    <mergeCell ref="BI326:BL326"/>
    <mergeCell ref="BM326:BP326"/>
    <mergeCell ref="BQ326:BT326"/>
    <mergeCell ref="BU326:BW326"/>
    <mergeCell ref="BX326:CA326"/>
    <mergeCell ref="BI327:BL327"/>
    <mergeCell ref="BM327:BP327"/>
    <mergeCell ref="BQ327:BT327"/>
    <mergeCell ref="BU327:BW327"/>
    <mergeCell ref="BX327:CA327"/>
    <mergeCell ref="BI328:BL328"/>
    <mergeCell ref="BM328:BP328"/>
    <mergeCell ref="BQ328:BT328"/>
    <mergeCell ref="BU328:BW328"/>
    <mergeCell ref="BX328:CA328"/>
    <mergeCell ref="AW329:BH329"/>
    <mergeCell ref="BI329:BL329"/>
    <mergeCell ref="BM329:BP329"/>
    <mergeCell ref="BQ329:BT329"/>
    <mergeCell ref="BU329:BW329"/>
    <mergeCell ref="BX329:CA329"/>
    <mergeCell ref="AW330:BH330"/>
    <mergeCell ref="BI330:BL330"/>
    <mergeCell ref="BM330:BP330"/>
    <mergeCell ref="BQ330:BT330"/>
    <mergeCell ref="BX330:CA330"/>
    <mergeCell ref="BI331:BL331"/>
    <mergeCell ref="BM331:BP331"/>
    <mergeCell ref="BN333:BU333"/>
    <mergeCell ref="BV333:CA333"/>
    <mergeCell ref="BL334:BT334"/>
    <mergeCell ref="BU334:BZ334"/>
    <mergeCell ref="AW336:CA336"/>
    <mergeCell ref="AW337:BH338"/>
    <mergeCell ref="BL337:BT337"/>
    <mergeCell ref="BU337:CA337"/>
    <mergeCell ref="J338:K338"/>
    <mergeCell ref="Q338:Y338"/>
    <mergeCell ref="AA338:AC338"/>
    <mergeCell ref="AD338:AF338"/>
    <mergeCell ref="AG338:AJ338"/>
    <mergeCell ref="AK338:AN338"/>
    <mergeCell ref="AO338:AQ338"/>
    <mergeCell ref="BI338:BL338"/>
    <mergeCell ref="BM338:BP338"/>
    <mergeCell ref="BQ338:BT338"/>
    <mergeCell ref="BU338:BW338"/>
    <mergeCell ref="BX338:CA338"/>
    <mergeCell ref="Q339:Y339"/>
    <mergeCell ref="AA339:AC339"/>
    <mergeCell ref="AD339:AF339"/>
    <mergeCell ref="AG339:AJ339"/>
    <mergeCell ref="AW339:BH339"/>
    <mergeCell ref="BI339:BL339"/>
    <mergeCell ref="BM339:BP339"/>
    <mergeCell ref="BQ339:BT339"/>
    <mergeCell ref="BU339:BW339"/>
    <mergeCell ref="BX339:CA339"/>
    <mergeCell ref="Q340:Y340"/>
    <mergeCell ref="AA340:AC340"/>
    <mergeCell ref="AD340:AF340"/>
    <mergeCell ref="AG340:AJ340"/>
    <mergeCell ref="AW340:BH340"/>
    <mergeCell ref="BI340:BL340"/>
    <mergeCell ref="BM340:BP340"/>
    <mergeCell ref="BQ340:BT340"/>
    <mergeCell ref="BU340:BW340"/>
    <mergeCell ref="BX340:CA340"/>
    <mergeCell ref="AA341:AC341"/>
    <mergeCell ref="AD341:AF341"/>
    <mergeCell ref="AG341:AJ341"/>
    <mergeCell ref="AW341:BH341"/>
    <mergeCell ref="BI341:BL341"/>
    <mergeCell ref="BM341:BP341"/>
    <mergeCell ref="BQ341:BT341"/>
    <mergeCell ref="BU341:BW341"/>
    <mergeCell ref="BX341:CA341"/>
    <mergeCell ref="AA342:AC342"/>
    <mergeCell ref="AD342:AF342"/>
    <mergeCell ref="AG342:AJ342"/>
    <mergeCell ref="AW342:BH342"/>
    <mergeCell ref="BI342:BL342"/>
    <mergeCell ref="BM342:BP342"/>
    <mergeCell ref="BQ342:BT342"/>
    <mergeCell ref="BU342:BW342"/>
    <mergeCell ref="BX342:CA342"/>
    <mergeCell ref="AA343:AC343"/>
    <mergeCell ref="AD343:AF343"/>
    <mergeCell ref="AG343:AJ343"/>
    <mergeCell ref="AW343:BH343"/>
    <mergeCell ref="BI343:BL343"/>
    <mergeCell ref="BM343:BP343"/>
    <mergeCell ref="BQ343:BT343"/>
    <mergeCell ref="BU343:BW343"/>
    <mergeCell ref="BX343:CA343"/>
    <mergeCell ref="AA344:AC344"/>
    <mergeCell ref="AD344:AF344"/>
    <mergeCell ref="AG344:AJ344"/>
    <mergeCell ref="AW344:BH344"/>
    <mergeCell ref="BI344:BL344"/>
    <mergeCell ref="BM344:BP344"/>
    <mergeCell ref="BQ344:BT344"/>
    <mergeCell ref="BU344:BW344"/>
    <mergeCell ref="BX344:CA344"/>
    <mergeCell ref="AA345:AC345"/>
    <mergeCell ref="AD345:AF345"/>
    <mergeCell ref="AG345:AJ345"/>
    <mergeCell ref="AW345:BH345"/>
    <mergeCell ref="BI345:BL345"/>
    <mergeCell ref="BM345:BP345"/>
    <mergeCell ref="BQ345:BT345"/>
    <mergeCell ref="BU345:BW345"/>
    <mergeCell ref="BX345:CA345"/>
    <mergeCell ref="J360:K360"/>
    <mergeCell ref="J359:L359"/>
    <mergeCell ref="AW353:BH353"/>
    <mergeCell ref="AW354:BH354"/>
    <mergeCell ref="O346:O347"/>
    <mergeCell ref="M357:M359"/>
    <mergeCell ref="AA349:AC349"/>
    <mergeCell ref="AD349:AF349"/>
    <mergeCell ref="AG349:AJ349"/>
    <mergeCell ref="AW349:BH349"/>
    <mergeCell ref="BI349:BL349"/>
    <mergeCell ref="BM349:BP349"/>
    <mergeCell ref="BI350:BL350"/>
    <mergeCell ref="BM350:BP350"/>
    <mergeCell ref="BQ351:BT351"/>
    <mergeCell ref="BI353:BL353"/>
    <mergeCell ref="BM353:BP353"/>
    <mergeCell ref="BI354:BL354"/>
    <mergeCell ref="BM354:BP354"/>
    <mergeCell ref="BQ354:BT354"/>
    <mergeCell ref="O357:O359"/>
    <mergeCell ref="T357:AB359"/>
    <mergeCell ref="AC357:AQ364"/>
    <mergeCell ref="AW362:CA362"/>
    <mergeCell ref="BU346:BW346"/>
    <mergeCell ref="BX346:CA346"/>
    <mergeCell ref="AA347:AC347"/>
    <mergeCell ref="AD347:AF347"/>
    <mergeCell ref="AG347:AJ347"/>
    <mergeCell ref="AW347:BH347"/>
    <mergeCell ref="BI347:BL347"/>
    <mergeCell ref="BM347:BP347"/>
    <mergeCell ref="BQ347:BT347"/>
    <mergeCell ref="BU347:BW347"/>
    <mergeCell ref="BX347:CA347"/>
    <mergeCell ref="AA348:AC348"/>
    <mergeCell ref="AD348:AF348"/>
    <mergeCell ref="AG348:AJ348"/>
    <mergeCell ref="AK348:AN348"/>
    <mergeCell ref="AW348:BH348"/>
    <mergeCell ref="BI348:BL348"/>
    <mergeCell ref="BU348:BW348"/>
    <mergeCell ref="BX348:CA348"/>
    <mergeCell ref="BM348:BP348"/>
    <mergeCell ref="BQ348:BT348"/>
    <mergeCell ref="AA346:AC346"/>
    <mergeCell ref="AD346:AF346"/>
    <mergeCell ref="AG346:AJ346"/>
    <mergeCell ref="AW346:BH346"/>
    <mergeCell ref="BI346:BL346"/>
    <mergeCell ref="BM346:BP346"/>
    <mergeCell ref="BQ346:BT346"/>
    <mergeCell ref="BU357:BW357"/>
    <mergeCell ref="BX357:CA357"/>
    <mergeCell ref="BU358:BW358"/>
    <mergeCell ref="BU351:BW351"/>
    <mergeCell ref="BQ349:BT349"/>
    <mergeCell ref="BU349:BW349"/>
    <mergeCell ref="BX349:CA349"/>
    <mergeCell ref="AA350:AC350"/>
    <mergeCell ref="AD350:AF350"/>
    <mergeCell ref="AG350:AJ350"/>
    <mergeCell ref="AK350:AN350"/>
    <mergeCell ref="AW350:BH350"/>
    <mergeCell ref="BU352:BW352"/>
    <mergeCell ref="BX352:CA352"/>
    <mergeCell ref="BQ350:BT350"/>
    <mergeCell ref="BU350:BW350"/>
    <mergeCell ref="BX350:CA350"/>
    <mergeCell ref="AA351:AC351"/>
    <mergeCell ref="AD351:AF351"/>
    <mergeCell ref="AG351:AJ351"/>
    <mergeCell ref="BI351:BL351"/>
    <mergeCell ref="BM351:BP351"/>
    <mergeCell ref="BX351:CA351"/>
    <mergeCell ref="Q352:AF352"/>
    <mergeCell ref="AG352:AJ352"/>
    <mergeCell ref="AO352:AQ352"/>
    <mergeCell ref="AW352:BH352"/>
    <mergeCell ref="BI352:BL352"/>
    <mergeCell ref="BM352:BP352"/>
    <mergeCell ref="BQ352:BT352"/>
    <mergeCell ref="Q350:Y350"/>
    <mergeCell ref="Q351:Y351"/>
    <mergeCell ref="Q99:Y99"/>
    <mergeCell ref="BV363:CA363"/>
    <mergeCell ref="BQ359:BT359"/>
    <mergeCell ref="BI358:BL358"/>
    <mergeCell ref="BX355:CA355"/>
    <mergeCell ref="Q100:Y100"/>
    <mergeCell ref="Q101:Y101"/>
    <mergeCell ref="T143:AB145"/>
    <mergeCell ref="AC143:AQ150"/>
    <mergeCell ref="Q140:AU140"/>
    <mergeCell ref="AG138:AJ138"/>
    <mergeCell ref="Q131:Y131"/>
    <mergeCell ref="Q132:Y132"/>
    <mergeCell ref="Q133:Y133"/>
    <mergeCell ref="Q134:Y134"/>
    <mergeCell ref="Q135:Y135"/>
    <mergeCell ref="Q190:Y190"/>
    <mergeCell ref="Q171:AU171"/>
    <mergeCell ref="T174:AB176"/>
    <mergeCell ref="BU354:BW354"/>
    <mergeCell ref="BM356:BP356"/>
    <mergeCell ref="BQ356:BT356"/>
    <mergeCell ref="BI355:BL355"/>
    <mergeCell ref="BU355:BW355"/>
    <mergeCell ref="BI356:BL356"/>
    <mergeCell ref="BQ353:BT353"/>
    <mergeCell ref="BU353:BW353"/>
    <mergeCell ref="BM358:BP358"/>
    <mergeCell ref="BQ358:BT358"/>
    <mergeCell ref="BX354:CA354"/>
    <mergeCell ref="BX358:CA358"/>
    <mergeCell ref="BX353:CA353"/>
    <mergeCell ref="Q127:Y127"/>
    <mergeCell ref="Q128:Y128"/>
    <mergeCell ref="Q129:Y129"/>
    <mergeCell ref="Q130:Y130"/>
    <mergeCell ref="Q110:AU110"/>
    <mergeCell ref="AA127:AC127"/>
    <mergeCell ref="AD127:AF127"/>
    <mergeCell ref="AG127:AJ127"/>
    <mergeCell ref="AA133:AC133"/>
    <mergeCell ref="Q138:AF138"/>
    <mergeCell ref="BL364:BT364"/>
    <mergeCell ref="BU364:BZ364"/>
    <mergeCell ref="AW360:BH360"/>
    <mergeCell ref="BI360:BL360"/>
    <mergeCell ref="BM360:BP360"/>
    <mergeCell ref="BQ360:BT360"/>
    <mergeCell ref="BX360:CA360"/>
    <mergeCell ref="BI361:BL361"/>
    <mergeCell ref="BM361:BP361"/>
    <mergeCell ref="BN363:BU363"/>
    <mergeCell ref="AW359:BH359"/>
    <mergeCell ref="BI359:BL359"/>
    <mergeCell ref="BM359:BP359"/>
    <mergeCell ref="BX356:CA356"/>
    <mergeCell ref="BM355:BP355"/>
    <mergeCell ref="BQ355:BT355"/>
    <mergeCell ref="BU359:BW359"/>
    <mergeCell ref="BU356:BW356"/>
    <mergeCell ref="BX359:CA359"/>
    <mergeCell ref="BI357:BL357"/>
    <mergeCell ref="BM357:BP357"/>
    <mergeCell ref="BQ357:BT357"/>
    <mergeCell ref="O292:O293"/>
    <mergeCell ref="M294:M295"/>
    <mergeCell ref="O294:O295"/>
    <mergeCell ref="M296:M298"/>
    <mergeCell ref="O296:O298"/>
    <mergeCell ref="M264:M265"/>
    <mergeCell ref="O264:O265"/>
    <mergeCell ref="M266:M268"/>
    <mergeCell ref="M285:M286"/>
    <mergeCell ref="N270:O270"/>
    <mergeCell ref="Q13:Y13"/>
    <mergeCell ref="Q14:Y14"/>
    <mergeCell ref="Q15:Y15"/>
    <mergeCell ref="Q16:Y16"/>
    <mergeCell ref="Q67:Y67"/>
    <mergeCell ref="Q68:Y68"/>
    <mergeCell ref="Q32:AU32"/>
    <mergeCell ref="Q17:AF17"/>
    <mergeCell ref="AG17:AJ17"/>
    <mergeCell ref="AO17:AQ17"/>
    <mergeCell ref="N147:O147"/>
    <mergeCell ref="M200:M201"/>
    <mergeCell ref="O200:O201"/>
    <mergeCell ref="M202:M203"/>
    <mergeCell ref="O202:O203"/>
    <mergeCell ref="M193:M194"/>
    <mergeCell ref="M163:M164"/>
    <mergeCell ref="M134:M136"/>
    <mergeCell ref="O134:O136"/>
    <mergeCell ref="Q106:Y106"/>
    <mergeCell ref="Q107:Y107"/>
    <mergeCell ref="Q136:Y136"/>
    <mergeCell ref="M323:M324"/>
    <mergeCell ref="O323:O324"/>
    <mergeCell ref="M325:M326"/>
    <mergeCell ref="O325:O326"/>
    <mergeCell ref="M327:M329"/>
    <mergeCell ref="O327:O329"/>
    <mergeCell ref="N331:O331"/>
    <mergeCell ref="M353:M354"/>
    <mergeCell ref="O353:O354"/>
    <mergeCell ref="M355:M356"/>
    <mergeCell ref="O355:O356"/>
    <mergeCell ref="M316:M317"/>
    <mergeCell ref="M346:M347"/>
    <mergeCell ref="N361:O361"/>
    <mergeCell ref="M170:M171"/>
    <mergeCell ref="O170:O171"/>
    <mergeCell ref="M172:M173"/>
    <mergeCell ref="O172:O173"/>
    <mergeCell ref="M174:M176"/>
    <mergeCell ref="O174:O176"/>
    <mergeCell ref="N178:O178"/>
    <mergeCell ref="M262:M263"/>
    <mergeCell ref="O262:O263"/>
    <mergeCell ref="M231:M232"/>
    <mergeCell ref="O231:O232"/>
    <mergeCell ref="M233:M234"/>
    <mergeCell ref="O233:O234"/>
    <mergeCell ref="M235:M237"/>
    <mergeCell ref="O235:O237"/>
    <mergeCell ref="M224:M225"/>
    <mergeCell ref="N239:O239"/>
    <mergeCell ref="M292:M293"/>
    <mergeCell ref="Q7:Y7"/>
    <mergeCell ref="Q8:Y8"/>
    <mergeCell ref="Q9:Y9"/>
    <mergeCell ref="Q10:Y10"/>
    <mergeCell ref="Q11:Y11"/>
    <mergeCell ref="N117:O117"/>
    <mergeCell ref="Q12:Y12"/>
    <mergeCell ref="Q46:Y46"/>
    <mergeCell ref="Q47:Y47"/>
    <mergeCell ref="Q66:Y66"/>
    <mergeCell ref="O104:O106"/>
    <mergeCell ref="M104:M106"/>
    <mergeCell ref="Q69:Y69"/>
    <mergeCell ref="Q70:Y70"/>
    <mergeCell ref="M49:M50"/>
    <mergeCell ref="O49:O50"/>
    <mergeCell ref="N86:O86"/>
    <mergeCell ref="Q97:Y97"/>
    <mergeCell ref="Q98:Y98"/>
    <mergeCell ref="Q37:Y37"/>
    <mergeCell ref="Q38:Y38"/>
    <mergeCell ref="Q39:Y39"/>
    <mergeCell ref="Q40:Y40"/>
    <mergeCell ref="Q41:Y41"/>
    <mergeCell ref="Q42:Y42"/>
    <mergeCell ref="Q43:Y43"/>
    <mergeCell ref="Q44:Y44"/>
    <mergeCell ref="Q45:Y45"/>
    <mergeCell ref="Q102:Y102"/>
    <mergeCell ref="Q103:Y103"/>
    <mergeCell ref="Q104:Y104"/>
    <mergeCell ref="Q105:Y105"/>
    <mergeCell ref="AC174:AQ181"/>
    <mergeCell ref="AA189:AC189"/>
    <mergeCell ref="Q158:Y158"/>
    <mergeCell ref="Q159:Y159"/>
    <mergeCell ref="Q160:Y160"/>
    <mergeCell ref="Q161:Y161"/>
    <mergeCell ref="Q162:Y162"/>
    <mergeCell ref="Q201:AU201"/>
    <mergeCell ref="AA220:AC220"/>
    <mergeCell ref="AD220:AF220"/>
    <mergeCell ref="AG220:AJ220"/>
    <mergeCell ref="T204:AB206"/>
    <mergeCell ref="Q166:Y166"/>
    <mergeCell ref="Q167:Y167"/>
    <mergeCell ref="Q168:Y168"/>
    <mergeCell ref="Q188:Y188"/>
    <mergeCell ref="Q189:Y189"/>
    <mergeCell ref="Q219:Y219"/>
    <mergeCell ref="Q220:Y220"/>
    <mergeCell ref="Q198:Y198"/>
    <mergeCell ref="Q191:Y191"/>
    <mergeCell ref="Q192:Y192"/>
    <mergeCell ref="Q193:Y193"/>
    <mergeCell ref="Q194:Y194"/>
    <mergeCell ref="Q195:Y195"/>
    <mergeCell ref="AD193:AF193"/>
    <mergeCell ref="AG193:AJ193"/>
    <mergeCell ref="AK216:AN216"/>
    <mergeCell ref="AO216:AQ216"/>
    <mergeCell ref="Q183:AU183"/>
    <mergeCell ref="Q169:AF169"/>
    <mergeCell ref="AG169:AJ169"/>
    <mergeCell ref="Q316:Y316"/>
    <mergeCell ref="T296:AB298"/>
    <mergeCell ref="AC296:AQ303"/>
    <mergeCell ref="T327:AB329"/>
    <mergeCell ref="AC327:AQ334"/>
    <mergeCell ref="Q221:Y221"/>
    <mergeCell ref="Q222:Y222"/>
    <mergeCell ref="Q223:Y223"/>
    <mergeCell ref="Q245:AU245"/>
    <mergeCell ref="AA224:AC224"/>
    <mergeCell ref="AD224:AF224"/>
    <mergeCell ref="Q258:Y258"/>
    <mergeCell ref="Q259:Y259"/>
    <mergeCell ref="Q226:Y226"/>
    <mergeCell ref="Q227:Y227"/>
    <mergeCell ref="Q228:Y228"/>
    <mergeCell ref="Q229:Y229"/>
    <mergeCell ref="Q250:Y250"/>
    <mergeCell ref="Q251:Y251"/>
    <mergeCell ref="Q232:AU232"/>
    <mergeCell ref="AA251:AC251"/>
    <mergeCell ref="Q252:Y252"/>
    <mergeCell ref="Q253:Y253"/>
    <mergeCell ref="Q254:Y254"/>
    <mergeCell ref="Q255:Y255"/>
    <mergeCell ref="Q256:Y256"/>
    <mergeCell ref="Q257:Y257"/>
    <mergeCell ref="Q322:AF322"/>
    <mergeCell ref="AG322:AJ322"/>
    <mergeCell ref="AO322:AQ322"/>
    <mergeCell ref="AA320:AC320"/>
    <mergeCell ref="AD320:AF320"/>
    <mergeCell ref="AC235:AQ242"/>
    <mergeCell ref="T266:AB268"/>
    <mergeCell ref="AC266:AQ273"/>
    <mergeCell ref="Q348:Y348"/>
    <mergeCell ref="T82:AB84"/>
    <mergeCell ref="AC82:AQ89"/>
    <mergeCell ref="T113:AB115"/>
    <mergeCell ref="AC113:AQ120"/>
    <mergeCell ref="Q137:Y137"/>
    <mergeCell ref="AC204:AQ211"/>
    <mergeCell ref="Q281:Y281"/>
    <mergeCell ref="Q282:Y282"/>
    <mergeCell ref="Q263:AU263"/>
    <mergeCell ref="AA281:AC281"/>
    <mergeCell ref="AD281:AF281"/>
    <mergeCell ref="AG281:AJ281"/>
    <mergeCell ref="Q275:AU275"/>
    <mergeCell ref="Q336:AU336"/>
    <mergeCell ref="AA316:AC316"/>
    <mergeCell ref="AD316:AF316"/>
    <mergeCell ref="Q283:Y283"/>
    <mergeCell ref="Q284:Y284"/>
    <mergeCell ref="Q285:Y285"/>
    <mergeCell ref="Q286:Y286"/>
    <mergeCell ref="Q287:Y287"/>
    <mergeCell ref="Q288:Y288"/>
    <mergeCell ref="AA312:AC312"/>
    <mergeCell ref="Q311:Y311"/>
    <mergeCell ref="Q312:Y312"/>
    <mergeCell ref="Q313:Y313"/>
    <mergeCell ref="Q314:Y314"/>
    <mergeCell ref="Q315:Y315"/>
    <mergeCell ref="CD1:CD2"/>
    <mergeCell ref="Q293:AU293"/>
    <mergeCell ref="AW301:CA301"/>
    <mergeCell ref="Q324:AU324"/>
    <mergeCell ref="AW332:CA332"/>
    <mergeCell ref="Q354:AU354"/>
    <mergeCell ref="T22:AB24"/>
    <mergeCell ref="AC22:AQ29"/>
    <mergeCell ref="T53:AB55"/>
    <mergeCell ref="AC53:AQ59"/>
    <mergeCell ref="Q344:Y344"/>
    <mergeCell ref="Q345:Y345"/>
    <mergeCell ref="Q346:Y346"/>
    <mergeCell ref="Q347:Y347"/>
    <mergeCell ref="Q319:Y319"/>
    <mergeCell ref="Q320:Y320"/>
    <mergeCell ref="Q321:Y321"/>
    <mergeCell ref="Q341:Y341"/>
    <mergeCell ref="Q342:Y342"/>
    <mergeCell ref="Q343:Y343"/>
    <mergeCell ref="Q349:Y349"/>
    <mergeCell ref="Q19:AU19"/>
    <mergeCell ref="Q50:AU50"/>
    <mergeCell ref="AW58:CA58"/>
    <mergeCell ref="Q79:AU79"/>
    <mergeCell ref="AW87:CA87"/>
    <mergeCell ref="Q73:Y73"/>
    <mergeCell ref="Q74:Y74"/>
    <mergeCell ref="Q75:Y75"/>
    <mergeCell ref="Q76:Y76"/>
    <mergeCell ref="AA196:AC196"/>
    <mergeCell ref="T235:AB237"/>
  </mergeCells>
  <dataValidations count="2">
    <dataValidation type="list" allowBlank="1" showInputMessage="1" showErrorMessage="1" sqref="E1:F366">
      <formula1>indisponible</formula1>
    </dataValidation>
    <dataValidation type="list" allowBlank="1" showInputMessage="1" showErrorMessage="1" sqref="G1:G366">
      <formula1>astreinte</formula1>
    </dataValidation>
  </dataValidations>
  <hyperlinks>
    <hyperlink ref="H32:H60" location="Février!C1" display="FEVRIER"/>
    <hyperlink ref="H61:H91" location="Mars!C1" display="MARS"/>
    <hyperlink ref="H92:H121" location="Avril!C1" display="AVRIL"/>
    <hyperlink ref="H122:H152" location="Mai!C1" display="MAI"/>
    <hyperlink ref="H153:H182" location="Juin!C1" display="JUIN"/>
    <hyperlink ref="H183:H213" location="Juillet!C1" display="JULLET"/>
    <hyperlink ref="H214:H244" location="Août!C1" display="AOUT"/>
    <hyperlink ref="H245:H274" location="Septembre!C1" display="SEPTEMBRE"/>
    <hyperlink ref="H275:H305" location="Octobre!C1" display="OCTOBRE"/>
    <hyperlink ref="H306:H335" location="Novembre!C1" display="NOVEMBRE"/>
    <hyperlink ref="H336:H366" location="Décembre!C1" display="DECEMBRE"/>
    <hyperlink ref="H3:H31" location="Janvier!C1" display="JANVIER"/>
  </hyperlinks>
  <pageMargins left="0.78740157499999996" right="0.78740157499999996" top="0.984251969" bottom="0.984251969" header="0.4921259845" footer="0.4921259845"/>
  <pageSetup orientation="portrait" horizontalDpi="120" verticalDpi="144" r:id="rId1"/>
  <headerFooter alignWithMargins="0"/>
  <drawing r:id="rId2"/>
  <legacyDrawing r:id="rId3"/>
  <controls>
    <mc:AlternateContent xmlns:mc="http://schemas.openxmlformats.org/markup-compatibility/2006">
      <mc:Choice Requires="x14">
        <control shapeId="56378" r:id="rId4" name="MENU">
          <controlPr defaultSize="0" print="0" autoLine="0" r:id="rId5">
            <anchor moveWithCells="1">
              <from>
                <xdr:col>10</xdr:col>
                <xdr:colOff>352425</xdr:colOff>
                <xdr:row>13</xdr:row>
                <xdr:rowOff>66675</xdr:rowOff>
              </from>
              <to>
                <xdr:col>11</xdr:col>
                <xdr:colOff>962025</xdr:colOff>
                <xdr:row>15</xdr:row>
                <xdr:rowOff>66675</xdr:rowOff>
              </to>
            </anchor>
          </controlPr>
        </control>
      </mc:Choice>
      <mc:Fallback>
        <control shapeId="56378" r:id="rId4" name="MENU"/>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dimension ref="A1:BB43"/>
  <sheetViews>
    <sheetView showGridLines="0" workbookViewId="0">
      <pane xSplit="13" ySplit="1" topLeftCell="N2" activePane="bottomRight" state="frozen"/>
      <selection pane="topRight" activeCell="N1" sqref="N1"/>
      <selection pane="bottomLeft" activeCell="A2" sqref="A2"/>
      <selection pane="bottomRight" activeCell="AA16" sqref="AA16"/>
    </sheetView>
  </sheetViews>
  <sheetFormatPr baseColWidth="10" defaultRowHeight="12.75"/>
  <cols>
    <col min="1" max="12" width="3.7109375" customWidth="1"/>
    <col min="13" max="13" width="3.5703125" customWidth="1"/>
    <col min="14" max="21" width="4.28515625" customWidth="1"/>
    <col min="22" max="22" width="5.7109375" customWidth="1"/>
    <col min="23" max="23" width="5" customWidth="1"/>
    <col min="24" max="27" width="5.7109375" customWidth="1"/>
    <col min="28" max="31" width="3.7109375" customWidth="1"/>
    <col min="33" max="34" width="7.42578125" bestFit="1" customWidth="1"/>
    <col min="35" max="35" width="12.5703125" customWidth="1"/>
    <col min="36" max="36" width="11" customWidth="1"/>
  </cols>
  <sheetData>
    <row r="1" spans="1:50" ht="58.5" customHeight="1">
      <c r="N1" s="682" t="s">
        <v>330</v>
      </c>
      <c r="O1" s="682"/>
      <c r="P1" s="682" t="s">
        <v>331</v>
      </c>
      <c r="Q1" s="682"/>
      <c r="R1" s="682" t="s">
        <v>332</v>
      </c>
      <c r="S1" s="682"/>
      <c r="T1" s="683" t="s">
        <v>333</v>
      </c>
      <c r="U1" s="683"/>
      <c r="V1" s="682" t="s">
        <v>334</v>
      </c>
      <c r="W1" s="682"/>
    </row>
    <row r="2" spans="1:50" ht="22.5" customHeight="1">
      <c r="A2" s="635" t="s">
        <v>203</v>
      </c>
      <c r="B2" s="636"/>
      <c r="C2" s="636"/>
      <c r="D2" s="636"/>
      <c r="E2" s="636"/>
      <c r="F2" s="636"/>
      <c r="G2" s="636"/>
      <c r="H2" s="636"/>
      <c r="I2" s="636"/>
      <c r="J2" s="636"/>
      <c r="K2" s="636"/>
      <c r="L2" s="636"/>
      <c r="M2" s="637"/>
      <c r="N2" s="638">
        <f>dates!O1+dates!O32+dates!O61</f>
        <v>3</v>
      </c>
      <c r="O2" s="649"/>
      <c r="P2" s="638">
        <f>dates!O92+dates!O122+dates!O153</f>
        <v>0</v>
      </c>
      <c r="Q2" s="649"/>
      <c r="R2" s="638">
        <f>dates!O183+dates!O214+dates!O245</f>
        <v>0</v>
      </c>
      <c r="S2" s="649"/>
      <c r="T2" s="638">
        <f>dates!O275+dates!O306+dates!O336</f>
        <v>8</v>
      </c>
      <c r="U2" s="649"/>
      <c r="V2" s="638">
        <f>SUM(N2:U2)</f>
        <v>11</v>
      </c>
      <c r="W2" s="639"/>
      <c r="X2" s="640" t="s">
        <v>311</v>
      </c>
      <c r="Y2" s="641"/>
      <c r="Z2" s="642"/>
      <c r="AA2" s="264">
        <f>V8*1%</f>
        <v>0.99</v>
      </c>
      <c r="AJ2" s="8"/>
      <c r="AK2" s="8"/>
      <c r="AL2" s="8"/>
      <c r="AM2" s="8"/>
    </row>
    <row r="3" spans="1:50" ht="12.75" customHeight="1">
      <c r="A3" s="635" t="s">
        <v>206</v>
      </c>
      <c r="B3" s="636"/>
      <c r="C3" s="636"/>
      <c r="D3" s="636"/>
      <c r="E3" s="636"/>
      <c r="F3" s="636"/>
      <c r="G3" s="636"/>
      <c r="H3" s="636"/>
      <c r="I3" s="636"/>
      <c r="J3" s="636"/>
      <c r="K3" s="636"/>
      <c r="L3" s="636"/>
      <c r="M3" s="637"/>
      <c r="N3" s="638">
        <f>dates!O2+dates!O33+dates!O62</f>
        <v>2</v>
      </c>
      <c r="O3" s="649"/>
      <c r="P3" s="638">
        <f>dates!O93+dates!O123+dates!O154</f>
        <v>0</v>
      </c>
      <c r="Q3" s="649"/>
      <c r="R3" s="638">
        <f>dates!O184+dates!O215+dates!O246</f>
        <v>0</v>
      </c>
      <c r="S3" s="649"/>
      <c r="T3" s="638">
        <f>dates!O276+dates!O307+dates!O337</f>
        <v>5</v>
      </c>
      <c r="U3" s="649"/>
      <c r="V3" s="638">
        <f t="shared" ref="V3:V15" si="0">SUM(N3:U3)</f>
        <v>7</v>
      </c>
      <c r="W3" s="639"/>
      <c r="X3" s="643" t="s">
        <v>312</v>
      </c>
      <c r="Y3" s="644"/>
      <c r="Z3" s="645"/>
      <c r="AA3" s="695">
        <v>7.24</v>
      </c>
      <c r="AB3" s="696"/>
      <c r="AJ3" s="279"/>
      <c r="AK3" s="279"/>
      <c r="AL3" s="436"/>
      <c r="AM3" s="8"/>
    </row>
    <row r="4" spans="1:50" ht="13.5" thickBot="1">
      <c r="A4" s="635" t="s">
        <v>208</v>
      </c>
      <c r="B4" s="636"/>
      <c r="C4" s="636"/>
      <c r="D4" s="636"/>
      <c r="E4" s="636"/>
      <c r="F4" s="636"/>
      <c r="G4" s="636"/>
      <c r="H4" s="636"/>
      <c r="I4" s="636"/>
      <c r="J4" s="636"/>
      <c r="K4" s="636"/>
      <c r="L4" s="636"/>
      <c r="M4" s="637"/>
      <c r="N4" s="638">
        <f>dates!O3+dates!O34+dates!O63</f>
        <v>1</v>
      </c>
      <c r="O4" s="649"/>
      <c r="P4" s="638">
        <f>dates!O94+dates!O124+dates!O155</f>
        <v>0</v>
      </c>
      <c r="Q4" s="649"/>
      <c r="R4" s="638">
        <f>dates!O185+dates!O216+dates!O247</f>
        <v>0</v>
      </c>
      <c r="S4" s="649"/>
      <c r="T4" s="638">
        <f>dates!O277+dates!O308+dates!O338</f>
        <v>0</v>
      </c>
      <c r="U4" s="649"/>
      <c r="V4" s="638">
        <f t="shared" si="0"/>
        <v>1</v>
      </c>
      <c r="W4" s="639"/>
      <c r="X4" s="646"/>
      <c r="Y4" s="647"/>
      <c r="Z4" s="648"/>
      <c r="AA4" s="695"/>
      <c r="AB4" s="696"/>
      <c r="AJ4" s="279"/>
      <c r="AK4" s="279"/>
      <c r="AL4" s="436"/>
    </row>
    <row r="5" spans="1:50" ht="15.75" thickBot="1">
      <c r="A5" s="635" t="s">
        <v>210</v>
      </c>
      <c r="B5" s="636"/>
      <c r="C5" s="636"/>
      <c r="D5" s="636"/>
      <c r="E5" s="636"/>
      <c r="F5" s="636"/>
      <c r="G5" s="636"/>
      <c r="H5" s="636"/>
      <c r="I5" s="636"/>
      <c r="J5" s="636"/>
      <c r="K5" s="636"/>
      <c r="L5" s="636"/>
      <c r="M5" s="637"/>
      <c r="N5" s="638">
        <f>dates!O4+dates!O35+dates!O64</f>
        <v>6</v>
      </c>
      <c r="O5" s="649"/>
      <c r="P5" s="638">
        <f>dates!O95+dates!O125+dates!O156</f>
        <v>0</v>
      </c>
      <c r="Q5" s="649"/>
      <c r="R5" s="638">
        <f>dates!O186+dates!O217+dates!O248</f>
        <v>0</v>
      </c>
      <c r="S5" s="649"/>
      <c r="T5" s="638">
        <f>dates!O278+dates!O309+dates!O339</f>
        <v>13</v>
      </c>
      <c r="U5" s="649"/>
      <c r="V5" s="638">
        <f t="shared" si="0"/>
        <v>19</v>
      </c>
      <c r="W5" s="639"/>
      <c r="X5" s="638" t="s">
        <v>313</v>
      </c>
      <c r="Y5" s="649"/>
      <c r="Z5" s="659"/>
      <c r="AA5" s="265">
        <f>SUM(AA2:AA4)</f>
        <v>8.23</v>
      </c>
      <c r="AN5" s="8"/>
      <c r="AO5" s="8"/>
      <c r="AP5" s="8"/>
      <c r="AQ5" s="8"/>
      <c r="AR5" s="8"/>
      <c r="AS5" s="8"/>
      <c r="AT5" s="8"/>
      <c r="AU5" s="8"/>
      <c r="AV5" s="8"/>
      <c r="AW5" s="8"/>
      <c r="AX5" s="437"/>
    </row>
    <row r="6" spans="1:50" ht="16.5" thickBot="1">
      <c r="A6" s="635" t="s">
        <v>211</v>
      </c>
      <c r="B6" s="636"/>
      <c r="C6" s="636"/>
      <c r="D6" s="636"/>
      <c r="E6" s="636"/>
      <c r="F6" s="636"/>
      <c r="G6" s="636"/>
      <c r="H6" s="636"/>
      <c r="I6" s="636"/>
      <c r="J6" s="636"/>
      <c r="K6" s="636"/>
      <c r="L6" s="636"/>
      <c r="M6" s="637"/>
      <c r="N6" s="638">
        <f ca="1">dates!O5+dates!O36+dates!O65</f>
        <v>0</v>
      </c>
      <c r="O6" s="649"/>
      <c r="P6" s="638">
        <f ca="1">dates!O96+dates!O126+dates!O157</f>
        <v>0</v>
      </c>
      <c r="Q6" s="649"/>
      <c r="R6" s="638">
        <f ca="1">dates!O187+dates!O218+dates!O249</f>
        <v>0</v>
      </c>
      <c r="S6" s="649"/>
      <c r="T6" s="638">
        <f ca="1">dates!O279+dates!O310+dates!O340</f>
        <v>0</v>
      </c>
      <c r="U6" s="649"/>
      <c r="V6" s="638">
        <f t="shared" ca="1" si="0"/>
        <v>0</v>
      </c>
      <c r="W6" s="639"/>
      <c r="X6" s="650" t="s">
        <v>314</v>
      </c>
      <c r="Y6" s="651"/>
      <c r="Z6" s="652"/>
      <c r="AA6" s="266">
        <f>AA5/12</f>
        <v>0.68583333333333341</v>
      </c>
      <c r="AN6" s="8"/>
      <c r="AO6" s="8"/>
      <c r="AP6" s="8"/>
      <c r="AQ6" s="8"/>
      <c r="AR6" s="8"/>
      <c r="AS6" s="22"/>
      <c r="AT6" s="22"/>
      <c r="AU6" s="22"/>
      <c r="AV6" s="22"/>
      <c r="AW6" s="8"/>
      <c r="AX6" s="438"/>
    </row>
    <row r="7" spans="1:50">
      <c r="A7" s="635" t="s">
        <v>213</v>
      </c>
      <c r="B7" s="636"/>
      <c r="C7" s="636"/>
      <c r="D7" s="636"/>
      <c r="E7" s="636"/>
      <c r="F7" s="636"/>
      <c r="G7" s="636"/>
      <c r="H7" s="636"/>
      <c r="I7" s="636"/>
      <c r="J7" s="636"/>
      <c r="K7" s="636"/>
      <c r="L7" s="636"/>
      <c r="M7" s="637"/>
      <c r="N7" s="638">
        <f>dates!O6+dates!O37+dates!O66</f>
        <v>5</v>
      </c>
      <c r="O7" s="649"/>
      <c r="P7" s="638">
        <f>dates!O97+dates!O127+dates!O158</f>
        <v>0</v>
      </c>
      <c r="Q7" s="649"/>
      <c r="R7" s="638">
        <f>dates!O188+dates!O219+dates!O250</f>
        <v>0</v>
      </c>
      <c r="S7" s="649"/>
      <c r="T7" s="638">
        <f>dates!O280+dates!O311+dates!O341</f>
        <v>13</v>
      </c>
      <c r="U7" s="649"/>
      <c r="V7" s="638">
        <f t="shared" si="0"/>
        <v>18</v>
      </c>
      <c r="W7" s="639"/>
      <c r="AN7" s="22"/>
      <c r="AO7" s="22"/>
      <c r="AP7" s="22"/>
      <c r="AQ7" s="22"/>
      <c r="AR7" s="8"/>
      <c r="AS7" s="22"/>
      <c r="AT7" s="22"/>
      <c r="AU7" s="22"/>
      <c r="AV7" s="22"/>
      <c r="AW7" s="8"/>
      <c r="AX7" s="438"/>
    </row>
    <row r="8" spans="1:50" ht="15.75">
      <c r="A8" s="635" t="s">
        <v>214</v>
      </c>
      <c r="B8" s="636"/>
      <c r="C8" s="636"/>
      <c r="D8" s="636"/>
      <c r="E8" s="636"/>
      <c r="F8" s="636"/>
      <c r="G8" s="636"/>
      <c r="H8" s="636"/>
      <c r="I8" s="636"/>
      <c r="J8" s="636"/>
      <c r="K8" s="636"/>
      <c r="L8" s="636"/>
      <c r="M8" s="636"/>
      <c r="N8" s="638">
        <f>dates!O7+dates!O38+dates!O67</f>
        <v>27</v>
      </c>
      <c r="O8" s="649"/>
      <c r="P8" s="638">
        <f>dates!O98+dates!O128+dates!O159</f>
        <v>0</v>
      </c>
      <c r="Q8" s="649"/>
      <c r="R8" s="638">
        <f>dates!O189+dates!O220+dates!O251</f>
        <v>0</v>
      </c>
      <c r="S8" s="649"/>
      <c r="T8" s="638">
        <f>dates!O281+dates!O312+dates!O342</f>
        <v>72</v>
      </c>
      <c r="U8" s="649"/>
      <c r="V8" s="638">
        <f t="shared" si="0"/>
        <v>99</v>
      </c>
      <c r="W8" s="639"/>
      <c r="X8" s="653" t="s">
        <v>316</v>
      </c>
      <c r="Y8" s="654"/>
      <c r="Z8" s="655"/>
      <c r="AA8" s="267">
        <v>0</v>
      </c>
      <c r="AN8" s="22"/>
      <c r="AO8" s="22"/>
      <c r="AP8" s="22"/>
      <c r="AQ8" s="22"/>
      <c r="AR8" s="8"/>
      <c r="AS8" s="22"/>
      <c r="AT8" s="22"/>
      <c r="AU8" s="22"/>
      <c r="AV8" s="22"/>
      <c r="AW8" s="8"/>
      <c r="AX8" s="438"/>
    </row>
    <row r="9" spans="1:50" ht="15.75">
      <c r="A9" s="635" t="s">
        <v>217</v>
      </c>
      <c r="B9" s="636"/>
      <c r="C9" s="636"/>
      <c r="D9" s="636"/>
      <c r="E9" s="636"/>
      <c r="F9" s="636"/>
      <c r="G9" s="636"/>
      <c r="H9" s="636"/>
      <c r="I9" s="636"/>
      <c r="J9" s="636"/>
      <c r="K9" s="636"/>
      <c r="L9" s="636"/>
      <c r="M9" s="636"/>
      <c r="N9" s="638">
        <f>dates!O8+dates!O39+dates!O68</f>
        <v>24</v>
      </c>
      <c r="O9" s="649"/>
      <c r="P9" s="638">
        <f>dates!O99+dates!O129+dates!O160</f>
        <v>0</v>
      </c>
      <c r="Q9" s="649"/>
      <c r="R9" s="638">
        <f>dates!O190+dates!O221+dates!O252</f>
        <v>0</v>
      </c>
      <c r="S9" s="649"/>
      <c r="T9" s="638">
        <f>dates!O282+dates!O313+dates!O343</f>
        <v>60</v>
      </c>
      <c r="U9" s="649"/>
      <c r="V9" s="638">
        <f t="shared" si="0"/>
        <v>84</v>
      </c>
      <c r="W9" s="639"/>
      <c r="X9" s="656"/>
      <c r="Y9" s="657"/>
      <c r="Z9" s="658"/>
      <c r="AA9" s="267"/>
      <c r="AN9" s="22"/>
      <c r="AO9" s="22"/>
      <c r="AP9" s="22"/>
      <c r="AQ9" s="22"/>
      <c r="AR9" s="8"/>
      <c r="AS9" s="22"/>
      <c r="AT9" s="22"/>
      <c r="AU9" s="22"/>
      <c r="AV9" s="22"/>
      <c r="AW9" s="8"/>
      <c r="AX9" s="439"/>
    </row>
    <row r="10" spans="1:50" ht="15.75" customHeight="1">
      <c r="A10" s="635" t="s">
        <v>220</v>
      </c>
      <c r="B10" s="636"/>
      <c r="C10" s="636"/>
      <c r="D10" s="636"/>
      <c r="E10" s="636"/>
      <c r="F10" s="636"/>
      <c r="G10" s="636"/>
      <c r="H10" s="636"/>
      <c r="I10" s="636"/>
      <c r="J10" s="636"/>
      <c r="K10" s="636"/>
      <c r="L10" s="636"/>
      <c r="M10" s="636"/>
      <c r="N10" s="638">
        <f>dates!O9+dates!O40+dates!O69</f>
        <v>7</v>
      </c>
      <c r="O10" s="649"/>
      <c r="P10" s="638">
        <f>dates!O100+dates!O130+dates!O161</f>
        <v>0</v>
      </c>
      <c r="Q10" s="649"/>
      <c r="R10" s="638">
        <f>dates!O191+dates!O222+dates!O253</f>
        <v>0</v>
      </c>
      <c r="S10" s="649"/>
      <c r="T10" s="638">
        <f>dates!O283+dates!O314+dates!O344</f>
        <v>0</v>
      </c>
      <c r="U10" s="649"/>
      <c r="V10" s="638">
        <f t="shared" si="0"/>
        <v>7</v>
      </c>
      <c r="W10" s="639"/>
      <c r="X10" s="697" t="s">
        <v>317</v>
      </c>
      <c r="Y10" s="698"/>
      <c r="Z10" s="699"/>
      <c r="AA10" s="693">
        <f>30-V14+AA8</f>
        <v>30</v>
      </c>
      <c r="AN10" s="22"/>
      <c r="AO10" s="22"/>
      <c r="AP10" s="22"/>
      <c r="AQ10" s="22"/>
      <c r="AR10" s="8"/>
      <c r="AS10" s="22"/>
      <c r="AT10" s="22"/>
      <c r="AU10" s="22"/>
      <c r="AV10" s="22"/>
      <c r="AW10" s="8"/>
      <c r="AX10" s="438"/>
    </row>
    <row r="11" spans="1:50" ht="15.75">
      <c r="A11" s="635" t="s">
        <v>223</v>
      </c>
      <c r="B11" s="636"/>
      <c r="C11" s="636"/>
      <c r="D11" s="636"/>
      <c r="E11" s="636"/>
      <c r="F11" s="636"/>
      <c r="G11" s="636"/>
      <c r="H11" s="636"/>
      <c r="I11" s="636"/>
      <c r="J11" s="636"/>
      <c r="K11" s="636"/>
      <c r="L11" s="636"/>
      <c r="M11" s="636"/>
      <c r="N11" s="638">
        <f>dates!O10+dates!O41+dates!O70</f>
        <v>60</v>
      </c>
      <c r="O11" s="649"/>
      <c r="P11" s="638">
        <f>dates!O101+dates!O131+dates!O162</f>
        <v>0</v>
      </c>
      <c r="Q11" s="649"/>
      <c r="R11" s="638">
        <f>dates!O192+dates!O223+dates!O254</f>
        <v>0</v>
      </c>
      <c r="S11" s="649"/>
      <c r="T11" s="638">
        <f>dates!O284+dates!O315+dates!O345</f>
        <v>156</v>
      </c>
      <c r="U11" s="649"/>
      <c r="V11" s="638">
        <f t="shared" si="0"/>
        <v>216</v>
      </c>
      <c r="W11" s="639"/>
      <c r="X11" s="700"/>
      <c r="Y11" s="701"/>
      <c r="Z11" s="702"/>
      <c r="AA11" s="694"/>
      <c r="AF11" s="268"/>
      <c r="AG11" s="268"/>
      <c r="AH11" s="268"/>
      <c r="AI11" s="269"/>
      <c r="AN11" s="268"/>
      <c r="AO11" s="268"/>
      <c r="AP11" s="268"/>
      <c r="AQ11" s="268"/>
      <c r="AR11" s="8"/>
      <c r="AS11" s="268"/>
      <c r="AT11" s="268"/>
      <c r="AU11" s="268"/>
      <c r="AV11" s="268"/>
      <c r="AW11" s="8"/>
      <c r="AX11" s="438"/>
    </row>
    <row r="12" spans="1:50" ht="15.75">
      <c r="A12" s="635" t="s">
        <v>224</v>
      </c>
      <c r="B12" s="636"/>
      <c r="C12" s="636"/>
      <c r="D12" s="636"/>
      <c r="E12" s="636"/>
      <c r="F12" s="636"/>
      <c r="G12" s="636"/>
      <c r="H12" s="636"/>
      <c r="I12" s="636"/>
      <c r="J12" s="636"/>
      <c r="K12" s="636"/>
      <c r="L12" s="636"/>
      <c r="M12" s="636"/>
      <c r="N12" s="638">
        <f>dates!O11+dates!O42+dates!O71</f>
        <v>7</v>
      </c>
      <c r="O12" s="649"/>
      <c r="P12" s="638">
        <f>dates!O102+dates!O132+dates!O163</f>
        <v>0</v>
      </c>
      <c r="Q12" s="649"/>
      <c r="R12" s="638">
        <f>dates!O193+dates!O224+dates!O255</f>
        <v>0</v>
      </c>
      <c r="S12" s="649"/>
      <c r="T12" s="638">
        <f>dates!O285+dates!O316+dates!O346</f>
        <v>36</v>
      </c>
      <c r="U12" s="649"/>
      <c r="V12" s="638">
        <f t="shared" si="0"/>
        <v>43</v>
      </c>
      <c r="W12" s="639"/>
      <c r="AF12" s="268"/>
      <c r="AG12" s="268"/>
      <c r="AH12" s="268"/>
      <c r="AI12" s="269"/>
      <c r="AN12" s="268"/>
      <c r="AO12" s="268"/>
      <c r="AP12" s="268"/>
      <c r="AQ12" s="268"/>
      <c r="AR12" s="8"/>
      <c r="AS12" s="268"/>
      <c r="AT12" s="268"/>
      <c r="AU12" s="268"/>
      <c r="AV12" s="268"/>
      <c r="AW12" s="8"/>
      <c r="AX12" s="438"/>
    </row>
    <row r="13" spans="1:50">
      <c r="A13" s="635" t="s">
        <v>225</v>
      </c>
      <c r="B13" s="636"/>
      <c r="C13" s="636"/>
      <c r="D13" s="636"/>
      <c r="E13" s="636"/>
      <c r="F13" s="636"/>
      <c r="G13" s="636"/>
      <c r="H13" s="636"/>
      <c r="I13" s="636"/>
      <c r="J13" s="636"/>
      <c r="K13" s="636"/>
      <c r="L13" s="636"/>
      <c r="M13" s="636"/>
      <c r="N13" s="638">
        <f>dates!O13+dates!O44+dates!O73</f>
        <v>5</v>
      </c>
      <c r="O13" s="649"/>
      <c r="P13" s="638">
        <f>dates!O104+dates!O134+dates!O165</f>
        <v>0</v>
      </c>
      <c r="Q13" s="649"/>
      <c r="R13" s="638">
        <f>dates!O195+dates!O226+dates!O257</f>
        <v>0</v>
      </c>
      <c r="S13" s="649"/>
      <c r="T13" s="638">
        <f>dates!O287+dates!O318+dates!O348</f>
        <v>0</v>
      </c>
      <c r="U13" s="649"/>
      <c r="V13" s="638">
        <f t="shared" si="0"/>
        <v>5</v>
      </c>
      <c r="W13" s="639"/>
      <c r="Y13" s="8"/>
      <c r="Z13" s="22"/>
      <c r="AA13" s="22"/>
      <c r="AB13" s="22"/>
      <c r="AC13" s="22"/>
      <c r="AD13" s="22"/>
      <c r="AE13" s="22"/>
      <c r="AN13" s="22"/>
      <c r="AO13" s="22"/>
      <c r="AP13" s="22"/>
      <c r="AQ13" s="22"/>
      <c r="AR13" s="8"/>
      <c r="AS13" s="22"/>
      <c r="AT13" s="22"/>
      <c r="AU13" s="22"/>
      <c r="AV13" s="22"/>
      <c r="AW13" s="8"/>
      <c r="AX13" s="438"/>
    </row>
    <row r="14" spans="1:50">
      <c r="A14" s="676" t="s">
        <v>315</v>
      </c>
      <c r="B14" s="677"/>
      <c r="C14" s="677"/>
      <c r="D14" s="677"/>
      <c r="E14" s="677"/>
      <c r="F14" s="677"/>
      <c r="G14" s="677"/>
      <c r="H14" s="677"/>
      <c r="I14" s="677"/>
      <c r="J14" s="677"/>
      <c r="K14" s="677"/>
      <c r="L14" s="677"/>
      <c r="M14" s="677"/>
      <c r="N14" s="638">
        <f>dates!O15+dates!O46+dates!O75</f>
        <v>0</v>
      </c>
      <c r="O14" s="649"/>
      <c r="P14" s="638">
        <f>dates!O108+dates!O138+dates!O167</f>
        <v>0</v>
      </c>
      <c r="Q14" s="649"/>
      <c r="R14" s="638">
        <f>dates!O197+dates!O228+dates!O259</f>
        <v>0</v>
      </c>
      <c r="S14" s="649"/>
      <c r="T14" s="638">
        <f>dates!O289+dates!O320+dates!O350</f>
        <v>0</v>
      </c>
      <c r="U14" s="649"/>
      <c r="V14" s="638">
        <f t="shared" si="0"/>
        <v>0</v>
      </c>
      <c r="W14" s="639"/>
      <c r="AN14" s="8"/>
      <c r="AO14" s="8"/>
      <c r="AP14" s="8"/>
      <c r="AQ14" s="8"/>
      <c r="AR14" s="8"/>
      <c r="AS14" s="8"/>
      <c r="AT14" s="8"/>
      <c r="AU14" s="8"/>
      <c r="AV14" s="8"/>
    </row>
    <row r="15" spans="1:50">
      <c r="A15" s="676" t="s">
        <v>318</v>
      </c>
      <c r="B15" s="677"/>
      <c r="C15" s="677"/>
      <c r="D15" s="677"/>
      <c r="E15" s="677"/>
      <c r="F15" s="677"/>
      <c r="G15" s="677"/>
      <c r="H15" s="677"/>
      <c r="I15" s="677"/>
      <c r="J15" s="677"/>
      <c r="K15" s="677"/>
      <c r="L15" s="677"/>
      <c r="M15" s="677"/>
      <c r="N15" s="638">
        <f>dates!O16+dates!O47+dates!O76</f>
        <v>0</v>
      </c>
      <c r="O15" s="649"/>
      <c r="P15" s="638">
        <f>dates!O109+dates!O139+dates!O168</f>
        <v>0</v>
      </c>
      <c r="Q15" s="649"/>
      <c r="R15" s="638">
        <f>dates!O198+dates!O229+dates!O260</f>
        <v>0</v>
      </c>
      <c r="S15" s="649"/>
      <c r="T15" s="638">
        <f>dates!O290+dates!O321+dates!O351</f>
        <v>0</v>
      </c>
      <c r="U15" s="649"/>
      <c r="V15" s="638">
        <f t="shared" si="0"/>
        <v>0</v>
      </c>
      <c r="W15" s="639"/>
      <c r="AN15" s="431"/>
      <c r="AO15" s="22"/>
      <c r="AP15" s="22"/>
      <c r="AQ15" s="22"/>
      <c r="AR15" s="8"/>
      <c r="AS15" s="8"/>
      <c r="AT15" s="8"/>
      <c r="AU15" s="8"/>
      <c r="AV15" s="8"/>
    </row>
    <row r="16" spans="1:50">
      <c r="A16" s="676" t="s">
        <v>319</v>
      </c>
      <c r="B16" s="677"/>
      <c r="C16" s="677"/>
      <c r="D16" s="677"/>
      <c r="E16" s="677"/>
      <c r="F16" s="677"/>
      <c r="G16" s="677"/>
      <c r="H16" s="677"/>
      <c r="I16" s="677"/>
      <c r="J16" s="677"/>
      <c r="K16" s="677"/>
      <c r="L16" s="677"/>
      <c r="M16" s="677"/>
      <c r="N16" s="638">
        <f>dates!O14+dates!O45+dates!O74</f>
        <v>0</v>
      </c>
      <c r="O16" s="649"/>
      <c r="P16" s="638">
        <f>dates!O107+dates!O137+dates!O166</f>
        <v>0</v>
      </c>
      <c r="Q16" s="649"/>
      <c r="R16" s="638">
        <f>dates!O196+dates!O227+dates!O258</f>
        <v>0</v>
      </c>
      <c r="S16" s="649"/>
      <c r="T16" s="638">
        <f>dates!O288+dates!O319+dates!O349</f>
        <v>0</v>
      </c>
      <c r="U16" s="649"/>
      <c r="V16" s="638">
        <f>SUM(N16:U16)</f>
        <v>0</v>
      </c>
      <c r="W16" s="639"/>
      <c r="AN16" s="431"/>
      <c r="AO16" s="22"/>
      <c r="AP16" s="22"/>
      <c r="AQ16" s="22"/>
      <c r="AR16" s="8"/>
      <c r="AS16" s="8"/>
      <c r="AT16" s="8"/>
      <c r="AU16" s="8"/>
      <c r="AV16" s="8"/>
    </row>
    <row r="17" spans="1:54">
      <c r="A17" s="676"/>
      <c r="B17" s="677"/>
      <c r="C17" s="677"/>
      <c r="D17" s="677"/>
      <c r="E17" s="677"/>
      <c r="F17" s="677"/>
      <c r="G17" s="677"/>
      <c r="H17" s="677"/>
      <c r="I17" s="677"/>
      <c r="J17" s="677"/>
      <c r="K17" s="677"/>
      <c r="L17" s="677"/>
      <c r="M17" s="677"/>
      <c r="N17" s="638"/>
      <c r="O17" s="649"/>
      <c r="P17" s="638"/>
      <c r="Q17" s="649"/>
      <c r="R17" s="638"/>
      <c r="S17" s="649"/>
      <c r="T17" s="638"/>
      <c r="U17" s="649"/>
      <c r="V17" s="638"/>
      <c r="W17" s="639"/>
      <c r="AN17" s="431"/>
      <c r="AO17" s="22"/>
      <c r="AP17" s="22"/>
      <c r="AQ17" s="22"/>
      <c r="AR17" s="8"/>
      <c r="AS17" s="8"/>
      <c r="AT17" s="8"/>
      <c r="AU17" s="8"/>
      <c r="AV17" s="8"/>
    </row>
    <row r="18" spans="1:54">
      <c r="AI18" s="690" t="s">
        <v>324</v>
      </c>
      <c r="AJ18" s="690"/>
      <c r="AN18" s="268"/>
      <c r="AO18" s="22"/>
      <c r="AP18" s="22"/>
      <c r="AQ18" s="22"/>
      <c r="AR18" s="8"/>
      <c r="AS18" s="8"/>
      <c r="AT18" s="8"/>
      <c r="AU18" s="8"/>
      <c r="AV18" s="8"/>
    </row>
    <row r="19" spans="1:54" ht="27" customHeight="1">
      <c r="A19" s="672" t="s">
        <v>320</v>
      </c>
      <c r="B19" s="673"/>
      <c r="C19" s="673"/>
      <c r="D19" s="673"/>
      <c r="E19" s="673"/>
      <c r="F19" s="673"/>
      <c r="G19" s="673"/>
      <c r="H19" s="673"/>
      <c r="I19" s="673"/>
      <c r="J19" s="673"/>
      <c r="K19" s="673"/>
      <c r="L19" s="673"/>
      <c r="M19" s="673"/>
      <c r="N19" s="638">
        <f>dates!O18+dates!O49+dates!O78</f>
        <v>1</v>
      </c>
      <c r="O19" s="649"/>
      <c r="P19" s="638">
        <f>dates!O110+dates!O140+dates!O170</f>
        <v>0</v>
      </c>
      <c r="Q19" s="649"/>
      <c r="R19" s="638">
        <f>dates!O200+dates!O231+dates!O262</f>
        <v>0</v>
      </c>
      <c r="S19" s="649"/>
      <c r="T19" s="638">
        <f>dates!O292+dates!O323+dates!O353</f>
        <v>3</v>
      </c>
      <c r="U19" s="649"/>
      <c r="V19" s="638"/>
      <c r="W19" s="639"/>
      <c r="X19" s="678" t="s">
        <v>372</v>
      </c>
      <c r="Y19" s="679"/>
      <c r="Z19" s="679"/>
      <c r="AA19" s="679"/>
      <c r="AB19" s="679"/>
      <c r="AC19" s="679"/>
      <c r="AD19" s="679"/>
      <c r="AE19" s="679"/>
      <c r="AF19" s="680"/>
      <c r="AG19" s="270">
        <f>(((((365-52-9-V14-V15-V16)/6)*35)+7)-V11)</f>
        <v>1564.3333333333333</v>
      </c>
      <c r="AH19" s="271">
        <f>(((((365-52-9-V14-V15-V16)/6)*35)+7))</f>
        <v>1780.3333333333333</v>
      </c>
      <c r="AI19" s="690"/>
      <c r="AJ19" s="690"/>
      <c r="AN19" s="268"/>
      <c r="AO19" s="268"/>
      <c r="AP19" s="268"/>
      <c r="AQ19" s="268"/>
      <c r="AR19" s="8"/>
      <c r="AS19" s="8"/>
      <c r="AT19" s="8"/>
      <c r="AU19" s="8"/>
      <c r="AV19" s="8"/>
    </row>
    <row r="20" spans="1:54" ht="25.5" customHeight="1">
      <c r="A20" s="672" t="s">
        <v>321</v>
      </c>
      <c r="B20" s="673"/>
      <c r="C20" s="673"/>
      <c r="D20" s="673"/>
      <c r="E20" s="673"/>
      <c r="F20" s="673"/>
      <c r="G20" s="673"/>
      <c r="H20" s="673"/>
      <c r="I20" s="673"/>
      <c r="J20" s="673"/>
      <c r="K20" s="673"/>
      <c r="L20" s="673"/>
      <c r="M20" s="673"/>
      <c r="N20" s="638">
        <f>dates!O20+dates!O51+dates!O80</f>
        <v>1</v>
      </c>
      <c r="O20" s="649"/>
      <c r="P20" s="638">
        <f>dates!O112+dates!O142+dates!O172</f>
        <v>0</v>
      </c>
      <c r="Q20" s="649"/>
      <c r="R20" s="638">
        <f>dates!O202+dates!O233+dates!O264</f>
        <v>0</v>
      </c>
      <c r="S20" s="649"/>
      <c r="T20" s="638">
        <f>dates!O294+dates!O325+dates!O355</f>
        <v>0</v>
      </c>
      <c r="U20" s="649"/>
      <c r="V20" s="638"/>
      <c r="W20" s="639"/>
      <c r="X20" s="678" t="s">
        <v>325</v>
      </c>
      <c r="Y20" s="679"/>
      <c r="Z20" s="679"/>
      <c r="AA20" s="679"/>
      <c r="AB20" s="679"/>
      <c r="AC20" s="679"/>
      <c r="AD20" s="679"/>
      <c r="AE20" s="679"/>
      <c r="AF20" s="680"/>
      <c r="AG20" s="272">
        <f>AG19/12</f>
        <v>130.36111111111111</v>
      </c>
      <c r="AI20" s="279"/>
      <c r="AJ20" s="279"/>
      <c r="AN20" s="268"/>
      <c r="AO20" s="22"/>
      <c r="AP20" s="22"/>
      <c r="AQ20" s="22"/>
      <c r="AR20" s="8"/>
      <c r="AS20" s="8"/>
      <c r="AT20" s="8"/>
      <c r="AU20" s="8"/>
      <c r="AV20" s="8"/>
    </row>
    <row r="21" spans="1:54">
      <c r="A21" s="672" t="s">
        <v>322</v>
      </c>
      <c r="B21" s="673"/>
      <c r="C21" s="673"/>
      <c r="D21" s="673"/>
      <c r="E21" s="673"/>
      <c r="F21" s="673"/>
      <c r="G21" s="673"/>
      <c r="H21" s="673"/>
      <c r="I21" s="673"/>
      <c r="J21" s="673"/>
      <c r="K21" s="673"/>
      <c r="L21" s="673"/>
      <c r="M21" s="673"/>
      <c r="N21" s="638">
        <f>dates!O22+dates!O53+dates!O82</f>
        <v>1</v>
      </c>
      <c r="O21" s="649"/>
      <c r="P21" s="638">
        <f>dates!O114+dates!O144+dates!O174</f>
        <v>0</v>
      </c>
      <c r="Q21" s="649"/>
      <c r="R21" s="638">
        <f>dates!O204+dates!O235+dates!O266</f>
        <v>0</v>
      </c>
      <c r="S21" s="649"/>
      <c r="T21" s="638">
        <f>dates!O296+dates!O327+dates!O357</f>
        <v>0</v>
      </c>
      <c r="U21" s="649"/>
      <c r="V21" s="638"/>
      <c r="W21" s="639"/>
      <c r="AI21" s="280"/>
      <c r="AJ21" s="280"/>
      <c r="AN21" s="8"/>
      <c r="AO21" s="8"/>
      <c r="AP21" s="8"/>
      <c r="AQ21" s="8"/>
      <c r="AR21" s="8"/>
      <c r="AS21" s="8"/>
      <c r="AT21" s="8"/>
      <c r="AU21" s="8"/>
      <c r="AV21" s="8"/>
    </row>
    <row r="22" spans="1:54" ht="15.75">
      <c r="A22" s="691" t="s">
        <v>323</v>
      </c>
      <c r="B22" s="692"/>
      <c r="C22" s="692"/>
      <c r="D22" s="692"/>
      <c r="E22" s="692"/>
      <c r="F22" s="692"/>
      <c r="G22" s="692"/>
      <c r="H22" s="692"/>
      <c r="I22" s="692"/>
      <c r="J22" s="692"/>
      <c r="K22" s="692"/>
      <c r="L22" s="692"/>
      <c r="M22" s="692"/>
      <c r="N22" s="638">
        <f>SUM(N19:O21)</f>
        <v>3</v>
      </c>
      <c r="O22" s="649"/>
      <c r="P22" s="638">
        <f>SUM(P19:Q21)</f>
        <v>0</v>
      </c>
      <c r="Q22" s="649"/>
      <c r="R22" s="638">
        <f>SUM(R19:S21)</f>
        <v>0</v>
      </c>
      <c r="S22" s="649"/>
      <c r="T22" s="638">
        <f>SUM(T19:U21)</f>
        <v>3</v>
      </c>
      <c r="U22" s="649"/>
      <c r="V22" s="638">
        <f>SUM(V19:W21)</f>
        <v>0</v>
      </c>
      <c r="W22" s="649"/>
      <c r="AI22" s="8"/>
      <c r="AJ22" s="8"/>
      <c r="AN22" s="8"/>
      <c r="AO22" s="8"/>
      <c r="AP22" s="8"/>
      <c r="AQ22" s="8"/>
      <c r="AR22" s="8"/>
      <c r="AS22" s="8"/>
      <c r="AT22" s="8"/>
      <c r="AU22" s="8"/>
      <c r="AV22" s="8"/>
    </row>
    <row r="23" spans="1:54">
      <c r="A23" s="672"/>
      <c r="B23" s="673"/>
      <c r="C23" s="673"/>
      <c r="D23" s="673"/>
      <c r="E23" s="673"/>
      <c r="F23" s="673"/>
      <c r="G23" s="673"/>
      <c r="H23" s="673"/>
      <c r="I23" s="673"/>
      <c r="J23" s="673"/>
      <c r="K23" s="673"/>
      <c r="L23" s="673"/>
      <c r="M23" s="673"/>
      <c r="N23" s="638"/>
      <c r="O23" s="649"/>
      <c r="P23" s="638"/>
      <c r="Q23" s="649"/>
      <c r="R23" s="638"/>
      <c r="S23" s="649"/>
      <c r="T23" s="638"/>
      <c r="U23" s="649"/>
      <c r="V23" s="638"/>
      <c r="W23" s="639"/>
      <c r="AI23" s="278"/>
      <c r="AJ23" s="278"/>
      <c r="AN23" s="22"/>
      <c r="AO23" s="22"/>
      <c r="AP23" s="22"/>
      <c r="AQ23" s="22"/>
      <c r="AR23" s="22"/>
      <c r="AS23" s="22"/>
      <c r="AT23" s="22"/>
      <c r="AU23" s="22"/>
      <c r="AV23" s="22"/>
    </row>
    <row r="24" spans="1:54" ht="13.5" thickBot="1">
      <c r="A24" s="674"/>
      <c r="B24" s="675"/>
      <c r="C24" s="675"/>
      <c r="D24" s="675"/>
      <c r="E24" s="675"/>
      <c r="F24" s="675"/>
      <c r="G24" s="675"/>
      <c r="H24" s="675"/>
      <c r="I24" s="675"/>
      <c r="J24" s="675"/>
      <c r="K24" s="675"/>
      <c r="L24" s="675"/>
      <c r="M24" s="675"/>
      <c r="N24" s="638"/>
      <c r="O24" s="649"/>
      <c r="P24" s="638"/>
      <c r="Q24" s="649"/>
      <c r="R24" s="638"/>
      <c r="S24" s="649"/>
      <c r="T24" s="638"/>
      <c r="U24" s="649"/>
      <c r="V24" s="638"/>
      <c r="W24" s="639"/>
    </row>
    <row r="25" spans="1:54" ht="13.5" thickBot="1">
      <c r="A25" s="669" t="s">
        <v>326</v>
      </c>
      <c r="B25" s="670"/>
      <c r="C25" s="670"/>
      <c r="D25" s="670"/>
      <c r="E25" s="670"/>
      <c r="F25" s="670"/>
      <c r="G25" s="670"/>
      <c r="H25" s="670"/>
      <c r="I25" s="670"/>
      <c r="J25" s="670"/>
      <c r="K25" s="670"/>
      <c r="L25" s="670"/>
      <c r="M25" s="671"/>
      <c r="N25" s="276"/>
      <c r="O25" s="276"/>
      <c r="P25" s="276"/>
      <c r="Q25" s="276"/>
      <c r="R25" s="276"/>
      <c r="S25" s="276"/>
      <c r="T25" s="276"/>
      <c r="U25" s="276"/>
      <c r="V25" s="684">
        <f>dates!BV28+dates!BV59+dates!BV88+dates!BV119+dates!BV149+dates!BV180+dates!BV210+dates!BV241+dates!BV272+dates!BV302+dates!BV333+dates!BV363</f>
        <v>17191.814571101495</v>
      </c>
      <c r="W25" s="685"/>
      <c r="X25" s="685"/>
      <c r="Y25" s="685"/>
      <c r="Z25" s="686"/>
    </row>
    <row r="26" spans="1:54" ht="13.5" thickBot="1">
      <c r="V26" s="687"/>
      <c r="W26" s="688"/>
      <c r="X26" s="688"/>
      <c r="Y26" s="688"/>
      <c r="Z26" s="689"/>
    </row>
    <row r="27" spans="1:54">
      <c r="A27" s="660" t="s">
        <v>327</v>
      </c>
      <c r="B27" s="661"/>
      <c r="C27" s="661"/>
      <c r="D27" s="661"/>
      <c r="E27" s="661"/>
      <c r="F27" s="661"/>
      <c r="G27" s="661"/>
      <c r="H27" s="661"/>
      <c r="I27" s="661"/>
      <c r="J27" s="661"/>
      <c r="K27" s="661"/>
      <c r="L27" s="661"/>
      <c r="M27" s="662"/>
      <c r="N27" s="277"/>
      <c r="O27" s="277"/>
      <c r="P27" s="277"/>
      <c r="Q27" s="277"/>
      <c r="R27" s="277"/>
      <c r="S27" s="277"/>
      <c r="T27" s="277"/>
      <c r="U27" s="277"/>
      <c r="V27" s="663">
        <f>V25/12</f>
        <v>1432.6512142584579</v>
      </c>
      <c r="W27" s="664"/>
      <c r="X27" s="664"/>
      <c r="Y27" s="664"/>
      <c r="Z27" s="665"/>
      <c r="AD27" s="273"/>
      <c r="AN27" s="10"/>
      <c r="AO27" s="10"/>
      <c r="AP27" s="10"/>
      <c r="AQ27" s="10"/>
      <c r="AR27" s="10"/>
      <c r="AS27" s="10"/>
      <c r="AT27" s="10"/>
      <c r="AU27" s="10"/>
      <c r="AV27" s="10"/>
      <c r="AW27" s="8"/>
      <c r="AX27" s="8"/>
      <c r="AY27" s="8"/>
      <c r="AZ27" s="8"/>
      <c r="BA27" s="8"/>
      <c r="BB27" s="8"/>
    </row>
    <row r="28" spans="1:54">
      <c r="V28" s="666"/>
      <c r="W28" s="667"/>
      <c r="X28" s="667"/>
      <c r="Y28" s="667"/>
      <c r="Z28" s="668"/>
      <c r="AG28" s="274"/>
      <c r="AH28" s="274"/>
      <c r="AN28" s="10"/>
      <c r="AO28" s="10"/>
      <c r="AP28" s="10"/>
      <c r="AQ28" s="10"/>
      <c r="AR28" s="10"/>
      <c r="AS28" s="10"/>
      <c r="AT28" s="10"/>
      <c r="AU28" s="10"/>
      <c r="AV28" s="10"/>
      <c r="AW28" s="8"/>
      <c r="AX28" s="8"/>
      <c r="AY28" s="8"/>
      <c r="AZ28" s="8"/>
      <c r="BA28" s="8"/>
      <c r="BB28" s="8"/>
    </row>
    <row r="29" spans="1:54">
      <c r="AJ29" s="275"/>
      <c r="AN29" s="10"/>
      <c r="AO29" s="10"/>
      <c r="AP29" s="10"/>
      <c r="AQ29" s="10"/>
      <c r="AR29" s="10"/>
      <c r="AS29" s="10"/>
      <c r="AT29" s="10"/>
      <c r="AU29" s="10"/>
      <c r="AV29" s="10"/>
      <c r="AW29" s="8"/>
      <c r="AX29" s="681"/>
      <c r="AY29" s="681"/>
      <c r="AZ29" s="681"/>
      <c r="BA29" s="8"/>
      <c r="BB29" s="8"/>
    </row>
    <row r="30" spans="1:54">
      <c r="AA30" s="10"/>
      <c r="AN30" s="10"/>
      <c r="AO30" s="10"/>
      <c r="AP30" s="10"/>
      <c r="AQ30" s="10"/>
      <c r="AR30" s="10"/>
      <c r="AS30" s="10"/>
      <c r="AT30" s="10"/>
      <c r="AU30" s="10"/>
      <c r="AV30" s="10"/>
      <c r="AW30" s="8"/>
      <c r="AX30" s="8"/>
      <c r="AY30" s="8"/>
      <c r="AZ30" s="8"/>
      <c r="BA30" s="8"/>
      <c r="BB30" s="8"/>
    </row>
    <row r="31" spans="1:54">
      <c r="AI31" t="s">
        <v>328</v>
      </c>
      <c r="AN31" s="10"/>
      <c r="AO31" s="10"/>
      <c r="AP31" s="10"/>
      <c r="AQ31" s="10"/>
      <c r="AR31" s="10"/>
      <c r="AS31" s="10"/>
      <c r="AT31" s="10"/>
      <c r="AU31" s="10"/>
      <c r="AV31" s="10"/>
      <c r="AW31" s="8"/>
      <c r="AX31" s="8"/>
      <c r="AY31" s="8"/>
      <c r="AZ31" s="8"/>
      <c r="BA31" s="8"/>
      <c r="BB31" s="8"/>
    </row>
    <row r="32" spans="1:54">
      <c r="AI32" t="s">
        <v>329</v>
      </c>
      <c r="AN32" s="10"/>
      <c r="AO32" s="10"/>
      <c r="AP32" s="10"/>
      <c r="AQ32" s="10"/>
      <c r="AR32" s="10"/>
      <c r="AS32" s="10"/>
      <c r="AT32" s="10"/>
      <c r="AU32" s="10"/>
      <c r="AV32" s="10"/>
      <c r="AW32" s="8"/>
      <c r="AX32" s="8"/>
      <c r="AY32" s="8"/>
      <c r="AZ32" s="8"/>
      <c r="BA32" s="8"/>
      <c r="BB32" s="8"/>
    </row>
    <row r="33" spans="40:49">
      <c r="AN33" s="10"/>
      <c r="AO33" s="10"/>
      <c r="AP33" s="10"/>
      <c r="AQ33" s="10"/>
      <c r="AR33" s="10"/>
      <c r="AS33" s="10"/>
      <c r="AT33" s="10"/>
      <c r="AU33" s="10"/>
      <c r="AV33" s="10"/>
      <c r="AW33" s="8"/>
    </row>
    <row r="34" spans="40:49">
      <c r="AN34" s="10"/>
      <c r="AO34" s="10"/>
      <c r="AP34" s="10"/>
      <c r="AQ34" s="10"/>
      <c r="AR34" s="10"/>
      <c r="AS34" s="10"/>
      <c r="AT34" s="10"/>
      <c r="AU34" s="10"/>
      <c r="AV34" s="10"/>
      <c r="AW34" s="8"/>
    </row>
    <row r="35" spans="40:49">
      <c r="AN35" s="10"/>
      <c r="AO35" s="10"/>
      <c r="AP35" s="10"/>
      <c r="AQ35" s="10"/>
      <c r="AR35" s="10"/>
      <c r="AS35" s="10"/>
      <c r="AT35" s="10"/>
      <c r="AU35" s="10"/>
      <c r="AV35" s="10"/>
      <c r="AW35" s="8"/>
    </row>
    <row r="36" spans="40:49">
      <c r="AN36" s="10"/>
      <c r="AO36" s="10"/>
      <c r="AP36" s="10"/>
      <c r="AQ36" s="10"/>
      <c r="AR36" s="10"/>
      <c r="AS36" s="10"/>
      <c r="AT36" s="10"/>
      <c r="AU36" s="10"/>
      <c r="AV36" s="10"/>
      <c r="AW36" s="8"/>
    </row>
    <row r="37" spans="40:49">
      <c r="AN37" s="10"/>
      <c r="AO37" s="10"/>
      <c r="AP37" s="10"/>
      <c r="AQ37" s="10"/>
      <c r="AR37" s="10"/>
      <c r="AS37" s="10"/>
      <c r="AT37" s="10"/>
      <c r="AU37" s="10"/>
      <c r="AV37" s="10"/>
      <c r="AW37" s="8"/>
    </row>
    <row r="38" spans="40:49">
      <c r="AN38" s="10"/>
      <c r="AO38" s="10"/>
      <c r="AP38" s="10"/>
      <c r="AQ38" s="10"/>
      <c r="AR38" s="10"/>
      <c r="AS38" s="10"/>
      <c r="AT38" s="10"/>
      <c r="AU38" s="10"/>
      <c r="AV38" s="10"/>
    </row>
    <row r="39" spans="40:49">
      <c r="AN39" s="10"/>
      <c r="AO39" s="10"/>
      <c r="AP39" s="10"/>
      <c r="AQ39" s="10"/>
      <c r="AR39" s="10"/>
      <c r="AS39" s="10"/>
      <c r="AT39" s="10"/>
      <c r="AU39" s="10"/>
      <c r="AV39" s="10"/>
    </row>
    <row r="40" spans="40:49">
      <c r="AN40" s="10"/>
      <c r="AO40" s="10"/>
      <c r="AP40" s="10"/>
      <c r="AQ40" s="10"/>
      <c r="AR40" s="10"/>
      <c r="AS40" s="10"/>
      <c r="AT40" s="10"/>
      <c r="AU40" s="10"/>
      <c r="AV40" s="10"/>
    </row>
    <row r="41" spans="40:49">
      <c r="AN41" s="10"/>
      <c r="AO41" s="10"/>
      <c r="AP41" s="10"/>
      <c r="AQ41" s="10"/>
      <c r="AR41" s="10"/>
      <c r="AS41" s="10"/>
      <c r="AT41" s="10"/>
      <c r="AU41" s="10"/>
      <c r="AV41" s="10"/>
    </row>
    <row r="42" spans="40:49">
      <c r="AN42" s="10"/>
      <c r="AO42" s="10"/>
      <c r="AP42" s="10"/>
      <c r="AQ42" s="10"/>
      <c r="AR42" s="10"/>
      <c r="AS42" s="10"/>
      <c r="AT42" s="10"/>
      <c r="AU42" s="10"/>
      <c r="AV42" s="10"/>
    </row>
    <row r="43" spans="40:49">
      <c r="AN43" s="10"/>
      <c r="AO43" s="10"/>
      <c r="AP43" s="10"/>
      <c r="AQ43" s="10"/>
      <c r="AR43" s="10"/>
      <c r="AS43" s="10"/>
      <c r="AT43" s="10"/>
      <c r="AU43" s="10"/>
      <c r="AV43" s="10"/>
    </row>
  </sheetData>
  <sheetProtection sheet="1" scenarios="1"/>
  <mergeCells count="153">
    <mergeCell ref="AA10:AA11"/>
    <mergeCell ref="AA3:AB4"/>
    <mergeCell ref="N15:O15"/>
    <mergeCell ref="P15:Q15"/>
    <mergeCell ref="R15:S15"/>
    <mergeCell ref="T15:U15"/>
    <mergeCell ref="V15:W15"/>
    <mergeCell ref="N14:O14"/>
    <mergeCell ref="P14:Q14"/>
    <mergeCell ref="N12:O12"/>
    <mergeCell ref="V11:W11"/>
    <mergeCell ref="N11:O11"/>
    <mergeCell ref="V9:W9"/>
    <mergeCell ref="N10:O10"/>
    <mergeCell ref="P10:Q10"/>
    <mergeCell ref="R10:S10"/>
    <mergeCell ref="T10:U10"/>
    <mergeCell ref="V10:W10"/>
    <mergeCell ref="P11:Q11"/>
    <mergeCell ref="R11:S11"/>
    <mergeCell ref="T11:U11"/>
    <mergeCell ref="X10:Z11"/>
    <mergeCell ref="R12:S12"/>
    <mergeCell ref="P21:Q21"/>
    <mergeCell ref="R21:S21"/>
    <mergeCell ref="T21:U21"/>
    <mergeCell ref="V21:W21"/>
    <mergeCell ref="N22:O22"/>
    <mergeCell ref="P22:Q22"/>
    <mergeCell ref="R22:S22"/>
    <mergeCell ref="T22:U22"/>
    <mergeCell ref="V22:W22"/>
    <mergeCell ref="N21:O21"/>
    <mergeCell ref="T19:U19"/>
    <mergeCell ref="V19:W19"/>
    <mergeCell ref="N20:O20"/>
    <mergeCell ref="P20:Q20"/>
    <mergeCell ref="T12:U12"/>
    <mergeCell ref="V12:W12"/>
    <mergeCell ref="V17:W17"/>
    <mergeCell ref="N16:O16"/>
    <mergeCell ref="P16:Q16"/>
    <mergeCell ref="R16:S16"/>
    <mergeCell ref="T16:U16"/>
    <mergeCell ref="V16:W16"/>
    <mergeCell ref="N17:O17"/>
    <mergeCell ref="P17:Q17"/>
    <mergeCell ref="R14:S14"/>
    <mergeCell ref="T14:U14"/>
    <mergeCell ref="V14:W14"/>
    <mergeCell ref="P13:Q13"/>
    <mergeCell ref="R13:S13"/>
    <mergeCell ref="T13:U13"/>
    <mergeCell ref="V13:W13"/>
    <mergeCell ref="P12:Q12"/>
    <mergeCell ref="A12:M12"/>
    <mergeCell ref="A22:M22"/>
    <mergeCell ref="A15:M15"/>
    <mergeCell ref="A17:M17"/>
    <mergeCell ref="A19:M19"/>
    <mergeCell ref="A20:M20"/>
    <mergeCell ref="A21:M21"/>
    <mergeCell ref="R7:S7"/>
    <mergeCell ref="T7:U7"/>
    <mergeCell ref="A8:M8"/>
    <mergeCell ref="A9:M9"/>
    <mergeCell ref="N8:O8"/>
    <mergeCell ref="P8:Q8"/>
    <mergeCell ref="R8:S8"/>
    <mergeCell ref="N9:O9"/>
    <mergeCell ref="P9:Q9"/>
    <mergeCell ref="R9:S9"/>
    <mergeCell ref="A13:M13"/>
    <mergeCell ref="A14:M14"/>
    <mergeCell ref="A10:M10"/>
    <mergeCell ref="A11:M11"/>
    <mergeCell ref="A7:M7"/>
    <mergeCell ref="R20:S20"/>
    <mergeCell ref="T20:U20"/>
    <mergeCell ref="V24:W24"/>
    <mergeCell ref="P19:Q19"/>
    <mergeCell ref="AX29:AZ29"/>
    <mergeCell ref="N1:O1"/>
    <mergeCell ref="P1:Q1"/>
    <mergeCell ref="R1:S1"/>
    <mergeCell ref="T1:U1"/>
    <mergeCell ref="V1:W1"/>
    <mergeCell ref="N2:O2"/>
    <mergeCell ref="P2:Q2"/>
    <mergeCell ref="X20:AF20"/>
    <mergeCell ref="V25:Z26"/>
    <mergeCell ref="V23:W23"/>
    <mergeCell ref="AI18:AJ19"/>
    <mergeCell ref="N13:O13"/>
    <mergeCell ref="V7:W7"/>
    <mergeCell ref="R2:S2"/>
    <mergeCell ref="T2:U2"/>
    <mergeCell ref="T8:U8"/>
    <mergeCell ref="V8:W8"/>
    <mergeCell ref="T9:U9"/>
    <mergeCell ref="N7:O7"/>
    <mergeCell ref="P7:Q7"/>
    <mergeCell ref="R19:S19"/>
    <mergeCell ref="X6:Z6"/>
    <mergeCell ref="X8:Z9"/>
    <mergeCell ref="A5:M5"/>
    <mergeCell ref="V5:W5"/>
    <mergeCell ref="X5:Z5"/>
    <mergeCell ref="A27:M27"/>
    <mergeCell ref="V27:Z28"/>
    <mergeCell ref="A25:M25"/>
    <mergeCell ref="A23:M23"/>
    <mergeCell ref="A24:M24"/>
    <mergeCell ref="N23:O23"/>
    <mergeCell ref="P23:Q23"/>
    <mergeCell ref="A16:M16"/>
    <mergeCell ref="X19:AF19"/>
    <mergeCell ref="R17:S17"/>
    <mergeCell ref="T17:U17"/>
    <mergeCell ref="N19:O19"/>
    <mergeCell ref="R23:S23"/>
    <mergeCell ref="T23:U23"/>
    <mergeCell ref="V20:W20"/>
    <mergeCell ref="N24:O24"/>
    <mergeCell ref="P24:Q24"/>
    <mergeCell ref="R24:S24"/>
    <mergeCell ref="T24:U24"/>
    <mergeCell ref="T5:U5"/>
    <mergeCell ref="N5:O5"/>
    <mergeCell ref="P5:Q5"/>
    <mergeCell ref="R5:S5"/>
    <mergeCell ref="A6:M6"/>
    <mergeCell ref="V6:W6"/>
    <mergeCell ref="N6:O6"/>
    <mergeCell ref="P6:Q6"/>
    <mergeCell ref="R6:S6"/>
    <mergeCell ref="T6:U6"/>
    <mergeCell ref="A2:M2"/>
    <mergeCell ref="V2:W2"/>
    <mergeCell ref="X2:Z2"/>
    <mergeCell ref="A3:M3"/>
    <mergeCell ref="V3:W3"/>
    <mergeCell ref="X3:Z4"/>
    <mergeCell ref="T3:U3"/>
    <mergeCell ref="T4:U4"/>
    <mergeCell ref="N3:O3"/>
    <mergeCell ref="P3:Q3"/>
    <mergeCell ref="R3:S3"/>
    <mergeCell ref="A4:M4"/>
    <mergeCell ref="V4:W4"/>
    <mergeCell ref="N4:O4"/>
    <mergeCell ref="P4:Q4"/>
    <mergeCell ref="R4:S4"/>
  </mergeCells>
  <conditionalFormatting sqref="V25:Z26">
    <cfRule type="cellIs" dxfId="98" priority="3" operator="lessThan">
      <formula>17000</formula>
    </cfRule>
  </conditionalFormatting>
  <conditionalFormatting sqref="AI11:AI12 AA8:AA10">
    <cfRule type="cellIs" dxfId="97" priority="1" operator="lessThan">
      <formula>0</formula>
    </cfRule>
    <cfRule type="cellIs" dxfId="96" priority="2" operator="greaterThan">
      <formula>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0353" r:id="rId4" name="MENU">
          <controlPr defaultSize="0" print="0" autoLine="0" r:id="rId5">
            <anchor moveWithCells="1">
              <from>
                <xdr:col>29</xdr:col>
                <xdr:colOff>57150</xdr:colOff>
                <xdr:row>7</xdr:row>
                <xdr:rowOff>76200</xdr:rowOff>
              </from>
              <to>
                <xdr:col>32</xdr:col>
                <xdr:colOff>304800</xdr:colOff>
                <xdr:row>9</xdr:row>
                <xdr:rowOff>57150</xdr:rowOff>
              </to>
            </anchor>
          </controlPr>
        </control>
      </mc:Choice>
      <mc:Fallback>
        <control shapeId="100353" r:id="rId4" name="MENU"/>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dimension ref="A2:S17"/>
  <sheetViews>
    <sheetView workbookViewId="0">
      <pane xSplit="1" ySplit="3" topLeftCell="B4" activePane="bottomRight" state="frozen"/>
      <selection pane="topRight" activeCell="B1" sqref="B1"/>
      <selection pane="bottomLeft" activeCell="A4" sqref="A4"/>
      <selection pane="bottomRight" activeCell="O24" sqref="O24"/>
    </sheetView>
  </sheetViews>
  <sheetFormatPr baseColWidth="10" defaultRowHeight="12.75"/>
  <cols>
    <col min="1" max="1" width="13" bestFit="1" customWidth="1"/>
    <col min="2" max="2" width="6.7109375" customWidth="1"/>
    <col min="3" max="4" width="8.7109375" customWidth="1"/>
    <col min="5" max="5" width="6.7109375" customWidth="1"/>
    <col min="6" max="7" width="8.7109375" customWidth="1"/>
    <col min="8" max="8" width="6.7109375" customWidth="1"/>
    <col min="9" max="10" width="8.7109375" customWidth="1"/>
    <col min="11" max="11" width="6.7109375" customWidth="1"/>
    <col min="12" max="13" width="8.7109375" customWidth="1"/>
    <col min="14" max="14" width="6.7109375" customWidth="1"/>
    <col min="15" max="16" width="8.7109375" customWidth="1"/>
  </cols>
  <sheetData>
    <row r="2" spans="1:19">
      <c r="B2" s="703" t="s">
        <v>341</v>
      </c>
      <c r="C2" s="703"/>
      <c r="D2" s="703"/>
      <c r="E2" s="703" t="s">
        <v>342</v>
      </c>
      <c r="F2" s="703"/>
      <c r="G2" s="703"/>
      <c r="H2" s="703" t="s">
        <v>343</v>
      </c>
      <c r="I2" s="703"/>
      <c r="J2" s="703"/>
      <c r="K2" s="703" t="s">
        <v>344</v>
      </c>
      <c r="L2" s="703"/>
      <c r="M2" s="703"/>
      <c r="N2" s="703" t="s">
        <v>345</v>
      </c>
      <c r="O2" s="703"/>
      <c r="P2" s="703"/>
      <c r="Q2" s="703" t="s">
        <v>337</v>
      </c>
      <c r="R2" s="703"/>
      <c r="S2" s="703"/>
    </row>
    <row r="3" spans="1:19" ht="38.25">
      <c r="B3" s="282" t="s">
        <v>338</v>
      </c>
      <c r="C3" s="282" t="s">
        <v>339</v>
      </c>
      <c r="D3" s="264" t="s">
        <v>340</v>
      </c>
      <c r="E3" s="282" t="s">
        <v>338</v>
      </c>
      <c r="F3" s="282" t="s">
        <v>339</v>
      </c>
      <c r="G3" s="264" t="s">
        <v>340</v>
      </c>
      <c r="H3" s="282" t="s">
        <v>338</v>
      </c>
      <c r="I3" s="282" t="s">
        <v>339</v>
      </c>
      <c r="J3" s="264" t="s">
        <v>340</v>
      </c>
      <c r="K3" s="282" t="s">
        <v>338</v>
      </c>
      <c r="L3" s="282" t="s">
        <v>339</v>
      </c>
      <c r="M3" s="264" t="s">
        <v>340</v>
      </c>
      <c r="N3" s="282" t="s">
        <v>338</v>
      </c>
      <c r="O3" s="282" t="s">
        <v>339</v>
      </c>
      <c r="P3" s="264" t="s">
        <v>340</v>
      </c>
      <c r="Q3" s="282" t="s">
        <v>338</v>
      </c>
      <c r="R3" s="282" t="s">
        <v>346</v>
      </c>
      <c r="S3" s="264" t="s">
        <v>340</v>
      </c>
    </row>
    <row r="4" spans="1:19">
      <c r="A4" s="141" t="s">
        <v>34</v>
      </c>
      <c r="B4" s="141"/>
      <c r="C4" s="141">
        <f>dates!O11</f>
        <v>7</v>
      </c>
      <c r="D4" s="141">
        <f>SUM(B4:C4)</f>
        <v>7</v>
      </c>
      <c r="E4" s="141"/>
      <c r="F4" s="141">
        <f>dates!O7</f>
        <v>27</v>
      </c>
      <c r="G4" s="141">
        <f t="shared" ref="G4:G15" si="0">SUM(E4:F4)</f>
        <v>27</v>
      </c>
      <c r="H4" s="141"/>
      <c r="I4" s="141">
        <f>dates!O13</f>
        <v>5</v>
      </c>
      <c r="J4" s="141">
        <f t="shared" ref="J4:J15" si="1">SUM(H4:I4)</f>
        <v>5</v>
      </c>
      <c r="K4" s="141"/>
      <c r="L4" s="141">
        <f>dates!O6</f>
        <v>5</v>
      </c>
      <c r="M4" s="141">
        <f t="shared" ref="M4:M15" si="2">SUM(K4:L4)</f>
        <v>5</v>
      </c>
      <c r="N4" s="141"/>
      <c r="O4" s="141"/>
      <c r="P4" s="141">
        <f t="shared" ref="P4:P15" si="3">SUM(N4:O4)</f>
        <v>0</v>
      </c>
      <c r="Q4" s="141"/>
      <c r="R4" s="141">
        <f>dates!BV28</f>
        <v>1530.3275809251247</v>
      </c>
      <c r="S4" s="141">
        <f t="shared" ref="S4:S15" si="4">SUM(Q4:R4)</f>
        <v>1530.3275809251247</v>
      </c>
    </row>
    <row r="5" spans="1:19">
      <c r="A5" s="141" t="s">
        <v>196</v>
      </c>
      <c r="B5" s="141"/>
      <c r="C5" s="141">
        <f>dates!O42</f>
        <v>0</v>
      </c>
      <c r="D5" s="141">
        <f t="shared" ref="D5:D15" si="5">SUM(B5:C5)</f>
        <v>0</v>
      </c>
      <c r="E5" s="141"/>
      <c r="F5" s="141">
        <f>dates!O38</f>
        <v>0</v>
      </c>
      <c r="G5" s="141">
        <f t="shared" si="0"/>
        <v>0</v>
      </c>
      <c r="H5" s="141"/>
      <c r="I5" s="141">
        <f>dates!O44</f>
        <v>0</v>
      </c>
      <c r="J5" s="141">
        <f t="shared" si="1"/>
        <v>0</v>
      </c>
      <c r="K5" s="141"/>
      <c r="L5" s="141">
        <f>dates!O37</f>
        <v>0</v>
      </c>
      <c r="M5" s="141">
        <f t="shared" si="2"/>
        <v>0</v>
      </c>
      <c r="N5" s="141"/>
      <c r="O5" s="141"/>
      <c r="P5" s="141">
        <f t="shared" si="3"/>
        <v>0</v>
      </c>
      <c r="Q5" s="141"/>
      <c r="R5" s="141">
        <f>dates!BV59</f>
        <v>1407.7499809251249</v>
      </c>
      <c r="S5" s="141">
        <f t="shared" si="4"/>
        <v>1407.7499809251249</v>
      </c>
    </row>
    <row r="6" spans="1:19">
      <c r="A6" s="141" t="s">
        <v>40</v>
      </c>
      <c r="B6" s="141"/>
      <c r="C6" s="141">
        <f>dates!O71</f>
        <v>0</v>
      </c>
      <c r="D6" s="141">
        <f t="shared" si="5"/>
        <v>0</v>
      </c>
      <c r="E6" s="141"/>
      <c r="F6" s="141">
        <f>dates!O67</f>
        <v>0</v>
      </c>
      <c r="G6" s="141">
        <f t="shared" si="0"/>
        <v>0</v>
      </c>
      <c r="H6" s="141"/>
      <c r="I6" s="141">
        <f>dates!O73</f>
        <v>0</v>
      </c>
      <c r="J6" s="141">
        <f t="shared" si="1"/>
        <v>0</v>
      </c>
      <c r="K6" s="141"/>
      <c r="L6" s="141">
        <f>dates!O66</f>
        <v>0</v>
      </c>
      <c r="M6" s="141">
        <f t="shared" si="2"/>
        <v>0</v>
      </c>
      <c r="N6" s="141"/>
      <c r="O6" s="141"/>
      <c r="P6" s="141">
        <f t="shared" si="3"/>
        <v>0</v>
      </c>
      <c r="Q6" s="141"/>
      <c r="R6" s="141">
        <f>dates!BV88</f>
        <v>1407.7499809251249</v>
      </c>
      <c r="S6" s="141">
        <f t="shared" si="4"/>
        <v>1407.7499809251249</v>
      </c>
    </row>
    <row r="7" spans="1:19">
      <c r="A7" s="141" t="s">
        <v>43</v>
      </c>
      <c r="B7" s="141"/>
      <c r="C7" s="141">
        <f>dates!O102</f>
        <v>0</v>
      </c>
      <c r="D7" s="141">
        <f t="shared" si="5"/>
        <v>0</v>
      </c>
      <c r="E7" s="141"/>
      <c r="F7" s="141">
        <f>dates!O98</f>
        <v>0</v>
      </c>
      <c r="G7" s="141">
        <f t="shared" si="0"/>
        <v>0</v>
      </c>
      <c r="H7" s="141"/>
      <c r="I7" s="141">
        <f>dates!O104</f>
        <v>0</v>
      </c>
      <c r="J7" s="141">
        <f t="shared" si="1"/>
        <v>0</v>
      </c>
      <c r="K7" s="141"/>
      <c r="L7" s="141">
        <f>dates!O97</f>
        <v>0</v>
      </c>
      <c r="M7" s="141">
        <f t="shared" si="2"/>
        <v>0</v>
      </c>
      <c r="N7" s="141"/>
      <c r="O7" s="141"/>
      <c r="P7" s="141">
        <f t="shared" si="3"/>
        <v>0</v>
      </c>
      <c r="Q7" s="283"/>
      <c r="R7" s="283">
        <f>dates!BV119</f>
        <v>1407.7499809251249</v>
      </c>
      <c r="S7" s="283">
        <f t="shared" si="4"/>
        <v>1407.7499809251249</v>
      </c>
    </row>
    <row r="8" spans="1:19">
      <c r="A8" s="141" t="s">
        <v>46</v>
      </c>
      <c r="B8" s="141"/>
      <c r="C8" s="141">
        <f>dates!O132</f>
        <v>0</v>
      </c>
      <c r="D8" s="141">
        <f t="shared" si="5"/>
        <v>0</v>
      </c>
      <c r="E8" s="141"/>
      <c r="F8" s="141">
        <f>dates!O128</f>
        <v>0</v>
      </c>
      <c r="G8" s="141">
        <f t="shared" si="0"/>
        <v>0</v>
      </c>
      <c r="H8" s="141"/>
      <c r="I8" s="141">
        <f>dates!O134</f>
        <v>0</v>
      </c>
      <c r="J8" s="141">
        <f t="shared" si="1"/>
        <v>0</v>
      </c>
      <c r="K8" s="141"/>
      <c r="L8" s="141">
        <f>dates!O127</f>
        <v>0</v>
      </c>
      <c r="M8" s="141">
        <f t="shared" si="2"/>
        <v>0</v>
      </c>
      <c r="N8" s="141"/>
      <c r="O8" s="141"/>
      <c r="P8" s="141">
        <f t="shared" si="3"/>
        <v>0</v>
      </c>
      <c r="Q8" s="283"/>
      <c r="R8" s="283">
        <f>dates!BV149</f>
        <v>1407.7499809251249</v>
      </c>
      <c r="S8" s="283">
        <f t="shared" si="4"/>
        <v>1407.7499809251249</v>
      </c>
    </row>
    <row r="9" spans="1:19">
      <c r="A9" s="141" t="s">
        <v>49</v>
      </c>
      <c r="B9" s="141"/>
      <c r="C9" s="141">
        <f>dates!O163</f>
        <v>0</v>
      </c>
      <c r="D9" s="141">
        <f t="shared" si="5"/>
        <v>0</v>
      </c>
      <c r="E9" s="141"/>
      <c r="F9" s="141">
        <f>dates!O159</f>
        <v>0</v>
      </c>
      <c r="G9" s="141">
        <f t="shared" si="0"/>
        <v>0</v>
      </c>
      <c r="H9" s="141"/>
      <c r="I9" s="141">
        <f>dates!O165</f>
        <v>0</v>
      </c>
      <c r="J9" s="141">
        <f t="shared" si="1"/>
        <v>0</v>
      </c>
      <c r="K9" s="141"/>
      <c r="L9" s="141">
        <f>dates!O158</f>
        <v>0</v>
      </c>
      <c r="M9" s="141">
        <f t="shared" si="2"/>
        <v>0</v>
      </c>
      <c r="N9" s="141"/>
      <c r="O9" s="141"/>
      <c r="P9" s="141">
        <f t="shared" si="3"/>
        <v>0</v>
      </c>
      <c r="Q9" s="283"/>
      <c r="R9" s="283">
        <f>dates!BV180</f>
        <v>1407.7499809251249</v>
      </c>
      <c r="S9" s="283">
        <f t="shared" si="4"/>
        <v>1407.7499809251249</v>
      </c>
    </row>
    <row r="10" spans="1:19">
      <c r="A10" s="141" t="s">
        <v>197</v>
      </c>
      <c r="B10" s="141"/>
      <c r="C10" s="141">
        <f>dates!O193</f>
        <v>0</v>
      </c>
      <c r="D10" s="141">
        <f t="shared" si="5"/>
        <v>0</v>
      </c>
      <c r="E10" s="141"/>
      <c r="F10" s="141">
        <f>dates!O189</f>
        <v>0</v>
      </c>
      <c r="G10" s="141">
        <f t="shared" si="0"/>
        <v>0</v>
      </c>
      <c r="H10" s="141"/>
      <c r="I10" s="141">
        <f>dates!O195</f>
        <v>0</v>
      </c>
      <c r="J10" s="141">
        <f t="shared" si="1"/>
        <v>0</v>
      </c>
      <c r="K10" s="141"/>
      <c r="L10" s="141">
        <f>dates!O188</f>
        <v>0</v>
      </c>
      <c r="M10" s="141">
        <f t="shared" si="2"/>
        <v>0</v>
      </c>
      <c r="N10" s="141"/>
      <c r="O10" s="141"/>
      <c r="P10" s="141">
        <f t="shared" si="3"/>
        <v>0</v>
      </c>
      <c r="Q10" s="283"/>
      <c r="R10" s="283">
        <f>dates!BV210</f>
        <v>1407.7499809251249</v>
      </c>
      <c r="S10" s="283">
        <f t="shared" si="4"/>
        <v>1407.7499809251249</v>
      </c>
    </row>
    <row r="11" spans="1:19">
      <c r="A11" s="141" t="s">
        <v>198</v>
      </c>
      <c r="B11" s="141"/>
      <c r="C11" s="141">
        <f>dates!O224</f>
        <v>0</v>
      </c>
      <c r="D11" s="141">
        <f t="shared" si="5"/>
        <v>0</v>
      </c>
      <c r="E11" s="141"/>
      <c r="F11" s="141">
        <f>dates!O220</f>
        <v>0</v>
      </c>
      <c r="G11" s="141">
        <f t="shared" si="0"/>
        <v>0</v>
      </c>
      <c r="H11" s="141"/>
      <c r="I11" s="141">
        <f>dates!O226</f>
        <v>0</v>
      </c>
      <c r="J11" s="141">
        <f t="shared" si="1"/>
        <v>0</v>
      </c>
      <c r="K11" s="141"/>
      <c r="L11" s="141">
        <f>dates!O219</f>
        <v>0</v>
      </c>
      <c r="M11" s="141">
        <f t="shared" si="2"/>
        <v>0</v>
      </c>
      <c r="N11" s="141"/>
      <c r="O11" s="141"/>
      <c r="P11" s="141">
        <f t="shared" si="3"/>
        <v>0</v>
      </c>
      <c r="Q11" s="283"/>
      <c r="R11" s="283">
        <f>dates!BV241</f>
        <v>1407.7499809251249</v>
      </c>
      <c r="S11" s="283">
        <f t="shared" si="4"/>
        <v>1407.7499809251249</v>
      </c>
    </row>
    <row r="12" spans="1:19">
      <c r="A12" s="141" t="s">
        <v>57</v>
      </c>
      <c r="B12" s="141"/>
      <c r="C12" s="141">
        <f>dates!O255</f>
        <v>0</v>
      </c>
      <c r="D12" s="141">
        <f t="shared" si="5"/>
        <v>0</v>
      </c>
      <c r="E12" s="141"/>
      <c r="F12" s="141">
        <f>dates!O251</f>
        <v>0</v>
      </c>
      <c r="G12" s="141">
        <f t="shared" si="0"/>
        <v>0</v>
      </c>
      <c r="H12" s="141"/>
      <c r="I12" s="141">
        <f>dates!O257</f>
        <v>0</v>
      </c>
      <c r="J12" s="141">
        <f t="shared" si="1"/>
        <v>0</v>
      </c>
      <c r="K12" s="141"/>
      <c r="L12" s="141">
        <f>dates!O250</f>
        <v>0</v>
      </c>
      <c r="M12" s="141">
        <f t="shared" si="2"/>
        <v>0</v>
      </c>
      <c r="N12" s="141"/>
      <c r="O12" s="141"/>
      <c r="P12" s="141">
        <f t="shared" si="3"/>
        <v>0</v>
      </c>
      <c r="Q12" s="283"/>
      <c r="R12" s="283">
        <f>dates!BV272</f>
        <v>1407.7499809251249</v>
      </c>
      <c r="S12" s="283">
        <f t="shared" si="4"/>
        <v>1407.7499809251249</v>
      </c>
    </row>
    <row r="13" spans="1:19">
      <c r="A13" s="141" t="s">
        <v>60</v>
      </c>
      <c r="B13" s="141"/>
      <c r="C13" s="141">
        <f>dates!O285</f>
        <v>36</v>
      </c>
      <c r="D13" s="141">
        <f t="shared" si="5"/>
        <v>36</v>
      </c>
      <c r="E13" s="141"/>
      <c r="F13" s="141">
        <f>dates!O281</f>
        <v>72</v>
      </c>
      <c r="G13" s="141">
        <f t="shared" si="0"/>
        <v>72</v>
      </c>
      <c r="H13" s="141"/>
      <c r="I13" s="141">
        <f>dates!O287</f>
        <v>0</v>
      </c>
      <c r="J13" s="141">
        <f t="shared" si="1"/>
        <v>0</v>
      </c>
      <c r="K13" s="141"/>
      <c r="L13" s="141">
        <f>dates!O280</f>
        <v>13</v>
      </c>
      <c r="M13" s="141">
        <f t="shared" si="2"/>
        <v>13</v>
      </c>
      <c r="N13" s="141"/>
      <c r="O13" s="141"/>
      <c r="P13" s="141">
        <f t="shared" si="3"/>
        <v>0</v>
      </c>
      <c r="Q13" s="283"/>
      <c r="R13" s="283">
        <f>dates!BV302</f>
        <v>1583.9871809251249</v>
      </c>
      <c r="S13" s="283">
        <f t="shared" si="4"/>
        <v>1583.9871809251249</v>
      </c>
    </row>
    <row r="14" spans="1:19">
      <c r="A14" s="141" t="s">
        <v>63</v>
      </c>
      <c r="B14" s="141"/>
      <c r="C14" s="141">
        <f>dates!O316</f>
        <v>0</v>
      </c>
      <c r="D14" s="141">
        <f t="shared" si="5"/>
        <v>0</v>
      </c>
      <c r="E14" s="141"/>
      <c r="F14" s="141">
        <f>dates!O312</f>
        <v>0</v>
      </c>
      <c r="G14" s="141">
        <f t="shared" si="0"/>
        <v>0</v>
      </c>
      <c r="H14" s="141"/>
      <c r="I14" s="141">
        <f>dates!O318</f>
        <v>0</v>
      </c>
      <c r="J14" s="141">
        <f t="shared" si="1"/>
        <v>0</v>
      </c>
      <c r="K14" s="141"/>
      <c r="L14" s="141">
        <f>dates!O311</f>
        <v>0</v>
      </c>
      <c r="M14" s="141">
        <f t="shared" si="2"/>
        <v>0</v>
      </c>
      <c r="N14" s="141"/>
      <c r="O14" s="141"/>
      <c r="P14" s="141">
        <f t="shared" si="3"/>
        <v>0</v>
      </c>
      <c r="Q14" s="283"/>
      <c r="R14" s="283">
        <f>dates!BV333</f>
        <v>1407.7499809251249</v>
      </c>
      <c r="S14" s="283">
        <f t="shared" si="4"/>
        <v>1407.7499809251249</v>
      </c>
    </row>
    <row r="15" spans="1:19">
      <c r="A15" s="141" t="s">
        <v>199</v>
      </c>
      <c r="B15" s="141"/>
      <c r="C15" s="141">
        <f>dates!O346</f>
        <v>0</v>
      </c>
      <c r="D15" s="141">
        <f t="shared" si="5"/>
        <v>0</v>
      </c>
      <c r="E15" s="141"/>
      <c r="F15" s="141">
        <f>dates!O342</f>
        <v>0</v>
      </c>
      <c r="G15" s="141">
        <f t="shared" si="0"/>
        <v>0</v>
      </c>
      <c r="H15" s="141"/>
      <c r="I15" s="141">
        <f>dates!O348</f>
        <v>0</v>
      </c>
      <c r="J15" s="141">
        <f t="shared" si="1"/>
        <v>0</v>
      </c>
      <c r="K15" s="141"/>
      <c r="L15" s="141">
        <f>dates!O341</f>
        <v>0</v>
      </c>
      <c r="M15" s="141">
        <f t="shared" si="2"/>
        <v>0</v>
      </c>
      <c r="N15" s="141"/>
      <c r="O15" s="141"/>
      <c r="P15" s="141">
        <f t="shared" si="3"/>
        <v>0</v>
      </c>
      <c r="Q15" s="283"/>
      <c r="R15" s="283">
        <f>dates!BV363</f>
        <v>1407.7499809251249</v>
      </c>
      <c r="S15" s="283">
        <f t="shared" si="4"/>
        <v>1407.7499809251249</v>
      </c>
    </row>
    <row r="17" spans="4:19">
      <c r="D17" s="141">
        <f>IF(ISNUMBER(B4),D4 )+IF(ISNUMBER(B5),D5 )+IF(ISNUMBER(B6),D6 )+IF(ISNUMBER(B7),D7 )+IF(ISNUMBER(B8),D8 )+IF(ISNUMBER(B9),D9)+IF(ISNUMBER(B10),D10)+IF(ISNUMBER(B11),D11 )+IF(ISNUMBER(B12),D12 )+IF(ISNUMBER(B13),D13 )+IF(ISNUMBER(B14),D14 )+IF(ISNUMBER(B15),D15 )</f>
        <v>0</v>
      </c>
      <c r="G17" s="141">
        <f>IF(ISNUMBER(E4),G4 )+IF(ISNUMBER(E5),G5 )+IF(ISNUMBER(E6),G6 )+IF(ISNUMBER(E7),G7 )+IF(ISNUMBER(E8),G8 )+IF(ISNUMBER(E9),G9)+IF(ISNUMBER(E10),G10)+IF(ISNUMBER(E11),G11 )+IF(ISNUMBER(E12),G12 )+IF(ISNUMBER(E13),G13 )+IF(ISNUMBER(E14),G14 )+IF(ISNUMBER(E15),G15 )</f>
        <v>0</v>
      </c>
      <c r="J17" s="141">
        <f>IF(ISNUMBER(H4),J4 )+IF(ISNUMBER(H5),J5 )+IF(ISNUMBER(H6),J6 )+IF(ISNUMBER(H7),J7 )+IF(ISNUMBER(H8),J8 )+IF(ISNUMBER(H9),J9)+IF(ISNUMBER(H10),J10)+IF(ISNUMBER(H11),J11 )+IF(ISNUMBER(H12),J12 )+IF(ISNUMBER(H13),J13 )+IF(ISNUMBER(H14),J14 )+IF(ISNUMBER(H15),J15 )</f>
        <v>0</v>
      </c>
      <c r="M17" s="141">
        <f>IF(ISNUMBER(K4),M4 )+IF(ISNUMBER(K5),M5 )+IF(ISNUMBER(K6),M6 )+IF(ISNUMBER(K7),M7 )+IF(ISNUMBER(K8),M8 )+IF(ISNUMBER(K9),M9)+IF(ISNUMBER(K10),M10)+IF(ISNUMBER(K11),M11 )+IF(ISNUMBER(K12),M12 )+IF(ISNUMBER(K13),M13 )+IF(ISNUMBER(K14),M14 )+IF(ISNUMBER(K15),M15 )</f>
        <v>0</v>
      </c>
      <c r="P17" s="141">
        <f>IF(ISNUMBER(N4),P4 )+IF(ISNUMBER(N5),P5 )+IF(ISNUMBER(N6),P6 )+IF(ISNUMBER(N7),P7 )+IF(ISNUMBER(N8),P8 )+IF(ISNUMBER(N9),P9)+IF(ISNUMBER(N10),P10)+IF(ISNUMBER(N11),P11 )+IF(ISNUMBER(N12),P12 )+IF(ISNUMBER(N13),P13 )+IF(ISNUMBER(N14),P14 )+IF(ISNUMBER(N15),P15 )</f>
        <v>0</v>
      </c>
      <c r="S17" s="284">
        <f>IF(ISNUMBER(Q4),S4 )+IF(ISNUMBER(Q5),S5 )+IF(ISNUMBER(Q6),S6 )+IF(ISNUMBER(Q7),S7 )+IF(ISNUMBER(Q8),S8 )+IF(ISNUMBER(Q9),S9)+IF(ISNUMBER(Q10),S10)+IF(ISNUMBER(Q11),S11 )+IF(ISNUMBER(Q12),S12 )+IF(ISNUMBER(Q13),S13 )+IF(ISNUMBER(Q14),S14 )+IF(ISNUMBER(Q15),S15 )</f>
        <v>0</v>
      </c>
    </row>
  </sheetData>
  <sheetProtection sheet="1" scenarios="1"/>
  <mergeCells count="6">
    <mergeCell ref="Q2:S2"/>
    <mergeCell ref="B2:D2"/>
    <mergeCell ref="E2:G2"/>
    <mergeCell ref="H2:J2"/>
    <mergeCell ref="K2:M2"/>
    <mergeCell ref="N2:P2"/>
  </mergeCells>
  <conditionalFormatting sqref="D4:D15 G4:G15 J4:J15 M4:M15 P4:P15 S4:S15">
    <cfRule type="cellIs" dxfId="95" priority="4" stopIfTrue="1" operator="equal">
      <formula>0</formula>
    </cfRule>
    <cfRule type="cellIs" dxfId="94" priority="5" stopIfTrue="1" operator="lessThan">
      <formula>0</formula>
    </cfRule>
    <cfRule type="cellIs" dxfId="93" priority="6" stopIfTrue="1" operator="greaterThan">
      <formula>0</formula>
    </cfRule>
  </conditionalFormatting>
  <conditionalFormatting sqref="D17 G17 J17 M17 V17 Y17 AB17 P17 S17">
    <cfRule type="cellIs" dxfId="92" priority="1" stopIfTrue="1" operator="equal">
      <formula>0</formula>
    </cfRule>
    <cfRule type="cellIs" dxfId="91" priority="2" stopIfTrue="1" operator="lessThan">
      <formula>0</formula>
    </cfRule>
    <cfRule type="cellIs" dxfId="90" priority="3" stopIfTrue="1" operator="greaterThan">
      <formula>0</formula>
    </cfRule>
  </conditionalFormatting>
  <pageMargins left="0.7" right="0.7" top="0.75" bottom="0.75" header="0.3" footer="0.3"/>
  <drawing r:id="rId1"/>
  <legacyDrawing r:id="rId2"/>
  <controls>
    <mc:AlternateContent xmlns:mc="http://schemas.openxmlformats.org/markup-compatibility/2006">
      <mc:Choice Requires="x14">
        <control shapeId="101377" r:id="rId3" name="MENU">
          <controlPr defaultSize="0" print="0" autoLine="0" r:id="rId4">
            <anchor moveWithCells="1">
              <from>
                <xdr:col>8</xdr:col>
                <xdr:colOff>142875</xdr:colOff>
                <xdr:row>18</xdr:row>
                <xdr:rowOff>114300</xdr:rowOff>
              </from>
              <to>
                <xdr:col>11</xdr:col>
                <xdr:colOff>38100</xdr:colOff>
                <xdr:row>21</xdr:row>
                <xdr:rowOff>9525</xdr:rowOff>
              </to>
            </anchor>
          </controlPr>
        </control>
      </mc:Choice>
      <mc:Fallback>
        <control shapeId="101377" r:id="rId3" name="MENU"/>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P74"/>
  <sheetViews>
    <sheetView showGridLines="0" workbookViewId="0">
      <pane ySplit="3" topLeftCell="A4" activePane="bottomLeft" state="frozen"/>
      <selection pane="bottomLeft" activeCell="AN6" sqref="AN6"/>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42" width="3.7109375" customWidth="1"/>
  </cols>
  <sheetData>
    <row r="1" spans="2:42" ht="30" customHeight="1">
      <c r="B1" s="187"/>
      <c r="C1" s="718" t="str">
        <f>VLOOKUP(C52,Données,2)</f>
        <v>JANVIER</v>
      </c>
      <c r="D1" s="718"/>
      <c r="E1" s="718"/>
      <c r="F1" s="718"/>
      <c r="G1" s="718"/>
      <c r="H1" s="718"/>
      <c r="I1" s="718"/>
      <c r="J1" s="718"/>
      <c r="K1" s="189"/>
      <c r="L1" s="189"/>
      <c r="M1" s="190"/>
      <c r="N1" s="191" t="s">
        <v>187</v>
      </c>
      <c r="O1" s="188"/>
      <c r="P1" s="192"/>
      <c r="Q1" s="192"/>
      <c r="R1" s="190"/>
      <c r="S1" s="193"/>
      <c r="T1" s="194" t="str">
        <f>VLOOKUP(C52,Données,5)</f>
        <v>grenat</v>
      </c>
      <c r="U1" s="195"/>
      <c r="V1" s="195"/>
      <c r="W1" s="190"/>
      <c r="X1" s="196"/>
      <c r="Y1" s="188"/>
      <c r="Z1" s="197"/>
      <c r="AA1" s="197"/>
      <c r="AB1" s="190"/>
      <c r="AC1" s="193"/>
      <c r="AD1" s="188"/>
      <c r="AE1" s="198"/>
      <c r="AF1" s="198"/>
      <c r="AG1" s="198"/>
      <c r="AH1" s="190"/>
      <c r="AI1" s="199"/>
      <c r="AJ1" s="188"/>
      <c r="AK1" s="200"/>
      <c r="AM1" s="442">
        <f>C51</f>
        <v>2018</v>
      </c>
      <c r="AN1" s="440"/>
      <c r="AO1" s="441"/>
      <c r="AP1" s="359"/>
    </row>
    <row r="2" spans="2:42" ht="30" customHeight="1">
      <c r="B2" s="201"/>
      <c r="C2" s="761">
        <f>annee</f>
        <v>2018</v>
      </c>
      <c r="D2" s="761"/>
      <c r="E2" s="761"/>
      <c r="F2" s="143"/>
      <c r="G2" s="143"/>
      <c r="H2" s="153"/>
      <c r="I2" s="202"/>
      <c r="J2" s="153"/>
      <c r="K2" s="203"/>
      <c r="L2" s="203"/>
      <c r="M2" s="154"/>
      <c r="N2" s="204" t="s">
        <v>188</v>
      </c>
      <c r="O2" s="153"/>
      <c r="P2" s="205"/>
      <c r="Q2" s="205"/>
      <c r="R2" s="154"/>
      <c r="S2" s="206"/>
      <c r="T2" s="207" t="str">
        <f>VLOOKUP(C52,Données,6)</f>
        <v>oeillet + perce-neige</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32"/>
      <c r="G3" s="214"/>
      <c r="H3" s="719" t="s">
        <v>155</v>
      </c>
      <c r="I3" s="720"/>
      <c r="J3" s="720"/>
      <c r="K3" s="721"/>
      <c r="L3" s="214"/>
      <c r="M3" s="719" t="s">
        <v>156</v>
      </c>
      <c r="N3" s="720"/>
      <c r="O3" s="720"/>
      <c r="P3" s="721"/>
      <c r="Q3" s="214"/>
      <c r="R3" s="719" t="s">
        <v>157</v>
      </c>
      <c r="S3" s="720"/>
      <c r="T3" s="720"/>
      <c r="U3" s="721"/>
      <c r="V3" s="214"/>
      <c r="W3" s="719" t="s">
        <v>158</v>
      </c>
      <c r="X3" s="720"/>
      <c r="Y3" s="720"/>
      <c r="Z3" s="723"/>
      <c r="AA3" s="216"/>
      <c r="AB3" s="719" t="s">
        <v>159</v>
      </c>
      <c r="AC3" s="720"/>
      <c r="AD3" s="720"/>
      <c r="AE3" s="721"/>
      <c r="AF3" s="214"/>
      <c r="AG3" s="719" t="s">
        <v>160</v>
      </c>
      <c r="AH3" s="722"/>
      <c r="AI3" s="722"/>
      <c r="AJ3" s="723"/>
      <c r="AK3" s="217"/>
    </row>
    <row r="4" spans="2:42" s="147" customFormat="1" ht="26.25">
      <c r="B4" s="218"/>
      <c r="C4" s="706">
        <f>IF(F5&lt;&gt;0,VLOOKUP(F5,fêtes,2),0)</f>
        <v>0</v>
      </c>
      <c r="D4" s="707"/>
      <c r="E4" s="711">
        <f>IF($K$51=1,1,0)</f>
        <v>0</v>
      </c>
      <c r="F4" s="712"/>
      <c r="G4" s="143"/>
      <c r="H4" s="706" t="str">
        <f>IF(K5&lt;&gt;0,VLOOKUP(K5,fêtes,2),0)</f>
        <v>Jour de l'an</v>
      </c>
      <c r="I4" s="707"/>
      <c r="J4" s="711">
        <f>IF($K$51=2,1,IF(E4&lt;&gt;0,E4+1,0))</f>
        <v>1</v>
      </c>
      <c r="K4" s="712"/>
      <c r="L4" s="143"/>
      <c r="M4" s="706" t="e">
        <f>IF(P5&lt;&gt;0,VLOOKUP(P5,fêtes,2),0)</f>
        <v>#N/A</v>
      </c>
      <c r="N4" s="707"/>
      <c r="O4" s="711">
        <f>IF($K$51=3,1,IF(J4&lt;&gt;0,J4+1,0))</f>
        <v>2</v>
      </c>
      <c r="P4" s="712"/>
      <c r="Q4" s="143"/>
      <c r="R4" s="706"/>
      <c r="S4" s="707"/>
      <c r="T4" s="711">
        <f>IF($K$51=4,1,IF(O4&lt;&gt;0,O4+1,0))</f>
        <v>3</v>
      </c>
      <c r="U4" s="712"/>
      <c r="V4" s="143"/>
      <c r="W4" s="706" t="e">
        <f>IF(Z5&lt;&gt;0,VLOOKUP(Z5,fêtes,2),0)</f>
        <v>#N/A</v>
      </c>
      <c r="X4" s="707"/>
      <c r="Y4" s="711">
        <f>IF($K$51=5,1,IF(T4&lt;&gt;0,T4+1,0))</f>
        <v>4</v>
      </c>
      <c r="Z4" s="712"/>
      <c r="AA4" s="143"/>
      <c r="AB4" s="706" t="e">
        <f>IF(AE5&lt;&gt;0,VLOOKUP(AE5,fêtes,2),0)</f>
        <v>#N/A</v>
      </c>
      <c r="AC4" s="707"/>
      <c r="AD4" s="711">
        <f>IF($K$51=6,1,IF(Y4&lt;&gt;0,Y4+1,0))</f>
        <v>5</v>
      </c>
      <c r="AE4" s="712"/>
      <c r="AF4" s="143"/>
      <c r="AG4" s="706" t="e">
        <f>IF(AJ5&lt;&gt;0,VLOOKUP(AJ5,fêtes,2),0)</f>
        <v>#N/A</v>
      </c>
      <c r="AH4" s="707"/>
      <c r="AI4" s="711">
        <f>IF($K$51=0,1,IF(AD4&lt;&gt;0,AD4+1,0))</f>
        <v>6</v>
      </c>
      <c r="AJ4" s="712"/>
      <c r="AK4" s="219"/>
    </row>
    <row r="5" spans="2:42" s="164" customFormat="1" ht="15.75" customHeight="1">
      <c r="B5" s="220"/>
      <c r="C5" s="708">
        <f>IF(F5&lt;&gt;0,VLOOKUP(F5,fêtes,3),0)</f>
        <v>0</v>
      </c>
      <c r="D5" s="709"/>
      <c r="E5" s="710"/>
      <c r="F5" s="181">
        <f>IF(E4&lt;&gt;0,VLOOKUP($C$52,Données,4),0)</f>
        <v>0</v>
      </c>
      <c r="G5" s="221"/>
      <c r="H5" s="708" t="str">
        <f>IF(K5&lt;&gt;0,VLOOKUP(K5,fêtes,3),0)</f>
        <v>Nuit</v>
      </c>
      <c r="I5" s="710"/>
      <c r="J5" s="710"/>
      <c r="K5" s="181">
        <f>IF(J4&lt;&gt;0,VLOOKUP($C$52,Données,4)+E4,0)</f>
        <v>1</v>
      </c>
      <c r="L5" s="221"/>
      <c r="M5" s="708">
        <f>IF(P5&lt;&gt;0,VLOOKUP(P5,fêtes,3),0)</f>
        <v>0</v>
      </c>
      <c r="N5" s="710"/>
      <c r="O5" s="710"/>
      <c r="P5" s="181">
        <f>IF(O4&lt;&gt;0,VLOOKUP($C$52,Données,4)+J4,0)</f>
        <v>2</v>
      </c>
      <c r="Q5" s="221"/>
      <c r="R5" s="708">
        <f>IF(U5&lt;&gt;0,VLOOKUP(U5,fêtes,3),0)</f>
        <v>0</v>
      </c>
      <c r="S5" s="710"/>
      <c r="T5" s="710"/>
      <c r="U5" s="181">
        <f>IF(T4&lt;&gt;0,VLOOKUP($C$52,Données,4)+O4,0)</f>
        <v>3</v>
      </c>
      <c r="V5" s="221"/>
      <c r="W5" s="708">
        <f>IF(Z5&lt;&gt;0,VLOOKUP(Z5,fêtes,3),0)</f>
        <v>0</v>
      </c>
      <c r="X5" s="710"/>
      <c r="Y5" s="710"/>
      <c r="Z5" s="178">
        <f>IF(Y4&lt;&gt;0,VLOOKUP($C$52,Données,4)+T4,0)</f>
        <v>4</v>
      </c>
      <c r="AA5" s="221"/>
      <c r="AB5" s="708" t="str">
        <f>IF(AE5&lt;&gt;0,VLOOKUP(AE5,fêtes,3),0)</f>
        <v>Nuit</v>
      </c>
      <c r="AC5" s="710"/>
      <c r="AD5" s="710"/>
      <c r="AE5" s="178">
        <f>IF(AD4&lt;&gt;0,VLOOKUP($C$52,Données,4)+Y4,0)</f>
        <v>5</v>
      </c>
      <c r="AF5" s="221"/>
      <c r="AG5" s="708" t="str">
        <f>IF(AJ5&lt;&gt;0,VLOOKUP(AJ5,fêtes,3),0)</f>
        <v>Nuit</v>
      </c>
      <c r="AH5" s="710"/>
      <c r="AI5" s="710"/>
      <c r="AJ5" s="178">
        <f>IF(AI4&lt;&gt;0,VLOOKUP($C$52,Données,4)+AD4,0)</f>
        <v>6</v>
      </c>
      <c r="AK5" s="222"/>
    </row>
    <row r="6" spans="2:42" s="155" customFormat="1" ht="15.75">
      <c r="B6" s="223"/>
      <c r="C6" s="715">
        <f>IF(F5&lt;&gt;0,VLOOKUP(F5,fêtes,4),0)</f>
        <v>0</v>
      </c>
      <c r="D6" s="716"/>
      <c r="E6" s="716"/>
      <c r="F6" s="162">
        <f>IF(F5&lt;&gt;0,VLOOKUP(F5,fêtes,5),0)</f>
        <v>0</v>
      </c>
      <c r="G6" s="154"/>
      <c r="H6" s="704">
        <f>IF(K5&lt;&gt;0,VLOOKUP(K5,fêtes,4),0)</f>
        <v>0</v>
      </c>
      <c r="I6" s="705"/>
      <c r="J6" s="705"/>
      <c r="K6" s="162">
        <f>IF(K5&lt;&gt;0,VLOOKUP(K5,fêtes,5),0)</f>
        <v>0</v>
      </c>
      <c r="L6" s="154"/>
      <c r="M6" s="704">
        <f>IF(P5&lt;&gt;0,VLOOKUP(P5,fêtes,4),0)</f>
        <v>0</v>
      </c>
      <c r="N6" s="705"/>
      <c r="O6" s="705"/>
      <c r="P6" s="162">
        <f>IF(P5&lt;&gt;0,VLOOKUP(P5,fêtes,5),0)</f>
        <v>0</v>
      </c>
      <c r="Q6" s="154"/>
      <c r="R6" s="704">
        <f>IF(U5&lt;&gt;0,VLOOKUP(U5,fêtes,4),0)</f>
        <v>0</v>
      </c>
      <c r="S6" s="705"/>
      <c r="T6" s="705"/>
      <c r="U6" s="162">
        <f>IF(U5&lt;&gt;0,VLOOKUP(U5,fêtes,5),0)</f>
        <v>0</v>
      </c>
      <c r="V6" s="154"/>
      <c r="W6" s="704">
        <f>IF(Z5&lt;&gt;0,VLOOKUP(Z5,fêtes,4),0)</f>
        <v>0</v>
      </c>
      <c r="X6" s="705"/>
      <c r="Y6" s="705"/>
      <c r="Z6" s="162">
        <f>IF(Z5&lt;&gt;0,VLOOKUP(Z5,fêtes,5),0)</f>
        <v>0</v>
      </c>
      <c r="AA6" s="224"/>
      <c r="AB6" s="704">
        <f>IF(AE5&lt;&gt;0,VLOOKUP(AE5,fêtes,4),0)</f>
        <v>0</v>
      </c>
      <c r="AC6" s="705"/>
      <c r="AD6" s="705"/>
      <c r="AE6" s="162">
        <f>IF(AE5&lt;&gt;0,VLOOKUP(AE5,fêtes,5),0)</f>
        <v>0</v>
      </c>
      <c r="AF6" s="154"/>
      <c r="AG6" s="715">
        <f>IF(AJ5&lt;&gt;0,VLOOKUP(AJ5,fêtes,4),0)</f>
        <v>0</v>
      </c>
      <c r="AH6" s="716"/>
      <c r="AI6" s="716"/>
      <c r="AJ6" s="162">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e">
        <f>IF(F9&lt;&gt;0,VLOOKUP(F9,fêtes,2),0)</f>
        <v>#N/A</v>
      </c>
      <c r="D8" s="707"/>
      <c r="E8" s="711">
        <f>AI4+1</f>
        <v>7</v>
      </c>
      <c r="F8" s="712"/>
      <c r="G8" s="143"/>
      <c r="H8" s="706" t="e">
        <f>IF(K9&lt;&gt;0,VLOOKUP(K9,fêtes,2),0)</f>
        <v>#N/A</v>
      </c>
      <c r="I8" s="707"/>
      <c r="J8" s="711">
        <f>E8+1</f>
        <v>8</v>
      </c>
      <c r="K8" s="712"/>
      <c r="L8" s="143"/>
      <c r="M8" s="706" t="e">
        <f>IF(P9&lt;&gt;0,VLOOKUP(P9,fêtes,2),0)</f>
        <v>#N/A</v>
      </c>
      <c r="N8" s="707"/>
      <c r="O8" s="711">
        <f>J8+1</f>
        <v>9</v>
      </c>
      <c r="P8" s="712"/>
      <c r="Q8" s="143"/>
      <c r="R8" s="706" t="e">
        <f>IF(U9&lt;&gt;0,VLOOKUP(U9,fêtes,2),0)</f>
        <v>#N/A</v>
      </c>
      <c r="S8" s="707"/>
      <c r="T8" s="711">
        <f>O8+1</f>
        <v>10</v>
      </c>
      <c r="U8" s="712"/>
      <c r="V8" s="143"/>
      <c r="W8" s="706" t="e">
        <f>IF(Z9&lt;&gt;0,VLOOKUP(Z9,fêtes,2),0)</f>
        <v>#N/A</v>
      </c>
      <c r="X8" s="707"/>
      <c r="Y8" s="711">
        <f>T8+1</f>
        <v>11</v>
      </c>
      <c r="Z8" s="712"/>
      <c r="AA8" s="143"/>
      <c r="AB8" s="706" t="e">
        <f>IF(AE9&lt;&gt;0,VLOOKUP(AE9,fêtes,2),0)</f>
        <v>#N/A</v>
      </c>
      <c r="AC8" s="707"/>
      <c r="AD8" s="711">
        <f>Y8+1</f>
        <v>12</v>
      </c>
      <c r="AE8" s="712"/>
      <c r="AF8" s="143"/>
      <c r="AG8" s="706" t="e">
        <f>IF(AJ9&lt;&gt;0,VLOOKUP(AJ9,fêtes,2),0)</f>
        <v>#N/A</v>
      </c>
      <c r="AH8" s="707"/>
      <c r="AI8" s="711">
        <f>AD8+1</f>
        <v>13</v>
      </c>
      <c r="AJ8" s="712"/>
      <c r="AK8" s="219"/>
    </row>
    <row r="9" spans="2:42" s="164" customFormat="1" ht="15.75" customHeight="1">
      <c r="B9" s="220"/>
      <c r="C9" s="708" t="str">
        <f>IF(F9&lt;&gt;0,VLOOKUP(F9,fêtes,3),0)</f>
        <v>Formation</v>
      </c>
      <c r="D9" s="709"/>
      <c r="E9" s="710"/>
      <c r="F9" s="178">
        <f>AJ5+1</f>
        <v>7</v>
      </c>
      <c r="G9" s="221"/>
      <c r="H9" s="708" t="str">
        <f>IF(K9&lt;&gt;0,VLOOKUP(K9,fêtes,3),0)</f>
        <v>Jour</v>
      </c>
      <c r="I9" s="710"/>
      <c r="J9" s="710"/>
      <c r="K9" s="178">
        <f>F9+1</f>
        <v>8</v>
      </c>
      <c r="L9" s="221"/>
      <c r="M9" s="708">
        <f>IF(P9&lt;&gt;0,VLOOKUP(P9,fêtes,3),0)</f>
        <v>0</v>
      </c>
      <c r="N9" s="710"/>
      <c r="O9" s="710"/>
      <c r="P9" s="178">
        <f>K9+1</f>
        <v>9</v>
      </c>
      <c r="Q9" s="221"/>
      <c r="R9" s="708">
        <f>IF(U9&lt;&gt;0,VLOOKUP(U9,fêtes,3),0)</f>
        <v>0</v>
      </c>
      <c r="S9" s="710"/>
      <c r="T9" s="710"/>
      <c r="U9" s="178">
        <f>P9+1</f>
        <v>10</v>
      </c>
      <c r="V9" s="221"/>
      <c r="W9" s="708">
        <f>IF(Z9&lt;&gt;0,VLOOKUP(Z9,fêtes,3),0)</f>
        <v>0</v>
      </c>
      <c r="X9" s="710"/>
      <c r="Y9" s="710"/>
      <c r="Z9" s="179">
        <f>U9+1</f>
        <v>11</v>
      </c>
      <c r="AA9" s="225"/>
      <c r="AB9" s="708">
        <f>IF(AE9&lt;&gt;0,VLOOKUP(AE9,fêtes,3),0)</f>
        <v>0</v>
      </c>
      <c r="AC9" s="710"/>
      <c r="AD9" s="710"/>
      <c r="AE9" s="178">
        <f>Z9+1</f>
        <v>12</v>
      </c>
      <c r="AF9" s="221"/>
      <c r="AG9" s="708" t="str">
        <f>IF(AJ9&lt;&gt;0,VLOOKUP(AJ9,fêtes,3),0)</f>
        <v>Jour</v>
      </c>
      <c r="AH9" s="710"/>
      <c r="AI9" s="710"/>
      <c r="AJ9" s="178">
        <f>AE9+1</f>
        <v>13</v>
      </c>
      <c r="AK9" s="222"/>
    </row>
    <row r="10" spans="2:42" s="155" customFormat="1" ht="15.75">
      <c r="B10" s="223"/>
      <c r="C10" s="715">
        <f>IF(F9&lt;&gt;0,VLOOKUP(F9,fêtes,4),0)</f>
        <v>0</v>
      </c>
      <c r="D10" s="716"/>
      <c r="E10" s="716"/>
      <c r="F10" s="162">
        <f>IF(F9&lt;&gt;0,VLOOKUP(F9,fêtes,5),0)</f>
        <v>0</v>
      </c>
      <c r="G10" s="154"/>
      <c r="H10" s="704">
        <f>IF(K9&lt;&gt;0,VLOOKUP(K9,fêtes,4),0)</f>
        <v>0</v>
      </c>
      <c r="I10" s="705"/>
      <c r="J10" s="705"/>
      <c r="K10" s="162">
        <f>IF(K9&lt;&gt;0,VLOOKUP(K9,fêtes,5),0)</f>
        <v>0</v>
      </c>
      <c r="L10" s="154"/>
      <c r="M10" s="704">
        <f>IF(P9&lt;&gt;0,VLOOKUP(P9,fêtes,4),0)</f>
        <v>0</v>
      </c>
      <c r="N10" s="705"/>
      <c r="O10" s="705"/>
      <c r="P10" s="162">
        <f>IF(P9&lt;&gt;0,VLOOKUP(P9,fêtes,5),0)</f>
        <v>0</v>
      </c>
      <c r="Q10" s="154"/>
      <c r="R10" s="704">
        <f>IF(U9&lt;&gt;0,VLOOKUP(U9,fêtes,4),0)</f>
        <v>0</v>
      </c>
      <c r="S10" s="705"/>
      <c r="T10" s="705"/>
      <c r="U10" s="162">
        <f>IF(U9&lt;&gt;0,VLOOKUP(U9,fêtes,5),0)</f>
        <v>0</v>
      </c>
      <c r="V10" s="154"/>
      <c r="W10" s="704">
        <f>IF(Z9&lt;&gt;0,VLOOKUP(Z9,fêtes,4),0)</f>
        <v>0</v>
      </c>
      <c r="X10" s="705"/>
      <c r="Y10" s="705"/>
      <c r="Z10" s="162">
        <f>IF(Z9&lt;&gt;0,VLOOKUP(Z9,fêtes,5),0)</f>
        <v>0</v>
      </c>
      <c r="AA10" s="224"/>
      <c r="AB10" s="704">
        <f>IF(AE9&lt;&gt;0,VLOOKUP(AE9,fêtes,4),0)</f>
        <v>0</v>
      </c>
      <c r="AC10" s="705"/>
      <c r="AD10" s="705"/>
      <c r="AE10" s="162">
        <f>IF(AE9&lt;&gt;0,VLOOKUP(AE9,fêtes,5),0)</f>
        <v>0</v>
      </c>
      <c r="AF10" s="154"/>
      <c r="AG10" s="715">
        <f>IF(AJ9&lt;&gt;0,VLOOKUP(AJ9,fêtes,4),0)</f>
        <v>0</v>
      </c>
      <c r="AH10" s="716"/>
      <c r="AI10" s="716"/>
      <c r="AJ10" s="162">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e">
        <f>IF(F13&lt;&gt;0,VLOOKUP(F13,fêtes,2),0)</f>
        <v>#N/A</v>
      </c>
      <c r="D12" s="707"/>
      <c r="E12" s="711">
        <f>AI8+1</f>
        <v>14</v>
      </c>
      <c r="F12" s="712"/>
      <c r="G12" s="143"/>
      <c r="H12" s="706" t="e">
        <f>IF(K13&lt;&gt;0,VLOOKUP(K13,fêtes,2),0)</f>
        <v>#N/A</v>
      </c>
      <c r="I12" s="707"/>
      <c r="J12" s="711">
        <f>E12+1</f>
        <v>15</v>
      </c>
      <c r="K12" s="712"/>
      <c r="L12" s="143"/>
      <c r="M12" s="706" t="e">
        <f>IF(P13&lt;&gt;0,VLOOKUP(P13,fêtes,2),0)</f>
        <v>#N/A</v>
      </c>
      <c r="N12" s="707"/>
      <c r="O12" s="711">
        <f>J12+1</f>
        <v>16</v>
      </c>
      <c r="P12" s="712"/>
      <c r="Q12" s="143"/>
      <c r="R12" s="706" t="e">
        <f>IF(U13&lt;&gt;0,VLOOKUP(U13,fêtes,2),0)</f>
        <v>#N/A</v>
      </c>
      <c r="S12" s="707"/>
      <c r="T12" s="711">
        <f>O12+1</f>
        <v>17</v>
      </c>
      <c r="U12" s="712"/>
      <c r="V12" s="143"/>
      <c r="W12" s="706" t="e">
        <f>IF(Z13&lt;&gt;0,VLOOKUP(Z13,fêtes,2),0)</f>
        <v>#N/A</v>
      </c>
      <c r="X12" s="707"/>
      <c r="Y12" s="711">
        <f>T12+1</f>
        <v>18</v>
      </c>
      <c r="Z12" s="712"/>
      <c r="AA12" s="143"/>
      <c r="AB12" s="706" t="e">
        <f>IF(AE13&lt;&gt;0,VLOOKUP(AE13,fêtes,2),0)</f>
        <v>#N/A</v>
      </c>
      <c r="AC12" s="707"/>
      <c r="AD12" s="711">
        <f>Y12+1</f>
        <v>19</v>
      </c>
      <c r="AE12" s="712"/>
      <c r="AF12" s="143"/>
      <c r="AG12" s="706" t="e">
        <f>IF(AJ13&lt;&gt;0,VLOOKUP(AJ13,fêtes,2),0)</f>
        <v>#N/A</v>
      </c>
      <c r="AH12" s="707"/>
      <c r="AI12" s="711">
        <f>AD12+1</f>
        <v>20</v>
      </c>
      <c r="AJ12" s="712"/>
      <c r="AK12" s="219"/>
    </row>
    <row r="13" spans="2:42" s="164" customFormat="1" ht="15.75" customHeight="1">
      <c r="B13" s="220"/>
      <c r="C13" s="708">
        <f>IF(F13&lt;&gt;0,VLOOKUP(F13,fêtes,3),0)</f>
        <v>0</v>
      </c>
      <c r="D13" s="709"/>
      <c r="E13" s="710"/>
      <c r="F13" s="178">
        <f>AJ9+1</f>
        <v>14</v>
      </c>
      <c r="G13" s="221"/>
      <c r="H13" s="708">
        <f>IF(K13&lt;&gt;0,VLOOKUP(K13,fêtes,3),0)</f>
        <v>0</v>
      </c>
      <c r="I13" s="710"/>
      <c r="J13" s="710"/>
      <c r="K13" s="178">
        <f>F13+1</f>
        <v>15</v>
      </c>
      <c r="L13" s="221"/>
      <c r="M13" s="708">
        <f>IF(P13&lt;&gt;0,VLOOKUP(P13,fêtes,3),0)</f>
        <v>0</v>
      </c>
      <c r="N13" s="710"/>
      <c r="O13" s="710"/>
      <c r="P13" s="178">
        <f>K13+1</f>
        <v>16</v>
      </c>
      <c r="Q13" s="221"/>
      <c r="R13" s="708">
        <f>IF(U13&lt;&gt;0,VLOOKUP(U13,fêtes,3),0)</f>
        <v>0</v>
      </c>
      <c r="S13" s="710"/>
      <c r="T13" s="710"/>
      <c r="U13" s="178">
        <f>P13+1</f>
        <v>17</v>
      </c>
      <c r="V13" s="221"/>
      <c r="W13" s="708">
        <f>IF(Z13&lt;&gt;0,VLOOKUP(Z13,fêtes,3),0)</f>
        <v>0</v>
      </c>
      <c r="X13" s="710"/>
      <c r="Y13" s="710"/>
      <c r="Z13" s="180">
        <f>U13+1</f>
        <v>18</v>
      </c>
      <c r="AA13" s="226"/>
      <c r="AB13" s="708">
        <f>IF(AE13&lt;&gt;0,VLOOKUP(AE13,fêtes,3),0)</f>
        <v>0</v>
      </c>
      <c r="AC13" s="710"/>
      <c r="AD13" s="710"/>
      <c r="AE13" s="178">
        <f>Z13+1</f>
        <v>19</v>
      </c>
      <c r="AF13" s="221"/>
      <c r="AG13" s="708">
        <f>IF(AJ13&lt;&gt;0,VLOOKUP(AJ13,fêtes,3),0)</f>
        <v>0</v>
      </c>
      <c r="AH13" s="710"/>
      <c r="AI13" s="710"/>
      <c r="AJ13" s="178">
        <f>AE13+1</f>
        <v>20</v>
      </c>
      <c r="AK13" s="222"/>
      <c r="AO13" s="147"/>
    </row>
    <row r="14" spans="2:42" s="155" customFormat="1" ht="15.75">
      <c r="B14" s="223"/>
      <c r="C14" s="715">
        <f>IF(F13&lt;&gt;0,VLOOKUP(F13,fêtes,4),0)</f>
        <v>0</v>
      </c>
      <c r="D14" s="716"/>
      <c r="E14" s="716"/>
      <c r="F14" s="162">
        <f>IF(F13&lt;&gt;0,VLOOKUP(F13,fêtes,5),0)</f>
        <v>0</v>
      </c>
      <c r="G14" s="154"/>
      <c r="H14" s="704">
        <f>IF(K13&lt;&gt;0,VLOOKUP(K13,fêtes,4),0)</f>
        <v>0</v>
      </c>
      <c r="I14" s="705"/>
      <c r="J14" s="705"/>
      <c r="K14" s="162">
        <f>IF(K13&lt;&gt;0,VLOOKUP(K13,fêtes,5),0)</f>
        <v>0</v>
      </c>
      <c r="L14" s="154"/>
      <c r="M14" s="704">
        <f>IF(P13&lt;&gt;0,VLOOKUP(P13,fêtes,4),0)</f>
        <v>0</v>
      </c>
      <c r="N14" s="705"/>
      <c r="O14" s="705"/>
      <c r="P14" s="162">
        <f>IF(P13&lt;&gt;0,VLOOKUP(P13,fêtes,5),0)</f>
        <v>0</v>
      </c>
      <c r="Q14" s="154"/>
      <c r="R14" s="704">
        <f>IF(U13&lt;&gt;0,VLOOKUP(U13,fêtes,4),0)</f>
        <v>0</v>
      </c>
      <c r="S14" s="705"/>
      <c r="T14" s="705"/>
      <c r="U14" s="162">
        <f>IF(U13&lt;&gt;0,VLOOKUP(U13,fêtes,5),0)</f>
        <v>0</v>
      </c>
      <c r="V14" s="154"/>
      <c r="W14" s="704">
        <f>IF(Z13&lt;&gt;0,VLOOKUP(Z13,fêtes,4),0)</f>
        <v>0</v>
      </c>
      <c r="X14" s="705"/>
      <c r="Y14" s="705"/>
      <c r="Z14" s="162">
        <f>IF(Z13&lt;&gt;0,VLOOKUP(Z13,fêtes,5),0)</f>
        <v>0</v>
      </c>
      <c r="AA14" s="224"/>
      <c r="AB14" s="704">
        <f>IF(AE13&lt;&gt;0,VLOOKUP(AE13,fêtes,4),0)</f>
        <v>0</v>
      </c>
      <c r="AC14" s="705"/>
      <c r="AD14" s="705"/>
      <c r="AE14" s="162">
        <f>IF(AE13&lt;&gt;0,VLOOKUP(AE13,fêtes,5),0)</f>
        <v>0</v>
      </c>
      <c r="AF14" s="154"/>
      <c r="AG14" s="715">
        <f>IF(AJ13&lt;&gt;0,VLOOKUP(AJ13,fêtes,4),0)</f>
        <v>0</v>
      </c>
      <c r="AH14" s="716"/>
      <c r="AI14" s="716"/>
      <c r="AJ14" s="162">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253"/>
      <c r="X15" s="154"/>
      <c r="Y15" s="154"/>
      <c r="Z15" s="224"/>
      <c r="AA15" s="224"/>
      <c r="AB15" s="154"/>
      <c r="AC15" s="154"/>
      <c r="AD15" s="154"/>
      <c r="AE15" s="154"/>
      <c r="AF15" s="154"/>
      <c r="AG15" s="154"/>
      <c r="AH15" s="154"/>
      <c r="AI15" s="154"/>
      <c r="AJ15" s="154"/>
      <c r="AK15" s="222"/>
    </row>
    <row r="16" spans="2:42" s="147" customFormat="1" ht="26.25">
      <c r="B16" s="218"/>
      <c r="C16" s="706" t="e">
        <f>IF(F17&lt;&gt;0,VLOOKUP(F17,fêtes,2),0)</f>
        <v>#N/A</v>
      </c>
      <c r="D16" s="707"/>
      <c r="E16" s="711">
        <f>AI12+1</f>
        <v>21</v>
      </c>
      <c r="F16" s="712"/>
      <c r="G16" s="143"/>
      <c r="H16" s="706" t="e">
        <f>IF(K17&lt;&gt;0,VLOOKUP(K17,fêtes,2),0)</f>
        <v>#N/A</v>
      </c>
      <c r="I16" s="707"/>
      <c r="J16" s="711">
        <f>E16+1</f>
        <v>22</v>
      </c>
      <c r="K16" s="712"/>
      <c r="L16" s="143"/>
      <c r="M16" s="706" t="e">
        <f>IF(P17&lt;&gt;0,VLOOKUP(P17,fêtes,2),0)</f>
        <v>#N/A</v>
      </c>
      <c r="N16" s="707"/>
      <c r="O16" s="711">
        <f>J16+1</f>
        <v>23</v>
      </c>
      <c r="P16" s="712"/>
      <c r="Q16" s="143"/>
      <c r="R16" s="706" t="e">
        <f>IF(U17&lt;&gt;0,VLOOKUP(U17,fêtes,2),0)</f>
        <v>#N/A</v>
      </c>
      <c r="S16" s="707"/>
      <c r="T16" s="711">
        <f>O16+1</f>
        <v>24</v>
      </c>
      <c r="U16" s="712"/>
      <c r="V16" s="143"/>
      <c r="W16" s="706" t="e">
        <f>IF(Z17&lt;&gt;0,VLOOKUP(Z17,fêtes,2),0)</f>
        <v>#N/A</v>
      </c>
      <c r="X16" s="707"/>
      <c r="Y16" s="711">
        <f>T16+1</f>
        <v>25</v>
      </c>
      <c r="Z16" s="712"/>
      <c r="AA16" s="143"/>
      <c r="AB16" s="706" t="e">
        <f>IF(AE17&lt;&gt;0,VLOOKUP(AE17,fêtes,2),0)</f>
        <v>#N/A</v>
      </c>
      <c r="AC16" s="707"/>
      <c r="AD16" s="711">
        <f>Y16+1</f>
        <v>26</v>
      </c>
      <c r="AE16" s="712"/>
      <c r="AF16" s="143"/>
      <c r="AG16" s="706" t="e">
        <f>IF(AJ17&lt;&gt;0,VLOOKUP(AJ17,fêtes,2),0)</f>
        <v>#N/A</v>
      </c>
      <c r="AH16" s="707"/>
      <c r="AI16" s="711">
        <f>AD16+1</f>
        <v>27</v>
      </c>
      <c r="AJ16" s="712"/>
      <c r="AK16" s="219"/>
    </row>
    <row r="17" spans="2:37" s="164" customFormat="1" ht="15.75" customHeight="1">
      <c r="B17" s="220"/>
      <c r="C17" s="708">
        <f>IF(F17&lt;&gt;0,VLOOKUP(F17,fêtes,3),0)</f>
        <v>0</v>
      </c>
      <c r="D17" s="709"/>
      <c r="E17" s="710"/>
      <c r="F17" s="178">
        <f>AJ13+1</f>
        <v>21</v>
      </c>
      <c r="G17" s="221"/>
      <c r="H17" s="708">
        <f>IF(K17&lt;&gt;0,VLOOKUP(K17,fêtes,3),0)</f>
        <v>0</v>
      </c>
      <c r="I17" s="710"/>
      <c r="J17" s="710"/>
      <c r="K17" s="178">
        <f>F17+1</f>
        <v>22</v>
      </c>
      <c r="L17" s="221"/>
      <c r="M17" s="708">
        <f>IF(P17&lt;&gt;0,VLOOKUP(P17,fêtes,3),0)</f>
        <v>0</v>
      </c>
      <c r="N17" s="710"/>
      <c r="O17" s="710"/>
      <c r="P17" s="178">
        <f>K17+1</f>
        <v>23</v>
      </c>
      <c r="Q17" s="221"/>
      <c r="R17" s="708">
        <f>IF(U17&lt;&gt;0,VLOOKUP(U17,fêtes,3),0)</f>
        <v>0</v>
      </c>
      <c r="S17" s="710"/>
      <c r="T17" s="710"/>
      <c r="U17" s="178">
        <f>P17+1</f>
        <v>24</v>
      </c>
      <c r="V17" s="221"/>
      <c r="W17" s="708">
        <f>IF(Z17&lt;&gt;0,VLOOKUP(Z17,fêtes,3),0)</f>
        <v>0</v>
      </c>
      <c r="X17" s="710"/>
      <c r="Y17" s="710"/>
      <c r="Z17" s="180">
        <f>U17+1</f>
        <v>25</v>
      </c>
      <c r="AA17" s="226"/>
      <c r="AB17" s="708">
        <f>IF(AE17&lt;&gt;0,VLOOKUP(AE17,fêtes,3),0)</f>
        <v>0</v>
      </c>
      <c r="AC17" s="710"/>
      <c r="AD17" s="710"/>
      <c r="AE17" s="178">
        <f>Z17+1</f>
        <v>26</v>
      </c>
      <c r="AF17" s="221"/>
      <c r="AG17" s="708">
        <f>IF(AJ17&lt;&gt;0,VLOOKUP(AJ17,fêtes,3),0)</f>
        <v>0</v>
      </c>
      <c r="AH17" s="710"/>
      <c r="AI17" s="710"/>
      <c r="AJ17" s="178">
        <f>AE17+1</f>
        <v>27</v>
      </c>
      <c r="AK17" s="222"/>
    </row>
    <row r="18" spans="2:37" s="155" customFormat="1" ht="15.75">
      <c r="B18" s="223"/>
      <c r="C18" s="715">
        <f>IF(F17&lt;&gt;0,VLOOKUP(F17,fêtes,4),0)</f>
        <v>0</v>
      </c>
      <c r="D18" s="716"/>
      <c r="E18" s="716"/>
      <c r="F18" s="162">
        <f>IF(F17&lt;&gt;0,VLOOKUP(F17,fêtes,5),0)</f>
        <v>0</v>
      </c>
      <c r="G18" s="154"/>
      <c r="H18" s="704">
        <f>IF(K17&lt;&gt;0,VLOOKUP(K17,fêtes,4),0)</f>
        <v>0</v>
      </c>
      <c r="I18" s="705"/>
      <c r="J18" s="705"/>
      <c r="K18" s="162">
        <f>IF(K17&lt;&gt;0,VLOOKUP(K17,fêtes,5),0)</f>
        <v>0</v>
      </c>
      <c r="L18" s="154"/>
      <c r="M18" s="704">
        <f>IF(P17&lt;&gt;0,VLOOKUP(P17,fêtes,4),0)</f>
        <v>0</v>
      </c>
      <c r="N18" s="705"/>
      <c r="O18" s="705"/>
      <c r="P18" s="162">
        <f>IF(P17&lt;&gt;0,VLOOKUP(P17,fêtes,5),0)</f>
        <v>0</v>
      </c>
      <c r="Q18" s="154"/>
      <c r="R18" s="704">
        <f>IF(U17&lt;&gt;0,VLOOKUP(U17,fêtes,4),0)</f>
        <v>0</v>
      </c>
      <c r="S18" s="705"/>
      <c r="T18" s="705"/>
      <c r="U18" s="162">
        <f>IF(U17&lt;&gt;0,VLOOKUP(U17,fêtes,5),0)</f>
        <v>0</v>
      </c>
      <c r="V18" s="154"/>
      <c r="W18" s="704">
        <f>IF(Z17&lt;&gt;0,VLOOKUP(Z17,fêtes,4),0)</f>
        <v>0</v>
      </c>
      <c r="X18" s="705"/>
      <c r="Y18" s="705"/>
      <c r="Z18" s="162">
        <f>IF(Z17&lt;&gt;0,VLOOKUP(Z17,fêtes,5),0)</f>
        <v>0</v>
      </c>
      <c r="AA18" s="224"/>
      <c r="AB18" s="704">
        <f>IF(AE17&lt;&gt;0,VLOOKUP(AE17,fêtes,4),0)</f>
        <v>0</v>
      </c>
      <c r="AC18" s="705"/>
      <c r="AD18" s="705"/>
      <c r="AE18" s="162">
        <f>IF(AE17&lt;&gt;0,VLOOKUP(AE17,fêtes,5),0)</f>
        <v>0</v>
      </c>
      <c r="AF18" s="154"/>
      <c r="AG18" s="715">
        <f>IF(AJ17&lt;&gt;0,VLOOKUP(AJ17,fêtes,4),0)</f>
        <v>0</v>
      </c>
      <c r="AH18" s="716"/>
      <c r="AI18" s="716"/>
      <c r="AJ18" s="162">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e">
        <f>IF(F21&lt;&gt;0,VLOOKUP(F21,fêtes,2),0)</f>
        <v>#N/A</v>
      </c>
      <c r="D20" s="707"/>
      <c r="E20" s="711">
        <f>IF(AND(AI16+1&lt;=$K$52,AI16&lt;&gt;0),AI16+1,0)</f>
        <v>28</v>
      </c>
      <c r="F20" s="712"/>
      <c r="G20" s="143"/>
      <c r="H20" s="706" t="e">
        <f>IF(K21&lt;&gt;0,VLOOKUP(K21,fêtes,2),0)</f>
        <v>#N/A</v>
      </c>
      <c r="I20" s="707"/>
      <c r="J20" s="711">
        <f>IF(AND(E20+1&lt;=$K$52,E20&lt;&gt;0),E20+1,0)</f>
        <v>29</v>
      </c>
      <c r="K20" s="712"/>
      <c r="L20" s="143"/>
      <c r="M20" s="706" t="str">
        <f>IF(P21&lt;&gt;0,VLOOKUP(P21,fêtes,2),0)</f>
        <v>Jérôme</v>
      </c>
      <c r="N20" s="707"/>
      <c r="O20" s="711">
        <f>IF(AND(J20+1&lt;=$K$52,J20&lt;&gt;0),J20+1,0)</f>
        <v>30</v>
      </c>
      <c r="P20" s="712"/>
      <c r="Q20" s="143"/>
      <c r="R20" s="706" t="str">
        <f>IF(U21&lt;&gt;0,VLOOKUP(U21,fêtes,2),0)</f>
        <v>Jessica</v>
      </c>
      <c r="S20" s="707"/>
      <c r="T20" s="711">
        <f>IF(AND(O20+1&lt;=$K$52,O20&lt;&gt;0),O20+1,0)</f>
        <v>31</v>
      </c>
      <c r="U20" s="712"/>
      <c r="V20" s="143"/>
      <c r="W20" s="706">
        <f>IF(Z21&lt;&gt;0,VLOOKUP(Z21,fêtes,2),0)</f>
        <v>0</v>
      </c>
      <c r="X20" s="707"/>
      <c r="Y20" s="711">
        <f>IF(AND(T20+1&lt;=$K$52,T20&lt;&gt;0),T20+1,0)</f>
        <v>0</v>
      </c>
      <c r="Z20" s="712"/>
      <c r="AA20" s="143"/>
      <c r="AB20" s="706">
        <f>IF(AE21&lt;&gt;0,VLOOKUP(AE21,fêtes,2),0)</f>
        <v>0</v>
      </c>
      <c r="AC20" s="707"/>
      <c r="AD20" s="711">
        <f>IF(AND(Y20+1&lt;=$K$52,Y20&lt;&gt;0),Y20+1,0)</f>
        <v>0</v>
      </c>
      <c r="AE20" s="712"/>
      <c r="AF20" s="143"/>
      <c r="AG20" s="706">
        <f>IF(AJ21&lt;&gt;0,VLOOKUP(AJ21,fêtes,2),0)</f>
        <v>0</v>
      </c>
      <c r="AH20" s="707"/>
      <c r="AI20" s="711">
        <f>IF(AND(AD20+1&lt;=$K$52,AD20&lt;&gt;0),AD20+1,0)</f>
        <v>0</v>
      </c>
      <c r="AJ20" s="712"/>
      <c r="AK20" s="219"/>
    </row>
    <row r="21" spans="2:37" s="164" customFormat="1" ht="15.75" customHeight="1">
      <c r="B21" s="220"/>
      <c r="C21" s="708">
        <f>IF(F21&lt;&gt;0,VLOOKUP(F21,fêtes,3),0)</f>
        <v>0</v>
      </c>
      <c r="D21" s="709"/>
      <c r="E21" s="710"/>
      <c r="F21" s="178">
        <f>IF(E20&lt;&gt;0,AJ17+1,0)</f>
        <v>28</v>
      </c>
      <c r="G21" s="221"/>
      <c r="H21" s="708">
        <f>IF(K21&lt;&gt;0,VLOOKUP(K21,fêtes,3),0)</f>
        <v>0</v>
      </c>
      <c r="I21" s="710"/>
      <c r="J21" s="710"/>
      <c r="K21" s="178">
        <f>IF(J20&lt;&gt;0,F21+1,0)</f>
        <v>29</v>
      </c>
      <c r="L21" s="221"/>
      <c r="M21" s="708">
        <f>IF(P21&lt;&gt;0,VLOOKUP(P21,fêtes,3),0)</f>
        <v>0</v>
      </c>
      <c r="N21" s="710"/>
      <c r="O21" s="710"/>
      <c r="P21" s="178">
        <f>IF(O20&lt;&gt;0,K21+1,0)</f>
        <v>30</v>
      </c>
      <c r="Q21" s="221"/>
      <c r="R21" s="708">
        <f>IF(U21&lt;&gt;0,VLOOKUP(U21,fêtes,3),0)</f>
        <v>0</v>
      </c>
      <c r="S21" s="710"/>
      <c r="T21" s="710"/>
      <c r="U21" s="178">
        <f>IF(T20&lt;&gt;0,P21+1,0)</f>
        <v>31</v>
      </c>
      <c r="V21" s="221"/>
      <c r="W21" s="708">
        <f>IF(Z21&lt;&gt;0,VLOOKUP(Z21,fêtes,3),0)</f>
        <v>0</v>
      </c>
      <c r="X21" s="710"/>
      <c r="Y21" s="710"/>
      <c r="Z21" s="178">
        <f>IF(Y20&lt;&gt;0,U21+1,0)</f>
        <v>0</v>
      </c>
      <c r="AA21" s="221"/>
      <c r="AB21" s="708">
        <f>IF(AE21&lt;&gt;0,VLOOKUP(AE21,fêtes,3),0)</f>
        <v>0</v>
      </c>
      <c r="AC21" s="710"/>
      <c r="AD21" s="710"/>
      <c r="AE21" s="178">
        <f>IF(AD20&lt;&gt;0,Z21+1,0)</f>
        <v>0</v>
      </c>
      <c r="AF21" s="221"/>
      <c r="AG21" s="708">
        <f>IF(AJ21&lt;&gt;0,VLOOKUP(AJ21,fêtes,3),0)</f>
        <v>0</v>
      </c>
      <c r="AH21" s="710"/>
      <c r="AI21" s="710"/>
      <c r="AJ21" s="178">
        <f>IF(AI20&lt;&gt;0,AE21+1,0)</f>
        <v>0</v>
      </c>
      <c r="AK21" s="222"/>
    </row>
    <row r="22" spans="2:37" s="155" customFormat="1" ht="15.75">
      <c r="B22" s="223"/>
      <c r="C22" s="715">
        <f>IF(F21&lt;&gt;0,VLOOKUP(F21,fêtes,4),0)</f>
        <v>0</v>
      </c>
      <c r="D22" s="716"/>
      <c r="E22" s="716"/>
      <c r="F22" s="162">
        <f>IF(F21&lt;&gt;0,VLOOKUP(F21,fêtes,5),0)</f>
        <v>0</v>
      </c>
      <c r="G22" s="154"/>
      <c r="H22" s="704">
        <f>IF(K21&lt;&gt;0,VLOOKUP(K21,fêtes,4),0)</f>
        <v>0</v>
      </c>
      <c r="I22" s="705"/>
      <c r="J22" s="705"/>
      <c r="K22" s="162">
        <f>IF(K21&lt;&gt;0,VLOOKUP(K21,fêtes,5),0)</f>
        <v>0</v>
      </c>
      <c r="L22" s="154"/>
      <c r="M22" s="704">
        <f>IF(P21&lt;&gt;0,VLOOKUP(P21,fêtes,4),0)</f>
        <v>0</v>
      </c>
      <c r="N22" s="705"/>
      <c r="O22" s="705"/>
      <c r="P22" s="162">
        <f>IF(P21&lt;&gt;0,VLOOKUP(P21,fêtes,5),0)</f>
        <v>0</v>
      </c>
      <c r="Q22" s="154"/>
      <c r="R22" s="704">
        <f>IF(U21&lt;&gt;0,VLOOKUP(U21,fêtes,4),0)</f>
        <v>0</v>
      </c>
      <c r="S22" s="705"/>
      <c r="T22" s="705"/>
      <c r="U22" s="162">
        <f>IF(U21&lt;&gt;0,VLOOKUP(U21,fêtes,5),0)</f>
        <v>0</v>
      </c>
      <c r="V22" s="154"/>
      <c r="W22" s="704">
        <f>IF(Z21&lt;&gt;0,VLOOKUP(Z21,fêtes,4),0)</f>
        <v>0</v>
      </c>
      <c r="X22" s="705"/>
      <c r="Y22" s="705"/>
      <c r="Z22" s="162">
        <f>IF(Z21&lt;&gt;0,VLOOKUP(Z21,fêtes,5),0)</f>
        <v>0</v>
      </c>
      <c r="AA22" s="224"/>
      <c r="AB22" s="704">
        <f>IF(AE21&lt;&gt;0,VLOOKUP(AE21,fêtes,4),0)</f>
        <v>0</v>
      </c>
      <c r="AC22" s="705"/>
      <c r="AD22" s="705"/>
      <c r="AE22" s="162">
        <f>IF(AE21&lt;&gt;0,VLOOKUP(AE21,fêtes,5),0)</f>
        <v>0</v>
      </c>
      <c r="AF22" s="154"/>
      <c r="AG22" s="715">
        <f>IF(AJ21&lt;&gt;0,VLOOKUP(AJ21,fêtes,4),0)</f>
        <v>0</v>
      </c>
      <c r="AH22" s="716"/>
      <c r="AI22" s="716"/>
      <c r="AJ22" s="162">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07"/>
      <c r="E24" s="717">
        <f>IF(AND(AI20+1&lt;=$K$52,AI20&lt;&gt;0),AI20+1,0)</f>
        <v>0</v>
      </c>
      <c r="F24" s="712"/>
      <c r="G24" s="154"/>
      <c r="H24" s="706">
        <f>IF(K25&lt;&gt;0,VLOOKUP(K25,fêtes,2),0)</f>
        <v>0</v>
      </c>
      <c r="I24" s="707"/>
      <c r="J24" s="717">
        <f>IF(AND(E24+1&lt;=$K$52,E24&lt;&gt;0),E24+1,0)</f>
        <v>0</v>
      </c>
      <c r="K24" s="712"/>
      <c r="L24" s="154"/>
      <c r="M24" s="166" t="s">
        <v>0</v>
      </c>
      <c r="N24" s="713"/>
      <c r="O24" s="714"/>
      <c r="P24" s="714"/>
      <c r="Q24" s="714"/>
      <c r="R24" s="714"/>
      <c r="S24" s="714"/>
      <c r="T24" s="714"/>
      <c r="U24" s="714"/>
      <c r="V24" s="714"/>
      <c r="W24" s="714"/>
      <c r="X24" s="714"/>
      <c r="Y24" s="714"/>
      <c r="Z24" s="714"/>
      <c r="AA24" s="714"/>
      <c r="AB24" s="714"/>
      <c r="AC24" s="714"/>
      <c r="AD24" s="714"/>
      <c r="AE24" s="714"/>
      <c r="AF24" s="714"/>
      <c r="AG24" s="714"/>
      <c r="AH24" s="714"/>
      <c r="AI24" s="714"/>
      <c r="AJ24" s="182"/>
      <c r="AK24" s="227"/>
    </row>
    <row r="25" spans="2:37" s="164" customFormat="1" ht="15.75" customHeight="1">
      <c r="B25" s="220"/>
      <c r="C25" s="708">
        <f>IF(F25&lt;&gt;0,VLOOKUP(F25,fêtes,3),0)</f>
        <v>0</v>
      </c>
      <c r="D25" s="709"/>
      <c r="E25" s="710"/>
      <c r="F25" s="178">
        <f>IF(E24&lt;&gt;0,AJ21+1,0)</f>
        <v>0</v>
      </c>
      <c r="G25" s="221"/>
      <c r="H25" s="708">
        <f>IF(K25&lt;&gt;0,VLOOKUP(K25,fêtes,3),0)</f>
        <v>0</v>
      </c>
      <c r="I25" s="710"/>
      <c r="J25" s="710"/>
      <c r="K25" s="178">
        <f>IF(J24&lt;&gt;0,F25+1,0)</f>
        <v>0</v>
      </c>
      <c r="L25" s="221"/>
      <c r="M25" s="167" t="s">
        <v>0</v>
      </c>
      <c r="N25" s="765"/>
      <c r="O25" s="714"/>
      <c r="P25" s="714"/>
      <c r="Q25" s="714"/>
      <c r="R25" s="714"/>
      <c r="S25" s="714"/>
      <c r="T25" s="714"/>
      <c r="U25" s="714"/>
      <c r="V25" s="714"/>
      <c r="W25" s="714"/>
      <c r="X25" s="714"/>
      <c r="Y25" s="714"/>
      <c r="Z25" s="714"/>
      <c r="AA25" s="714"/>
      <c r="AB25" s="714"/>
      <c r="AC25" s="714"/>
      <c r="AD25" s="714"/>
      <c r="AE25" s="714"/>
      <c r="AF25" s="714"/>
      <c r="AG25" s="714"/>
      <c r="AH25" s="714"/>
      <c r="AI25" s="714"/>
      <c r="AJ25" s="186"/>
      <c r="AK25" s="228"/>
    </row>
    <row r="26" spans="2:37" s="155" customFormat="1" ht="15.75">
      <c r="B26" s="223"/>
      <c r="C26" s="715">
        <f>IF(F25&lt;&gt;0,VLOOKUP(F25,fêtes,4),0)</f>
        <v>0</v>
      </c>
      <c r="D26" s="716"/>
      <c r="E26" s="716"/>
      <c r="F26" s="162">
        <f>IF(F25&lt;&gt;0,VLOOKUP(F25,fêtes,5),0)</f>
        <v>0</v>
      </c>
      <c r="G26" s="154"/>
      <c r="H26" s="704">
        <f>IF(K25&lt;&gt;0,VLOOKUP(K25,fêtes,4),0)</f>
        <v>0</v>
      </c>
      <c r="I26" s="705"/>
      <c r="J26" s="705"/>
      <c r="K26" s="162">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172</v>
      </c>
      <c r="D28" s="722"/>
      <c r="E28" s="722"/>
      <c r="F28" s="722"/>
      <c r="G28" s="722"/>
      <c r="H28" s="722"/>
      <c r="I28" s="757">
        <f>annee-1</f>
        <v>2017</v>
      </c>
      <c r="J28" s="723"/>
      <c r="K28" s="143"/>
      <c r="L28" s="236"/>
      <c r="M28" s="236" t="str">
        <f>VLOOKUP(C52,Données,7)</f>
        <v xml:space="preserve"> </v>
      </c>
      <c r="N28" s="237"/>
      <c r="O28" s="237"/>
      <c r="P28" s="238"/>
      <c r="Q28" s="238"/>
      <c r="R28" s="239"/>
      <c r="S28" s="237"/>
      <c r="T28" s="237"/>
      <c r="U28" s="238"/>
      <c r="V28" s="238"/>
      <c r="W28" s="239"/>
      <c r="X28" s="237"/>
      <c r="Y28" s="237"/>
      <c r="Z28" s="238"/>
      <c r="AA28" s="238"/>
      <c r="AB28" s="231"/>
      <c r="AC28" s="758" t="s">
        <v>162</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0</v>
      </c>
      <c r="G30" s="735">
        <f>IF(P51=5,1,IF(F30&lt;&gt;0,F30+1,0))</f>
        <v>0</v>
      </c>
      <c r="H30" s="736"/>
      <c r="I30" s="160">
        <f>IF(P51=6,1,IF(G30&lt;&gt;0,G30+1,0))</f>
        <v>1</v>
      </c>
      <c r="J30" s="160">
        <f>IF(P51=0,1,IF(I30&lt;&gt;0,I30+1,0))</f>
        <v>2</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0</v>
      </c>
      <c r="AH30" s="160">
        <f>IF($U$51=5,1,IF(AG30&lt;&gt;0,AG30+1,0))</f>
        <v>1</v>
      </c>
      <c r="AI30" s="160">
        <f>IF($U$51=6,1,IF(AH30&lt;&gt;0,AH30+1,0))</f>
        <v>2</v>
      </c>
      <c r="AJ30" s="160">
        <f>IF($U$51=0,1,IF(AI30&lt;&gt;0,AI30+1,0))</f>
        <v>3</v>
      </c>
      <c r="AK30" s="240"/>
    </row>
    <row r="31" spans="2:37" ht="14.1" customHeight="1">
      <c r="B31" s="235"/>
      <c r="C31" s="160">
        <f>J30+1</f>
        <v>3</v>
      </c>
      <c r="D31" s="160">
        <f>C31+1</f>
        <v>4</v>
      </c>
      <c r="E31" s="160">
        <f t="shared" ref="E31:G33" si="0">D31+1</f>
        <v>5</v>
      </c>
      <c r="F31" s="160">
        <f t="shared" si="0"/>
        <v>6</v>
      </c>
      <c r="G31" s="735">
        <f t="shared" si="0"/>
        <v>7</v>
      </c>
      <c r="H31" s="736"/>
      <c r="I31" s="160">
        <f>G31+1</f>
        <v>8</v>
      </c>
      <c r="J31" s="160">
        <f>I31+1</f>
        <v>9</v>
      </c>
      <c r="K31" s="143"/>
      <c r="L31" s="241"/>
      <c r="M31" s="236">
        <f>VLOOKUP(C52,Données,10)</f>
        <v>0</v>
      </c>
      <c r="N31" s="232"/>
      <c r="O31" s="232"/>
      <c r="P31" s="233"/>
      <c r="Q31" s="233"/>
      <c r="R31" s="231"/>
      <c r="S31" s="232"/>
      <c r="T31" s="232"/>
      <c r="U31" s="233"/>
      <c r="V31" s="233"/>
      <c r="W31" s="231"/>
      <c r="X31" s="232"/>
      <c r="Y31" s="232"/>
      <c r="Z31" s="233"/>
      <c r="AA31" s="233"/>
      <c r="AB31" s="231"/>
      <c r="AC31" s="160">
        <f>AJ30+1</f>
        <v>4</v>
      </c>
      <c r="AD31" s="160">
        <f t="shared" ref="AD31:AE33" si="1">AC31+1</f>
        <v>5</v>
      </c>
      <c r="AE31" s="165">
        <f t="shared" si="1"/>
        <v>6</v>
      </c>
      <c r="AF31" s="215"/>
      <c r="AG31" s="160">
        <f>AE31+1</f>
        <v>7</v>
      </c>
      <c r="AH31" s="160">
        <f t="shared" ref="AH31:AJ33" si="2">AG31+1</f>
        <v>8</v>
      </c>
      <c r="AI31" s="160">
        <f t="shared" si="2"/>
        <v>9</v>
      </c>
      <c r="AJ31" s="160">
        <f t="shared" si="2"/>
        <v>10</v>
      </c>
      <c r="AK31" s="240"/>
    </row>
    <row r="32" spans="2:37" ht="14.1" customHeight="1">
      <c r="B32" s="235"/>
      <c r="C32" s="160">
        <f>J31+1</f>
        <v>10</v>
      </c>
      <c r="D32" s="160">
        <f>C32+1</f>
        <v>11</v>
      </c>
      <c r="E32" s="160">
        <f t="shared" si="0"/>
        <v>12</v>
      </c>
      <c r="F32" s="160">
        <f t="shared" si="0"/>
        <v>13</v>
      </c>
      <c r="G32" s="735">
        <f t="shared" si="0"/>
        <v>14</v>
      </c>
      <c r="H32" s="736"/>
      <c r="I32" s="160">
        <f>G32+1</f>
        <v>15</v>
      </c>
      <c r="J32" s="160">
        <f>I32+1</f>
        <v>16</v>
      </c>
      <c r="K32" s="143"/>
      <c r="L32" s="238"/>
      <c r="M32" s="233"/>
      <c r="N32" s="237"/>
      <c r="O32" s="237"/>
      <c r="P32" s="238"/>
      <c r="Q32" s="238"/>
      <c r="R32" s="239"/>
      <c r="S32" s="237"/>
      <c r="T32" s="237"/>
      <c r="U32" s="238"/>
      <c r="V32" s="238"/>
      <c r="W32" s="239"/>
      <c r="X32" s="237"/>
      <c r="Y32" s="237"/>
      <c r="Z32" s="238"/>
      <c r="AA32" s="238"/>
      <c r="AB32" s="231"/>
      <c r="AC32" s="160">
        <f>AJ31+1</f>
        <v>11</v>
      </c>
      <c r="AD32" s="160">
        <f t="shared" si="1"/>
        <v>12</v>
      </c>
      <c r="AE32" s="165">
        <f t="shared" si="1"/>
        <v>13</v>
      </c>
      <c r="AF32" s="215"/>
      <c r="AG32" s="160">
        <f>AE32+1</f>
        <v>14</v>
      </c>
      <c r="AH32" s="160">
        <f t="shared" si="2"/>
        <v>15</v>
      </c>
      <c r="AI32" s="160">
        <f t="shared" si="2"/>
        <v>16</v>
      </c>
      <c r="AJ32" s="160">
        <f t="shared" si="2"/>
        <v>17</v>
      </c>
      <c r="AK32" s="240"/>
    </row>
    <row r="33" spans="2:37" ht="14.1" customHeight="1">
      <c r="B33" s="235"/>
      <c r="C33" s="160">
        <f>J32+1</f>
        <v>17</v>
      </c>
      <c r="D33" s="160">
        <f>C33+1</f>
        <v>18</v>
      </c>
      <c r="E33" s="160">
        <f t="shared" si="0"/>
        <v>19</v>
      </c>
      <c r="F33" s="160">
        <f t="shared" si="0"/>
        <v>20</v>
      </c>
      <c r="G33" s="735">
        <f t="shared" si="0"/>
        <v>21</v>
      </c>
      <c r="H33" s="736"/>
      <c r="I33" s="160">
        <f>G33+1</f>
        <v>22</v>
      </c>
      <c r="J33" s="160">
        <f>I33+1</f>
        <v>23</v>
      </c>
      <c r="K33" s="233"/>
      <c r="L33" s="233"/>
      <c r="M33" s="239"/>
      <c r="N33" s="232"/>
      <c r="O33" s="232"/>
      <c r="P33" s="233"/>
      <c r="Q33" s="233"/>
      <c r="R33" s="231"/>
      <c r="S33" s="232"/>
      <c r="T33" s="232"/>
      <c r="U33" s="233"/>
      <c r="V33" s="233"/>
      <c r="W33" s="231"/>
      <c r="X33" s="232"/>
      <c r="Y33" s="232"/>
      <c r="Z33" s="233"/>
      <c r="AA33" s="233"/>
      <c r="AB33" s="231"/>
      <c r="AC33" s="160">
        <f>AJ32+1</f>
        <v>18</v>
      </c>
      <c r="AD33" s="160">
        <f t="shared" si="1"/>
        <v>19</v>
      </c>
      <c r="AE33" s="165">
        <f t="shared" si="1"/>
        <v>20</v>
      </c>
      <c r="AF33" s="215"/>
      <c r="AG33" s="160">
        <f>AE33+1</f>
        <v>21</v>
      </c>
      <c r="AH33" s="160">
        <f t="shared" si="2"/>
        <v>22</v>
      </c>
      <c r="AI33" s="160">
        <f t="shared" si="2"/>
        <v>23</v>
      </c>
      <c r="AJ33" s="160">
        <f t="shared" si="2"/>
        <v>24</v>
      </c>
      <c r="AK33" s="240"/>
    </row>
    <row r="34" spans="2:37" ht="14.1" customHeight="1">
      <c r="B34" s="235"/>
      <c r="C34" s="160">
        <f>IF(AND(J33+1&lt;=$P$52,J33&lt;&gt;0),J33+1,0)</f>
        <v>24</v>
      </c>
      <c r="D34" s="160">
        <f t="shared" ref="D34:G35" si="3">IF(AND(C34+1&lt;=$P$52,C34&lt;&gt;0),C34+1,0)</f>
        <v>25</v>
      </c>
      <c r="E34" s="160">
        <f t="shared" si="3"/>
        <v>26</v>
      </c>
      <c r="F34" s="160">
        <f t="shared" si="3"/>
        <v>27</v>
      </c>
      <c r="G34" s="735">
        <f t="shared" si="3"/>
        <v>28</v>
      </c>
      <c r="H34" s="736"/>
      <c r="I34" s="165">
        <f>IF(AND(G34+1&lt;=$P$52,G34&lt;&gt;0),G34+1,0)</f>
        <v>29</v>
      </c>
      <c r="J34" s="160">
        <f>IF(AND(I34+1&lt;=$P$52,I34&lt;&gt;0),I34+1,0)</f>
        <v>30</v>
      </c>
      <c r="K34" s="233"/>
      <c r="L34" s="238"/>
      <c r="M34" s="239"/>
      <c r="N34" s="237"/>
      <c r="O34" s="237"/>
      <c r="P34" s="238"/>
      <c r="Q34" s="238"/>
      <c r="R34" s="239"/>
      <c r="S34" s="237"/>
      <c r="T34" s="237"/>
      <c r="U34" s="238"/>
      <c r="V34" s="238"/>
      <c r="W34" s="239"/>
      <c r="X34" s="237"/>
      <c r="Y34" s="237"/>
      <c r="Z34" s="238"/>
      <c r="AA34" s="238"/>
      <c r="AB34" s="231"/>
      <c r="AC34" s="160">
        <f>IF(AND(AJ33+1&lt;=U52,AJ33&lt;&gt;0),AJ33+1,0)</f>
        <v>25</v>
      </c>
      <c r="AD34" s="160">
        <f>IF(AND(AC34+1&lt;=U52,AC34&lt;&gt;0),AC34+1,0)</f>
        <v>26</v>
      </c>
      <c r="AE34" s="165">
        <f>IF(AND(AD34+1&lt;=U52,AD34&lt;&gt;0),AD34+1,0)</f>
        <v>27</v>
      </c>
      <c r="AF34" s="215"/>
      <c r="AG34" s="160">
        <f>IF(AND(AE34+1&lt;=U52,AE34&lt;&gt;0),AE34+1,0)</f>
        <v>28</v>
      </c>
      <c r="AH34" s="160">
        <f>IF(AND(AG34+1&lt;=U52,AG34&lt;&gt;0),AG34+1,0)</f>
        <v>0</v>
      </c>
      <c r="AI34" s="160">
        <f>IF(AND(AH34+1&lt;=U52,AH34&lt;&gt;0),AH34+1,0)</f>
        <v>0</v>
      </c>
      <c r="AJ34" s="160">
        <f>IF(AND(AI34+1&lt;=U52,AI34&lt;&gt;0),AI34+1,0)</f>
        <v>0</v>
      </c>
      <c r="AK34" s="240"/>
    </row>
    <row r="35" spans="2:37" ht="14.1" customHeight="1">
      <c r="B35" s="235"/>
      <c r="C35" s="160">
        <f>IF(AND(J34+1&lt;=$P$52,J34&lt;&gt;0),J34+1,0)</f>
        <v>31</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47"/>
      <c r="L36" s="247"/>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43101</v>
      </c>
      <c r="L50" s="737"/>
      <c r="M50" s="737"/>
      <c r="N50" s="738"/>
      <c r="O50" s="147"/>
      <c r="P50" s="724">
        <f>DATE(C51,C52-1,1)</f>
        <v>43070</v>
      </c>
      <c r="Q50" s="725"/>
      <c r="R50" s="725"/>
      <c r="S50" s="726"/>
      <c r="T50" s="147"/>
      <c r="U50" s="724">
        <f>DATE(C51,C52+1,1)</f>
        <v>43132</v>
      </c>
      <c r="V50" s="759"/>
      <c r="W50" s="760"/>
      <c r="Z50"/>
    </row>
    <row r="51" spans="1:26">
      <c r="A51" s="1" t="s">
        <v>153</v>
      </c>
      <c r="C51" s="762">
        <f>dates!H1</f>
        <v>2018</v>
      </c>
      <c r="D51" s="762"/>
      <c r="F51"/>
      <c r="G51" s="751">
        <f>DATE(C51+1,1,1)</f>
        <v>43466</v>
      </c>
      <c r="H51" s="752"/>
      <c r="I51" s="753"/>
      <c r="J51" s="147"/>
      <c r="K51" s="727">
        <f>MOD(K50,7)</f>
        <v>2</v>
      </c>
      <c r="L51" s="752"/>
      <c r="M51" s="752"/>
      <c r="N51" s="753"/>
      <c r="O51" s="147"/>
      <c r="P51" s="727">
        <f>MOD(P50,7)</f>
        <v>6</v>
      </c>
      <c r="Q51" s="728"/>
      <c r="R51" s="728"/>
      <c r="S51" s="729"/>
      <c r="T51" s="147"/>
      <c r="U51" s="727">
        <f>MOD(U50,7)</f>
        <v>5</v>
      </c>
      <c r="V51" s="733"/>
      <c r="W51" s="734"/>
      <c r="Z51"/>
    </row>
    <row r="52" spans="1:26" ht="15.75">
      <c r="A52" s="1" t="s">
        <v>152</v>
      </c>
      <c r="C52" s="176">
        <v>1</v>
      </c>
      <c r="D52" s="177"/>
      <c r="E52" s="139" t="s">
        <v>0</v>
      </c>
      <c r="F52"/>
      <c r="G52" s="754">
        <f>G51-G50</f>
        <v>365</v>
      </c>
      <c r="H52" s="755"/>
      <c r="I52" s="756"/>
      <c r="J52" s="147"/>
      <c r="K52" s="727">
        <f>VLOOKUP(C52,Données,3)</f>
        <v>31</v>
      </c>
      <c r="L52" s="728"/>
      <c r="M52" s="728"/>
      <c r="N52" s="729"/>
      <c r="O52" s="147"/>
      <c r="P52" s="727">
        <f>VLOOKUP(12,Données,3)</f>
        <v>31</v>
      </c>
      <c r="Q52" s="728"/>
      <c r="R52" s="728"/>
      <c r="S52" s="729"/>
      <c r="T52" s="147"/>
      <c r="U52" s="727">
        <f>VLOOKUP(C52+1,Données,3)</f>
        <v>28</v>
      </c>
      <c r="V52" s="733"/>
      <c r="W52" s="734"/>
      <c r="X52" s="159"/>
      <c r="Y52" s="159"/>
      <c r="Z52" s="159"/>
    </row>
    <row r="53" spans="1:26">
      <c r="C53" s="739" t="s">
        <v>189</v>
      </c>
      <c r="D53" s="740"/>
      <c r="E53" s="740"/>
      <c r="F53" s="740"/>
      <c r="G53" s="741"/>
      <c r="H53" s="742"/>
      <c r="I53"/>
      <c r="J53" s="170" t="s">
        <v>191</v>
      </c>
      <c r="K53" s="170"/>
      <c r="L53" s="171"/>
      <c r="M53" s="171"/>
      <c r="N53" s="171"/>
      <c r="O53" s="171"/>
      <c r="P53" s="171"/>
      <c r="Q53" s="171"/>
      <c r="R53" s="171"/>
      <c r="S53" s="171"/>
      <c r="T53" s="171"/>
      <c r="U53" s="171"/>
      <c r="V53" s="171"/>
      <c r="W53" s="169"/>
      <c r="X53" s="147"/>
      <c r="Y53" s="147"/>
    </row>
    <row r="54" spans="1:26">
      <c r="C54" s="743"/>
      <c r="D54" s="744"/>
      <c r="E54" s="744"/>
      <c r="F54" s="744"/>
      <c r="G54" s="744"/>
      <c r="H54" s="742"/>
      <c r="I54"/>
      <c r="J54" s="170" t="s">
        <v>192</v>
      </c>
      <c r="K54" s="170"/>
      <c r="L54" s="171"/>
      <c r="M54" s="171"/>
      <c r="N54" s="748" t="s">
        <v>193</v>
      </c>
      <c r="O54" s="749"/>
      <c r="P54" s="749"/>
      <c r="Q54" s="749"/>
      <c r="R54" s="749"/>
      <c r="S54" s="749"/>
      <c r="T54" s="749"/>
      <c r="U54" s="749"/>
      <c r="V54" s="749"/>
      <c r="W54" s="750"/>
      <c r="X54" s="164"/>
      <c r="Y54" s="164"/>
      <c r="Z54" s="164"/>
    </row>
    <row r="55" spans="1:26">
      <c r="C55" s="745"/>
      <c r="D55" s="746"/>
      <c r="E55" s="746"/>
      <c r="F55" s="746"/>
      <c r="G55" s="746"/>
      <c r="H55" s="747"/>
      <c r="I55"/>
      <c r="J55" s="170" t="s">
        <v>194</v>
      </c>
      <c r="K55" s="170"/>
      <c r="L55" s="171"/>
      <c r="M55" s="171"/>
      <c r="N55" s="748" t="s">
        <v>195</v>
      </c>
      <c r="O55" s="749"/>
      <c r="P55" s="749"/>
      <c r="Q55" s="749"/>
      <c r="R55" s="749"/>
      <c r="S55" s="749"/>
      <c r="T55" s="749"/>
      <c r="U55" s="749"/>
      <c r="V55" s="749"/>
      <c r="W55" s="750"/>
      <c r="X55" s="155"/>
      <c r="Y55" s="155"/>
      <c r="Z55" s="155"/>
    </row>
    <row r="56" spans="1:26">
      <c r="A56" s="155"/>
      <c r="B56" s="155"/>
      <c r="C56" s="155"/>
      <c r="D56" s="155"/>
      <c r="E56" s="155"/>
      <c r="F56" s="155"/>
      <c r="G56" s="155"/>
      <c r="H56" s="155"/>
      <c r="J56" s="155"/>
      <c r="K56" s="155"/>
      <c r="L56" s="155"/>
      <c r="N56" s="155"/>
      <c r="O56" s="155"/>
      <c r="P56" s="155"/>
      <c r="Q56" s="155"/>
      <c r="S56" s="155"/>
      <c r="T56" s="155"/>
      <c r="U56" s="155"/>
      <c r="V56" s="155"/>
      <c r="X56" s="155"/>
      <c r="Y56" s="155"/>
      <c r="Z56" s="155"/>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7">
    <mergeCell ref="AI28:AJ28"/>
    <mergeCell ref="W16:X16"/>
    <mergeCell ref="C51:D51"/>
    <mergeCell ref="C6:E6"/>
    <mergeCell ref="C10:E10"/>
    <mergeCell ref="C14:E14"/>
    <mergeCell ref="C18:E18"/>
    <mergeCell ref="C26:E26"/>
    <mergeCell ref="AC36:AD36"/>
    <mergeCell ref="W21:Y21"/>
    <mergeCell ref="AB21:AD21"/>
    <mergeCell ref="W22:Y22"/>
    <mergeCell ref="AB22:AD22"/>
    <mergeCell ref="R21:T21"/>
    <mergeCell ref="H22:J22"/>
    <mergeCell ref="M22:O22"/>
    <mergeCell ref="AC28:AH28"/>
    <mergeCell ref="W18:Y18"/>
    <mergeCell ref="W17:Y17"/>
    <mergeCell ref="R18:T18"/>
    <mergeCell ref="N25:AI25"/>
    <mergeCell ref="R16:S16"/>
    <mergeCell ref="T16:U16"/>
    <mergeCell ref="R17:T17"/>
    <mergeCell ref="C2:E2"/>
    <mergeCell ref="H3:K3"/>
    <mergeCell ref="M3:P3"/>
    <mergeCell ref="H17:J17"/>
    <mergeCell ref="M17:O17"/>
    <mergeCell ref="C16:D16"/>
    <mergeCell ref="E16:F16"/>
    <mergeCell ref="H13:J13"/>
    <mergeCell ref="M10:O10"/>
    <mergeCell ref="C12:D12"/>
    <mergeCell ref="O4:P4"/>
    <mergeCell ref="C8:D8"/>
    <mergeCell ref="E8:F8"/>
    <mergeCell ref="H8:I8"/>
    <mergeCell ref="J8:K8"/>
    <mergeCell ref="H6:J6"/>
    <mergeCell ref="M6:O6"/>
    <mergeCell ref="M8:N8"/>
    <mergeCell ref="O8:P8"/>
    <mergeCell ref="C4:D4"/>
    <mergeCell ref="E4:F4"/>
    <mergeCell ref="H4:I4"/>
    <mergeCell ref="J4:K4"/>
    <mergeCell ref="H9:J9"/>
    <mergeCell ref="W4:X4"/>
    <mergeCell ref="AD4:AE4"/>
    <mergeCell ref="Y4:Z4"/>
    <mergeCell ref="AB4:AC4"/>
    <mergeCell ref="W5:Y5"/>
    <mergeCell ref="AB8:AC8"/>
    <mergeCell ref="Y8:Z8"/>
    <mergeCell ref="AD8:AE8"/>
    <mergeCell ref="T4:U4"/>
    <mergeCell ref="T8:U8"/>
    <mergeCell ref="R6:T6"/>
    <mergeCell ref="R4:S4"/>
    <mergeCell ref="R5:T5"/>
    <mergeCell ref="R8:S8"/>
    <mergeCell ref="W8:X8"/>
    <mergeCell ref="W6:Y6"/>
    <mergeCell ref="C53:H55"/>
    <mergeCell ref="P52:S52"/>
    <mergeCell ref="K52:N52"/>
    <mergeCell ref="N54:W54"/>
    <mergeCell ref="N55:W55"/>
    <mergeCell ref="G30:H30"/>
    <mergeCell ref="G51:I51"/>
    <mergeCell ref="G52:I52"/>
    <mergeCell ref="I28:J28"/>
    <mergeCell ref="G29:H29"/>
    <mergeCell ref="C28:H28"/>
    <mergeCell ref="G31:H31"/>
    <mergeCell ref="U50:W50"/>
    <mergeCell ref="U51:W51"/>
    <mergeCell ref="K50:N50"/>
    <mergeCell ref="K51:N51"/>
    <mergeCell ref="W3:Z3"/>
    <mergeCell ref="P50:S50"/>
    <mergeCell ref="P51:S51"/>
    <mergeCell ref="C3:F3"/>
    <mergeCell ref="U52:W52"/>
    <mergeCell ref="M4:N4"/>
    <mergeCell ref="M5:O5"/>
    <mergeCell ref="H5:J5"/>
    <mergeCell ref="H26:J26"/>
    <mergeCell ref="Y20:Z20"/>
    <mergeCell ref="M9:O9"/>
    <mergeCell ref="H21:J21"/>
    <mergeCell ref="M21:O21"/>
    <mergeCell ref="J24:K24"/>
    <mergeCell ref="G34:H34"/>
    <mergeCell ref="G35:H35"/>
    <mergeCell ref="G50:I50"/>
    <mergeCell ref="G32:H32"/>
    <mergeCell ref="G33:H33"/>
    <mergeCell ref="M14:O14"/>
    <mergeCell ref="R3:U3"/>
    <mergeCell ref="R9:T9"/>
    <mergeCell ref="T12:U12"/>
    <mergeCell ref="W9:Y9"/>
    <mergeCell ref="AB3:AE3"/>
    <mergeCell ref="AI12:AJ12"/>
    <mergeCell ref="AI16:AJ16"/>
    <mergeCell ref="AB12:AC12"/>
    <mergeCell ref="AB13:AD13"/>
    <mergeCell ref="AB6:AD6"/>
    <mergeCell ref="AB9:AD9"/>
    <mergeCell ref="AD12:AE12"/>
    <mergeCell ref="AB10:AD10"/>
    <mergeCell ref="AD16:AE16"/>
    <mergeCell ref="AG9:AI9"/>
    <mergeCell ref="AG3:AJ3"/>
    <mergeCell ref="AI4:AJ4"/>
    <mergeCell ref="AB14:AD14"/>
    <mergeCell ref="AI8:AJ8"/>
    <mergeCell ref="AB5:AD5"/>
    <mergeCell ref="AB16:AC16"/>
    <mergeCell ref="AG14:AI14"/>
    <mergeCell ref="AG10:AI10"/>
    <mergeCell ref="AG6:AI6"/>
    <mergeCell ref="C1:J1"/>
    <mergeCell ref="AG21:AI21"/>
    <mergeCell ref="W14:Y14"/>
    <mergeCell ref="M16:N16"/>
    <mergeCell ref="O16:P16"/>
    <mergeCell ref="M18:O18"/>
    <mergeCell ref="M20:N20"/>
    <mergeCell ref="O20:P20"/>
    <mergeCell ref="M13:O13"/>
    <mergeCell ref="AG4:AH4"/>
    <mergeCell ref="AG5:AI5"/>
    <mergeCell ref="C9:E9"/>
    <mergeCell ref="AG8:AH8"/>
    <mergeCell ref="AG16:AH16"/>
    <mergeCell ref="AG17:AI17"/>
    <mergeCell ref="H16:I16"/>
    <mergeCell ref="J16:K16"/>
    <mergeCell ref="H10:J10"/>
    <mergeCell ref="H14:J14"/>
    <mergeCell ref="J12:K12"/>
    <mergeCell ref="M12:N12"/>
    <mergeCell ref="O12:P12"/>
    <mergeCell ref="C13:E13"/>
    <mergeCell ref="C5:E5"/>
    <mergeCell ref="H25:J25"/>
    <mergeCell ref="C20:D20"/>
    <mergeCell ref="E20:F20"/>
    <mergeCell ref="AG12:AH12"/>
    <mergeCell ref="AG13:AI13"/>
    <mergeCell ref="W13:Y13"/>
    <mergeCell ref="C25:E25"/>
    <mergeCell ref="E24:F24"/>
    <mergeCell ref="E12:F12"/>
    <mergeCell ref="H12:I12"/>
    <mergeCell ref="R14:T14"/>
    <mergeCell ref="C22:E22"/>
    <mergeCell ref="H24:I24"/>
    <mergeCell ref="H20:I20"/>
    <mergeCell ref="AI20:AJ20"/>
    <mergeCell ref="AD20:AE20"/>
    <mergeCell ref="AB20:AC20"/>
    <mergeCell ref="AB17:AD17"/>
    <mergeCell ref="AB18:AD18"/>
    <mergeCell ref="R13:T13"/>
    <mergeCell ref="AG22:AI22"/>
    <mergeCell ref="Y16:Z16"/>
    <mergeCell ref="Y12:Z12"/>
    <mergeCell ref="W12:X12"/>
    <mergeCell ref="R10:T10"/>
    <mergeCell ref="R12:S12"/>
    <mergeCell ref="C24:D24"/>
    <mergeCell ref="C17:E17"/>
    <mergeCell ref="J20:K20"/>
    <mergeCell ref="R20:S20"/>
    <mergeCell ref="C21:E21"/>
    <mergeCell ref="AG20:AH20"/>
    <mergeCell ref="H18:J18"/>
    <mergeCell ref="N24:AI24"/>
    <mergeCell ref="W10:Y10"/>
    <mergeCell ref="AG18:AI18"/>
    <mergeCell ref="W20:X20"/>
    <mergeCell ref="T20:U20"/>
    <mergeCell ref="R22:T22"/>
  </mergeCells>
  <conditionalFormatting sqref="C7:AJ9 C6 C11:AJ13 C10 C15:AJ17 C14 C19:AJ21 C18 C23:AJ25 C22 C26 AJ6 AJ10 F10:AG10 F6:AG6 F14:AG14 AJ14 AJ18 AJ22 F18:AG18 F22:AG22 F26:AJ26 C4:AJ5">
    <cfRule type="containsText" dxfId="89" priority="4" stopIfTrue="1" operator="containsText" text="CEPARI">
      <formula>NOT(ISERROR(SEARCH("CEPARI",C4)))</formula>
    </cfRule>
    <cfRule type="containsText" dxfId="88" priority="5" stopIfTrue="1" operator="containsText" text="Formation SP">
      <formula>NOT(ISERROR(SEARCH("Formation SP",C4)))</formula>
    </cfRule>
    <cfRule type="containsText" dxfId="87" priority="6" stopIfTrue="1" operator="containsText" text="Formation">
      <formula>NOT(ISERROR(SEARCH("Formation",C4)))</formula>
    </cfRule>
    <cfRule type="containsText" dxfId="86" priority="7" stopIfTrue="1" operator="containsText" text="Garde 24">
      <formula>NOT(ISERROR(SEARCH("Garde 24",C4)))</formula>
    </cfRule>
    <cfRule type="containsText" dxfId="85" priority="10" stopIfTrue="1" operator="containsText" text="Garde Nuit">
      <formula>NOT(ISERROR(SEARCH("Garde Nuit",C4)))</formula>
    </cfRule>
    <cfRule type="containsText" dxfId="84" priority="11" stopIfTrue="1" operator="containsText" text="Garde Jour">
      <formula>NOT(ISERROR(SEARCH("Garde Jour",C4)))</formula>
    </cfRule>
    <cfRule type="containsText" dxfId="83" priority="12" stopIfTrue="1" operator="containsText" text="Formation">
      <formula>NOT(ISERROR(SEARCH("Formation",C4)))</formula>
    </cfRule>
    <cfRule type="containsText" dxfId="82" priority="13" stopIfTrue="1" operator="containsText" text="Nuit">
      <formula>NOT(ISERROR(SEARCH("Nuit",C4)))</formula>
    </cfRule>
    <cfRule type="containsText" dxfId="81" priority="14" stopIfTrue="1" operator="containsText" text="Jour">
      <formula>NOT(ISERROR(SEARCH("Jour",C4)))</formula>
    </cfRule>
  </conditionalFormatting>
  <conditionalFormatting sqref="C4:AJ26">
    <cfRule type="containsText" dxfId="80" priority="1" stopIfTrue="1" operator="containsText" text="vacances">
      <formula>NOT(ISERROR(SEARCH("vacances",C4)))</formula>
    </cfRule>
  </conditionalFormatting>
  <hyperlinks>
    <hyperlink ref="C1:J1" location="dates!H1" display="dates!H1"/>
  </hyperlinks>
  <printOptions horizontalCentered="1" verticalCentered="1"/>
  <pageMargins left="0.23622047244094488" right="0.23622047244094488" top="0" bottom="0" header="0.31496062992125984" footer="0.31496062992125984"/>
  <pageSetup orientation="landscape" horizontalDpi="300" verticalDpi="300" r:id="rId1"/>
  <headerFooter alignWithMargins="0"/>
  <drawing r:id="rId2"/>
  <legacyDrawing r:id="rId3"/>
  <controls>
    <mc:AlternateContent xmlns:mc="http://schemas.openxmlformats.org/markup-compatibility/2006">
      <mc:Choice Requires="x14">
        <control shapeId="30725" r:id="rId4" name="MENU">
          <controlPr defaultSize="0" print="0" autoLine="0" r:id="rId5">
            <anchor moveWithCells="1">
              <from>
                <xdr:col>15</xdr:col>
                <xdr:colOff>38100</xdr:colOff>
                <xdr:row>8</xdr:row>
                <xdr:rowOff>152400</xdr:rowOff>
              </from>
              <to>
                <xdr:col>20</xdr:col>
                <xdr:colOff>304800</xdr:colOff>
                <xdr:row>11</xdr:row>
                <xdr:rowOff>85725</xdr:rowOff>
              </to>
            </anchor>
          </controlPr>
        </control>
      </mc:Choice>
      <mc:Fallback>
        <control shapeId="30725" r:id="rId4" name="MENU"/>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P74"/>
  <sheetViews>
    <sheetView showGridLines="0" workbookViewId="0">
      <pane ySplit="3" topLeftCell="A21" activePane="bottomLeft" state="frozen"/>
      <selection pane="bottomLeft" activeCell="C40" sqref="C40"/>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FÉVRIER</v>
      </c>
      <c r="D1" s="718"/>
      <c r="E1" s="718"/>
      <c r="F1" s="718"/>
      <c r="G1" s="718"/>
      <c r="H1" s="718"/>
      <c r="I1" s="718"/>
      <c r="J1" s="718"/>
      <c r="K1" s="189"/>
      <c r="L1" s="189"/>
      <c r="M1" s="190"/>
      <c r="N1" s="191" t="s">
        <v>187</v>
      </c>
      <c r="O1" s="188"/>
      <c r="P1" s="192"/>
      <c r="Q1" s="192"/>
      <c r="R1" s="190"/>
      <c r="S1" s="193"/>
      <c r="T1" s="194" t="str">
        <f>VLOOKUP(C52,Données,5)</f>
        <v>améthyste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violette + primevère</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f>IF(P5&lt;&gt;0,VLOOKUP(P5,fêtes,2),0)</f>
        <v>0</v>
      </c>
      <c r="N4" s="767"/>
      <c r="O4" s="717">
        <f>IF($K$51=3,1,IF(J4&lt;&gt;0,J4+1,0))</f>
        <v>0</v>
      </c>
      <c r="P4" s="766"/>
      <c r="Q4" s="143"/>
      <c r="R4" s="706">
        <f>IF(U5&lt;&gt;0,VLOOKUP(U5,fêtes,2),0)</f>
        <v>0</v>
      </c>
      <c r="S4" s="767"/>
      <c r="T4" s="717">
        <f>IF($K$51=4,1,IF(O4&lt;&gt;0,O4+1,0))</f>
        <v>0</v>
      </c>
      <c r="U4" s="766"/>
      <c r="V4" s="143"/>
      <c r="W4" s="706" t="str">
        <f>IF(Z5&lt;&gt;0,VLOOKUP(Z5,fêtes,2),0)</f>
        <v>Enzo</v>
      </c>
      <c r="X4" s="767"/>
      <c r="Y4" s="717">
        <f>IF($K$51=5,1,IF(T4&lt;&gt;0,T4+1,0))</f>
        <v>1</v>
      </c>
      <c r="Z4" s="766"/>
      <c r="AA4" s="143"/>
      <c r="AB4" s="706" t="e">
        <f>IF(AE5&lt;&gt;0,VLOOKUP(AE5,fêtes,2),0)</f>
        <v>#N/A</v>
      </c>
      <c r="AC4" s="767"/>
      <c r="AD4" s="717">
        <f>IF($K$51=6,1,IF(Y4&lt;&gt;0,Y4+1,0))</f>
        <v>2</v>
      </c>
      <c r="AE4" s="766"/>
      <c r="AF4" s="143"/>
      <c r="AG4" s="706" t="e">
        <f>IF(AJ5&lt;&gt;0,VLOOKUP(AJ5,fêtes,2),0)</f>
        <v>#N/A</v>
      </c>
      <c r="AH4" s="767"/>
      <c r="AI4" s="717">
        <f>IF($K$51=0,1,IF(AD4&lt;&gt;0,AD4+1,0))</f>
        <v>3</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0</v>
      </c>
      <c r="V5" s="258"/>
      <c r="W5" s="778">
        <f>IF(Z5&lt;&gt;0,VLOOKUP(Z5,fêtes,3),0)</f>
        <v>0</v>
      </c>
      <c r="X5" s="779"/>
      <c r="Y5" s="779"/>
      <c r="Z5" s="178">
        <f>IF(Y4&lt;&gt;0,VLOOKUP($C$52,Données,4)+T4,0)</f>
        <v>32</v>
      </c>
      <c r="AA5" s="258"/>
      <c r="AB5" s="778">
        <f>IF(AE5&lt;&gt;0,VLOOKUP(AE5,fêtes,3),0)</f>
        <v>0</v>
      </c>
      <c r="AC5" s="779"/>
      <c r="AD5" s="779"/>
      <c r="AE5" s="178">
        <f>IF(AD4&lt;&gt;0,VLOOKUP($C$52,Données,4)+Y4,0)</f>
        <v>33</v>
      </c>
      <c r="AF5" s="258"/>
      <c r="AG5" s="778">
        <f>IF(AJ5&lt;&gt;0,VLOOKUP(AJ5,fêtes,3),0)</f>
        <v>0</v>
      </c>
      <c r="AH5" s="779"/>
      <c r="AI5" s="779"/>
      <c r="AJ5" s="178">
        <f>IF(AI4&lt;&gt;0,VLOOKUP($C$52,Données,4)+AD4,0)</f>
        <v>34</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e">
        <f>IF(F9&lt;&gt;0,VLOOKUP(F9,fêtes,2),0)</f>
        <v>#N/A</v>
      </c>
      <c r="D8" s="767"/>
      <c r="E8" s="717">
        <f>AI4+1</f>
        <v>4</v>
      </c>
      <c r="F8" s="766"/>
      <c r="G8" s="143"/>
      <c r="H8" s="706" t="e">
        <f>IF(K9&lt;&gt;0,VLOOKUP(K9,fêtes,2),0)</f>
        <v>#N/A</v>
      </c>
      <c r="I8" s="767"/>
      <c r="J8" s="717">
        <f>E8+1</f>
        <v>5</v>
      </c>
      <c r="K8" s="766"/>
      <c r="L8" s="143"/>
      <c r="M8" s="706" t="e">
        <f>IF(P9&lt;&gt;0,VLOOKUP(P9,fêtes,2),0)</f>
        <v>#N/A</v>
      </c>
      <c r="N8" s="767"/>
      <c r="O8" s="717">
        <f>J8+1</f>
        <v>6</v>
      </c>
      <c r="P8" s="766"/>
      <c r="Q8" s="143"/>
      <c r="R8" s="706" t="e">
        <f>IF(U9&lt;&gt;0,VLOOKUP(U9,fêtes,2),0)</f>
        <v>#N/A</v>
      </c>
      <c r="S8" s="767"/>
      <c r="T8" s="717">
        <f>O8+1</f>
        <v>7</v>
      </c>
      <c r="U8" s="766"/>
      <c r="V8" s="143"/>
      <c r="W8" s="706" t="e">
        <f>IF(Z9&lt;&gt;0,VLOOKUP(Z9,fêtes,2),0)</f>
        <v>#N/A</v>
      </c>
      <c r="X8" s="767"/>
      <c r="Y8" s="717">
        <f>T8+1</f>
        <v>8</v>
      </c>
      <c r="Z8" s="766"/>
      <c r="AA8" s="143"/>
      <c r="AB8" s="706" t="e">
        <f>IF(AE9&lt;&gt;0,VLOOKUP(AE9,fêtes,2),0)</f>
        <v>#N/A</v>
      </c>
      <c r="AC8" s="767"/>
      <c r="AD8" s="717">
        <f>Y8+1</f>
        <v>9</v>
      </c>
      <c r="AE8" s="766"/>
      <c r="AF8" s="143"/>
      <c r="AG8" s="706" t="e">
        <f>IF(AJ9&lt;&gt;0,VLOOKUP(AJ9,fêtes,2),0)</f>
        <v>#N/A</v>
      </c>
      <c r="AH8" s="767"/>
      <c r="AI8" s="717">
        <f>AD8+1</f>
        <v>10</v>
      </c>
      <c r="AJ8" s="766"/>
      <c r="AK8" s="219"/>
    </row>
    <row r="9" spans="2:42" s="164" customFormat="1" ht="15.75" customHeight="1">
      <c r="B9" s="220"/>
      <c r="C9" s="778">
        <f>IF(F9&lt;&gt;0,VLOOKUP(F9,fêtes,3),0)</f>
        <v>0</v>
      </c>
      <c r="D9" s="779"/>
      <c r="E9" s="779"/>
      <c r="F9" s="178">
        <f>AJ5+1</f>
        <v>35</v>
      </c>
      <c r="G9" s="258"/>
      <c r="H9" s="778">
        <f>IF(K9&lt;&gt;0,VLOOKUP(K9,fêtes,3),0)</f>
        <v>0</v>
      </c>
      <c r="I9" s="779"/>
      <c r="J9" s="779"/>
      <c r="K9" s="178">
        <f>F9+1</f>
        <v>36</v>
      </c>
      <c r="L9" s="258"/>
      <c r="M9" s="778">
        <f>IF(P9&lt;&gt;0,VLOOKUP(P9,fêtes,3),0)</f>
        <v>0</v>
      </c>
      <c r="N9" s="779"/>
      <c r="O9" s="779"/>
      <c r="P9" s="178">
        <f>K9+1</f>
        <v>37</v>
      </c>
      <c r="Q9" s="258"/>
      <c r="R9" s="778">
        <f>IF(U9&lt;&gt;0,VLOOKUP(U9,fêtes,3),0)</f>
        <v>0</v>
      </c>
      <c r="S9" s="779"/>
      <c r="T9" s="779"/>
      <c r="U9" s="178">
        <f>P9+1</f>
        <v>38</v>
      </c>
      <c r="V9" s="258"/>
      <c r="W9" s="778">
        <f>IF(Z9&lt;&gt;0,VLOOKUP(Z9,fêtes,3),0)</f>
        <v>0</v>
      </c>
      <c r="X9" s="779"/>
      <c r="Y9" s="779"/>
      <c r="Z9" s="179">
        <f>U9+1</f>
        <v>39</v>
      </c>
      <c r="AA9" s="259"/>
      <c r="AB9" s="778">
        <f>IF(AE9&lt;&gt;0,VLOOKUP(AE9,fêtes,3),0)</f>
        <v>0</v>
      </c>
      <c r="AC9" s="779"/>
      <c r="AD9" s="779"/>
      <c r="AE9" s="178">
        <f>Z9+1</f>
        <v>40</v>
      </c>
      <c r="AF9" s="258"/>
      <c r="AG9" s="778">
        <f>IF(AJ9&lt;&gt;0,VLOOKUP(AJ9,fêtes,3),0)</f>
        <v>0</v>
      </c>
      <c r="AH9" s="779"/>
      <c r="AI9" s="779"/>
      <c r="AJ9" s="178">
        <f>AE9+1</f>
        <v>41</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e">
        <f>IF(F13&lt;&gt;0,VLOOKUP(F13,fêtes,2),0)</f>
        <v>#N/A</v>
      </c>
      <c r="D12" s="767"/>
      <c r="E12" s="717">
        <f>AI8+1</f>
        <v>11</v>
      </c>
      <c r="F12" s="766"/>
      <c r="G12" s="143"/>
      <c r="H12" s="706" t="e">
        <f>IF(K13&lt;&gt;0,VLOOKUP(K13,fêtes,2),0)</f>
        <v>#N/A</v>
      </c>
      <c r="I12" s="767"/>
      <c r="J12" s="717">
        <f>E12+1</f>
        <v>12</v>
      </c>
      <c r="K12" s="766"/>
      <c r="L12" s="143"/>
      <c r="M12" s="706" t="e">
        <f>IF(P13&lt;&gt;0,VLOOKUP(P13,fêtes,2),0)</f>
        <v>#N/A</v>
      </c>
      <c r="N12" s="767"/>
      <c r="O12" s="717">
        <f>J12+1</f>
        <v>13</v>
      </c>
      <c r="P12" s="766"/>
      <c r="Q12" s="143"/>
      <c r="R12" s="706" t="e">
        <f>IF(U13&lt;&gt;0,VLOOKUP(U13,fêtes,2),0)</f>
        <v>#N/A</v>
      </c>
      <c r="S12" s="767"/>
      <c r="T12" s="717">
        <f>O12+1</f>
        <v>14</v>
      </c>
      <c r="U12" s="766"/>
      <c r="V12" s="143"/>
      <c r="W12" s="706" t="e">
        <f>IF(Z13&lt;&gt;0,VLOOKUP(Z13,fêtes,2),0)</f>
        <v>#N/A</v>
      </c>
      <c r="X12" s="767"/>
      <c r="Y12" s="717">
        <f>T12+1</f>
        <v>15</v>
      </c>
      <c r="Z12" s="766"/>
      <c r="AA12" s="143"/>
      <c r="AB12" s="706" t="e">
        <f>IF(AE13&lt;&gt;0,VLOOKUP(AE13,fêtes,2),0)</f>
        <v>#N/A</v>
      </c>
      <c r="AC12" s="767"/>
      <c r="AD12" s="717">
        <f>Y12+1</f>
        <v>16</v>
      </c>
      <c r="AE12" s="766"/>
      <c r="AF12" s="143"/>
      <c r="AG12" s="706" t="e">
        <f>IF(AJ13&lt;&gt;0,VLOOKUP(AJ13,fêtes,2),0)</f>
        <v>#N/A</v>
      </c>
      <c r="AH12" s="767"/>
      <c r="AI12" s="717">
        <f>AD12+1</f>
        <v>17</v>
      </c>
      <c r="AJ12" s="766"/>
      <c r="AK12" s="219"/>
    </row>
    <row r="13" spans="2:42" s="164" customFormat="1" ht="15.75" customHeight="1">
      <c r="B13" s="220"/>
      <c r="C13" s="778">
        <f>IF(F13&lt;&gt;0,VLOOKUP(F13,fêtes,3),0)</f>
        <v>0</v>
      </c>
      <c r="D13" s="779"/>
      <c r="E13" s="779"/>
      <c r="F13" s="178">
        <f>AJ9+1</f>
        <v>42</v>
      </c>
      <c r="G13" s="258"/>
      <c r="H13" s="778">
        <f>IF(K13&lt;&gt;0,VLOOKUP(K13,fêtes,3),0)</f>
        <v>0</v>
      </c>
      <c r="I13" s="779"/>
      <c r="J13" s="779"/>
      <c r="K13" s="178">
        <f>F13+1</f>
        <v>43</v>
      </c>
      <c r="L13" s="258"/>
      <c r="M13" s="778">
        <f>IF(P13&lt;&gt;0,VLOOKUP(P13,fêtes,3),0)</f>
        <v>0</v>
      </c>
      <c r="N13" s="779"/>
      <c r="O13" s="779"/>
      <c r="P13" s="178">
        <f>K13+1</f>
        <v>44</v>
      </c>
      <c r="Q13" s="258"/>
      <c r="R13" s="778">
        <f>IF(U13&lt;&gt;0,VLOOKUP(U13,fêtes,3),0)</f>
        <v>0</v>
      </c>
      <c r="S13" s="779"/>
      <c r="T13" s="779"/>
      <c r="U13" s="178">
        <f>P13+1</f>
        <v>45</v>
      </c>
      <c r="V13" s="258"/>
      <c r="W13" s="778">
        <f>IF(Z13&lt;&gt;0,VLOOKUP(Z13,fêtes,3),0)</f>
        <v>0</v>
      </c>
      <c r="X13" s="779"/>
      <c r="Y13" s="779"/>
      <c r="Z13" s="180">
        <f>U13+1</f>
        <v>46</v>
      </c>
      <c r="AA13" s="260"/>
      <c r="AB13" s="778">
        <f>IF(AE13&lt;&gt;0,VLOOKUP(AE13,fêtes,3),0)</f>
        <v>0</v>
      </c>
      <c r="AC13" s="779"/>
      <c r="AD13" s="779"/>
      <c r="AE13" s="178">
        <f>Z13+1</f>
        <v>47</v>
      </c>
      <c r="AF13" s="258"/>
      <c r="AG13" s="778">
        <f>IF(AJ13&lt;&gt;0,VLOOKUP(AJ13,fêtes,3),0)</f>
        <v>0</v>
      </c>
      <c r="AH13" s="779"/>
      <c r="AI13" s="779"/>
      <c r="AJ13" s="178">
        <f>AE13+1</f>
        <v>48</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e">
        <f>IF(F17&lt;&gt;0,VLOOKUP(F17,fêtes,2),0)</f>
        <v>#N/A</v>
      </c>
      <c r="D16" s="767"/>
      <c r="E16" s="717">
        <f>AI12+1</f>
        <v>18</v>
      </c>
      <c r="F16" s="766"/>
      <c r="G16" s="143"/>
      <c r="H16" s="706" t="e">
        <f>IF(K17&lt;&gt;0,VLOOKUP(K17,fêtes,2),0)</f>
        <v>#N/A</v>
      </c>
      <c r="I16" s="767"/>
      <c r="J16" s="717">
        <f>E16+1</f>
        <v>19</v>
      </c>
      <c r="K16" s="766"/>
      <c r="L16" s="143"/>
      <c r="M16" s="706" t="str">
        <f>IF(P17&lt;&gt;0,VLOOKUP(P17,fêtes,2),0)</f>
        <v>Lucie</v>
      </c>
      <c r="N16" s="767"/>
      <c r="O16" s="717">
        <f>J16+1</f>
        <v>20</v>
      </c>
      <c r="P16" s="766"/>
      <c r="Q16" s="143"/>
      <c r="R16" s="706" t="e">
        <f>IF(U17&lt;&gt;0,VLOOKUP(U17,fêtes,2),0)</f>
        <v>#N/A</v>
      </c>
      <c r="S16" s="767"/>
      <c r="T16" s="717">
        <f>O16+1</f>
        <v>21</v>
      </c>
      <c r="U16" s="766"/>
      <c r="V16" s="143"/>
      <c r="W16" s="706" t="e">
        <f>IF(Z17&lt;&gt;0,VLOOKUP(Z17,fêtes,2),0)</f>
        <v>#N/A</v>
      </c>
      <c r="X16" s="767"/>
      <c r="Y16" s="717">
        <f>T16+1</f>
        <v>22</v>
      </c>
      <c r="Z16" s="766"/>
      <c r="AA16" s="143"/>
      <c r="AB16" s="706" t="e">
        <f>IF(AE17&lt;&gt;0,VLOOKUP(AE17,fêtes,2),0)</f>
        <v>#N/A</v>
      </c>
      <c r="AC16" s="767"/>
      <c r="AD16" s="717">
        <f>Y16+1</f>
        <v>23</v>
      </c>
      <c r="AE16" s="766"/>
      <c r="AF16" s="143"/>
      <c r="AG16" s="706" t="e">
        <f>IF(AJ17&lt;&gt;0,VLOOKUP(AJ17,fêtes,2),0)</f>
        <v>#N/A</v>
      </c>
      <c r="AH16" s="767"/>
      <c r="AI16" s="717">
        <f>AD16+1</f>
        <v>24</v>
      </c>
      <c r="AJ16" s="766"/>
      <c r="AK16" s="219"/>
    </row>
    <row r="17" spans="2:37" s="164" customFormat="1" ht="15.75" customHeight="1">
      <c r="B17" s="220"/>
      <c r="C17" s="778">
        <f>IF(F17&lt;&gt;0,VLOOKUP(F17,fêtes,3),0)</f>
        <v>0</v>
      </c>
      <c r="D17" s="779"/>
      <c r="E17" s="779"/>
      <c r="F17" s="178">
        <f>AJ13+1</f>
        <v>49</v>
      </c>
      <c r="G17" s="258"/>
      <c r="H17" s="778">
        <f>IF(K17&lt;&gt;0,VLOOKUP(K17,fêtes,3),0)</f>
        <v>0</v>
      </c>
      <c r="I17" s="779"/>
      <c r="J17" s="779"/>
      <c r="K17" s="178">
        <f>F17+1</f>
        <v>50</v>
      </c>
      <c r="L17" s="258"/>
      <c r="M17" s="778">
        <f>IF(P17&lt;&gt;0,VLOOKUP(P17,fêtes,3),0)</f>
        <v>0</v>
      </c>
      <c r="N17" s="779"/>
      <c r="O17" s="779"/>
      <c r="P17" s="178">
        <f>K17+1</f>
        <v>51</v>
      </c>
      <c r="Q17" s="258"/>
      <c r="R17" s="778">
        <f>IF(U17&lt;&gt;0,VLOOKUP(U17,fêtes,3),0)</f>
        <v>0</v>
      </c>
      <c r="S17" s="779"/>
      <c r="T17" s="779"/>
      <c r="U17" s="178">
        <f>P17+1</f>
        <v>52</v>
      </c>
      <c r="V17" s="258"/>
      <c r="W17" s="778">
        <f>IF(Z17&lt;&gt;0,VLOOKUP(Z17,fêtes,3),0)</f>
        <v>0</v>
      </c>
      <c r="X17" s="779"/>
      <c r="Y17" s="779"/>
      <c r="Z17" s="180">
        <f>U17+1</f>
        <v>53</v>
      </c>
      <c r="AA17" s="260"/>
      <c r="AB17" s="778">
        <f>IF(AE17&lt;&gt;0,VLOOKUP(AE17,fêtes,3),0)</f>
        <v>0</v>
      </c>
      <c r="AC17" s="779"/>
      <c r="AD17" s="779"/>
      <c r="AE17" s="178">
        <f>Z17+1</f>
        <v>54</v>
      </c>
      <c r="AF17" s="258"/>
      <c r="AG17" s="778">
        <f>IF(AJ17&lt;&gt;0,VLOOKUP(AJ17,fêtes,3),0)</f>
        <v>0</v>
      </c>
      <c r="AH17" s="779"/>
      <c r="AI17" s="779"/>
      <c r="AJ17" s="178">
        <f>AE17+1</f>
        <v>55</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e">
        <f>IF(F21&lt;&gt;0,VLOOKUP(F21,fêtes,2),0)</f>
        <v>#N/A</v>
      </c>
      <c r="D20" s="767"/>
      <c r="E20" s="717">
        <f>IF(AND(AI16+1&lt;=$K$52,AI16&lt;&gt;0),AI16+1,0)</f>
        <v>25</v>
      </c>
      <c r="F20" s="766"/>
      <c r="G20" s="143"/>
      <c r="H20" s="706" t="e">
        <f>IF(K21&lt;&gt;0,VLOOKUP(K21,fêtes,2),0)</f>
        <v>#N/A</v>
      </c>
      <c r="I20" s="767"/>
      <c r="J20" s="717">
        <f>IF(AND(E20+1&lt;=$K$52,E20&lt;&gt;0),E20+1,0)</f>
        <v>26</v>
      </c>
      <c r="K20" s="766"/>
      <c r="L20" s="143"/>
      <c r="M20" s="706" t="e">
        <f>IF(P21&lt;&gt;0,VLOOKUP(P21,fêtes,2),0)</f>
        <v>#N/A</v>
      </c>
      <c r="N20" s="767"/>
      <c r="O20" s="717">
        <f>IF(AND(J20+1&lt;=$K$52,J20&lt;&gt;0),J20+1,0)</f>
        <v>27</v>
      </c>
      <c r="P20" s="766"/>
      <c r="Q20" s="143"/>
      <c r="R20" s="706" t="e">
        <f>IF(U21&lt;&gt;0,VLOOKUP(U21,fêtes,2),0)</f>
        <v>#N/A</v>
      </c>
      <c r="S20" s="767"/>
      <c r="T20" s="717">
        <f>IF(AND(O20+1&lt;=$K$52,O20&lt;&gt;0),O20+1,0)</f>
        <v>28</v>
      </c>
      <c r="U20" s="766"/>
      <c r="V20" s="143"/>
      <c r="W20" s="706">
        <f>IF(Z21&lt;&gt;0,VLOOKUP(Z21,fêtes,2),0)</f>
        <v>0</v>
      </c>
      <c r="X20" s="767"/>
      <c r="Y20" s="717">
        <f>IF(AND(T20+1&lt;=$K$52,T20&lt;&gt;0),T20+1,0)</f>
        <v>0</v>
      </c>
      <c r="Z20" s="766"/>
      <c r="AA20" s="143"/>
      <c r="AB20" s="706">
        <f>IF(AE21&lt;&gt;0,VLOOKUP(AE21,fêtes,2),0)</f>
        <v>0</v>
      </c>
      <c r="AC20" s="767"/>
      <c r="AD20" s="717">
        <f>IF(AND(Y20+1&lt;=$K$52,Y20&lt;&gt;0),Y20+1,0)</f>
        <v>0</v>
      </c>
      <c r="AE20" s="766"/>
      <c r="AF20" s="143"/>
      <c r="AG20" s="706">
        <f>IF(AJ21&lt;&gt;0,VLOOKUP(AJ21,fêtes,2),0)</f>
        <v>0</v>
      </c>
      <c r="AH20" s="767"/>
      <c r="AI20" s="717">
        <f>IF(AND(AD20+1&lt;=$K$52,AD20&lt;&gt;0),AD20+1,0)</f>
        <v>0</v>
      </c>
      <c r="AJ20" s="766"/>
      <c r="AK20" s="219"/>
    </row>
    <row r="21" spans="2:37" s="164" customFormat="1" ht="15.75" customHeight="1">
      <c r="B21" s="220"/>
      <c r="C21" s="778">
        <f>IF(F21&lt;&gt;0,VLOOKUP(F21,fêtes,3),0)</f>
        <v>0</v>
      </c>
      <c r="D21" s="779"/>
      <c r="E21" s="779"/>
      <c r="F21" s="178">
        <f>IF(E20&lt;&gt;0,AJ17+1,0)</f>
        <v>56</v>
      </c>
      <c r="G21" s="258"/>
      <c r="H21" s="778">
        <f>IF(K21&lt;&gt;0,VLOOKUP(K21,fêtes,3),0)</f>
        <v>0</v>
      </c>
      <c r="I21" s="779"/>
      <c r="J21" s="779"/>
      <c r="K21" s="178">
        <f>IF(J20&lt;&gt;0,F21+1,0)</f>
        <v>57</v>
      </c>
      <c r="L21" s="258"/>
      <c r="M21" s="778">
        <f>IF(P21&lt;&gt;0,VLOOKUP(P21,fêtes,3),0)</f>
        <v>0</v>
      </c>
      <c r="N21" s="779"/>
      <c r="O21" s="779"/>
      <c r="P21" s="178">
        <f>IF(O20&lt;&gt;0,K21+1,0)</f>
        <v>58</v>
      </c>
      <c r="Q21" s="258"/>
      <c r="R21" s="778">
        <f>IF(U21&lt;&gt;0,VLOOKUP(U21,fêtes,3),0)</f>
        <v>0</v>
      </c>
      <c r="S21" s="779"/>
      <c r="T21" s="779"/>
      <c r="U21" s="178">
        <f>IF(T20&lt;&gt;0,P21+1,0)</f>
        <v>59</v>
      </c>
      <c r="V21" s="258"/>
      <c r="W21" s="778">
        <f>IF(Z21&lt;&gt;0,VLOOKUP(Z21,fêtes,3),0)</f>
        <v>0</v>
      </c>
      <c r="X21" s="779"/>
      <c r="Y21" s="779"/>
      <c r="Z21" s="178">
        <f>IF(Y20&lt;&gt;0,U21+1,0)</f>
        <v>0</v>
      </c>
      <c r="AA21" s="258"/>
      <c r="AB21" s="778">
        <f>IF(AE21&lt;&gt;0,VLOOKUP(AE21,fêtes,3),0)</f>
        <v>0</v>
      </c>
      <c r="AC21" s="779"/>
      <c r="AD21" s="779"/>
      <c r="AE21" s="178">
        <f>IF(AD20&lt;&gt;0,Z21+1,0)</f>
        <v>0</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1</v>
      </c>
      <c r="E30" s="160">
        <f>IF(P51=3,1,IF(D30&lt;&gt;0,D30+1,0))</f>
        <v>2</v>
      </c>
      <c r="F30" s="160">
        <f>IF(P51=4,1,IF(E30&lt;&gt;0,E30+1,0))</f>
        <v>3</v>
      </c>
      <c r="G30" s="735">
        <f>IF(P51=5,1,IF(F30&lt;&gt;0,F30+1,0))</f>
        <v>4</v>
      </c>
      <c r="H30" s="736"/>
      <c r="I30" s="160">
        <f>IF(P51=6,1,IF(G30&lt;&gt;0,G30+1,0))</f>
        <v>5</v>
      </c>
      <c r="J30" s="160">
        <f>IF(P51=0,1,IF(I30&lt;&gt;0,I30+1,0))</f>
        <v>6</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0</v>
      </c>
      <c r="AH30" s="160">
        <f>IF($U$51=5,1,IF(AG30&lt;&gt;0,AG30+1,0))</f>
        <v>1</v>
      </c>
      <c r="AI30" s="160">
        <f>IF($U$51=6,1,IF(AH30&lt;&gt;0,AH30+1,0))</f>
        <v>2</v>
      </c>
      <c r="AJ30" s="160">
        <f>IF($U$51=0,1,IF(AI30&lt;&gt;0,AI30+1,0))</f>
        <v>3</v>
      </c>
      <c r="AK30" s="240"/>
    </row>
    <row r="31" spans="2:37" ht="14.1" customHeight="1">
      <c r="B31" s="235"/>
      <c r="C31" s="160">
        <f>J30+1</f>
        <v>7</v>
      </c>
      <c r="D31" s="160">
        <f>C31+1</f>
        <v>8</v>
      </c>
      <c r="E31" s="160">
        <f t="shared" ref="E31:G33" si="0">D31+1</f>
        <v>9</v>
      </c>
      <c r="F31" s="160">
        <f t="shared" si="0"/>
        <v>10</v>
      </c>
      <c r="G31" s="735">
        <f t="shared" si="0"/>
        <v>11</v>
      </c>
      <c r="H31" s="736"/>
      <c r="I31" s="160">
        <f>G31+1</f>
        <v>12</v>
      </c>
      <c r="J31" s="160">
        <f>I31+1</f>
        <v>13</v>
      </c>
      <c r="K31" s="143"/>
      <c r="L31" s="241"/>
      <c r="M31" s="236">
        <f>VLOOKUP(C52,Données,10)</f>
        <v>0</v>
      </c>
      <c r="N31" s="232"/>
      <c r="O31" s="232"/>
      <c r="P31" s="233"/>
      <c r="Q31" s="233"/>
      <c r="R31" s="231"/>
      <c r="S31" s="232"/>
      <c r="T31" s="232"/>
      <c r="U31" s="233"/>
      <c r="V31" s="233"/>
      <c r="W31" s="231"/>
      <c r="X31" s="232"/>
      <c r="Y31" s="232"/>
      <c r="Z31" s="233"/>
      <c r="AA31" s="233"/>
      <c r="AB31" s="231"/>
      <c r="AC31" s="160">
        <f>AJ30+1</f>
        <v>4</v>
      </c>
      <c r="AD31" s="160">
        <f t="shared" ref="AD31:AE33" si="1">AC31+1</f>
        <v>5</v>
      </c>
      <c r="AE31" s="165">
        <f t="shared" si="1"/>
        <v>6</v>
      </c>
      <c r="AF31" s="215"/>
      <c r="AG31" s="160">
        <f>AE31+1</f>
        <v>7</v>
      </c>
      <c r="AH31" s="160">
        <f t="shared" ref="AH31:AJ33" si="2">AG31+1</f>
        <v>8</v>
      </c>
      <c r="AI31" s="160">
        <f t="shared" si="2"/>
        <v>9</v>
      </c>
      <c r="AJ31" s="160">
        <f t="shared" si="2"/>
        <v>10</v>
      </c>
      <c r="AK31" s="240"/>
    </row>
    <row r="32" spans="2:37" ht="14.1" customHeight="1">
      <c r="B32" s="235"/>
      <c r="C32" s="160">
        <f>J31+1</f>
        <v>14</v>
      </c>
      <c r="D32" s="160">
        <f>C32+1</f>
        <v>15</v>
      </c>
      <c r="E32" s="160">
        <f t="shared" si="0"/>
        <v>16</v>
      </c>
      <c r="F32" s="160">
        <f t="shared" si="0"/>
        <v>17</v>
      </c>
      <c r="G32" s="735">
        <f t="shared" si="0"/>
        <v>18</v>
      </c>
      <c r="H32" s="736"/>
      <c r="I32" s="160">
        <f>G32+1</f>
        <v>19</v>
      </c>
      <c r="J32" s="160">
        <f>I32+1</f>
        <v>20</v>
      </c>
      <c r="K32" s="143"/>
      <c r="L32" s="238"/>
      <c r="M32" s="233"/>
      <c r="N32" s="237"/>
      <c r="O32" s="237"/>
      <c r="P32" s="238"/>
      <c r="Q32" s="238"/>
      <c r="R32" s="239"/>
      <c r="S32" s="237"/>
      <c r="T32" s="237"/>
      <c r="U32" s="238"/>
      <c r="V32" s="238"/>
      <c r="W32" s="239"/>
      <c r="X32" s="237"/>
      <c r="Y32" s="237"/>
      <c r="Z32" s="238"/>
      <c r="AA32" s="238"/>
      <c r="AB32" s="231"/>
      <c r="AC32" s="160">
        <f>AJ31+1</f>
        <v>11</v>
      </c>
      <c r="AD32" s="160">
        <f t="shared" si="1"/>
        <v>12</v>
      </c>
      <c r="AE32" s="165">
        <f t="shared" si="1"/>
        <v>13</v>
      </c>
      <c r="AF32" s="215"/>
      <c r="AG32" s="160">
        <f>AE32+1</f>
        <v>14</v>
      </c>
      <c r="AH32" s="160">
        <f t="shared" si="2"/>
        <v>15</v>
      </c>
      <c r="AI32" s="160">
        <f t="shared" si="2"/>
        <v>16</v>
      </c>
      <c r="AJ32" s="160">
        <f t="shared" si="2"/>
        <v>17</v>
      </c>
      <c r="AK32" s="240"/>
    </row>
    <row r="33" spans="2:37" ht="14.1" customHeight="1">
      <c r="B33" s="235"/>
      <c r="C33" s="160">
        <f>J32+1</f>
        <v>21</v>
      </c>
      <c r="D33" s="160">
        <f>C33+1</f>
        <v>22</v>
      </c>
      <c r="E33" s="160">
        <f t="shared" si="0"/>
        <v>23</v>
      </c>
      <c r="F33" s="160">
        <f t="shared" si="0"/>
        <v>24</v>
      </c>
      <c r="G33" s="735">
        <f t="shared" si="0"/>
        <v>25</v>
      </c>
      <c r="H33" s="736"/>
      <c r="I33" s="160">
        <f>G33+1</f>
        <v>26</v>
      </c>
      <c r="J33" s="160">
        <f>I33+1</f>
        <v>27</v>
      </c>
      <c r="K33" s="233"/>
      <c r="L33" s="233"/>
      <c r="M33" s="239"/>
      <c r="N33" s="232"/>
      <c r="O33" s="232"/>
      <c r="P33" s="233"/>
      <c r="Q33" s="233"/>
      <c r="R33" s="231"/>
      <c r="S33" s="232"/>
      <c r="T33" s="232"/>
      <c r="U33" s="233"/>
      <c r="V33" s="233"/>
      <c r="W33" s="231"/>
      <c r="X33" s="232"/>
      <c r="Y33" s="232"/>
      <c r="Z33" s="233"/>
      <c r="AA33" s="233"/>
      <c r="AB33" s="231"/>
      <c r="AC33" s="160">
        <f>AJ32+1</f>
        <v>18</v>
      </c>
      <c r="AD33" s="160">
        <f t="shared" si="1"/>
        <v>19</v>
      </c>
      <c r="AE33" s="165">
        <f t="shared" si="1"/>
        <v>20</v>
      </c>
      <c r="AF33" s="215"/>
      <c r="AG33" s="160">
        <f>AE33+1</f>
        <v>21</v>
      </c>
      <c r="AH33" s="160">
        <f t="shared" si="2"/>
        <v>22</v>
      </c>
      <c r="AI33" s="160">
        <f t="shared" si="2"/>
        <v>23</v>
      </c>
      <c r="AJ33" s="160">
        <f t="shared" si="2"/>
        <v>24</v>
      </c>
      <c r="AK33" s="240"/>
    </row>
    <row r="34" spans="2:37" ht="14.1" customHeight="1">
      <c r="B34" s="235"/>
      <c r="C34" s="160">
        <f>IF(AND(J33+1&lt;=$P$52,J33&lt;&gt;0),J33+1,0)</f>
        <v>28</v>
      </c>
      <c r="D34" s="160">
        <f t="shared" ref="D34:G35" si="3">IF(AND(C34+1&lt;=$P$52,C34&lt;&gt;0),C34+1,0)</f>
        <v>29</v>
      </c>
      <c r="E34" s="160">
        <f t="shared" si="3"/>
        <v>30</v>
      </c>
      <c r="F34" s="160">
        <f t="shared" si="3"/>
        <v>31</v>
      </c>
      <c r="G34" s="735">
        <f t="shared" si="3"/>
        <v>0</v>
      </c>
      <c r="H34" s="736"/>
      <c r="I34" s="165">
        <f>IF(AND(G34+1&lt;=$P$52,G34&lt;&gt;0),G34+1,0)</f>
        <v>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25</v>
      </c>
      <c r="AD34" s="160">
        <f>IF(AND(AC34+1&lt;=U52,AC34&lt;&gt;0),AC34+1,0)</f>
        <v>26</v>
      </c>
      <c r="AE34" s="165">
        <f>IF(AND(AD34+1&lt;=U52,AD34&lt;&gt;0),AD34+1,0)</f>
        <v>27</v>
      </c>
      <c r="AF34" s="215"/>
      <c r="AG34" s="160">
        <f>IF(AND(AE34+1&lt;=U52,AE34&lt;&gt;0),AE34+1,0)</f>
        <v>28</v>
      </c>
      <c r="AH34" s="160">
        <f>IF(AND(AG34+1&lt;=U52,AG34&lt;&gt;0),AG34+1,0)</f>
        <v>29</v>
      </c>
      <c r="AI34" s="160">
        <f>IF(AND(AH34+1&lt;=U52,AH34&lt;&gt;0),AH34+1,0)</f>
        <v>30</v>
      </c>
      <c r="AJ34" s="160">
        <f>IF(AND(AI34+1&lt;=U52,AI34&lt;&gt;0),AI34+1,0)</f>
        <v>31</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43132</v>
      </c>
      <c r="L50" s="737"/>
      <c r="M50" s="737"/>
      <c r="N50" s="738"/>
      <c r="O50" s="147"/>
      <c r="P50" s="724">
        <f>DATE(C51,C52-1,1)</f>
        <v>43101</v>
      </c>
      <c r="Q50" s="725"/>
      <c r="R50" s="725"/>
      <c r="S50" s="726"/>
      <c r="T50" s="147"/>
      <c r="U50" s="724">
        <f>DATE(C51,C52+1,1)</f>
        <v>43160</v>
      </c>
      <c r="V50" s="759"/>
      <c r="W50" s="760"/>
    </row>
    <row r="51" spans="1:26" ht="15.75">
      <c r="A51" s="1" t="s">
        <v>153</v>
      </c>
      <c r="C51" s="762">
        <f>dates!H1</f>
        <v>2018</v>
      </c>
      <c r="D51" s="762"/>
      <c r="E51" s="138">
        <f>IF(C52=5,"Voir notes",0)</f>
        <v>0</v>
      </c>
      <c r="F51"/>
      <c r="G51" s="751">
        <f>DATE(C51+1,1,1)</f>
        <v>43466</v>
      </c>
      <c r="H51" s="752"/>
      <c r="I51" s="753"/>
      <c r="J51" s="147"/>
      <c r="K51" s="727">
        <f>MOD(K50,7)</f>
        <v>5</v>
      </c>
      <c r="L51" s="752"/>
      <c r="M51" s="752"/>
      <c r="N51" s="753"/>
      <c r="O51" s="147"/>
      <c r="P51" s="727">
        <f>MOD(P50,7)</f>
        <v>2</v>
      </c>
      <c r="Q51" s="728"/>
      <c r="R51" s="728"/>
      <c r="S51" s="729"/>
      <c r="T51" s="147"/>
      <c r="U51" s="727">
        <f>MOD(U50,7)</f>
        <v>5</v>
      </c>
      <c r="V51" s="733"/>
      <c r="W51" s="734"/>
    </row>
    <row r="52" spans="1:26" ht="15.75">
      <c r="A52" s="1" t="s">
        <v>152</v>
      </c>
      <c r="C52" s="168">
        <v>2</v>
      </c>
      <c r="D52" s="169"/>
      <c r="E52" s="139" t="s">
        <v>0</v>
      </c>
      <c r="F52"/>
      <c r="G52" s="754">
        <f>G51-G50</f>
        <v>365</v>
      </c>
      <c r="H52" s="755"/>
      <c r="I52" s="756"/>
      <c r="J52" s="147"/>
      <c r="K52" s="754">
        <f>VLOOKUP(C52,Données,3)</f>
        <v>28</v>
      </c>
      <c r="L52" s="782"/>
      <c r="M52" s="782"/>
      <c r="N52" s="783"/>
      <c r="O52" s="147"/>
      <c r="P52" s="754">
        <f>VLOOKUP(C52-1,Données,3)</f>
        <v>31</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AG14:AI14"/>
    <mergeCell ref="AG10:AI10"/>
    <mergeCell ref="AG6:AI6"/>
    <mergeCell ref="C53:H55"/>
    <mergeCell ref="C6:E6"/>
    <mergeCell ref="C10:E10"/>
    <mergeCell ref="C14:E14"/>
    <mergeCell ref="C18:E18"/>
    <mergeCell ref="C22:E22"/>
    <mergeCell ref="C26:E26"/>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H26:J26"/>
    <mergeCell ref="C28:H28"/>
    <mergeCell ref="I28:J28"/>
    <mergeCell ref="AC28:AH28"/>
    <mergeCell ref="AI28:AJ28"/>
    <mergeCell ref="C24:D24"/>
    <mergeCell ref="E24:F24"/>
    <mergeCell ref="H24:I24"/>
    <mergeCell ref="J24:K24"/>
    <mergeCell ref="N24:AI24"/>
    <mergeCell ref="AG22:AI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AG17:AI17"/>
    <mergeCell ref="H18:J18"/>
    <mergeCell ref="M18:O18"/>
    <mergeCell ref="R18:T18"/>
    <mergeCell ref="W18:Y18"/>
    <mergeCell ref="AB18:AD18"/>
    <mergeCell ref="AG18:AI18"/>
    <mergeCell ref="AB16:AC16"/>
    <mergeCell ref="AD16:AE16"/>
    <mergeCell ref="AG16:AH16"/>
    <mergeCell ref="AI16:AJ16"/>
    <mergeCell ref="C17:E17"/>
    <mergeCell ref="H17:J17"/>
    <mergeCell ref="M17:O17"/>
    <mergeCell ref="R17:T17"/>
    <mergeCell ref="W17:Y17"/>
    <mergeCell ref="AB17:AD17"/>
    <mergeCell ref="C16:D16"/>
    <mergeCell ref="E16:F16"/>
    <mergeCell ref="H16:I16"/>
    <mergeCell ref="J16:K16"/>
    <mergeCell ref="M16:N16"/>
    <mergeCell ref="O16:P16"/>
    <mergeCell ref="R16:S16"/>
    <mergeCell ref="T16:U16"/>
    <mergeCell ref="W16:X16"/>
    <mergeCell ref="H14:J14"/>
    <mergeCell ref="M14:O14"/>
    <mergeCell ref="R14:T14"/>
    <mergeCell ref="W14:Y14"/>
    <mergeCell ref="Y16:Z16"/>
    <mergeCell ref="AB14:AD14"/>
    <mergeCell ref="AG12:AH12"/>
    <mergeCell ref="AI12:AJ12"/>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AG9:AI9"/>
    <mergeCell ref="H10:J10"/>
    <mergeCell ref="M10:O10"/>
    <mergeCell ref="R10:T10"/>
    <mergeCell ref="W10:Y10"/>
    <mergeCell ref="AB10:AD10"/>
    <mergeCell ref="AB8:AC8"/>
    <mergeCell ref="AD8:AE8"/>
    <mergeCell ref="AG8:AH8"/>
    <mergeCell ref="AI8:AJ8"/>
    <mergeCell ref="C9:E9"/>
    <mergeCell ref="H9:J9"/>
    <mergeCell ref="M9:O9"/>
    <mergeCell ref="R9:T9"/>
    <mergeCell ref="W9:Y9"/>
    <mergeCell ref="AB9:AD9"/>
    <mergeCell ref="C8:D8"/>
    <mergeCell ref="E8:F8"/>
    <mergeCell ref="H8:I8"/>
    <mergeCell ref="J8:K8"/>
    <mergeCell ref="M8:N8"/>
    <mergeCell ref="O8:P8"/>
    <mergeCell ref="R8:S8"/>
    <mergeCell ref="T8:U8"/>
    <mergeCell ref="W8:X8"/>
    <mergeCell ref="H6:J6"/>
    <mergeCell ref="M6:O6"/>
    <mergeCell ref="R6:T6"/>
    <mergeCell ref="W6:Y6"/>
    <mergeCell ref="Y8:Z8"/>
    <mergeCell ref="AB6:AD6"/>
    <mergeCell ref="AG4:AH4"/>
    <mergeCell ref="AI4:AJ4"/>
    <mergeCell ref="C5:E5"/>
    <mergeCell ref="H5:J5"/>
    <mergeCell ref="M5:O5"/>
    <mergeCell ref="R5:T5"/>
    <mergeCell ref="W5:Y5"/>
    <mergeCell ref="AB5:AD5"/>
    <mergeCell ref="AG5:AI5"/>
    <mergeCell ref="R4:S4"/>
    <mergeCell ref="T4:U4"/>
    <mergeCell ref="W4:X4"/>
    <mergeCell ref="Y4:Z4"/>
    <mergeCell ref="AB4:AC4"/>
    <mergeCell ref="AD4:AE4"/>
    <mergeCell ref="C4:D4"/>
    <mergeCell ref="E4:F4"/>
    <mergeCell ref="H4:I4"/>
    <mergeCell ref="J4:K4"/>
    <mergeCell ref="M4:N4"/>
    <mergeCell ref="O4:P4"/>
    <mergeCell ref="AM1:AP1"/>
    <mergeCell ref="C2:E2"/>
    <mergeCell ref="C3:F3"/>
    <mergeCell ref="H3:K3"/>
    <mergeCell ref="M3:P3"/>
    <mergeCell ref="R3:U3"/>
    <mergeCell ref="W3:Z3"/>
    <mergeCell ref="AB3:AE3"/>
    <mergeCell ref="AG3:AJ3"/>
    <mergeCell ref="C1:J1"/>
  </mergeCells>
  <conditionalFormatting sqref="C4:AJ5 C7:AJ9 C6 C11:AJ13 C10 C15:AJ17 C14 C19:AJ21 C18 C23:AJ25 C22 C26 F6:AG6 AJ6 AJ10 F10:AG10 F14:AG14 AJ14 AJ18 F18:AG18 F22:AG22 AJ22 F26:AJ26">
    <cfRule type="containsText" dxfId="79" priority="5" stopIfTrue="1" operator="containsText" text="CEPARI">
      <formula>NOT(ISERROR(SEARCH("CEPARI",C4)))</formula>
    </cfRule>
    <cfRule type="containsText" dxfId="78" priority="6" stopIfTrue="1" operator="containsText" text="Formation SP">
      <formula>NOT(ISERROR(SEARCH("Formation SP",C4)))</formula>
    </cfRule>
    <cfRule type="containsText" dxfId="77" priority="7" stopIfTrue="1" operator="containsText" text="Garde">
      <formula>NOT(ISERROR(SEARCH("Garde",C4)))</formula>
    </cfRule>
    <cfRule type="containsText" dxfId="76" priority="8" stopIfTrue="1" operator="containsText" text="Formation">
      <formula>NOT(ISERROR(SEARCH("Formation",C4)))</formula>
    </cfRule>
    <cfRule type="containsText" dxfId="75" priority="9" stopIfTrue="1" operator="containsText" text="Nuit">
      <formula>NOT(ISERROR(SEARCH("Nuit",C4)))</formula>
    </cfRule>
    <cfRule type="containsText" dxfId="74" priority="10" stopIfTrue="1" operator="containsText" text="Jour">
      <formula>NOT(ISERROR(SEARCH("Jour",C4)))</formula>
    </cfRule>
  </conditionalFormatting>
  <conditionalFormatting sqref="C4:AJ26">
    <cfRule type="containsText" dxfId="73" priority="1" stopIfTrue="1" operator="containsText" text="vacances">
      <formula>NOT(ISERROR(SEARCH("vacances",C4)))</formula>
    </cfRule>
  </conditionalFormatting>
  <hyperlinks>
    <hyperlink ref="C1:J1" location="dates!H33" display="dates!H33"/>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74754" r:id="rId4" name="MENU">
          <controlPr defaultSize="0" print="0" autoLine="0" r:id="rId5">
            <anchor moveWithCells="1">
              <from>
                <xdr:col>15</xdr:col>
                <xdr:colOff>38100</xdr:colOff>
                <xdr:row>26</xdr:row>
                <xdr:rowOff>76200</xdr:rowOff>
              </from>
              <to>
                <xdr:col>20</xdr:col>
                <xdr:colOff>304800</xdr:colOff>
                <xdr:row>28</xdr:row>
                <xdr:rowOff>114300</xdr:rowOff>
              </to>
            </anchor>
          </controlPr>
        </control>
      </mc:Choice>
      <mc:Fallback>
        <control shapeId="74754" r:id="rId4" name="MENU"/>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P74"/>
  <sheetViews>
    <sheetView showGridLines="0" workbookViewId="0">
      <pane ySplit="3" topLeftCell="A4" activePane="bottomLeft" state="frozen"/>
      <selection pane="bottomLeft" activeCell="AQ16" sqref="AQ16"/>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MARS</v>
      </c>
      <c r="D1" s="718"/>
      <c r="E1" s="718"/>
      <c r="F1" s="718"/>
      <c r="G1" s="718"/>
      <c r="H1" s="718"/>
      <c r="I1" s="718"/>
      <c r="J1" s="718"/>
      <c r="K1" s="189"/>
      <c r="L1" s="189"/>
      <c r="M1" s="190"/>
      <c r="N1" s="191" t="s">
        <v>187</v>
      </c>
      <c r="O1" s="188"/>
      <c r="P1" s="192"/>
      <c r="Q1" s="192"/>
      <c r="R1" s="190"/>
      <c r="S1" s="193"/>
      <c r="T1" s="194" t="str">
        <f>VLOOKUP(C52,Données,5)</f>
        <v>jaspe sanguine + algue marine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jonquille</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f>IF(P5&lt;&gt;0,VLOOKUP(P5,fêtes,2),0)</f>
        <v>0</v>
      </c>
      <c r="N4" s="767"/>
      <c r="O4" s="717">
        <f>IF($K$51=3,1,IF(J4&lt;&gt;0,J4+1,0))</f>
        <v>0</v>
      </c>
      <c r="P4" s="766"/>
      <c r="Q4" s="143"/>
      <c r="R4" s="706">
        <f>IF(U5&lt;&gt;0,VLOOKUP(U5,fêtes,2),0)</f>
        <v>0</v>
      </c>
      <c r="S4" s="767"/>
      <c r="T4" s="717">
        <f>IF($K$51=4,1,IF(O4&lt;&gt;0,O4+1,0))</f>
        <v>0</v>
      </c>
      <c r="U4" s="766"/>
      <c r="V4" s="143"/>
      <c r="W4" s="706" t="e">
        <f>IF(Z5&lt;&gt;0,VLOOKUP(Z5,fêtes,2),0)</f>
        <v>#N/A</v>
      </c>
      <c r="X4" s="767"/>
      <c r="Y4" s="717">
        <f>IF($K$51=5,1,IF(T4&lt;&gt;0,T4+1,0))</f>
        <v>1</v>
      </c>
      <c r="Z4" s="766"/>
      <c r="AA4" s="143"/>
      <c r="AB4" s="706" t="e">
        <f>IF(AE5&lt;&gt;0,VLOOKUP(AE5,fêtes,2),0)</f>
        <v>#N/A</v>
      </c>
      <c r="AC4" s="767"/>
      <c r="AD4" s="717">
        <f>IF($K$51=6,1,IF(Y4&lt;&gt;0,Y4+1,0))</f>
        <v>2</v>
      </c>
      <c r="AE4" s="766"/>
      <c r="AF4" s="143"/>
      <c r="AG4" s="706" t="e">
        <f>IF(AJ5&lt;&gt;0,VLOOKUP(AJ5,fêtes,2),0)</f>
        <v>#N/A</v>
      </c>
      <c r="AH4" s="767"/>
      <c r="AI4" s="717">
        <f>IF($K$51=0,1,IF(AD4&lt;&gt;0,AD4+1,0))</f>
        <v>3</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0</v>
      </c>
      <c r="V5" s="258"/>
      <c r="W5" s="778">
        <f>IF(Z5&lt;&gt;0,VLOOKUP(Z5,fêtes,3),0)</f>
        <v>0</v>
      </c>
      <c r="X5" s="779"/>
      <c r="Y5" s="779"/>
      <c r="Z5" s="178">
        <f>IF(Y4&lt;&gt;0,VLOOKUP($C$52,Données,4)+T4,0)</f>
        <v>60</v>
      </c>
      <c r="AA5" s="258"/>
      <c r="AB5" s="778">
        <f>IF(AE5&lt;&gt;0,VLOOKUP(AE5,fêtes,3),0)</f>
        <v>0</v>
      </c>
      <c r="AC5" s="779"/>
      <c r="AD5" s="779"/>
      <c r="AE5" s="178">
        <f>IF(AD4&lt;&gt;0,VLOOKUP($C$52,Données,4)+Y4,0)</f>
        <v>61</v>
      </c>
      <c r="AF5" s="258"/>
      <c r="AG5" s="778">
        <f>IF(AJ5&lt;&gt;0,VLOOKUP(AJ5,fêtes,3),0)</f>
        <v>0</v>
      </c>
      <c r="AH5" s="779"/>
      <c r="AI5" s="779"/>
      <c r="AJ5" s="178">
        <f>IF(AI4&lt;&gt;0,VLOOKUP($C$52,Données,4)+AD4,0)</f>
        <v>62</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e">
        <f>IF(F9&lt;&gt;0,VLOOKUP(F9,fêtes,2),0)</f>
        <v>#N/A</v>
      </c>
      <c r="D8" s="767"/>
      <c r="E8" s="717">
        <f>AI4+1</f>
        <v>4</v>
      </c>
      <c r="F8" s="766"/>
      <c r="G8" s="143"/>
      <c r="H8" s="706" t="e">
        <f>IF(K9&lt;&gt;0,VLOOKUP(K9,fêtes,2),0)</f>
        <v>#N/A</v>
      </c>
      <c r="I8" s="767"/>
      <c r="J8" s="717">
        <f>E8+1</f>
        <v>5</v>
      </c>
      <c r="K8" s="766"/>
      <c r="L8" s="143"/>
      <c r="M8" s="706" t="e">
        <f>IF(P9&lt;&gt;0,VLOOKUP(P9,fêtes,2),0)</f>
        <v>#N/A</v>
      </c>
      <c r="N8" s="767"/>
      <c r="O8" s="717">
        <f>J8+1</f>
        <v>6</v>
      </c>
      <c r="P8" s="766"/>
      <c r="Q8" s="143"/>
      <c r="R8" s="706" t="e">
        <f>IF(U9&lt;&gt;0,VLOOKUP(U9,fêtes,2),0)</f>
        <v>#N/A</v>
      </c>
      <c r="S8" s="767"/>
      <c r="T8" s="717">
        <f>O8+1</f>
        <v>7</v>
      </c>
      <c r="U8" s="766"/>
      <c r="V8" s="143"/>
      <c r="W8" s="706" t="e">
        <f>IF(Z9&lt;&gt;0,VLOOKUP(Z9,fêtes,2),0)</f>
        <v>#N/A</v>
      </c>
      <c r="X8" s="767"/>
      <c r="Y8" s="717">
        <f>T8+1</f>
        <v>8</v>
      </c>
      <c r="Z8" s="766"/>
      <c r="AA8" s="143"/>
      <c r="AB8" s="706" t="e">
        <f>IF(AE9&lt;&gt;0,VLOOKUP(AE9,fêtes,2),0)</f>
        <v>#N/A</v>
      </c>
      <c r="AC8" s="767"/>
      <c r="AD8" s="717">
        <f>Y8+1</f>
        <v>9</v>
      </c>
      <c r="AE8" s="766"/>
      <c r="AF8" s="143"/>
      <c r="AG8" s="706" t="e">
        <f>IF(AJ9&lt;&gt;0,VLOOKUP(AJ9,fêtes,2),0)</f>
        <v>#N/A</v>
      </c>
      <c r="AH8" s="767"/>
      <c r="AI8" s="717">
        <f>AD8+1</f>
        <v>10</v>
      </c>
      <c r="AJ8" s="766"/>
      <c r="AK8" s="219"/>
    </row>
    <row r="9" spans="2:42" s="164" customFormat="1" ht="15.75" customHeight="1">
      <c r="B9" s="220"/>
      <c r="C9" s="778">
        <f>IF(F9&lt;&gt;0,VLOOKUP(F9,fêtes,3),0)</f>
        <v>0</v>
      </c>
      <c r="D9" s="779"/>
      <c r="E9" s="779"/>
      <c r="F9" s="178">
        <f>AJ5+1</f>
        <v>63</v>
      </c>
      <c r="G9" s="258"/>
      <c r="H9" s="778">
        <f>IF(K9&lt;&gt;0,VLOOKUP(K9,fêtes,3),0)</f>
        <v>0</v>
      </c>
      <c r="I9" s="779"/>
      <c r="J9" s="779"/>
      <c r="K9" s="178">
        <f>F9+1</f>
        <v>64</v>
      </c>
      <c r="L9" s="258"/>
      <c r="M9" s="778">
        <f>IF(P9&lt;&gt;0,VLOOKUP(P9,fêtes,3),0)</f>
        <v>0</v>
      </c>
      <c r="N9" s="779"/>
      <c r="O9" s="779"/>
      <c r="P9" s="178">
        <f>K9+1</f>
        <v>65</v>
      </c>
      <c r="Q9" s="258"/>
      <c r="R9" s="778">
        <f>IF(U9&lt;&gt;0,VLOOKUP(U9,fêtes,3),0)</f>
        <v>0</v>
      </c>
      <c r="S9" s="779"/>
      <c r="T9" s="779"/>
      <c r="U9" s="178">
        <f>P9+1</f>
        <v>66</v>
      </c>
      <c r="V9" s="258"/>
      <c r="W9" s="778">
        <f>IF(Z9&lt;&gt;0,VLOOKUP(Z9,fêtes,3),0)</f>
        <v>0</v>
      </c>
      <c r="X9" s="779"/>
      <c r="Y9" s="779"/>
      <c r="Z9" s="179">
        <f>U9+1</f>
        <v>67</v>
      </c>
      <c r="AA9" s="259"/>
      <c r="AB9" s="778">
        <f>IF(AE9&lt;&gt;0,VLOOKUP(AE9,fêtes,3),0)</f>
        <v>0</v>
      </c>
      <c r="AC9" s="779"/>
      <c r="AD9" s="779"/>
      <c r="AE9" s="178">
        <f>Z9+1</f>
        <v>68</v>
      </c>
      <c r="AF9" s="258"/>
      <c r="AG9" s="778">
        <f>IF(AJ9&lt;&gt;0,VLOOKUP(AJ9,fêtes,3),0)</f>
        <v>0</v>
      </c>
      <c r="AH9" s="779"/>
      <c r="AI9" s="779"/>
      <c r="AJ9" s="178">
        <f>AE9+1</f>
        <v>69</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e">
        <f>IF(F13&lt;&gt;0,VLOOKUP(F13,fêtes,2),0)</f>
        <v>#N/A</v>
      </c>
      <c r="D12" s="767"/>
      <c r="E12" s="717">
        <f>AI8+1</f>
        <v>11</v>
      </c>
      <c r="F12" s="766"/>
      <c r="G12" s="143"/>
      <c r="H12" s="706" t="e">
        <f>IF(K13&lt;&gt;0,VLOOKUP(K13,fêtes,2),0)</f>
        <v>#N/A</v>
      </c>
      <c r="I12" s="767"/>
      <c r="J12" s="717">
        <f>E12+1</f>
        <v>12</v>
      </c>
      <c r="K12" s="766"/>
      <c r="L12" s="143"/>
      <c r="M12" s="706" t="e">
        <f>IF(P13&lt;&gt;0,VLOOKUP(P13,fêtes,2),0)</f>
        <v>#N/A</v>
      </c>
      <c r="N12" s="767"/>
      <c r="O12" s="717">
        <f>J12+1</f>
        <v>13</v>
      </c>
      <c r="P12" s="766"/>
      <c r="Q12" s="143"/>
      <c r="R12" s="706" t="e">
        <f>IF(U13&lt;&gt;0,VLOOKUP(U13,fêtes,2),0)</f>
        <v>#N/A</v>
      </c>
      <c r="S12" s="767"/>
      <c r="T12" s="717">
        <f>O12+1</f>
        <v>14</v>
      </c>
      <c r="U12" s="766"/>
      <c r="V12" s="143"/>
      <c r="W12" s="706" t="str">
        <f>IF(Z13&lt;&gt;0,VLOOKUP(Z13,fêtes,2),0)</f>
        <v>Mamie Annie</v>
      </c>
      <c r="X12" s="767"/>
      <c r="Y12" s="717">
        <f>T12+1</f>
        <v>15</v>
      </c>
      <c r="Z12" s="766"/>
      <c r="AA12" s="143"/>
      <c r="AB12" s="706" t="e">
        <f>IF(AE13&lt;&gt;0,VLOOKUP(AE13,fêtes,2),0)</f>
        <v>#N/A</v>
      </c>
      <c r="AC12" s="767"/>
      <c r="AD12" s="717">
        <f>Y12+1</f>
        <v>16</v>
      </c>
      <c r="AE12" s="766"/>
      <c r="AF12" s="143"/>
      <c r="AG12" s="706" t="e">
        <f>IF(AJ13&lt;&gt;0,VLOOKUP(AJ13,fêtes,2),0)</f>
        <v>#N/A</v>
      </c>
      <c r="AH12" s="767"/>
      <c r="AI12" s="717">
        <f>AD12+1</f>
        <v>17</v>
      </c>
      <c r="AJ12" s="766"/>
      <c r="AK12" s="219"/>
    </row>
    <row r="13" spans="2:42" s="164" customFormat="1" ht="15.75" customHeight="1">
      <c r="B13" s="220"/>
      <c r="C13" s="778">
        <f>IF(F13&lt;&gt;0,VLOOKUP(F13,fêtes,3),0)</f>
        <v>0</v>
      </c>
      <c r="D13" s="779"/>
      <c r="E13" s="779"/>
      <c r="F13" s="178">
        <f>AJ9+1</f>
        <v>70</v>
      </c>
      <c r="G13" s="258"/>
      <c r="H13" s="778">
        <f>IF(K13&lt;&gt;0,VLOOKUP(K13,fêtes,3),0)</f>
        <v>0</v>
      </c>
      <c r="I13" s="779"/>
      <c r="J13" s="779"/>
      <c r="K13" s="178">
        <f>F13+1</f>
        <v>71</v>
      </c>
      <c r="L13" s="258"/>
      <c r="M13" s="778">
        <f>IF(P13&lt;&gt;0,VLOOKUP(P13,fêtes,3),0)</f>
        <v>0</v>
      </c>
      <c r="N13" s="779"/>
      <c r="O13" s="779"/>
      <c r="P13" s="178">
        <f>K13+1</f>
        <v>72</v>
      </c>
      <c r="Q13" s="258"/>
      <c r="R13" s="778">
        <f>IF(U13&lt;&gt;0,VLOOKUP(U13,fêtes,3),0)</f>
        <v>0</v>
      </c>
      <c r="S13" s="779"/>
      <c r="T13" s="779"/>
      <c r="U13" s="178">
        <f>P13+1</f>
        <v>73</v>
      </c>
      <c r="V13" s="258"/>
      <c r="W13" s="778">
        <f>IF(Z13&lt;&gt;0,VLOOKUP(Z13,fêtes,3),0)</f>
        <v>0</v>
      </c>
      <c r="X13" s="779"/>
      <c r="Y13" s="779"/>
      <c r="Z13" s="180">
        <f>U13+1</f>
        <v>74</v>
      </c>
      <c r="AA13" s="260"/>
      <c r="AB13" s="778">
        <f>IF(AE13&lt;&gt;0,VLOOKUP(AE13,fêtes,3),0)</f>
        <v>0</v>
      </c>
      <c r="AC13" s="779"/>
      <c r="AD13" s="779"/>
      <c r="AE13" s="178">
        <f>Z13+1</f>
        <v>75</v>
      </c>
      <c r="AF13" s="258"/>
      <c r="AG13" s="778">
        <f>IF(AJ13&lt;&gt;0,VLOOKUP(AJ13,fêtes,3),0)</f>
        <v>0</v>
      </c>
      <c r="AH13" s="779"/>
      <c r="AI13" s="779"/>
      <c r="AJ13" s="178">
        <f>AE13+1</f>
        <v>76</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e">
        <f>IF(F17&lt;&gt;0,VLOOKUP(F17,fêtes,2),0)</f>
        <v>#N/A</v>
      </c>
      <c r="D16" s="767"/>
      <c r="E16" s="717">
        <f>AI12+1</f>
        <v>18</v>
      </c>
      <c r="F16" s="766"/>
      <c r="G16" s="143"/>
      <c r="H16" s="706" t="str">
        <f>IF(K17&lt;&gt;0,VLOOKUP(K17,fêtes,2),0)</f>
        <v>Tonton Yannick</v>
      </c>
      <c r="I16" s="767"/>
      <c r="J16" s="717">
        <f>E16+1</f>
        <v>19</v>
      </c>
      <c r="K16" s="766"/>
      <c r="L16" s="143"/>
      <c r="M16" s="706" t="e">
        <f>IF(P17&lt;&gt;0,VLOOKUP(P17,fêtes,2),0)</f>
        <v>#N/A</v>
      </c>
      <c r="N16" s="767"/>
      <c r="O16" s="717">
        <f>J16+1</f>
        <v>20</v>
      </c>
      <c r="P16" s="766"/>
      <c r="Q16" s="143"/>
      <c r="R16" s="706" t="e">
        <f>IF(U17&lt;&gt;0,VLOOKUP(U17,fêtes,2),0)</f>
        <v>#N/A</v>
      </c>
      <c r="S16" s="767"/>
      <c r="T16" s="717">
        <f>O16+1</f>
        <v>21</v>
      </c>
      <c r="U16" s="766"/>
      <c r="V16" s="143"/>
      <c r="W16" s="706" t="e">
        <f>IF(Z17&lt;&gt;0,VLOOKUP(Z17,fêtes,2),0)</f>
        <v>#N/A</v>
      </c>
      <c r="X16" s="767"/>
      <c r="Y16" s="717">
        <f>T16+1</f>
        <v>22</v>
      </c>
      <c r="Z16" s="766"/>
      <c r="AA16" s="143"/>
      <c r="AB16" s="706" t="e">
        <f>IF(AE17&lt;&gt;0,VLOOKUP(AE17,fêtes,2),0)</f>
        <v>#N/A</v>
      </c>
      <c r="AC16" s="767"/>
      <c r="AD16" s="717">
        <f>Y16+1</f>
        <v>23</v>
      </c>
      <c r="AE16" s="766"/>
      <c r="AF16" s="143"/>
      <c r="AG16" s="706" t="e">
        <f>IF(AJ17&lt;&gt;0,VLOOKUP(AJ17,fêtes,2),0)</f>
        <v>#N/A</v>
      </c>
      <c r="AH16" s="767"/>
      <c r="AI16" s="717">
        <f>AD16+1</f>
        <v>24</v>
      </c>
      <c r="AJ16" s="766"/>
      <c r="AK16" s="219"/>
    </row>
    <row r="17" spans="2:37" s="164" customFormat="1" ht="15.75" customHeight="1">
      <c r="B17" s="220"/>
      <c r="C17" s="778">
        <f>IF(F17&lt;&gt;0,VLOOKUP(F17,fêtes,3),0)</f>
        <v>0</v>
      </c>
      <c r="D17" s="779"/>
      <c r="E17" s="779"/>
      <c r="F17" s="178">
        <f>AJ13+1</f>
        <v>77</v>
      </c>
      <c r="G17" s="258"/>
      <c r="H17" s="778">
        <f>IF(K17&lt;&gt;0,VLOOKUP(K17,fêtes,3),0)</f>
        <v>0</v>
      </c>
      <c r="I17" s="779"/>
      <c r="J17" s="779"/>
      <c r="K17" s="178">
        <f>F17+1</f>
        <v>78</v>
      </c>
      <c r="L17" s="258"/>
      <c r="M17" s="778">
        <f>IF(P17&lt;&gt;0,VLOOKUP(P17,fêtes,3),0)</f>
        <v>0</v>
      </c>
      <c r="N17" s="779"/>
      <c r="O17" s="779"/>
      <c r="P17" s="178">
        <f>K17+1</f>
        <v>79</v>
      </c>
      <c r="Q17" s="258"/>
      <c r="R17" s="778">
        <f>IF(U17&lt;&gt;0,VLOOKUP(U17,fêtes,3),0)</f>
        <v>0</v>
      </c>
      <c r="S17" s="779"/>
      <c r="T17" s="779"/>
      <c r="U17" s="178">
        <f>P17+1</f>
        <v>80</v>
      </c>
      <c r="V17" s="258"/>
      <c r="W17" s="778">
        <f>IF(Z17&lt;&gt;0,VLOOKUP(Z17,fêtes,3),0)</f>
        <v>0</v>
      </c>
      <c r="X17" s="779"/>
      <c r="Y17" s="779"/>
      <c r="Z17" s="180">
        <f>U17+1</f>
        <v>81</v>
      </c>
      <c r="AA17" s="260"/>
      <c r="AB17" s="778">
        <f>IF(AE17&lt;&gt;0,VLOOKUP(AE17,fêtes,3),0)</f>
        <v>0</v>
      </c>
      <c r="AC17" s="779"/>
      <c r="AD17" s="779"/>
      <c r="AE17" s="178">
        <f>Z17+1</f>
        <v>82</v>
      </c>
      <c r="AF17" s="258"/>
      <c r="AG17" s="778">
        <f>IF(AJ17&lt;&gt;0,VLOOKUP(AJ17,fêtes,3),0)</f>
        <v>0</v>
      </c>
      <c r="AH17" s="779"/>
      <c r="AI17" s="779"/>
      <c r="AJ17" s="178">
        <f>AE17+1</f>
        <v>83</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e">
        <f>IF(F21&lt;&gt;0,VLOOKUP(F21,fêtes,2),0)</f>
        <v>#N/A</v>
      </c>
      <c r="D20" s="767"/>
      <c r="E20" s="717">
        <f>IF(AND(AI16+1&lt;=$K$52,AI16&lt;&gt;0),AI16+1,0)</f>
        <v>25</v>
      </c>
      <c r="F20" s="766"/>
      <c r="G20" s="143"/>
      <c r="H20" s="706" t="e">
        <f>IF(K21&lt;&gt;0,VLOOKUP(K21,fêtes,2),0)</f>
        <v>#N/A</v>
      </c>
      <c r="I20" s="767"/>
      <c r="J20" s="717">
        <f>IF(AND(E20+1&lt;=$K$52,E20&lt;&gt;0),E20+1,0)</f>
        <v>26</v>
      </c>
      <c r="K20" s="766"/>
      <c r="L20" s="143"/>
      <c r="M20" s="706" t="e">
        <f>IF(P21&lt;&gt;0,VLOOKUP(P21,fêtes,2),0)</f>
        <v>#N/A</v>
      </c>
      <c r="N20" s="767"/>
      <c r="O20" s="717">
        <f>IF(AND(J20+1&lt;=$K$52,J20&lt;&gt;0),J20+1,0)</f>
        <v>27</v>
      </c>
      <c r="P20" s="766"/>
      <c r="Q20" s="143"/>
      <c r="R20" s="706" t="e">
        <f>IF(U21&lt;&gt;0,VLOOKUP(U21,fêtes,2),0)</f>
        <v>#N/A</v>
      </c>
      <c r="S20" s="767"/>
      <c r="T20" s="717">
        <f>IF(AND(O20+1&lt;=$K$52,O20&lt;&gt;0),O20+1,0)</f>
        <v>28</v>
      </c>
      <c r="U20" s="766"/>
      <c r="V20" s="143"/>
      <c r="W20" s="706" t="e">
        <f>IF(Z21&lt;&gt;0,VLOOKUP(Z21,fêtes,2),0)</f>
        <v>#N/A</v>
      </c>
      <c r="X20" s="767"/>
      <c r="Y20" s="717">
        <f>IF(AND(T20+1&lt;=$K$52,T20&lt;&gt;0),T20+1,0)</f>
        <v>29</v>
      </c>
      <c r="Z20" s="766"/>
      <c r="AA20" s="143"/>
      <c r="AB20" s="706" t="e">
        <f>IF(AE21&lt;&gt;0,VLOOKUP(AE21,fêtes,2),0)</f>
        <v>#N/A</v>
      </c>
      <c r="AC20" s="767"/>
      <c r="AD20" s="717">
        <f>IF(AND(Y20+1&lt;=$K$52,Y20&lt;&gt;0),Y20+1,0)</f>
        <v>30</v>
      </c>
      <c r="AE20" s="766"/>
      <c r="AF20" s="143"/>
      <c r="AG20" s="706" t="e">
        <f>IF(AJ21&lt;&gt;0,VLOOKUP(AJ21,fêtes,2),0)</f>
        <v>#N/A</v>
      </c>
      <c r="AH20" s="767"/>
      <c r="AI20" s="717">
        <f>IF(AND(AD20+1&lt;=$K$52,AD20&lt;&gt;0),AD20+1,0)</f>
        <v>31</v>
      </c>
      <c r="AJ20" s="766"/>
      <c r="AK20" s="219"/>
    </row>
    <row r="21" spans="2:37" s="164" customFormat="1" ht="15.75" customHeight="1">
      <c r="B21" s="220"/>
      <c r="C21" s="778">
        <f>IF(F21&lt;&gt;0,VLOOKUP(F21,fêtes,3),0)</f>
        <v>0</v>
      </c>
      <c r="D21" s="779"/>
      <c r="E21" s="779"/>
      <c r="F21" s="178">
        <f>IF(E20&lt;&gt;0,AJ17+1,0)</f>
        <v>84</v>
      </c>
      <c r="G21" s="258"/>
      <c r="H21" s="778">
        <f>IF(K21&lt;&gt;0,VLOOKUP(K21,fêtes,3),0)</f>
        <v>0</v>
      </c>
      <c r="I21" s="779"/>
      <c r="J21" s="779"/>
      <c r="K21" s="178">
        <f>IF(J20&lt;&gt;0,F21+1,0)</f>
        <v>85</v>
      </c>
      <c r="L21" s="258"/>
      <c r="M21" s="778">
        <f>IF(P21&lt;&gt;0,VLOOKUP(P21,fêtes,3),0)</f>
        <v>0</v>
      </c>
      <c r="N21" s="779"/>
      <c r="O21" s="779"/>
      <c r="P21" s="178">
        <f>IF(O20&lt;&gt;0,K21+1,0)</f>
        <v>86</v>
      </c>
      <c r="Q21" s="258"/>
      <c r="R21" s="778">
        <f>IF(U21&lt;&gt;0,VLOOKUP(U21,fêtes,3),0)</f>
        <v>0</v>
      </c>
      <c r="S21" s="779"/>
      <c r="T21" s="779"/>
      <c r="U21" s="178">
        <f>IF(T20&lt;&gt;0,P21+1,0)</f>
        <v>87</v>
      </c>
      <c r="V21" s="258"/>
      <c r="W21" s="778">
        <f>IF(Z21&lt;&gt;0,VLOOKUP(Z21,fêtes,3),0)</f>
        <v>0</v>
      </c>
      <c r="X21" s="779"/>
      <c r="Y21" s="779"/>
      <c r="Z21" s="178">
        <f>IF(Y20&lt;&gt;0,U21+1,0)</f>
        <v>88</v>
      </c>
      <c r="AA21" s="258"/>
      <c r="AB21" s="778">
        <f>IF(AE21&lt;&gt;0,VLOOKUP(AE21,fêtes,3),0)</f>
        <v>0</v>
      </c>
      <c r="AC21" s="779"/>
      <c r="AD21" s="779"/>
      <c r="AE21" s="178">
        <f>IF(AD20&lt;&gt;0,Z21+1,0)</f>
        <v>89</v>
      </c>
      <c r="AF21" s="258"/>
      <c r="AG21" s="778">
        <f>IF(AJ21&lt;&gt;0,VLOOKUP(AJ21,fêtes,3),0)</f>
        <v>0</v>
      </c>
      <c r="AH21" s="779"/>
      <c r="AI21" s="779"/>
      <c r="AJ21" s="178">
        <f>IF(AI20&lt;&gt;0,AE21+1,0)</f>
        <v>90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t="str">
        <f>VLOOKUP(C52,Données,8)</f>
        <v xml:space="preserve"> </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0</v>
      </c>
      <c r="G30" s="735">
        <f>IF(P51=5,1,IF(F30&lt;&gt;0,F30+1,0))</f>
        <v>1</v>
      </c>
      <c r="H30" s="736"/>
      <c r="I30" s="160">
        <f>IF(P51=6,1,IF(G30&lt;&gt;0,G30+1,0))</f>
        <v>2</v>
      </c>
      <c r="J30" s="160">
        <f>IF(P51=0,1,IF(I30&lt;&gt;0,I30+1,0))</f>
        <v>3</v>
      </c>
      <c r="K30" s="143"/>
      <c r="L30" s="236"/>
      <c r="M30" s="241">
        <f>VLOOKUP(C52,Données,9)</f>
        <v>0</v>
      </c>
      <c r="N30" s="237"/>
      <c r="O30" s="237"/>
      <c r="P30" s="238"/>
      <c r="Q30" s="238"/>
      <c r="R30" s="239"/>
      <c r="S30" s="237"/>
      <c r="T30" s="237"/>
      <c r="U30" s="238"/>
      <c r="V30" s="238"/>
      <c r="W30" s="239"/>
      <c r="X30" s="237"/>
      <c r="Y30" s="237"/>
      <c r="Z30" s="238"/>
      <c r="AA30" s="238"/>
      <c r="AB30" s="231"/>
      <c r="AC30" s="160">
        <f>IF($U$51=1,1,0)</f>
        <v>1</v>
      </c>
      <c r="AD30" s="160">
        <f>IF($U$51=2,1,IF(AC30&lt;&gt;0,AC30+1,0))</f>
        <v>2</v>
      </c>
      <c r="AE30" s="165">
        <f>IF($U$51=3,1,IF(AD30&lt;&gt;0,AD30+1,0))</f>
        <v>3</v>
      </c>
      <c r="AF30" s="215"/>
      <c r="AG30" s="160">
        <f>IF($U$51=4,1,IF(AE30&lt;&gt;0,AE30+1,0))</f>
        <v>4</v>
      </c>
      <c r="AH30" s="160">
        <f>IF($U$51=5,1,IF(AG30&lt;&gt;0,AG30+1,0))</f>
        <v>5</v>
      </c>
      <c r="AI30" s="160">
        <f>IF($U$51=6,1,IF(AH30&lt;&gt;0,AH30+1,0))</f>
        <v>6</v>
      </c>
      <c r="AJ30" s="160">
        <f>IF($U$51=0,1,IF(AI30&lt;&gt;0,AI30+1,0))</f>
        <v>7</v>
      </c>
      <c r="AK30" s="240"/>
    </row>
    <row r="31" spans="2:37" ht="14.1" customHeight="1">
      <c r="B31" s="235"/>
      <c r="C31" s="160">
        <f>J30+1</f>
        <v>4</v>
      </c>
      <c r="D31" s="160">
        <f>C31+1</f>
        <v>5</v>
      </c>
      <c r="E31" s="160">
        <f t="shared" ref="E31:G33" si="0">D31+1</f>
        <v>6</v>
      </c>
      <c r="F31" s="160">
        <f t="shared" si="0"/>
        <v>7</v>
      </c>
      <c r="G31" s="735">
        <f t="shared" si="0"/>
        <v>8</v>
      </c>
      <c r="H31" s="736"/>
      <c r="I31" s="160">
        <f>G31+1</f>
        <v>9</v>
      </c>
      <c r="J31" s="160">
        <f>I31+1</f>
        <v>10</v>
      </c>
      <c r="K31" s="143"/>
      <c r="L31" s="241"/>
      <c r="M31" s="236">
        <f>VLOOKUP(C52,Données,10)</f>
        <v>0</v>
      </c>
      <c r="N31" s="232"/>
      <c r="O31" s="232"/>
      <c r="P31" s="233"/>
      <c r="Q31" s="233"/>
      <c r="R31" s="231"/>
      <c r="S31" s="232"/>
      <c r="T31" s="232"/>
      <c r="U31" s="233"/>
      <c r="V31" s="233"/>
      <c r="W31" s="231"/>
      <c r="X31" s="232"/>
      <c r="Y31" s="232"/>
      <c r="Z31" s="233"/>
      <c r="AA31" s="233"/>
      <c r="AB31" s="231"/>
      <c r="AC31" s="160">
        <f>AJ30+1</f>
        <v>8</v>
      </c>
      <c r="AD31" s="160">
        <f t="shared" ref="AD31:AE33" si="1">AC31+1</f>
        <v>9</v>
      </c>
      <c r="AE31" s="165">
        <f t="shared" si="1"/>
        <v>10</v>
      </c>
      <c r="AF31" s="215"/>
      <c r="AG31" s="160">
        <f>AE31+1</f>
        <v>11</v>
      </c>
      <c r="AH31" s="160">
        <f t="shared" ref="AH31:AJ33" si="2">AG31+1</f>
        <v>12</v>
      </c>
      <c r="AI31" s="160">
        <f t="shared" si="2"/>
        <v>13</v>
      </c>
      <c r="AJ31" s="160">
        <f t="shared" si="2"/>
        <v>14</v>
      </c>
      <c r="AK31" s="240"/>
    </row>
    <row r="32" spans="2:37" ht="14.1" customHeight="1">
      <c r="B32" s="235"/>
      <c r="C32" s="160">
        <f>J31+1</f>
        <v>11</v>
      </c>
      <c r="D32" s="160">
        <f>C32+1</f>
        <v>12</v>
      </c>
      <c r="E32" s="160">
        <f t="shared" si="0"/>
        <v>13</v>
      </c>
      <c r="F32" s="160">
        <f t="shared" si="0"/>
        <v>14</v>
      </c>
      <c r="G32" s="735">
        <f t="shared" si="0"/>
        <v>15</v>
      </c>
      <c r="H32" s="736"/>
      <c r="I32" s="160">
        <f>G32+1</f>
        <v>16</v>
      </c>
      <c r="J32" s="160">
        <f>I32+1</f>
        <v>17</v>
      </c>
      <c r="K32" s="143"/>
      <c r="L32" s="238"/>
      <c r="M32" s="233"/>
      <c r="N32" s="237"/>
      <c r="O32" s="237"/>
      <c r="P32" s="238"/>
      <c r="Q32" s="238"/>
      <c r="R32" s="239"/>
      <c r="S32" s="237"/>
      <c r="T32" s="237"/>
      <c r="U32" s="238"/>
      <c r="V32" s="238"/>
      <c r="W32" s="239"/>
      <c r="X32" s="237"/>
      <c r="Y32" s="237"/>
      <c r="Z32" s="238"/>
      <c r="AA32" s="238"/>
      <c r="AB32" s="231"/>
      <c r="AC32" s="160">
        <f>AJ31+1</f>
        <v>15</v>
      </c>
      <c r="AD32" s="160">
        <f t="shared" si="1"/>
        <v>16</v>
      </c>
      <c r="AE32" s="165">
        <f t="shared" si="1"/>
        <v>17</v>
      </c>
      <c r="AF32" s="215"/>
      <c r="AG32" s="160">
        <f>AE32+1</f>
        <v>18</v>
      </c>
      <c r="AH32" s="160">
        <f t="shared" si="2"/>
        <v>19</v>
      </c>
      <c r="AI32" s="160">
        <f t="shared" si="2"/>
        <v>20</v>
      </c>
      <c r="AJ32" s="160">
        <f t="shared" si="2"/>
        <v>21</v>
      </c>
      <c r="AK32" s="240"/>
    </row>
    <row r="33" spans="2:37" ht="14.1" customHeight="1">
      <c r="B33" s="235"/>
      <c r="C33" s="160">
        <f>J32+1</f>
        <v>18</v>
      </c>
      <c r="D33" s="160">
        <f>C33+1</f>
        <v>19</v>
      </c>
      <c r="E33" s="160">
        <f t="shared" si="0"/>
        <v>20</v>
      </c>
      <c r="F33" s="160">
        <f t="shared" si="0"/>
        <v>21</v>
      </c>
      <c r="G33" s="735">
        <f t="shared" si="0"/>
        <v>22</v>
      </c>
      <c r="H33" s="736"/>
      <c r="I33" s="160">
        <f>G33+1</f>
        <v>23</v>
      </c>
      <c r="J33" s="160">
        <f>I33+1</f>
        <v>24</v>
      </c>
      <c r="K33" s="233"/>
      <c r="L33" s="233"/>
      <c r="M33" s="239"/>
      <c r="N33" s="232"/>
      <c r="O33" s="232"/>
      <c r="P33" s="233"/>
      <c r="Q33" s="233"/>
      <c r="R33" s="231"/>
      <c r="S33" s="232"/>
      <c r="T33" s="232"/>
      <c r="U33" s="233"/>
      <c r="V33" s="233"/>
      <c r="W33" s="231"/>
      <c r="X33" s="232"/>
      <c r="Y33" s="232"/>
      <c r="Z33" s="233"/>
      <c r="AA33" s="233"/>
      <c r="AB33" s="231"/>
      <c r="AC33" s="160">
        <f>AJ32+1</f>
        <v>22</v>
      </c>
      <c r="AD33" s="160">
        <f t="shared" si="1"/>
        <v>23</v>
      </c>
      <c r="AE33" s="165">
        <f t="shared" si="1"/>
        <v>24</v>
      </c>
      <c r="AF33" s="215"/>
      <c r="AG33" s="160">
        <f>AE33+1</f>
        <v>25</v>
      </c>
      <c r="AH33" s="160">
        <f t="shared" si="2"/>
        <v>26</v>
      </c>
      <c r="AI33" s="160">
        <f t="shared" si="2"/>
        <v>27</v>
      </c>
      <c r="AJ33" s="160">
        <f t="shared" si="2"/>
        <v>28</v>
      </c>
      <c r="AK33" s="240"/>
    </row>
    <row r="34" spans="2:37" ht="14.1" customHeight="1">
      <c r="B34" s="235"/>
      <c r="C34" s="160">
        <f>IF(AND(J33+1&lt;=$P$52,J33&lt;&gt;0),J33+1,0)</f>
        <v>25</v>
      </c>
      <c r="D34" s="160">
        <f t="shared" ref="D34:G35" si="3">IF(AND(C34+1&lt;=$P$52,C34&lt;&gt;0),C34+1,0)</f>
        <v>26</v>
      </c>
      <c r="E34" s="160">
        <f t="shared" si="3"/>
        <v>27</v>
      </c>
      <c r="F34" s="160">
        <f t="shared" si="3"/>
        <v>28</v>
      </c>
      <c r="G34" s="735">
        <f t="shared" si="3"/>
        <v>0</v>
      </c>
      <c r="H34" s="736"/>
      <c r="I34" s="165">
        <f>IF(AND(G34+1&lt;=$P$52,G34&lt;&gt;0),G34+1,0)</f>
        <v>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29</v>
      </c>
      <c r="AD34" s="160">
        <f>IF(AND(AC34+1&lt;=U52,AC34&lt;&gt;0),AC34+1,0)</f>
        <v>30</v>
      </c>
      <c r="AE34" s="165">
        <f>IF(AND(AD34+1&lt;=U52,AD34&lt;&gt;0),AD34+1,0)</f>
        <v>0</v>
      </c>
      <c r="AF34" s="215"/>
      <c r="AG34" s="160">
        <f>IF(AND(AE34+1&lt;=U52,AE34&lt;&gt;0),AE34+1,0)</f>
        <v>0</v>
      </c>
      <c r="AH34" s="160">
        <f>IF(AND(AG34+1&lt;=U52,AG34&lt;&gt;0),AG34+1,0)</f>
        <v>0</v>
      </c>
      <c r="AI34" s="160">
        <f>IF(AND(AH34+1&lt;=U52,AH34&lt;&gt;0),AH34+1,0)</f>
        <v>0</v>
      </c>
      <c r="AJ34" s="160">
        <f>IF(AND(AI34+1&lt;=U52,AI34&lt;&gt;0),AI34+1,0)</f>
        <v>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43160</v>
      </c>
      <c r="L50" s="737"/>
      <c r="M50" s="737"/>
      <c r="N50" s="738"/>
      <c r="O50" s="147"/>
      <c r="P50" s="724">
        <f>DATE(C51,C52-1,1)</f>
        <v>43132</v>
      </c>
      <c r="Q50" s="725"/>
      <c r="R50" s="725"/>
      <c r="S50" s="726"/>
      <c r="T50" s="147"/>
      <c r="U50" s="724">
        <f>DATE(C51,C52+1,1)</f>
        <v>43191</v>
      </c>
      <c r="V50" s="759"/>
      <c r="W50" s="760"/>
    </row>
    <row r="51" spans="1:26" ht="15.75">
      <c r="A51" s="1" t="s">
        <v>153</v>
      </c>
      <c r="C51" s="762">
        <f>dates!H1</f>
        <v>2018</v>
      </c>
      <c r="D51" s="762"/>
      <c r="E51" s="138">
        <f>IF(C52=5,"Voir notes",0)</f>
        <v>0</v>
      </c>
      <c r="F51"/>
      <c r="G51" s="751">
        <f>DATE(C51+1,1,1)</f>
        <v>43466</v>
      </c>
      <c r="H51" s="752"/>
      <c r="I51" s="753"/>
      <c r="J51" s="147"/>
      <c r="K51" s="727">
        <f>MOD(K50,7)</f>
        <v>5</v>
      </c>
      <c r="L51" s="752"/>
      <c r="M51" s="752"/>
      <c r="N51" s="753"/>
      <c r="O51" s="147"/>
      <c r="P51" s="727">
        <f>MOD(P50,7)</f>
        <v>5</v>
      </c>
      <c r="Q51" s="728"/>
      <c r="R51" s="728"/>
      <c r="S51" s="729"/>
      <c r="T51" s="147"/>
      <c r="U51" s="727">
        <f>MOD(U50,7)</f>
        <v>1</v>
      </c>
      <c r="V51" s="733"/>
      <c r="W51" s="734"/>
    </row>
    <row r="52" spans="1:26" ht="15.75">
      <c r="A52" s="1" t="s">
        <v>152</v>
      </c>
      <c r="C52" s="168">
        <v>3</v>
      </c>
      <c r="D52" s="169"/>
      <c r="E52" s="139" t="s">
        <v>0</v>
      </c>
      <c r="F52"/>
      <c r="G52" s="754">
        <f>G51-G50</f>
        <v>365</v>
      </c>
      <c r="H52" s="755"/>
      <c r="I52" s="756"/>
      <c r="J52" s="147"/>
      <c r="K52" s="754">
        <f>VLOOKUP(C52,Données,3)</f>
        <v>31</v>
      </c>
      <c r="L52" s="782"/>
      <c r="M52" s="782"/>
      <c r="N52" s="783"/>
      <c r="O52" s="147"/>
      <c r="P52" s="754">
        <f>VLOOKUP(C52-1,Données,3)</f>
        <v>28</v>
      </c>
      <c r="Q52" s="782"/>
      <c r="R52" s="782"/>
      <c r="S52" s="783"/>
      <c r="T52" s="147"/>
      <c r="U52" s="754">
        <f>VLOOKUP(C52+1,Données,3)</f>
        <v>30</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72" priority="4" stopIfTrue="1" operator="containsText" text="CEPARI">
      <formula>NOT(ISERROR(SEARCH("CEPARI",C4)))</formula>
    </cfRule>
    <cfRule type="containsText" dxfId="71" priority="5" stopIfTrue="1" operator="containsText" text="Formation SP">
      <formula>NOT(ISERROR(SEARCH("Formation SP",C4)))</formula>
    </cfRule>
    <cfRule type="containsText" dxfId="70" priority="6" stopIfTrue="1" operator="containsText" text="Garde">
      <formula>NOT(ISERROR(SEARCH("Garde",C4)))</formula>
    </cfRule>
    <cfRule type="containsText" dxfId="69" priority="7" stopIfTrue="1" operator="containsText" text="Formation">
      <formula>NOT(ISERROR(SEARCH("Formation",C4)))</formula>
    </cfRule>
    <cfRule type="containsText" dxfId="68" priority="8" stopIfTrue="1" operator="containsText" text="Nuit">
      <formula>NOT(ISERROR(SEARCH("Nuit",C4)))</formula>
    </cfRule>
    <cfRule type="containsText" dxfId="67" priority="9" stopIfTrue="1" operator="containsText" text="Jour">
      <formula>NOT(ISERROR(SEARCH("Jour",C4)))</formula>
    </cfRule>
  </conditionalFormatting>
  <conditionalFormatting sqref="C4:AJ26">
    <cfRule type="containsText" dxfId="66" priority="1" stopIfTrue="1" operator="containsText" text="vacances">
      <formula>NOT(ISERROR(SEARCH("vacances",C4)))</formula>
    </cfRule>
  </conditionalFormatting>
  <hyperlinks>
    <hyperlink ref="C1:J1" location="dates!H62" display="dates!H62"/>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8068" r:id="rId4" name="MENU">
          <controlPr defaultSize="0" print="0" autoLine="0" r:id="rId5">
            <anchor moveWithCells="1">
              <from>
                <xdr:col>38</xdr:col>
                <xdr:colOff>123825</xdr:colOff>
                <xdr:row>7</xdr:row>
                <xdr:rowOff>104775</xdr:rowOff>
              </from>
              <to>
                <xdr:col>44</xdr:col>
                <xdr:colOff>142875</xdr:colOff>
                <xdr:row>8</xdr:row>
                <xdr:rowOff>152400</xdr:rowOff>
              </to>
            </anchor>
          </controlPr>
        </control>
      </mc:Choice>
      <mc:Fallback>
        <control shapeId="88068" r:id="rId4" name="MENU"/>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P74"/>
  <sheetViews>
    <sheetView showGridLines="0" workbookViewId="0">
      <pane ySplit="3" topLeftCell="A4" activePane="bottomLeft" state="frozen"/>
      <selection pane="bottomLeft" activeCell="AS10" sqref="AS10"/>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AVRIL</v>
      </c>
      <c r="D1" s="718"/>
      <c r="E1" s="718"/>
      <c r="F1" s="718"/>
      <c r="G1" s="718"/>
      <c r="H1" s="718"/>
      <c r="I1" s="718"/>
      <c r="J1" s="718"/>
      <c r="K1" s="189"/>
      <c r="L1" s="189"/>
      <c r="M1" s="190"/>
      <c r="N1" s="191" t="s">
        <v>187</v>
      </c>
      <c r="O1" s="188"/>
      <c r="P1" s="192"/>
      <c r="Q1" s="192"/>
      <c r="R1" s="190"/>
      <c r="S1" s="193"/>
      <c r="T1" s="194" t="str">
        <f>VLOOKUP(C52,Données,5)</f>
        <v>diamant</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marguerite + pois de senteur</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t="e">
        <f>IF(F5&lt;&gt;0,VLOOKUP(F5,fêtes,2),0)</f>
        <v>#N/A</v>
      </c>
      <c r="D4" s="767"/>
      <c r="E4" s="717">
        <f>IF($K$51=1,1,0)</f>
        <v>1</v>
      </c>
      <c r="F4" s="766"/>
      <c r="G4" s="143"/>
      <c r="H4" s="706" t="str">
        <f>IF(K5&lt;&gt;0,VLOOKUP(K5,fêtes,2),0)</f>
        <v>Lundi de Pâques</v>
      </c>
      <c r="I4" s="767"/>
      <c r="J4" s="717">
        <f>IF($K$51=2,1,IF(E4&lt;&gt;0,E4+1,0))</f>
        <v>2</v>
      </c>
      <c r="K4" s="766"/>
      <c r="L4" s="143"/>
      <c r="M4" s="706" t="e">
        <f>IF(P5&lt;&gt;0,VLOOKUP(P5,fêtes,2),0)</f>
        <v>#N/A</v>
      </c>
      <c r="N4" s="767"/>
      <c r="O4" s="717">
        <f>IF($K$51=3,1,IF(J4&lt;&gt;0,J4+1,0))</f>
        <v>3</v>
      </c>
      <c r="P4" s="766"/>
      <c r="Q4" s="143"/>
      <c r="R4" s="706" t="e">
        <f>IF(U5&lt;&gt;0,VLOOKUP(U5,fêtes,2),0)</f>
        <v>#N/A</v>
      </c>
      <c r="S4" s="767"/>
      <c r="T4" s="717">
        <f>IF($K$51=4,1,IF(O4&lt;&gt;0,O4+1,0))</f>
        <v>4</v>
      </c>
      <c r="U4" s="766"/>
      <c r="V4" s="143"/>
      <c r="W4" s="706" t="e">
        <f>IF(Z5&lt;&gt;0,VLOOKUP(Z5,fêtes,2),0)</f>
        <v>#N/A</v>
      </c>
      <c r="X4" s="767"/>
      <c r="Y4" s="717">
        <f>IF($K$51=5,1,IF(T4&lt;&gt;0,T4+1,0))</f>
        <v>5</v>
      </c>
      <c r="Z4" s="766"/>
      <c r="AA4" s="143"/>
      <c r="AB4" s="706" t="e">
        <f>IF(AE5&lt;&gt;0,VLOOKUP(AE5,fêtes,2),0)</f>
        <v>#N/A</v>
      </c>
      <c r="AC4" s="767"/>
      <c r="AD4" s="717">
        <f>IF($K$51=6,1,IF(Y4&lt;&gt;0,Y4+1,0))</f>
        <v>6</v>
      </c>
      <c r="AE4" s="766"/>
      <c r="AF4" s="143"/>
      <c r="AG4" s="706" t="e">
        <f>IF(AJ5&lt;&gt;0,VLOOKUP(AJ5,fêtes,2),0)</f>
        <v>#N/A</v>
      </c>
      <c r="AH4" s="767"/>
      <c r="AI4" s="717">
        <f>IF($K$51=0,1,IF(AD4&lt;&gt;0,AD4+1,0))</f>
        <v>7</v>
      </c>
      <c r="AJ4" s="766"/>
      <c r="AK4" s="219"/>
    </row>
    <row r="5" spans="2:42" s="164" customFormat="1" ht="15.75" customHeight="1">
      <c r="B5" s="220"/>
      <c r="C5" s="778">
        <f>IF(F5&lt;&gt;0,VLOOKUP(F5,fêtes,3),0)</f>
        <v>0</v>
      </c>
      <c r="D5" s="779"/>
      <c r="E5" s="779"/>
      <c r="F5" s="178">
        <f>IF(E4&lt;&gt;0,VLOOKUP($C$52,Données,4),0)</f>
        <v>91</v>
      </c>
      <c r="G5" s="258"/>
      <c r="H5" s="778">
        <f>IF(K5&lt;&gt;0,VLOOKUP(K5,fêtes,3),0)</f>
        <v>0</v>
      </c>
      <c r="I5" s="779"/>
      <c r="J5" s="779"/>
      <c r="K5" s="178">
        <f>IF(J4&lt;&gt;0,VLOOKUP($C$52,Données,4)+E4,0)</f>
        <v>92</v>
      </c>
      <c r="L5" s="258"/>
      <c r="M5" s="778">
        <f>IF(P5&lt;&gt;0,VLOOKUP(P5,fêtes,3),0)</f>
        <v>0</v>
      </c>
      <c r="N5" s="779"/>
      <c r="O5" s="779"/>
      <c r="P5" s="178">
        <f>IF(O4&lt;&gt;0,VLOOKUP($C$52,Données,4)+J4,0)</f>
        <v>93</v>
      </c>
      <c r="Q5" s="258"/>
      <c r="R5" s="778">
        <f>IF(U5&lt;&gt;0,VLOOKUP(U5,fêtes,3),0)</f>
        <v>0</v>
      </c>
      <c r="S5" s="779"/>
      <c r="T5" s="779"/>
      <c r="U5" s="178">
        <f>IF(T4&lt;&gt;0,VLOOKUP($C$52,Données,4)+O4,0)</f>
        <v>94</v>
      </c>
      <c r="V5" s="258"/>
      <c r="W5" s="778">
        <f>IF(Z5&lt;&gt;0,VLOOKUP(Z5,fêtes,3),0)</f>
        <v>0</v>
      </c>
      <c r="X5" s="779"/>
      <c r="Y5" s="779"/>
      <c r="Z5" s="178">
        <f>IF(Y4&lt;&gt;0,VLOOKUP($C$52,Données,4)+T4,0)</f>
        <v>95</v>
      </c>
      <c r="AA5" s="258"/>
      <c r="AB5" s="778">
        <f>IF(AE5&lt;&gt;0,VLOOKUP(AE5,fêtes,3),0)</f>
        <v>0</v>
      </c>
      <c r="AC5" s="779"/>
      <c r="AD5" s="779"/>
      <c r="AE5" s="178">
        <f>IF(AD4&lt;&gt;0,VLOOKUP($C$52,Données,4)+Y4,0)</f>
        <v>96</v>
      </c>
      <c r="AF5" s="258"/>
      <c r="AG5" s="778">
        <f>IF(AJ5&lt;&gt;0,VLOOKUP(AJ5,fêtes,3),0)</f>
        <v>0</v>
      </c>
      <c r="AH5" s="779"/>
      <c r="AI5" s="779"/>
      <c r="AJ5" s="178">
        <f>IF(AI4&lt;&gt;0,VLOOKUP($C$52,Données,4)+AD4,0)</f>
        <v>97</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e">
        <f>IF(F9&lt;&gt;0,VLOOKUP(F9,fêtes,2),0)</f>
        <v>#N/A</v>
      </c>
      <c r="D8" s="767"/>
      <c r="E8" s="717">
        <f>AI4+1</f>
        <v>8</v>
      </c>
      <c r="F8" s="766"/>
      <c r="G8" s="143"/>
      <c r="H8" s="706" t="e">
        <f>IF(K9&lt;&gt;0,VLOOKUP(K9,fêtes,2),0)</f>
        <v>#N/A</v>
      </c>
      <c r="I8" s="767"/>
      <c r="J8" s="717">
        <f>E8+1</f>
        <v>9</v>
      </c>
      <c r="K8" s="766"/>
      <c r="L8" s="143"/>
      <c r="M8" s="706" t="e">
        <f>IF(P9&lt;&gt;0,VLOOKUP(P9,fêtes,2),0)</f>
        <v>#N/A</v>
      </c>
      <c r="N8" s="767"/>
      <c r="O8" s="717">
        <f>J8+1</f>
        <v>10</v>
      </c>
      <c r="P8" s="766"/>
      <c r="Q8" s="143"/>
      <c r="R8" s="706" t="e">
        <f>IF(U9&lt;&gt;0,VLOOKUP(U9,fêtes,2),0)</f>
        <v>#N/A</v>
      </c>
      <c r="S8" s="767"/>
      <c r="T8" s="717">
        <f>O8+1</f>
        <v>11</v>
      </c>
      <c r="U8" s="766"/>
      <c r="V8" s="143"/>
      <c r="W8" s="706" t="e">
        <f>IF(Z9&lt;&gt;0,VLOOKUP(Z9,fêtes,2),0)</f>
        <v>#N/A</v>
      </c>
      <c r="X8" s="767"/>
      <c r="Y8" s="717">
        <f>T8+1</f>
        <v>12</v>
      </c>
      <c r="Z8" s="766"/>
      <c r="AA8" s="143"/>
      <c r="AB8" s="706" t="e">
        <f>IF(AE9&lt;&gt;0,VLOOKUP(AE9,fêtes,2),0)</f>
        <v>#N/A</v>
      </c>
      <c r="AC8" s="767"/>
      <c r="AD8" s="717">
        <f>Y8+1</f>
        <v>13</v>
      </c>
      <c r="AE8" s="766"/>
      <c r="AF8" s="143"/>
      <c r="AG8" s="706" t="e">
        <f>IF(AJ9&lt;&gt;0,VLOOKUP(AJ9,fêtes,2),0)</f>
        <v>#N/A</v>
      </c>
      <c r="AH8" s="767"/>
      <c r="AI8" s="717">
        <f>AD8+1</f>
        <v>14</v>
      </c>
      <c r="AJ8" s="766"/>
      <c r="AK8" s="219"/>
    </row>
    <row r="9" spans="2:42" s="164" customFormat="1" ht="15.75" customHeight="1">
      <c r="B9" s="220"/>
      <c r="C9" s="778">
        <f>IF(F9&lt;&gt;0,VLOOKUP(F9,fêtes,3),0)</f>
        <v>0</v>
      </c>
      <c r="D9" s="779"/>
      <c r="E9" s="779"/>
      <c r="F9" s="178">
        <f>AJ5+1</f>
        <v>98</v>
      </c>
      <c r="G9" s="258"/>
      <c r="H9" s="778">
        <f>IF(K9&lt;&gt;0,VLOOKUP(K9,fêtes,3),0)</f>
        <v>0</v>
      </c>
      <c r="I9" s="779"/>
      <c r="J9" s="779"/>
      <c r="K9" s="178">
        <f>F9+1</f>
        <v>99</v>
      </c>
      <c r="L9" s="258"/>
      <c r="M9" s="778">
        <f>IF(P9&lt;&gt;0,VLOOKUP(P9,fêtes,3),0)</f>
        <v>0</v>
      </c>
      <c r="N9" s="779"/>
      <c r="O9" s="779"/>
      <c r="P9" s="178">
        <f>K9+1</f>
        <v>100</v>
      </c>
      <c r="Q9" s="258"/>
      <c r="R9" s="778">
        <f>IF(U9&lt;&gt;0,VLOOKUP(U9,fêtes,3),0)</f>
        <v>0</v>
      </c>
      <c r="S9" s="779"/>
      <c r="T9" s="779"/>
      <c r="U9" s="178">
        <f>P9+1</f>
        <v>101</v>
      </c>
      <c r="V9" s="258"/>
      <c r="W9" s="778">
        <f>IF(Z9&lt;&gt;0,VLOOKUP(Z9,fêtes,3),0)</f>
        <v>0</v>
      </c>
      <c r="X9" s="779"/>
      <c r="Y9" s="779"/>
      <c r="Z9" s="179">
        <f>U9+1</f>
        <v>102</v>
      </c>
      <c r="AA9" s="259"/>
      <c r="AB9" s="778">
        <f>IF(AE9&lt;&gt;0,VLOOKUP(AE9,fêtes,3),0)</f>
        <v>0</v>
      </c>
      <c r="AC9" s="779"/>
      <c r="AD9" s="779"/>
      <c r="AE9" s="178">
        <f>Z9+1</f>
        <v>103</v>
      </c>
      <c r="AF9" s="258"/>
      <c r="AG9" s="778">
        <f>IF(AJ9&lt;&gt;0,VLOOKUP(AJ9,fêtes,3),0)</f>
        <v>0</v>
      </c>
      <c r="AH9" s="779"/>
      <c r="AI9" s="779"/>
      <c r="AJ9" s="178">
        <f>AE9+1</f>
        <v>104</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e">
        <f>IF(F13&lt;&gt;0,VLOOKUP(F13,fêtes,2),0)</f>
        <v>#N/A</v>
      </c>
      <c r="D12" s="767"/>
      <c r="E12" s="717">
        <f>AI8+1</f>
        <v>15</v>
      </c>
      <c r="F12" s="766"/>
      <c r="G12" s="143"/>
      <c r="H12" s="706" t="e">
        <f>IF(K13&lt;&gt;0,VLOOKUP(K13,fêtes,2),0)</f>
        <v>#N/A</v>
      </c>
      <c r="I12" s="767"/>
      <c r="J12" s="717">
        <f>E12+1</f>
        <v>16</v>
      </c>
      <c r="K12" s="766"/>
      <c r="L12" s="143"/>
      <c r="M12" s="706" t="e">
        <f>IF(P13&lt;&gt;0,VLOOKUP(P13,fêtes,2),0)</f>
        <v>#N/A</v>
      </c>
      <c r="N12" s="767"/>
      <c r="O12" s="717">
        <f>J12+1</f>
        <v>17</v>
      </c>
      <c r="P12" s="766"/>
      <c r="Q12" s="143"/>
      <c r="R12" s="706" t="e">
        <f>IF(U13&lt;&gt;0,VLOOKUP(U13,fêtes,2),0)</f>
        <v>#N/A</v>
      </c>
      <c r="S12" s="767"/>
      <c r="T12" s="717">
        <f>O12+1</f>
        <v>18</v>
      </c>
      <c r="U12" s="766"/>
      <c r="V12" s="143"/>
      <c r="W12" s="706" t="e">
        <f>IF(Z13&lt;&gt;0,VLOOKUP(Z13,fêtes,2),0)</f>
        <v>#N/A</v>
      </c>
      <c r="X12" s="767"/>
      <c r="Y12" s="717">
        <f>T12+1</f>
        <v>19</v>
      </c>
      <c r="Z12" s="766"/>
      <c r="AA12" s="143"/>
      <c r="AB12" s="706" t="e">
        <f>IF(AE13&lt;&gt;0,VLOOKUP(AE13,fêtes,2),0)</f>
        <v>#N/A</v>
      </c>
      <c r="AC12" s="767"/>
      <c r="AD12" s="717">
        <f>Y12+1</f>
        <v>20</v>
      </c>
      <c r="AE12" s="766"/>
      <c r="AF12" s="143"/>
      <c r="AG12" s="706" t="e">
        <f>IF(AJ13&lt;&gt;0,VLOOKUP(AJ13,fêtes,2),0)</f>
        <v>#N/A</v>
      </c>
      <c r="AH12" s="767"/>
      <c r="AI12" s="717">
        <f>AD12+1</f>
        <v>21</v>
      </c>
      <c r="AJ12" s="766"/>
      <c r="AK12" s="219"/>
    </row>
    <row r="13" spans="2:42" s="164" customFormat="1" ht="15.75" customHeight="1">
      <c r="B13" s="220"/>
      <c r="C13" s="778">
        <f>IF(F13&lt;&gt;0,VLOOKUP(F13,fêtes,3),0)</f>
        <v>0</v>
      </c>
      <c r="D13" s="779"/>
      <c r="E13" s="779"/>
      <c r="F13" s="178">
        <f>AJ9+1</f>
        <v>105</v>
      </c>
      <c r="G13" s="258"/>
      <c r="H13" s="778">
        <f>IF(K13&lt;&gt;0,VLOOKUP(K13,fêtes,3),0)</f>
        <v>0</v>
      </c>
      <c r="I13" s="779"/>
      <c r="J13" s="779"/>
      <c r="K13" s="178">
        <f>F13+1</f>
        <v>106</v>
      </c>
      <c r="L13" s="258"/>
      <c r="M13" s="778">
        <f>IF(P13&lt;&gt;0,VLOOKUP(P13,fêtes,3),0)</f>
        <v>0</v>
      </c>
      <c r="N13" s="779"/>
      <c r="O13" s="779"/>
      <c r="P13" s="178">
        <f>K13+1</f>
        <v>107</v>
      </c>
      <c r="Q13" s="258"/>
      <c r="R13" s="778">
        <f>IF(U13&lt;&gt;0,VLOOKUP(U13,fêtes,3),0)</f>
        <v>0</v>
      </c>
      <c r="S13" s="779"/>
      <c r="T13" s="779"/>
      <c r="U13" s="178">
        <f>P13+1</f>
        <v>108</v>
      </c>
      <c r="V13" s="258"/>
      <c r="W13" s="778">
        <f>IF(Z13&lt;&gt;0,VLOOKUP(Z13,fêtes,3),0)</f>
        <v>0</v>
      </c>
      <c r="X13" s="779"/>
      <c r="Y13" s="779"/>
      <c r="Z13" s="180">
        <f>U13+1</f>
        <v>109</v>
      </c>
      <c r="AA13" s="260"/>
      <c r="AB13" s="778">
        <f>IF(AE13&lt;&gt;0,VLOOKUP(AE13,fêtes,3),0)</f>
        <v>0</v>
      </c>
      <c r="AC13" s="779"/>
      <c r="AD13" s="779"/>
      <c r="AE13" s="178">
        <f>Z13+1</f>
        <v>110</v>
      </c>
      <c r="AF13" s="258"/>
      <c r="AG13" s="778">
        <f>IF(AJ13&lt;&gt;0,VLOOKUP(AJ13,fêtes,3),0)</f>
        <v>0</v>
      </c>
      <c r="AH13" s="779"/>
      <c r="AI13" s="779"/>
      <c r="AJ13" s="178">
        <f>AE13+1</f>
        <v>111</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e">
        <f>IF(F17&lt;&gt;0,VLOOKUP(F17,fêtes,2),0)</f>
        <v>#N/A</v>
      </c>
      <c r="D16" s="767"/>
      <c r="E16" s="717">
        <f>AI12+1</f>
        <v>22</v>
      </c>
      <c r="F16" s="766"/>
      <c r="G16" s="143"/>
      <c r="H16" s="706" t="e">
        <f>IF(K17&lt;&gt;0,VLOOKUP(K17,fêtes,2),0)</f>
        <v>#N/A</v>
      </c>
      <c r="I16" s="767"/>
      <c r="J16" s="717">
        <f>E16+1</f>
        <v>23</v>
      </c>
      <c r="K16" s="766"/>
      <c r="L16" s="143"/>
      <c r="M16" s="706" t="e">
        <f>IF(P17&lt;&gt;0,VLOOKUP(P17,fêtes,2),0)</f>
        <v>#N/A</v>
      </c>
      <c r="N16" s="767"/>
      <c r="O16" s="717">
        <f>J16+1</f>
        <v>24</v>
      </c>
      <c r="P16" s="766"/>
      <c r="Q16" s="143"/>
      <c r="R16" s="706" t="e">
        <f>IF(U17&lt;&gt;0,VLOOKUP(U17,fêtes,2),0)</f>
        <v>#N/A</v>
      </c>
      <c r="S16" s="767"/>
      <c r="T16" s="717">
        <f>O16+1</f>
        <v>25</v>
      </c>
      <c r="U16" s="766"/>
      <c r="V16" s="143"/>
      <c r="W16" s="706" t="e">
        <f>IF(Z17&lt;&gt;0,VLOOKUP(Z17,fêtes,2),0)</f>
        <v>#N/A</v>
      </c>
      <c r="X16" s="767"/>
      <c r="Y16" s="717">
        <f>T16+1</f>
        <v>26</v>
      </c>
      <c r="Z16" s="766"/>
      <c r="AA16" s="143"/>
      <c r="AB16" s="706" t="e">
        <f>IF(AE17&lt;&gt;0,VLOOKUP(AE17,fêtes,2),0)</f>
        <v>#N/A</v>
      </c>
      <c r="AC16" s="767"/>
      <c r="AD16" s="717">
        <f>Y16+1</f>
        <v>27</v>
      </c>
      <c r="AE16" s="766"/>
      <c r="AF16" s="143"/>
      <c r="AG16" s="706" t="e">
        <f>IF(AJ17&lt;&gt;0,VLOOKUP(AJ17,fêtes,2),0)</f>
        <v>#N/A</v>
      </c>
      <c r="AH16" s="767"/>
      <c r="AI16" s="717">
        <f>AD16+1</f>
        <v>28</v>
      </c>
      <c r="AJ16" s="766"/>
      <c r="AK16" s="219"/>
    </row>
    <row r="17" spans="2:37" s="164" customFormat="1" ht="15.75" customHeight="1">
      <c r="B17" s="220"/>
      <c r="C17" s="778">
        <f>IF(F17&lt;&gt;0,VLOOKUP(F17,fêtes,3),0)</f>
        <v>0</v>
      </c>
      <c r="D17" s="779"/>
      <c r="E17" s="779"/>
      <c r="F17" s="178">
        <f>AJ13+1</f>
        <v>112</v>
      </c>
      <c r="G17" s="258"/>
      <c r="H17" s="778">
        <f>IF(K17&lt;&gt;0,VLOOKUP(K17,fêtes,3),0)</f>
        <v>0</v>
      </c>
      <c r="I17" s="779"/>
      <c r="J17" s="779"/>
      <c r="K17" s="178">
        <f>F17+1</f>
        <v>113</v>
      </c>
      <c r="L17" s="258"/>
      <c r="M17" s="778">
        <f>IF(P17&lt;&gt;0,VLOOKUP(P17,fêtes,3),0)</f>
        <v>0</v>
      </c>
      <c r="N17" s="779"/>
      <c r="O17" s="779"/>
      <c r="P17" s="178">
        <f>K17+1</f>
        <v>114</v>
      </c>
      <c r="Q17" s="258"/>
      <c r="R17" s="778">
        <f>IF(U17&lt;&gt;0,VLOOKUP(U17,fêtes,3),0)</f>
        <v>0</v>
      </c>
      <c r="S17" s="779"/>
      <c r="T17" s="779"/>
      <c r="U17" s="178">
        <f>P17+1</f>
        <v>115</v>
      </c>
      <c r="V17" s="258"/>
      <c r="W17" s="778">
        <f>IF(Z17&lt;&gt;0,VLOOKUP(Z17,fêtes,3),0)</f>
        <v>0</v>
      </c>
      <c r="X17" s="779"/>
      <c r="Y17" s="779"/>
      <c r="Z17" s="180">
        <f>U17+1</f>
        <v>116</v>
      </c>
      <c r="AA17" s="260"/>
      <c r="AB17" s="778">
        <f>IF(AE17&lt;&gt;0,VLOOKUP(AE17,fêtes,3),0)</f>
        <v>0</v>
      </c>
      <c r="AC17" s="779"/>
      <c r="AD17" s="779"/>
      <c r="AE17" s="178">
        <f>Z17+1</f>
        <v>117</v>
      </c>
      <c r="AF17" s="258"/>
      <c r="AG17" s="778">
        <f>IF(AJ17&lt;&gt;0,VLOOKUP(AJ17,fêtes,3),0)</f>
        <v>0</v>
      </c>
      <c r="AH17" s="779"/>
      <c r="AI17" s="779"/>
      <c r="AJ17" s="178">
        <f>AE17+1</f>
        <v>118</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e">
        <f>IF(F21&lt;&gt;0,VLOOKUP(F21,fêtes,2),0)</f>
        <v>#N/A</v>
      </c>
      <c r="D20" s="767"/>
      <c r="E20" s="717">
        <f>IF(AND(AI16+1&lt;=$K$52,AI16&lt;&gt;0),AI16+1,0)</f>
        <v>29</v>
      </c>
      <c r="F20" s="766"/>
      <c r="G20" s="143"/>
      <c r="H20" s="706" t="e">
        <f>IF(K21&lt;&gt;0,VLOOKUP(K21,fêtes,2),0)</f>
        <v>#N/A</v>
      </c>
      <c r="I20" s="767"/>
      <c r="J20" s="717">
        <f>IF(AND(E20+1&lt;=$K$52,E20&lt;&gt;0),E20+1,0)</f>
        <v>30</v>
      </c>
      <c r="K20" s="766"/>
      <c r="L20" s="143"/>
      <c r="M20" s="706">
        <f>IF(P21&lt;&gt;0,VLOOKUP(P21,fêtes,2),0)</f>
        <v>0</v>
      </c>
      <c r="N20" s="767"/>
      <c r="O20" s="717">
        <f>IF(AND(J20+1&lt;=$K$52,J20&lt;&gt;0),J20+1,0)</f>
        <v>0</v>
      </c>
      <c r="P20" s="766"/>
      <c r="Q20" s="143"/>
      <c r="R20" s="706">
        <f>IF(U21&lt;&gt;0,VLOOKUP(U21,fêtes,2),0)</f>
        <v>0</v>
      </c>
      <c r="S20" s="767"/>
      <c r="T20" s="717">
        <f>IF(AND(O20+1&lt;=$K$52,O20&lt;&gt;0),O20+1,0)</f>
        <v>0</v>
      </c>
      <c r="U20" s="766"/>
      <c r="V20" s="143"/>
      <c r="W20" s="706">
        <f>IF(Z21&lt;&gt;0,VLOOKUP(Z21,fêtes,2),0)</f>
        <v>0</v>
      </c>
      <c r="X20" s="767"/>
      <c r="Y20" s="717">
        <f>IF(AND(T20+1&lt;=$K$52,T20&lt;&gt;0),T20+1,0)</f>
        <v>0</v>
      </c>
      <c r="Z20" s="766"/>
      <c r="AA20" s="143"/>
      <c r="AB20" s="706">
        <f>IF(AE21&lt;&gt;0,VLOOKUP(AE21,fêtes,2),0)</f>
        <v>0</v>
      </c>
      <c r="AC20" s="767"/>
      <c r="AD20" s="717">
        <f>IF(AND(Y20+1&lt;=$K$52,Y20&lt;&gt;0),Y20+1,0)</f>
        <v>0</v>
      </c>
      <c r="AE20" s="766"/>
      <c r="AF20" s="143"/>
      <c r="AG20" s="706">
        <f>IF(AJ21&lt;&gt;0,VLOOKUP(AJ21,fêtes,2),0)</f>
        <v>0</v>
      </c>
      <c r="AH20" s="767"/>
      <c r="AI20" s="717">
        <f>IF(AND(AD20+1&lt;=$K$52,AD20&lt;&gt;0),AD20+1,0)</f>
        <v>0</v>
      </c>
      <c r="AJ20" s="766"/>
      <c r="AK20" s="219"/>
    </row>
    <row r="21" spans="2:37" s="164" customFormat="1" ht="15.75" customHeight="1">
      <c r="B21" s="220"/>
      <c r="C21" s="778">
        <f>IF(F21&lt;&gt;0,VLOOKUP(F21,fêtes,3),0)</f>
        <v>0</v>
      </c>
      <c r="D21" s="779"/>
      <c r="E21" s="779"/>
      <c r="F21" s="178">
        <f>IF(E20&lt;&gt;0,AJ17+1,0)</f>
        <v>119</v>
      </c>
      <c r="G21" s="258"/>
      <c r="H21" s="778">
        <f>IF(K21&lt;&gt;0,VLOOKUP(K21,fêtes,3),0)</f>
        <v>0</v>
      </c>
      <c r="I21" s="779"/>
      <c r="J21" s="779"/>
      <c r="K21" s="178">
        <f>IF(J20&lt;&gt;0,F21+1,0)</f>
        <v>120</v>
      </c>
      <c r="L21" s="258"/>
      <c r="M21" s="778">
        <f>IF(P21&lt;&gt;0,VLOOKUP(P21,fêtes,3),0)</f>
        <v>0</v>
      </c>
      <c r="N21" s="779"/>
      <c r="O21" s="779"/>
      <c r="P21" s="178">
        <f>IF(O20&lt;&gt;0,K21+1,0)</f>
        <v>0</v>
      </c>
      <c r="Q21" s="258"/>
      <c r="R21" s="778">
        <f>IF(U21&lt;&gt;0,VLOOKUP(U21,fêtes,3),0)</f>
        <v>0</v>
      </c>
      <c r="S21" s="779"/>
      <c r="T21" s="779"/>
      <c r="U21" s="178">
        <f>IF(T20&lt;&gt;0,P21+1,0)</f>
        <v>0</v>
      </c>
      <c r="V21" s="258"/>
      <c r="W21" s="778">
        <f>IF(Z21&lt;&gt;0,VLOOKUP(Z21,fêtes,3),0)</f>
        <v>0</v>
      </c>
      <c r="X21" s="779"/>
      <c r="Y21" s="779"/>
      <c r="Z21" s="178">
        <f>IF(Y20&lt;&gt;0,U21+1,0)</f>
        <v>0</v>
      </c>
      <c r="AA21" s="258"/>
      <c r="AB21" s="778">
        <f>IF(AE21&lt;&gt;0,VLOOKUP(AE21,fêtes,3),0)</f>
        <v>0</v>
      </c>
      <c r="AC21" s="779"/>
      <c r="AD21" s="779"/>
      <c r="AE21" s="178">
        <f>IF(AD20&lt;&gt;0,Z21+1,0)</f>
        <v>0</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t="str">
        <f>VLOOKUP(C52,Données,8)</f>
        <v xml:space="preserve"> </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0</v>
      </c>
      <c r="G30" s="735">
        <f>IF(P51=5,1,IF(F30&lt;&gt;0,F30+1,0))</f>
        <v>1</v>
      </c>
      <c r="H30" s="736"/>
      <c r="I30" s="160">
        <f>IF(P51=6,1,IF(G30&lt;&gt;0,G30+1,0))</f>
        <v>2</v>
      </c>
      <c r="J30" s="160">
        <f>IF(P51=0,1,IF(I30&lt;&gt;0,I30+1,0))</f>
        <v>3</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1</v>
      </c>
      <c r="AF30" s="215"/>
      <c r="AG30" s="160">
        <f>IF($U$51=4,1,IF(AE30&lt;&gt;0,AE30+1,0))</f>
        <v>2</v>
      </c>
      <c r="AH30" s="160">
        <f>IF($U$51=5,1,IF(AG30&lt;&gt;0,AG30+1,0))</f>
        <v>3</v>
      </c>
      <c r="AI30" s="160">
        <f>IF($U$51=6,1,IF(AH30&lt;&gt;0,AH30+1,0))</f>
        <v>4</v>
      </c>
      <c r="AJ30" s="160">
        <f>IF($U$51=0,1,IF(AI30&lt;&gt;0,AI30+1,0))</f>
        <v>5</v>
      </c>
      <c r="AK30" s="240"/>
    </row>
    <row r="31" spans="2:37" ht="14.1" customHeight="1">
      <c r="B31" s="235"/>
      <c r="C31" s="160">
        <f>J30+1</f>
        <v>4</v>
      </c>
      <c r="D31" s="160">
        <f>C31+1</f>
        <v>5</v>
      </c>
      <c r="E31" s="160">
        <f t="shared" ref="E31:G33" si="0">D31+1</f>
        <v>6</v>
      </c>
      <c r="F31" s="160">
        <f t="shared" si="0"/>
        <v>7</v>
      </c>
      <c r="G31" s="735">
        <f t="shared" si="0"/>
        <v>8</v>
      </c>
      <c r="H31" s="736"/>
      <c r="I31" s="160">
        <f>G31+1</f>
        <v>9</v>
      </c>
      <c r="J31" s="160">
        <f>I31+1</f>
        <v>10</v>
      </c>
      <c r="K31" s="143"/>
      <c r="L31" s="241"/>
      <c r="M31" s="236">
        <f>VLOOKUP(C52,Données,10)</f>
        <v>0</v>
      </c>
      <c r="N31" s="232"/>
      <c r="O31" s="232"/>
      <c r="P31" s="233"/>
      <c r="Q31" s="233"/>
      <c r="R31" s="231"/>
      <c r="S31" s="232"/>
      <c r="T31" s="232"/>
      <c r="U31" s="233"/>
      <c r="V31" s="233"/>
      <c r="W31" s="231"/>
      <c r="X31" s="232"/>
      <c r="Y31" s="232"/>
      <c r="Z31" s="233"/>
      <c r="AA31" s="233"/>
      <c r="AB31" s="231"/>
      <c r="AC31" s="160">
        <f>AJ30+1</f>
        <v>6</v>
      </c>
      <c r="AD31" s="160">
        <f t="shared" ref="AD31:AE33" si="1">AC31+1</f>
        <v>7</v>
      </c>
      <c r="AE31" s="165">
        <f t="shared" si="1"/>
        <v>8</v>
      </c>
      <c r="AF31" s="215"/>
      <c r="AG31" s="160">
        <f>AE31+1</f>
        <v>9</v>
      </c>
      <c r="AH31" s="160">
        <f t="shared" ref="AH31:AJ33" si="2">AG31+1</f>
        <v>10</v>
      </c>
      <c r="AI31" s="160">
        <f t="shared" si="2"/>
        <v>11</v>
      </c>
      <c r="AJ31" s="160">
        <f t="shared" si="2"/>
        <v>12</v>
      </c>
      <c r="AK31" s="240"/>
    </row>
    <row r="32" spans="2:37" ht="14.1" customHeight="1">
      <c r="B32" s="235"/>
      <c r="C32" s="160">
        <f>J31+1</f>
        <v>11</v>
      </c>
      <c r="D32" s="160">
        <f>C32+1</f>
        <v>12</v>
      </c>
      <c r="E32" s="160">
        <f t="shared" si="0"/>
        <v>13</v>
      </c>
      <c r="F32" s="160">
        <f t="shared" si="0"/>
        <v>14</v>
      </c>
      <c r="G32" s="735">
        <f t="shared" si="0"/>
        <v>15</v>
      </c>
      <c r="H32" s="736"/>
      <c r="I32" s="160">
        <f>G32+1</f>
        <v>16</v>
      </c>
      <c r="J32" s="160">
        <f>I32+1</f>
        <v>17</v>
      </c>
      <c r="K32" s="143"/>
      <c r="L32" s="238"/>
      <c r="M32" s="233"/>
      <c r="N32" s="237"/>
      <c r="O32" s="237"/>
      <c r="P32" s="238"/>
      <c r="Q32" s="238"/>
      <c r="R32" s="239"/>
      <c r="S32" s="237"/>
      <c r="T32" s="237"/>
      <c r="U32" s="238"/>
      <c r="V32" s="238"/>
      <c r="W32" s="239"/>
      <c r="X32" s="237"/>
      <c r="Y32" s="237"/>
      <c r="Z32" s="238"/>
      <c r="AA32" s="238"/>
      <c r="AB32" s="231"/>
      <c r="AC32" s="160">
        <f>AJ31+1</f>
        <v>13</v>
      </c>
      <c r="AD32" s="160">
        <f t="shared" si="1"/>
        <v>14</v>
      </c>
      <c r="AE32" s="165">
        <f t="shared" si="1"/>
        <v>15</v>
      </c>
      <c r="AF32" s="215"/>
      <c r="AG32" s="160">
        <f>AE32+1</f>
        <v>16</v>
      </c>
      <c r="AH32" s="160">
        <f t="shared" si="2"/>
        <v>17</v>
      </c>
      <c r="AI32" s="160">
        <f t="shared" si="2"/>
        <v>18</v>
      </c>
      <c r="AJ32" s="160">
        <f t="shared" si="2"/>
        <v>19</v>
      </c>
      <c r="AK32" s="240"/>
    </row>
    <row r="33" spans="2:37" ht="14.1" customHeight="1">
      <c r="B33" s="235"/>
      <c r="C33" s="160">
        <f>J32+1</f>
        <v>18</v>
      </c>
      <c r="D33" s="160">
        <f>C33+1</f>
        <v>19</v>
      </c>
      <c r="E33" s="160">
        <f t="shared" si="0"/>
        <v>20</v>
      </c>
      <c r="F33" s="160">
        <f t="shared" si="0"/>
        <v>21</v>
      </c>
      <c r="G33" s="735">
        <f t="shared" si="0"/>
        <v>22</v>
      </c>
      <c r="H33" s="736"/>
      <c r="I33" s="160">
        <f>G33+1</f>
        <v>23</v>
      </c>
      <c r="J33" s="160">
        <f>I33+1</f>
        <v>24</v>
      </c>
      <c r="K33" s="233"/>
      <c r="L33" s="233"/>
      <c r="M33" s="239"/>
      <c r="N33" s="232"/>
      <c r="O33" s="232"/>
      <c r="P33" s="233"/>
      <c r="Q33" s="233"/>
      <c r="R33" s="231"/>
      <c r="S33" s="232"/>
      <c r="T33" s="232"/>
      <c r="U33" s="233"/>
      <c r="V33" s="233"/>
      <c r="W33" s="231"/>
      <c r="X33" s="232"/>
      <c r="Y33" s="232"/>
      <c r="Z33" s="233"/>
      <c r="AA33" s="233"/>
      <c r="AB33" s="231"/>
      <c r="AC33" s="160">
        <f>AJ32+1</f>
        <v>20</v>
      </c>
      <c r="AD33" s="160">
        <f t="shared" si="1"/>
        <v>21</v>
      </c>
      <c r="AE33" s="165">
        <f t="shared" si="1"/>
        <v>22</v>
      </c>
      <c r="AF33" s="215"/>
      <c r="AG33" s="160">
        <f>AE33+1</f>
        <v>23</v>
      </c>
      <c r="AH33" s="160">
        <f t="shared" si="2"/>
        <v>24</v>
      </c>
      <c r="AI33" s="160">
        <f t="shared" si="2"/>
        <v>25</v>
      </c>
      <c r="AJ33" s="160">
        <f t="shared" si="2"/>
        <v>26</v>
      </c>
      <c r="AK33" s="240"/>
    </row>
    <row r="34" spans="2:37" ht="14.1" customHeight="1">
      <c r="B34" s="235"/>
      <c r="C34" s="160">
        <f>IF(AND(J33+1&lt;=$P$52,J33&lt;&gt;0),J33+1,0)</f>
        <v>25</v>
      </c>
      <c r="D34" s="160">
        <f t="shared" ref="D34:G35" si="3">IF(AND(C34+1&lt;=$P$52,C34&lt;&gt;0),C34+1,0)</f>
        <v>26</v>
      </c>
      <c r="E34" s="160">
        <f t="shared" si="3"/>
        <v>27</v>
      </c>
      <c r="F34" s="160">
        <f t="shared" si="3"/>
        <v>28</v>
      </c>
      <c r="G34" s="735">
        <f t="shared" si="3"/>
        <v>29</v>
      </c>
      <c r="H34" s="736"/>
      <c r="I34" s="165">
        <f>IF(AND(G34+1&lt;=$P$52,G34&lt;&gt;0),G34+1,0)</f>
        <v>30</v>
      </c>
      <c r="J34" s="160">
        <f>IF(AND(I34+1&lt;=$P$52,I34&lt;&gt;0),I34+1,0)</f>
        <v>31</v>
      </c>
      <c r="K34" s="233"/>
      <c r="L34" s="238"/>
      <c r="M34" s="239"/>
      <c r="N34" s="237"/>
      <c r="O34" s="237"/>
      <c r="P34" s="238"/>
      <c r="Q34" s="238"/>
      <c r="R34" s="239"/>
      <c r="S34" s="237"/>
      <c r="T34" s="237"/>
      <c r="U34" s="238"/>
      <c r="V34" s="238"/>
      <c r="W34" s="239"/>
      <c r="X34" s="237"/>
      <c r="Y34" s="237"/>
      <c r="Z34" s="238"/>
      <c r="AA34" s="238"/>
      <c r="AB34" s="231"/>
      <c r="AC34" s="160">
        <f>IF(AND(AJ33+1&lt;=U52,AJ33&lt;&gt;0),AJ33+1,0)</f>
        <v>27</v>
      </c>
      <c r="AD34" s="160">
        <f>IF(AND(AC34+1&lt;=U52,AC34&lt;&gt;0),AC34+1,0)</f>
        <v>28</v>
      </c>
      <c r="AE34" s="165">
        <f>IF(AND(AD34+1&lt;=U52,AD34&lt;&gt;0),AD34+1,0)</f>
        <v>29</v>
      </c>
      <c r="AF34" s="215"/>
      <c r="AG34" s="160">
        <f>IF(AND(AE34+1&lt;=U52,AE34&lt;&gt;0),AE34+1,0)</f>
        <v>30</v>
      </c>
      <c r="AH34" s="160">
        <f>IF(AND(AG34+1&lt;=U52,AG34&lt;&gt;0),AG34+1,0)</f>
        <v>31</v>
      </c>
      <c r="AI34" s="160">
        <f>IF(AND(AH34+1&lt;=U52,AH34&lt;&gt;0),AH34+1,0)</f>
        <v>0</v>
      </c>
      <c r="AJ34" s="160">
        <f>IF(AND(AI34+1&lt;=U52,AI34&lt;&gt;0),AI34+1,0)</f>
        <v>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43191</v>
      </c>
      <c r="L50" s="737"/>
      <c r="M50" s="737"/>
      <c r="N50" s="738"/>
      <c r="O50" s="147"/>
      <c r="P50" s="724">
        <f>DATE(C51,C52-1,1)</f>
        <v>43160</v>
      </c>
      <c r="Q50" s="725"/>
      <c r="R50" s="725"/>
      <c r="S50" s="726"/>
      <c r="T50" s="147"/>
      <c r="U50" s="724">
        <f>DATE(C51,C52+1,1)</f>
        <v>43221</v>
      </c>
      <c r="V50" s="759"/>
      <c r="W50" s="760"/>
    </row>
    <row r="51" spans="1:26" ht="15.75">
      <c r="A51" s="1" t="s">
        <v>153</v>
      </c>
      <c r="C51" s="762">
        <f>dates!H1</f>
        <v>2018</v>
      </c>
      <c r="D51" s="762"/>
      <c r="E51" s="138">
        <f>IF(C52=5,"Voir notes",0)</f>
        <v>0</v>
      </c>
      <c r="F51"/>
      <c r="G51" s="751">
        <f>DATE(C51+1,1,1)</f>
        <v>43466</v>
      </c>
      <c r="H51" s="752"/>
      <c r="I51" s="753"/>
      <c r="J51" s="147"/>
      <c r="K51" s="727">
        <f>MOD(K50,7)</f>
        <v>1</v>
      </c>
      <c r="L51" s="752"/>
      <c r="M51" s="752"/>
      <c r="N51" s="753"/>
      <c r="O51" s="147"/>
      <c r="P51" s="727">
        <f>MOD(P50,7)</f>
        <v>5</v>
      </c>
      <c r="Q51" s="728"/>
      <c r="R51" s="728"/>
      <c r="S51" s="729"/>
      <c r="T51" s="147"/>
      <c r="U51" s="727">
        <f>MOD(U50,7)</f>
        <v>3</v>
      </c>
      <c r="V51" s="733"/>
      <c r="W51" s="734"/>
    </row>
    <row r="52" spans="1:26" ht="15.75">
      <c r="A52" s="1" t="s">
        <v>152</v>
      </c>
      <c r="C52" s="168">
        <v>4</v>
      </c>
      <c r="D52" s="169"/>
      <c r="E52" s="139" t="s">
        <v>0</v>
      </c>
      <c r="F52"/>
      <c r="G52" s="754">
        <f>G51-G50</f>
        <v>365</v>
      </c>
      <c r="H52" s="755"/>
      <c r="I52" s="756"/>
      <c r="J52" s="147"/>
      <c r="K52" s="754">
        <f>VLOOKUP(C52,Données,3)</f>
        <v>30</v>
      </c>
      <c r="L52" s="782"/>
      <c r="M52" s="782"/>
      <c r="N52" s="783"/>
      <c r="O52" s="147"/>
      <c r="P52" s="754">
        <f>VLOOKUP(C52-1,Données,3)</f>
        <v>31</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65" priority="4" stopIfTrue="1" operator="containsText" text="CEPARI">
      <formula>NOT(ISERROR(SEARCH("CEPARI",C4)))</formula>
    </cfRule>
    <cfRule type="containsText" dxfId="64" priority="5" stopIfTrue="1" operator="containsText" text="Formation SP">
      <formula>NOT(ISERROR(SEARCH("Formation SP",C4)))</formula>
    </cfRule>
    <cfRule type="containsText" dxfId="63" priority="6" stopIfTrue="1" operator="containsText" text="Garde">
      <formula>NOT(ISERROR(SEARCH("Garde",C4)))</formula>
    </cfRule>
    <cfRule type="containsText" dxfId="62" priority="7" stopIfTrue="1" operator="containsText" text="Formation">
      <formula>NOT(ISERROR(SEARCH("Formation",C4)))</formula>
    </cfRule>
    <cfRule type="containsText" dxfId="61" priority="8" stopIfTrue="1" operator="containsText" text="Nuit">
      <formula>NOT(ISERROR(SEARCH("Nuit",C4)))</formula>
    </cfRule>
    <cfRule type="containsText" dxfId="60" priority="9" stopIfTrue="1" operator="containsText" text="Jour">
      <formula>NOT(ISERROR(SEARCH("Jour",C4)))</formula>
    </cfRule>
  </conditionalFormatting>
  <conditionalFormatting sqref="C4:AJ26">
    <cfRule type="containsText" dxfId="59" priority="1" stopIfTrue="1" operator="containsText" text="vacances">
      <formula>NOT(ISERROR(SEARCH("vacances",C4)))</formula>
    </cfRule>
  </conditionalFormatting>
  <hyperlinks>
    <hyperlink ref="C1:J1" location="dates!H93" display="dates!H93"/>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7043" r:id="rId4" name="MENU">
          <controlPr defaultSize="0" print="0" autoLine="0" r:id="rId5">
            <anchor moveWithCells="1">
              <from>
                <xdr:col>43</xdr:col>
                <xdr:colOff>123825</xdr:colOff>
                <xdr:row>3</xdr:row>
                <xdr:rowOff>304800</xdr:rowOff>
              </from>
              <to>
                <xdr:col>49</xdr:col>
                <xdr:colOff>142875</xdr:colOff>
                <xdr:row>5</xdr:row>
                <xdr:rowOff>152400</xdr:rowOff>
              </to>
            </anchor>
          </controlPr>
        </control>
      </mc:Choice>
      <mc:Fallback>
        <control shapeId="87043" r:id="rId4" name="MENU"/>
      </mc:Fallback>
    </mc:AlternateContent>
    <mc:AlternateContent xmlns:mc="http://schemas.openxmlformats.org/markup-compatibility/2006">
      <mc:Choice Requires="x14">
        <control shapeId="87042" r:id="rId6" name="CommandButton1">
          <controlPr defaultSize="0" autoLine="0" r:id="rId7">
            <anchor moveWithCells="1">
              <from>
                <xdr:col>27</xdr:col>
                <xdr:colOff>123825</xdr:colOff>
                <xdr:row>39</xdr:row>
                <xdr:rowOff>142875</xdr:rowOff>
              </from>
              <to>
                <xdr:col>33</xdr:col>
                <xdr:colOff>76200</xdr:colOff>
                <xdr:row>42</xdr:row>
                <xdr:rowOff>0</xdr:rowOff>
              </to>
            </anchor>
          </controlPr>
        </control>
      </mc:Choice>
      <mc:Fallback>
        <control shapeId="87042" r:id="rId6" name="CommandButton1"/>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P74"/>
  <sheetViews>
    <sheetView showGridLines="0" workbookViewId="0">
      <pane ySplit="3" topLeftCell="A4" activePane="bottomLeft" state="frozen"/>
      <selection pane="bottomLeft" activeCell="C6" sqref="C6:E6"/>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MAI</v>
      </c>
      <c r="D1" s="718"/>
      <c r="E1" s="718"/>
      <c r="F1" s="718"/>
      <c r="G1" s="718"/>
      <c r="H1" s="718"/>
      <c r="I1" s="718"/>
      <c r="J1" s="718"/>
      <c r="K1" s="189"/>
      <c r="L1" s="189"/>
      <c r="M1" s="190"/>
      <c r="N1" s="191" t="s">
        <v>187</v>
      </c>
      <c r="O1" s="188"/>
      <c r="P1" s="192"/>
      <c r="Q1" s="192"/>
      <c r="R1" s="190"/>
      <c r="S1" s="193"/>
      <c r="T1" s="194" t="str">
        <f>VLOOKUP(C52,Données,5)</f>
        <v>émeraude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muguet + aubépine</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t="str">
        <f>IF(P5&lt;&gt;0,VLOOKUP(P5,fêtes,2),0)</f>
        <v>Fête du Travail</v>
      </c>
      <c r="N4" s="767"/>
      <c r="O4" s="717">
        <f>IF($K$51=3,1,IF(J4&lt;&gt;0,J4+1,0))</f>
        <v>1</v>
      </c>
      <c r="P4" s="766"/>
      <c r="Q4" s="143"/>
      <c r="R4" s="706" t="e">
        <f>IF(U5&lt;&gt;0,VLOOKUP(U5,fêtes,2),0)</f>
        <v>#N/A</v>
      </c>
      <c r="S4" s="767"/>
      <c r="T4" s="717">
        <f>IF($K$51=4,1,IF(O4&lt;&gt;0,O4+1,0))</f>
        <v>2</v>
      </c>
      <c r="U4" s="766"/>
      <c r="V4" s="143"/>
      <c r="W4" s="706" t="e">
        <f>IF(Z5&lt;&gt;0,VLOOKUP(Z5,fêtes,2),0)</f>
        <v>#N/A</v>
      </c>
      <c r="X4" s="767"/>
      <c r="Y4" s="717">
        <f>IF($K$51=5,1,IF(T4&lt;&gt;0,T4+1,0))</f>
        <v>3</v>
      </c>
      <c r="Z4" s="766"/>
      <c r="AA4" s="143"/>
      <c r="AB4" s="706" t="e">
        <f>IF(AE5&lt;&gt;0,VLOOKUP(AE5,fêtes,2),0)</f>
        <v>#N/A</v>
      </c>
      <c r="AC4" s="767"/>
      <c r="AD4" s="717">
        <f>IF($K$51=6,1,IF(Y4&lt;&gt;0,Y4+1,0))</f>
        <v>4</v>
      </c>
      <c r="AE4" s="766"/>
      <c r="AF4" s="143"/>
      <c r="AG4" s="706" t="e">
        <f>IF(AJ5&lt;&gt;0,VLOOKUP(AJ5,fêtes,2),0)</f>
        <v>#N/A</v>
      </c>
      <c r="AH4" s="767"/>
      <c r="AI4" s="717">
        <f>IF($K$51=0,1,IF(AD4&lt;&gt;0,AD4+1,0))</f>
        <v>5</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121</v>
      </c>
      <c r="Q5" s="258"/>
      <c r="R5" s="778">
        <f>IF(U5&lt;&gt;0,VLOOKUP(U5,fêtes,3),0)</f>
        <v>0</v>
      </c>
      <c r="S5" s="779"/>
      <c r="T5" s="779"/>
      <c r="U5" s="178">
        <f>IF(T4&lt;&gt;0,VLOOKUP($C$52,Données,4)+O4,0)</f>
        <v>122</v>
      </c>
      <c r="V5" s="258"/>
      <c r="W5" s="778">
        <f>IF(Z5&lt;&gt;0,VLOOKUP(Z5,fêtes,3),0)</f>
        <v>0</v>
      </c>
      <c r="X5" s="779"/>
      <c r="Y5" s="779"/>
      <c r="Z5" s="178">
        <f>IF(Y4&lt;&gt;0,VLOOKUP($C$52,Données,4)+T4,0)</f>
        <v>123</v>
      </c>
      <c r="AA5" s="258"/>
      <c r="AB5" s="778">
        <f>IF(AE5&lt;&gt;0,VLOOKUP(AE5,fêtes,3),0)</f>
        <v>0</v>
      </c>
      <c r="AC5" s="779"/>
      <c r="AD5" s="779"/>
      <c r="AE5" s="178">
        <f>IF(AD4&lt;&gt;0,VLOOKUP($C$52,Données,4)+Y4,0)</f>
        <v>124</v>
      </c>
      <c r="AF5" s="258"/>
      <c r="AG5" s="778">
        <f>IF(AJ5&lt;&gt;0,VLOOKUP(AJ5,fêtes,3),0)</f>
        <v>0</v>
      </c>
      <c r="AH5" s="779"/>
      <c r="AI5" s="779"/>
      <c r="AJ5" s="178">
        <f>IF(AI4&lt;&gt;0,VLOOKUP($C$52,Données,4)+AD4,0)</f>
        <v>125</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e">
        <f>IF(F9&lt;&gt;0,VLOOKUP(F9,fêtes,2),0)</f>
        <v>#N/A</v>
      </c>
      <c r="D8" s="767"/>
      <c r="E8" s="717">
        <f>AI4+1</f>
        <v>6</v>
      </c>
      <c r="F8" s="766"/>
      <c r="G8" s="143"/>
      <c r="H8" s="706" t="e">
        <f>IF(K9&lt;&gt;0,VLOOKUP(K9,fêtes,2),0)</f>
        <v>#N/A</v>
      </c>
      <c r="I8" s="767"/>
      <c r="J8" s="717">
        <f>E8+1</f>
        <v>7</v>
      </c>
      <c r="K8" s="766"/>
      <c r="L8" s="143"/>
      <c r="M8" s="706" t="str">
        <f>IF(P9&lt;&gt;0,VLOOKUP(P9,fêtes,2),0)</f>
        <v>Armistice 1945</v>
      </c>
      <c r="N8" s="767"/>
      <c r="O8" s="717">
        <f>J8+1</f>
        <v>8</v>
      </c>
      <c r="P8" s="766"/>
      <c r="Q8" s="143"/>
      <c r="R8" s="706" t="e">
        <f>IF(U9&lt;&gt;0,VLOOKUP(U9,fêtes,2),0)</f>
        <v>#N/A</v>
      </c>
      <c r="S8" s="767"/>
      <c r="T8" s="717">
        <f>O8+1</f>
        <v>9</v>
      </c>
      <c r="U8" s="766"/>
      <c r="V8" s="143"/>
      <c r="W8" s="706" t="str">
        <f>IF(Z9&lt;&gt;0,VLOOKUP(Z9,fêtes,2),0)</f>
        <v>Jeudi de l'Ascension</v>
      </c>
      <c r="X8" s="767"/>
      <c r="Y8" s="717">
        <f>T8+1</f>
        <v>10</v>
      </c>
      <c r="Z8" s="766"/>
      <c r="AA8" s="143"/>
      <c r="AB8" s="706" t="e">
        <f>IF(AE9&lt;&gt;0,VLOOKUP(AE9,fêtes,2),0)</f>
        <v>#N/A</v>
      </c>
      <c r="AC8" s="767"/>
      <c r="AD8" s="717">
        <f>Y8+1</f>
        <v>11</v>
      </c>
      <c r="AE8" s="766"/>
      <c r="AF8" s="143"/>
      <c r="AG8" s="706" t="e">
        <f>IF(AJ9&lt;&gt;0,VLOOKUP(AJ9,fêtes,2),0)</f>
        <v>#N/A</v>
      </c>
      <c r="AH8" s="767"/>
      <c r="AI8" s="717">
        <f>AD8+1</f>
        <v>12</v>
      </c>
      <c r="AJ8" s="766"/>
      <c r="AK8" s="219"/>
    </row>
    <row r="9" spans="2:42" s="164" customFormat="1" ht="15.75" customHeight="1">
      <c r="B9" s="220"/>
      <c r="C9" s="778">
        <f>IF(F9&lt;&gt;0,VLOOKUP(F9,fêtes,3),0)</f>
        <v>0</v>
      </c>
      <c r="D9" s="779"/>
      <c r="E9" s="779"/>
      <c r="F9" s="178">
        <f>AJ5+1</f>
        <v>126</v>
      </c>
      <c r="G9" s="258"/>
      <c r="H9" s="778">
        <f>IF(K9&lt;&gt;0,VLOOKUP(K9,fêtes,3),0)</f>
        <v>0</v>
      </c>
      <c r="I9" s="779"/>
      <c r="J9" s="779"/>
      <c r="K9" s="178">
        <f>F9+1</f>
        <v>127</v>
      </c>
      <c r="L9" s="258"/>
      <c r="M9" s="778">
        <f>IF(P9&lt;&gt;0,VLOOKUP(P9,fêtes,3),0)</f>
        <v>0</v>
      </c>
      <c r="N9" s="779"/>
      <c r="O9" s="779"/>
      <c r="P9" s="178">
        <f>K9+1</f>
        <v>128</v>
      </c>
      <c r="Q9" s="258"/>
      <c r="R9" s="778">
        <f>IF(U9&lt;&gt;0,VLOOKUP(U9,fêtes,3),0)</f>
        <v>0</v>
      </c>
      <c r="S9" s="779"/>
      <c r="T9" s="779"/>
      <c r="U9" s="178">
        <f>P9+1</f>
        <v>129</v>
      </c>
      <c r="V9" s="258"/>
      <c r="W9" s="778">
        <f>IF(Z9&lt;&gt;0,VLOOKUP(Z9,fêtes,3),0)</f>
        <v>0</v>
      </c>
      <c r="X9" s="779"/>
      <c r="Y9" s="779"/>
      <c r="Z9" s="179">
        <f>U9+1</f>
        <v>130</v>
      </c>
      <c r="AA9" s="259"/>
      <c r="AB9" s="778">
        <f>IF(AE9&lt;&gt;0,VLOOKUP(AE9,fêtes,3),0)</f>
        <v>0</v>
      </c>
      <c r="AC9" s="779"/>
      <c r="AD9" s="779"/>
      <c r="AE9" s="178">
        <f>Z9+1</f>
        <v>131</v>
      </c>
      <c r="AF9" s="258"/>
      <c r="AG9" s="778">
        <f>IF(AJ9&lt;&gt;0,VLOOKUP(AJ9,fêtes,3),0)</f>
        <v>0</v>
      </c>
      <c r="AH9" s="779"/>
      <c r="AI9" s="779"/>
      <c r="AJ9" s="178">
        <f>AE9+1</f>
        <v>132</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e">
        <f>IF(F13&lt;&gt;0,VLOOKUP(F13,fêtes,2),0)</f>
        <v>#N/A</v>
      </c>
      <c r="D12" s="767"/>
      <c r="E12" s="717">
        <f>AI8+1</f>
        <v>13</v>
      </c>
      <c r="F12" s="766"/>
      <c r="G12" s="143"/>
      <c r="H12" s="706" t="e">
        <f>IF(K13&lt;&gt;0,VLOOKUP(K13,fêtes,2),0)</f>
        <v>#N/A</v>
      </c>
      <c r="I12" s="767"/>
      <c r="J12" s="717">
        <f>E12+1</f>
        <v>14</v>
      </c>
      <c r="K12" s="766"/>
      <c r="L12" s="143"/>
      <c r="M12" s="706" t="e">
        <f>IF(P13&lt;&gt;0,VLOOKUP(P13,fêtes,2),0)</f>
        <v>#N/A</v>
      </c>
      <c r="N12" s="767"/>
      <c r="O12" s="717">
        <f>J12+1</f>
        <v>15</v>
      </c>
      <c r="P12" s="766"/>
      <c r="Q12" s="143"/>
      <c r="R12" s="706" t="e">
        <f>IF(U13&lt;&gt;0,VLOOKUP(U13,fêtes,2),0)</f>
        <v>#N/A</v>
      </c>
      <c r="S12" s="767"/>
      <c r="T12" s="717">
        <f>O12+1</f>
        <v>16</v>
      </c>
      <c r="U12" s="766"/>
      <c r="V12" s="143"/>
      <c r="W12" s="706" t="e">
        <f>IF(Z13&lt;&gt;0,VLOOKUP(Z13,fêtes,2),0)</f>
        <v>#N/A</v>
      </c>
      <c r="X12" s="767"/>
      <c r="Y12" s="717">
        <f>T12+1</f>
        <v>17</v>
      </c>
      <c r="Z12" s="766"/>
      <c r="AA12" s="143"/>
      <c r="AB12" s="706" t="e">
        <f>IF(AE13&lt;&gt;0,VLOOKUP(AE13,fêtes,2),0)</f>
        <v>#N/A</v>
      </c>
      <c r="AC12" s="767"/>
      <c r="AD12" s="717">
        <f>Y12+1</f>
        <v>18</v>
      </c>
      <c r="AE12" s="766"/>
      <c r="AF12" s="143"/>
      <c r="AG12" s="706" t="e">
        <f>IF(AJ13&lt;&gt;0,VLOOKUP(AJ13,fêtes,2),0)</f>
        <v>#N/A</v>
      </c>
      <c r="AH12" s="767"/>
      <c r="AI12" s="717">
        <f>AD12+1</f>
        <v>19</v>
      </c>
      <c r="AJ12" s="766"/>
      <c r="AK12" s="219"/>
    </row>
    <row r="13" spans="2:42" s="164" customFormat="1" ht="15.75" customHeight="1">
      <c r="B13" s="220"/>
      <c r="C13" s="778">
        <f>IF(F13&lt;&gt;0,VLOOKUP(F13,fêtes,3),0)</f>
        <v>0</v>
      </c>
      <c r="D13" s="779"/>
      <c r="E13" s="779"/>
      <c r="F13" s="178">
        <f>AJ9+1</f>
        <v>133</v>
      </c>
      <c r="G13" s="258"/>
      <c r="H13" s="778">
        <f>IF(K13&lt;&gt;0,VLOOKUP(K13,fêtes,3),0)</f>
        <v>0</v>
      </c>
      <c r="I13" s="779"/>
      <c r="J13" s="779"/>
      <c r="K13" s="178">
        <f>F13+1</f>
        <v>134</v>
      </c>
      <c r="L13" s="258"/>
      <c r="M13" s="778">
        <f>IF(P13&lt;&gt;0,VLOOKUP(P13,fêtes,3),0)</f>
        <v>0</v>
      </c>
      <c r="N13" s="779"/>
      <c r="O13" s="779"/>
      <c r="P13" s="178">
        <f>K13+1</f>
        <v>135</v>
      </c>
      <c r="Q13" s="258"/>
      <c r="R13" s="778">
        <f>IF(U13&lt;&gt;0,VLOOKUP(U13,fêtes,3),0)</f>
        <v>0</v>
      </c>
      <c r="S13" s="779"/>
      <c r="T13" s="779"/>
      <c r="U13" s="178">
        <f>P13+1</f>
        <v>136</v>
      </c>
      <c r="V13" s="258"/>
      <c r="W13" s="778">
        <f>IF(Z13&lt;&gt;0,VLOOKUP(Z13,fêtes,3),0)</f>
        <v>0</v>
      </c>
      <c r="X13" s="779"/>
      <c r="Y13" s="779"/>
      <c r="Z13" s="180">
        <f>U13+1</f>
        <v>137</v>
      </c>
      <c r="AA13" s="260"/>
      <c r="AB13" s="778">
        <f>IF(AE13&lt;&gt;0,VLOOKUP(AE13,fêtes,3),0)</f>
        <v>0</v>
      </c>
      <c r="AC13" s="779"/>
      <c r="AD13" s="779"/>
      <c r="AE13" s="178">
        <f>Z13+1</f>
        <v>138</v>
      </c>
      <c r="AF13" s="258"/>
      <c r="AG13" s="778">
        <f>IF(AJ13&lt;&gt;0,VLOOKUP(AJ13,fêtes,3),0)</f>
        <v>0</v>
      </c>
      <c r="AH13" s="779"/>
      <c r="AI13" s="779"/>
      <c r="AJ13" s="178">
        <f>AE13+1</f>
        <v>139</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e">
        <f>IF(F17&lt;&gt;0,VLOOKUP(F17,fêtes,2),0)</f>
        <v>#N/A</v>
      </c>
      <c r="D16" s="767"/>
      <c r="E16" s="717">
        <f>AI12+1</f>
        <v>20</v>
      </c>
      <c r="F16" s="766"/>
      <c r="G16" s="143"/>
      <c r="H16" s="706" t="str">
        <f>IF(K17&lt;&gt;0,VLOOKUP(K17,fêtes,2),0)</f>
        <v>Lundi de Pentecôte</v>
      </c>
      <c r="I16" s="767"/>
      <c r="J16" s="717">
        <f>E16+1</f>
        <v>21</v>
      </c>
      <c r="K16" s="766"/>
      <c r="L16" s="143"/>
      <c r="M16" s="706" t="e">
        <f>IF(P17&lt;&gt;0,VLOOKUP(P17,fêtes,2),0)</f>
        <v>#N/A</v>
      </c>
      <c r="N16" s="767"/>
      <c r="O16" s="717">
        <f>J16+1</f>
        <v>22</v>
      </c>
      <c r="P16" s="766"/>
      <c r="Q16" s="143"/>
      <c r="R16" s="706" t="e">
        <f>IF(U17&lt;&gt;0,VLOOKUP(U17,fêtes,2),0)</f>
        <v>#N/A</v>
      </c>
      <c r="S16" s="767"/>
      <c r="T16" s="717">
        <f>O16+1</f>
        <v>23</v>
      </c>
      <c r="U16" s="766"/>
      <c r="V16" s="143"/>
      <c r="W16" s="706" t="e">
        <f>IF(Z17&lt;&gt;0,VLOOKUP(Z17,fêtes,2),0)</f>
        <v>#N/A</v>
      </c>
      <c r="X16" s="767"/>
      <c r="Y16" s="717">
        <f>T16+1</f>
        <v>24</v>
      </c>
      <c r="Z16" s="766"/>
      <c r="AA16" s="143"/>
      <c r="AB16" s="706" t="e">
        <f>IF(AE17&lt;&gt;0,VLOOKUP(AE17,fêtes,2),0)</f>
        <v>#N/A</v>
      </c>
      <c r="AC16" s="767"/>
      <c r="AD16" s="717">
        <f>Y16+1</f>
        <v>25</v>
      </c>
      <c r="AE16" s="766"/>
      <c r="AF16" s="143"/>
      <c r="AG16" s="706" t="e">
        <f>IF(AJ17&lt;&gt;0,VLOOKUP(AJ17,fêtes,2),0)</f>
        <v>#N/A</v>
      </c>
      <c r="AH16" s="767"/>
      <c r="AI16" s="717">
        <f>AD16+1</f>
        <v>26</v>
      </c>
      <c r="AJ16" s="766"/>
      <c r="AK16" s="219"/>
    </row>
    <row r="17" spans="2:37" s="164" customFormat="1" ht="15.75" customHeight="1">
      <c r="B17" s="220"/>
      <c r="C17" s="778">
        <f>IF(F17&lt;&gt;0,VLOOKUP(F17,fêtes,3),0)</f>
        <v>0</v>
      </c>
      <c r="D17" s="779"/>
      <c r="E17" s="779"/>
      <c r="F17" s="178">
        <f>AJ13+1</f>
        <v>140</v>
      </c>
      <c r="G17" s="258"/>
      <c r="H17" s="778">
        <f>IF(K17&lt;&gt;0,VLOOKUP(K17,fêtes,3),0)</f>
        <v>0</v>
      </c>
      <c r="I17" s="779"/>
      <c r="J17" s="779"/>
      <c r="K17" s="178">
        <f>F17+1</f>
        <v>141</v>
      </c>
      <c r="L17" s="258"/>
      <c r="M17" s="778">
        <f>IF(P17&lt;&gt;0,VLOOKUP(P17,fêtes,3),0)</f>
        <v>0</v>
      </c>
      <c r="N17" s="779"/>
      <c r="O17" s="779"/>
      <c r="P17" s="178">
        <f>K17+1</f>
        <v>142</v>
      </c>
      <c r="Q17" s="258"/>
      <c r="R17" s="778">
        <f>IF(U17&lt;&gt;0,VLOOKUP(U17,fêtes,3),0)</f>
        <v>0</v>
      </c>
      <c r="S17" s="779"/>
      <c r="T17" s="779"/>
      <c r="U17" s="178">
        <f>P17+1</f>
        <v>143</v>
      </c>
      <c r="V17" s="258"/>
      <c r="W17" s="778">
        <f>IF(Z17&lt;&gt;0,VLOOKUP(Z17,fêtes,3),0)</f>
        <v>0</v>
      </c>
      <c r="X17" s="779"/>
      <c r="Y17" s="779"/>
      <c r="Z17" s="180">
        <f>U17+1</f>
        <v>144</v>
      </c>
      <c r="AA17" s="260"/>
      <c r="AB17" s="778">
        <f>IF(AE17&lt;&gt;0,VLOOKUP(AE17,fêtes,3),0)</f>
        <v>0</v>
      </c>
      <c r="AC17" s="779"/>
      <c r="AD17" s="779"/>
      <c r="AE17" s="178">
        <f>Z17+1</f>
        <v>145</v>
      </c>
      <c r="AF17" s="258"/>
      <c r="AG17" s="778">
        <f>IF(AJ17&lt;&gt;0,VLOOKUP(AJ17,fêtes,3),0)</f>
        <v>0</v>
      </c>
      <c r="AH17" s="779"/>
      <c r="AI17" s="779"/>
      <c r="AJ17" s="178">
        <f>AE17+1</f>
        <v>146</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e">
        <f>IF(F21&lt;&gt;0,VLOOKUP(F21,fêtes,2),0)</f>
        <v>#N/A</v>
      </c>
      <c r="D20" s="767"/>
      <c r="E20" s="717">
        <f>IF(AND(AI16+1&lt;=$K$52,AI16&lt;&gt;0),AI16+1,0)</f>
        <v>27</v>
      </c>
      <c r="F20" s="766"/>
      <c r="G20" s="143"/>
      <c r="H20" s="706" t="e">
        <f>IF(K21&lt;&gt;0,VLOOKUP(K21,fêtes,2),0)</f>
        <v>#N/A</v>
      </c>
      <c r="I20" s="767"/>
      <c r="J20" s="717">
        <f>IF(AND(E20+1&lt;=$K$52,E20&lt;&gt;0),E20+1,0)</f>
        <v>28</v>
      </c>
      <c r="K20" s="766"/>
      <c r="L20" s="143"/>
      <c r="M20" s="706" t="e">
        <f>IF(P21&lt;&gt;0,VLOOKUP(P21,fêtes,2),0)</f>
        <v>#N/A</v>
      </c>
      <c r="N20" s="767"/>
      <c r="O20" s="717">
        <f>IF(AND(J20+1&lt;=$K$52,J20&lt;&gt;0),J20+1,0)</f>
        <v>29</v>
      </c>
      <c r="P20" s="766"/>
      <c r="Q20" s="143"/>
      <c r="R20" s="706" t="e">
        <f>IF(U21&lt;&gt;0,VLOOKUP(U21,fêtes,2),0)</f>
        <v>#N/A</v>
      </c>
      <c r="S20" s="767"/>
      <c r="T20" s="717">
        <f>IF(AND(O20+1&lt;=$K$52,O20&lt;&gt;0),O20+1,0)</f>
        <v>30</v>
      </c>
      <c r="U20" s="766"/>
      <c r="V20" s="143"/>
      <c r="W20" s="706" t="e">
        <f>IF(Z21&lt;&gt;0,VLOOKUP(Z21,fêtes,2),0)</f>
        <v>#N/A</v>
      </c>
      <c r="X20" s="767"/>
      <c r="Y20" s="717">
        <f>IF(AND(T20+1&lt;=$K$52,T20&lt;&gt;0),T20+1,0)</f>
        <v>31</v>
      </c>
      <c r="Z20" s="766"/>
      <c r="AA20" s="143"/>
      <c r="AB20" s="706">
        <f>IF(AE21&lt;&gt;0,VLOOKUP(AE21,fêtes,2),0)</f>
        <v>0</v>
      </c>
      <c r="AC20" s="767"/>
      <c r="AD20" s="717">
        <f>IF(AND(Y20+1&lt;=$K$52,Y20&lt;&gt;0),Y20+1,0)</f>
        <v>0</v>
      </c>
      <c r="AE20" s="766"/>
      <c r="AF20" s="143"/>
      <c r="AG20" s="706">
        <f>IF(AJ21&lt;&gt;0,VLOOKUP(AJ21,fêtes,2),0)</f>
        <v>0</v>
      </c>
      <c r="AH20" s="767"/>
      <c r="AI20" s="717">
        <f>IF(AND(AD20+1&lt;=$K$52,AD20&lt;&gt;0),AD20+1,0)</f>
        <v>0</v>
      </c>
      <c r="AJ20" s="766"/>
      <c r="AK20" s="219"/>
    </row>
    <row r="21" spans="2:37" s="164" customFormat="1" ht="15.75" customHeight="1">
      <c r="B21" s="220"/>
      <c r="C21" s="778">
        <f>IF(F21&lt;&gt;0,VLOOKUP(F21,fêtes,3),0)</f>
        <v>0</v>
      </c>
      <c r="D21" s="779"/>
      <c r="E21" s="779"/>
      <c r="F21" s="178">
        <f>IF(E20&lt;&gt;0,AJ17+1,0)</f>
        <v>147</v>
      </c>
      <c r="G21" s="258"/>
      <c r="H21" s="778">
        <f>IF(K21&lt;&gt;0,VLOOKUP(K21,fêtes,3),0)</f>
        <v>0</v>
      </c>
      <c r="I21" s="779"/>
      <c r="J21" s="779"/>
      <c r="K21" s="178">
        <f>IF(J20&lt;&gt;0,F21+1,0)</f>
        <v>148</v>
      </c>
      <c r="L21" s="258"/>
      <c r="M21" s="778">
        <f>IF(P21&lt;&gt;0,VLOOKUP(P21,fêtes,3),0)</f>
        <v>0</v>
      </c>
      <c r="N21" s="779"/>
      <c r="O21" s="779"/>
      <c r="P21" s="178">
        <f>IF(O20&lt;&gt;0,K21+1,0)</f>
        <v>149</v>
      </c>
      <c r="Q21" s="258"/>
      <c r="R21" s="778">
        <f>IF(U21&lt;&gt;0,VLOOKUP(U21,fêtes,3),0)</f>
        <v>0</v>
      </c>
      <c r="S21" s="779"/>
      <c r="T21" s="779"/>
      <c r="U21" s="178">
        <f>IF(T20&lt;&gt;0,P21+1,0)</f>
        <v>150</v>
      </c>
      <c r="V21" s="258"/>
      <c r="W21" s="778">
        <f>IF(Z21&lt;&gt;0,VLOOKUP(Z21,fêtes,3),0)</f>
        <v>0</v>
      </c>
      <c r="X21" s="779"/>
      <c r="Y21" s="779"/>
      <c r="Z21" s="178">
        <f>IF(Y20&lt;&gt;0,U21+1,0)</f>
        <v>151</v>
      </c>
      <c r="AA21" s="258"/>
      <c r="AB21" s="778">
        <f>IF(AE21&lt;&gt;0,VLOOKUP(AE21,fêtes,3),0)</f>
        <v>0</v>
      </c>
      <c r="AC21" s="779"/>
      <c r="AD21" s="779"/>
      <c r="AE21" s="178">
        <f>IF(AD20&lt;&gt;0,Z21+1,0)</f>
        <v>0</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1</v>
      </c>
      <c r="D30" s="160">
        <f>IF(P51=2,1,IF(C30&lt;&gt;0,C30+1,0))</f>
        <v>2</v>
      </c>
      <c r="E30" s="160">
        <f>IF(P51=3,1,IF(D30&lt;&gt;0,D30+1,0))</f>
        <v>3</v>
      </c>
      <c r="F30" s="160">
        <f>IF(P51=4,1,IF(E30&lt;&gt;0,E30+1,0))</f>
        <v>4</v>
      </c>
      <c r="G30" s="735">
        <f>IF(P51=5,1,IF(F30&lt;&gt;0,F30+1,0))</f>
        <v>5</v>
      </c>
      <c r="H30" s="736"/>
      <c r="I30" s="160">
        <f>IF(P51=6,1,IF(G30&lt;&gt;0,G30+1,0))</f>
        <v>6</v>
      </c>
      <c r="J30" s="160">
        <f>IF(P51=0,1,IF(I30&lt;&gt;0,I30+1,0))</f>
        <v>7</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0</v>
      </c>
      <c r="AH30" s="160">
        <f>IF($U$51=5,1,IF(AG30&lt;&gt;0,AG30+1,0))</f>
        <v>0</v>
      </c>
      <c r="AI30" s="160">
        <f>IF($U$51=6,1,IF(AH30&lt;&gt;0,AH30+1,0))</f>
        <v>1</v>
      </c>
      <c r="AJ30" s="160">
        <f>IF($U$51=0,1,IF(AI30&lt;&gt;0,AI30+1,0))</f>
        <v>2</v>
      </c>
      <c r="AK30" s="240"/>
    </row>
    <row r="31" spans="2:37" ht="14.1" customHeight="1">
      <c r="B31" s="235"/>
      <c r="C31" s="160">
        <f>J30+1</f>
        <v>8</v>
      </c>
      <c r="D31" s="160">
        <f>C31+1</f>
        <v>9</v>
      </c>
      <c r="E31" s="160">
        <f t="shared" ref="E31:G33" si="0">D31+1</f>
        <v>10</v>
      </c>
      <c r="F31" s="160">
        <f t="shared" si="0"/>
        <v>11</v>
      </c>
      <c r="G31" s="735">
        <f t="shared" si="0"/>
        <v>12</v>
      </c>
      <c r="H31" s="736"/>
      <c r="I31" s="160">
        <f>G31+1</f>
        <v>13</v>
      </c>
      <c r="J31" s="160">
        <f>I31+1</f>
        <v>14</v>
      </c>
      <c r="K31" s="143"/>
      <c r="L31" s="241"/>
      <c r="M31" s="236">
        <f>VLOOKUP(C52,Données,10)</f>
        <v>0</v>
      </c>
      <c r="N31" s="232"/>
      <c r="O31" s="232"/>
      <c r="P31" s="233"/>
      <c r="Q31" s="233"/>
      <c r="R31" s="231"/>
      <c r="S31" s="232"/>
      <c r="T31" s="232"/>
      <c r="U31" s="233"/>
      <c r="V31" s="233"/>
      <c r="W31" s="231"/>
      <c r="X31" s="232"/>
      <c r="Y31" s="232"/>
      <c r="Z31" s="233"/>
      <c r="AA31" s="233"/>
      <c r="AB31" s="231"/>
      <c r="AC31" s="160">
        <f>AJ30+1</f>
        <v>3</v>
      </c>
      <c r="AD31" s="160">
        <f t="shared" ref="AD31:AE33" si="1">AC31+1</f>
        <v>4</v>
      </c>
      <c r="AE31" s="165">
        <f t="shared" si="1"/>
        <v>5</v>
      </c>
      <c r="AF31" s="215"/>
      <c r="AG31" s="160">
        <f>AE31+1</f>
        <v>6</v>
      </c>
      <c r="AH31" s="160">
        <f t="shared" ref="AH31:AJ33" si="2">AG31+1</f>
        <v>7</v>
      </c>
      <c r="AI31" s="160">
        <f t="shared" si="2"/>
        <v>8</v>
      </c>
      <c r="AJ31" s="160">
        <f t="shared" si="2"/>
        <v>9</v>
      </c>
      <c r="AK31" s="240"/>
    </row>
    <row r="32" spans="2:37" ht="14.1" customHeight="1">
      <c r="B32" s="235"/>
      <c r="C32" s="160">
        <f>J31+1</f>
        <v>15</v>
      </c>
      <c r="D32" s="160">
        <f>C32+1</f>
        <v>16</v>
      </c>
      <c r="E32" s="160">
        <f t="shared" si="0"/>
        <v>17</v>
      </c>
      <c r="F32" s="160">
        <f t="shared" si="0"/>
        <v>18</v>
      </c>
      <c r="G32" s="735">
        <f t="shared" si="0"/>
        <v>19</v>
      </c>
      <c r="H32" s="736"/>
      <c r="I32" s="160">
        <f>G32+1</f>
        <v>20</v>
      </c>
      <c r="J32" s="160">
        <f>I32+1</f>
        <v>21</v>
      </c>
      <c r="K32" s="143"/>
      <c r="L32" s="238"/>
      <c r="M32" s="233"/>
      <c r="N32" s="237"/>
      <c r="O32" s="237"/>
      <c r="P32" s="238"/>
      <c r="Q32" s="238"/>
      <c r="R32" s="239"/>
      <c r="S32" s="237"/>
      <c r="T32" s="237"/>
      <c r="U32" s="238"/>
      <c r="V32" s="238"/>
      <c r="W32" s="239"/>
      <c r="X32" s="237"/>
      <c r="Y32" s="237"/>
      <c r="Z32" s="238"/>
      <c r="AA32" s="238"/>
      <c r="AB32" s="231"/>
      <c r="AC32" s="160">
        <f>AJ31+1</f>
        <v>10</v>
      </c>
      <c r="AD32" s="160">
        <f t="shared" si="1"/>
        <v>11</v>
      </c>
      <c r="AE32" s="165">
        <f t="shared" si="1"/>
        <v>12</v>
      </c>
      <c r="AF32" s="215"/>
      <c r="AG32" s="160">
        <f>AE32+1</f>
        <v>13</v>
      </c>
      <c r="AH32" s="160">
        <f t="shared" si="2"/>
        <v>14</v>
      </c>
      <c r="AI32" s="160">
        <f t="shared" si="2"/>
        <v>15</v>
      </c>
      <c r="AJ32" s="160">
        <f t="shared" si="2"/>
        <v>16</v>
      </c>
      <c r="AK32" s="240"/>
    </row>
    <row r="33" spans="2:37" ht="14.1" customHeight="1">
      <c r="B33" s="235"/>
      <c r="C33" s="160">
        <f>J32+1</f>
        <v>22</v>
      </c>
      <c r="D33" s="160">
        <f>C33+1</f>
        <v>23</v>
      </c>
      <c r="E33" s="160">
        <f t="shared" si="0"/>
        <v>24</v>
      </c>
      <c r="F33" s="160">
        <f t="shared" si="0"/>
        <v>25</v>
      </c>
      <c r="G33" s="735">
        <f t="shared" si="0"/>
        <v>26</v>
      </c>
      <c r="H33" s="736"/>
      <c r="I33" s="160">
        <f>G33+1</f>
        <v>27</v>
      </c>
      <c r="J33" s="160">
        <f>I33+1</f>
        <v>28</v>
      </c>
      <c r="K33" s="233"/>
      <c r="L33" s="233"/>
      <c r="M33" s="239"/>
      <c r="N33" s="232"/>
      <c r="O33" s="232"/>
      <c r="P33" s="233"/>
      <c r="Q33" s="233"/>
      <c r="R33" s="231"/>
      <c r="S33" s="232"/>
      <c r="T33" s="232"/>
      <c r="U33" s="233"/>
      <c r="V33" s="233"/>
      <c r="W33" s="231"/>
      <c r="X33" s="232"/>
      <c r="Y33" s="232"/>
      <c r="Z33" s="233"/>
      <c r="AA33" s="233"/>
      <c r="AB33" s="231"/>
      <c r="AC33" s="160">
        <f>AJ32+1</f>
        <v>17</v>
      </c>
      <c r="AD33" s="160">
        <f t="shared" si="1"/>
        <v>18</v>
      </c>
      <c r="AE33" s="165">
        <f t="shared" si="1"/>
        <v>19</v>
      </c>
      <c r="AF33" s="215"/>
      <c r="AG33" s="160">
        <f>AE33+1</f>
        <v>20</v>
      </c>
      <c r="AH33" s="160">
        <f t="shared" si="2"/>
        <v>21</v>
      </c>
      <c r="AI33" s="160">
        <f t="shared" si="2"/>
        <v>22</v>
      </c>
      <c r="AJ33" s="160">
        <f t="shared" si="2"/>
        <v>23</v>
      </c>
      <c r="AK33" s="240"/>
    </row>
    <row r="34" spans="2:37" ht="14.1" customHeight="1">
      <c r="B34" s="235"/>
      <c r="C34" s="160">
        <f>IF(AND(J33+1&lt;=$P$52,J33&lt;&gt;0),J33+1,0)</f>
        <v>29</v>
      </c>
      <c r="D34" s="160">
        <f t="shared" ref="D34:G35" si="3">IF(AND(C34+1&lt;=$P$52,C34&lt;&gt;0),C34+1,0)</f>
        <v>30</v>
      </c>
      <c r="E34" s="160">
        <f t="shared" si="3"/>
        <v>0</v>
      </c>
      <c r="F34" s="160">
        <f t="shared" si="3"/>
        <v>0</v>
      </c>
      <c r="G34" s="735">
        <f t="shared" si="3"/>
        <v>0</v>
      </c>
      <c r="H34" s="736"/>
      <c r="I34" s="165">
        <f>IF(AND(G34+1&lt;=$P$52,G34&lt;&gt;0),G34+1,0)</f>
        <v>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24</v>
      </c>
      <c r="AD34" s="160">
        <f>IF(AND(AC34+1&lt;=U52,AC34&lt;&gt;0),AC34+1,0)</f>
        <v>25</v>
      </c>
      <c r="AE34" s="165">
        <f>IF(AND(AD34+1&lt;=U52,AD34&lt;&gt;0),AD34+1,0)</f>
        <v>26</v>
      </c>
      <c r="AF34" s="215"/>
      <c r="AG34" s="160">
        <f>IF(AND(AE34+1&lt;=U52,AE34&lt;&gt;0),AE34+1,0)</f>
        <v>27</v>
      </c>
      <c r="AH34" s="160">
        <f>IF(AND(AG34+1&lt;=U52,AG34&lt;&gt;0),AG34+1,0)</f>
        <v>28</v>
      </c>
      <c r="AI34" s="160">
        <f>IF(AND(AH34+1&lt;=U52,AH34&lt;&gt;0),AH34+1,0)</f>
        <v>29</v>
      </c>
      <c r="AJ34" s="160">
        <f>IF(AND(AI34+1&lt;=U52,AI34&lt;&gt;0),AI34+1,0)</f>
        <v>30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43221</v>
      </c>
      <c r="L50" s="737"/>
      <c r="M50" s="737"/>
      <c r="N50" s="738"/>
      <c r="O50" s="147"/>
      <c r="P50" s="724">
        <f>DATE(C51,C52-1,1)</f>
        <v>43191</v>
      </c>
      <c r="Q50" s="725"/>
      <c r="R50" s="725"/>
      <c r="S50" s="726"/>
      <c r="T50" s="147"/>
      <c r="U50" s="724">
        <f>DATE(C51,C52+1,1)</f>
        <v>43252</v>
      </c>
      <c r="V50" s="759"/>
      <c r="W50" s="760"/>
    </row>
    <row r="51" spans="1:26" ht="15.75">
      <c r="A51" s="1" t="s">
        <v>153</v>
      </c>
      <c r="C51" s="762">
        <f>dates!H1</f>
        <v>2018</v>
      </c>
      <c r="D51" s="762"/>
      <c r="E51" s="138" t="str">
        <f>IF(C52=5,"Voir notes",0)</f>
        <v>Voir notes</v>
      </c>
      <c r="F51"/>
      <c r="G51" s="751">
        <f>DATE(C51+1,1,1)</f>
        <v>43466</v>
      </c>
      <c r="H51" s="752"/>
      <c r="I51" s="753"/>
      <c r="J51" s="147"/>
      <c r="K51" s="727">
        <f>MOD(K50,7)</f>
        <v>3</v>
      </c>
      <c r="L51" s="752"/>
      <c r="M51" s="752"/>
      <c r="N51" s="753"/>
      <c r="O51" s="147"/>
      <c r="P51" s="727">
        <f>MOD(P50,7)</f>
        <v>1</v>
      </c>
      <c r="Q51" s="728"/>
      <c r="R51" s="728"/>
      <c r="S51" s="729"/>
      <c r="T51" s="147"/>
      <c r="U51" s="727">
        <f>MOD(U50,7)</f>
        <v>6</v>
      </c>
      <c r="V51" s="733"/>
      <c r="W51" s="734"/>
    </row>
    <row r="52" spans="1:26" ht="15.75">
      <c r="A52" s="1" t="s">
        <v>152</v>
      </c>
      <c r="C52" s="168">
        <v>5</v>
      </c>
      <c r="D52" s="169"/>
      <c r="E52" s="139" t="s">
        <v>0</v>
      </c>
      <c r="F52"/>
      <c r="G52" s="754">
        <f>G51-G50</f>
        <v>365</v>
      </c>
      <c r="H52" s="755"/>
      <c r="I52" s="756"/>
      <c r="J52" s="147"/>
      <c r="K52" s="754">
        <f>VLOOKUP(C52,Données,3)</f>
        <v>31</v>
      </c>
      <c r="L52" s="782"/>
      <c r="M52" s="782"/>
      <c r="N52" s="783"/>
      <c r="O52" s="147"/>
      <c r="P52" s="754">
        <f>VLOOKUP(C52-1,Données,3)</f>
        <v>30</v>
      </c>
      <c r="Q52" s="782"/>
      <c r="R52" s="782"/>
      <c r="S52" s="783"/>
      <c r="T52" s="147"/>
      <c r="U52" s="754">
        <f>VLOOKUP(C52+1,Données,3)</f>
        <v>30</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58" priority="4" stopIfTrue="1" operator="containsText" text="CEPARI">
      <formula>NOT(ISERROR(SEARCH("CEPARI",C4)))</formula>
    </cfRule>
    <cfRule type="containsText" dxfId="57" priority="5" stopIfTrue="1" operator="containsText" text="Formation SP">
      <formula>NOT(ISERROR(SEARCH("Formation SP",C4)))</formula>
    </cfRule>
    <cfRule type="containsText" dxfId="56" priority="6" stopIfTrue="1" operator="containsText" text="Garde">
      <formula>NOT(ISERROR(SEARCH("Garde",C4)))</formula>
    </cfRule>
    <cfRule type="containsText" dxfId="55" priority="7" stopIfTrue="1" operator="containsText" text="Formation">
      <formula>NOT(ISERROR(SEARCH("Formation",C4)))</formula>
    </cfRule>
    <cfRule type="containsText" dxfId="54" priority="8" stopIfTrue="1" operator="containsText" text="Nuit">
      <formula>NOT(ISERROR(SEARCH("Nuit",C4)))</formula>
    </cfRule>
    <cfRule type="containsText" dxfId="53" priority="9" stopIfTrue="1" operator="containsText" text="Jour">
      <formula>NOT(ISERROR(SEARCH("Jour",C4)))</formula>
    </cfRule>
  </conditionalFormatting>
  <conditionalFormatting sqref="C4:AJ26">
    <cfRule type="containsText" dxfId="52" priority="1" stopIfTrue="1" operator="containsText" text="vacances">
      <formula>NOT(ISERROR(SEARCH("vacances",C4)))</formula>
    </cfRule>
  </conditionalFormatting>
  <hyperlinks>
    <hyperlink ref="C1:J1" location="dates!H122" display="dates!H122"/>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6018" r:id="rId4" name="MENU">
          <controlPr defaultSize="0" print="0" autoLine="0" r:id="rId5">
            <anchor moveWithCells="1">
              <from>
                <xdr:col>15</xdr:col>
                <xdr:colOff>38100</xdr:colOff>
                <xdr:row>8</xdr:row>
                <xdr:rowOff>152400</xdr:rowOff>
              </from>
              <to>
                <xdr:col>20</xdr:col>
                <xdr:colOff>304800</xdr:colOff>
                <xdr:row>11</xdr:row>
                <xdr:rowOff>85725</xdr:rowOff>
              </to>
            </anchor>
          </controlPr>
        </control>
      </mc:Choice>
      <mc:Fallback>
        <control shapeId="86018" r:id="rId4" name="MENU"/>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P74"/>
  <sheetViews>
    <sheetView showGridLines="0" workbookViewId="0">
      <pane ySplit="3" topLeftCell="A4" activePane="bottomLeft" state="frozen"/>
      <selection pane="bottomLeft" activeCell="C6" sqref="C6:E6"/>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JUIN</v>
      </c>
      <c r="D1" s="718"/>
      <c r="E1" s="718"/>
      <c r="F1" s="718"/>
      <c r="G1" s="718"/>
      <c r="H1" s="718"/>
      <c r="I1" s="718"/>
      <c r="J1" s="718"/>
      <c r="K1" s="189"/>
      <c r="L1" s="189"/>
      <c r="M1" s="190"/>
      <c r="N1" s="191" t="s">
        <v>187</v>
      </c>
      <c r="O1" s="188"/>
      <c r="P1" s="192"/>
      <c r="Q1" s="192"/>
      <c r="R1" s="190"/>
      <c r="S1" s="193"/>
      <c r="T1" s="194" t="str">
        <f>VLOOKUP(C52,Données,5)</f>
        <v>perle + alexandrite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rose + chèvrefeuille</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f>IF(P5&lt;&gt;0,VLOOKUP(P5,fêtes,2),0)</f>
        <v>0</v>
      </c>
      <c r="N4" s="767"/>
      <c r="O4" s="717">
        <f>IF($K$51=3,1,IF(J4&lt;&gt;0,J4+1,0))</f>
        <v>0</v>
      </c>
      <c r="P4" s="766"/>
      <c r="Q4" s="143"/>
      <c r="R4" s="706">
        <f>IF(U5&lt;&gt;0,VLOOKUP(U5,fêtes,2),0)</f>
        <v>0</v>
      </c>
      <c r="S4" s="767"/>
      <c r="T4" s="717">
        <f>IF($K$51=4,1,IF(O4&lt;&gt;0,O4+1,0))</f>
        <v>0</v>
      </c>
      <c r="U4" s="766"/>
      <c r="V4" s="143"/>
      <c r="W4" s="706">
        <f>IF(Z5&lt;&gt;0,VLOOKUP(Z5,fêtes,2),0)</f>
        <v>0</v>
      </c>
      <c r="X4" s="767"/>
      <c r="Y4" s="717">
        <f>IF($K$51=5,1,IF(T4&lt;&gt;0,T4+1,0))</f>
        <v>0</v>
      </c>
      <c r="Z4" s="766"/>
      <c r="AA4" s="143"/>
      <c r="AB4" s="706" t="e">
        <f>IF(AE5&lt;&gt;0,VLOOKUP(AE5,fêtes,2),0)</f>
        <v>#N/A</v>
      </c>
      <c r="AC4" s="767"/>
      <c r="AD4" s="717">
        <f>IF($K$51=6,1,IF(Y4&lt;&gt;0,Y4+1,0))</f>
        <v>1</v>
      </c>
      <c r="AE4" s="766"/>
      <c r="AF4" s="143"/>
      <c r="AG4" s="706" t="e">
        <f>IF(AJ5&lt;&gt;0,VLOOKUP(AJ5,fêtes,2),0)</f>
        <v>#N/A</v>
      </c>
      <c r="AH4" s="767"/>
      <c r="AI4" s="717">
        <f>IF($K$51=0,1,IF(AD4&lt;&gt;0,AD4+1,0))</f>
        <v>2</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0</v>
      </c>
      <c r="V5" s="258"/>
      <c r="W5" s="778">
        <f>IF(Z5&lt;&gt;0,VLOOKUP(Z5,fêtes,3),0)</f>
        <v>0</v>
      </c>
      <c r="X5" s="779"/>
      <c r="Y5" s="779"/>
      <c r="Z5" s="178">
        <f>IF(Y4&lt;&gt;0,VLOOKUP($C$52,Données,4)+T4,0)</f>
        <v>0</v>
      </c>
      <c r="AA5" s="258"/>
      <c r="AB5" s="778">
        <f>IF(AE5&lt;&gt;0,VLOOKUP(AE5,fêtes,3),0)</f>
        <v>0</v>
      </c>
      <c r="AC5" s="779"/>
      <c r="AD5" s="779"/>
      <c r="AE5" s="178">
        <f>IF(AD4&lt;&gt;0,VLOOKUP($C$52,Données,4)+Y4,0)</f>
        <v>152</v>
      </c>
      <c r="AF5" s="258"/>
      <c r="AG5" s="778">
        <f>IF(AJ5&lt;&gt;0,VLOOKUP(AJ5,fêtes,3),0)</f>
        <v>0</v>
      </c>
      <c r="AH5" s="779"/>
      <c r="AI5" s="779"/>
      <c r="AJ5" s="178">
        <f>IF(AI4&lt;&gt;0,VLOOKUP($C$52,Données,4)+AD4,0)</f>
        <v>153</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e">
        <f>IF(F9&lt;&gt;0,VLOOKUP(F9,fêtes,2),0)</f>
        <v>#N/A</v>
      </c>
      <c r="D8" s="767"/>
      <c r="E8" s="717">
        <f>AI4+1</f>
        <v>3</v>
      </c>
      <c r="F8" s="766"/>
      <c r="G8" s="143"/>
      <c r="H8" s="706" t="str">
        <f>IF(K9&lt;&gt;0,VLOOKUP(K9,fêtes,2),0)</f>
        <v>Maël</v>
      </c>
      <c r="I8" s="767"/>
      <c r="J8" s="717">
        <f>E8+1</f>
        <v>4</v>
      </c>
      <c r="K8" s="766"/>
      <c r="L8" s="143"/>
      <c r="M8" s="706" t="e">
        <f>IF(P9&lt;&gt;0,VLOOKUP(P9,fêtes,2),0)</f>
        <v>#N/A</v>
      </c>
      <c r="N8" s="767"/>
      <c r="O8" s="717">
        <f>J8+1</f>
        <v>5</v>
      </c>
      <c r="P8" s="766"/>
      <c r="Q8" s="143"/>
      <c r="R8" s="706" t="str">
        <f>IF(U9&lt;&gt;0,VLOOKUP(U9,fêtes,2),0)</f>
        <v>Mamie Babeth</v>
      </c>
      <c r="S8" s="767"/>
      <c r="T8" s="717">
        <f>O8+1</f>
        <v>6</v>
      </c>
      <c r="U8" s="766"/>
      <c r="V8" s="143"/>
      <c r="W8" s="706" t="e">
        <f>IF(Z9&lt;&gt;0,VLOOKUP(Z9,fêtes,2),0)</f>
        <v>#N/A</v>
      </c>
      <c r="X8" s="767"/>
      <c r="Y8" s="717">
        <f>T8+1</f>
        <v>7</v>
      </c>
      <c r="Z8" s="766"/>
      <c r="AA8" s="143"/>
      <c r="AB8" s="706" t="e">
        <f>IF(AE9&lt;&gt;0,VLOOKUP(AE9,fêtes,2),0)</f>
        <v>#N/A</v>
      </c>
      <c r="AC8" s="767"/>
      <c r="AD8" s="717">
        <f>Y8+1</f>
        <v>8</v>
      </c>
      <c r="AE8" s="766"/>
      <c r="AF8" s="143"/>
      <c r="AG8" s="706" t="e">
        <f>IF(AJ9&lt;&gt;0,VLOOKUP(AJ9,fêtes,2),0)</f>
        <v>#N/A</v>
      </c>
      <c r="AH8" s="767"/>
      <c r="AI8" s="717">
        <f>AD8+1</f>
        <v>9</v>
      </c>
      <c r="AJ8" s="766"/>
      <c r="AK8" s="219"/>
    </row>
    <row r="9" spans="2:42" s="164" customFormat="1" ht="15.75" customHeight="1">
      <c r="B9" s="220"/>
      <c r="C9" s="778">
        <f>IF(F9&lt;&gt;0,VLOOKUP(F9,fêtes,3),0)</f>
        <v>0</v>
      </c>
      <c r="D9" s="779"/>
      <c r="E9" s="779"/>
      <c r="F9" s="178">
        <f>AJ5+1</f>
        <v>154</v>
      </c>
      <c r="G9" s="258"/>
      <c r="H9" s="778">
        <f>IF(K9&lt;&gt;0,VLOOKUP(K9,fêtes,3),0)</f>
        <v>0</v>
      </c>
      <c r="I9" s="779"/>
      <c r="J9" s="779"/>
      <c r="K9" s="178">
        <f>F9+1</f>
        <v>155</v>
      </c>
      <c r="L9" s="258"/>
      <c r="M9" s="778">
        <f>IF(P9&lt;&gt;0,VLOOKUP(P9,fêtes,3),0)</f>
        <v>0</v>
      </c>
      <c r="N9" s="779"/>
      <c r="O9" s="779"/>
      <c r="P9" s="178">
        <f>K9+1</f>
        <v>156</v>
      </c>
      <c r="Q9" s="258"/>
      <c r="R9" s="778">
        <f>IF(U9&lt;&gt;0,VLOOKUP(U9,fêtes,3),0)</f>
        <v>0</v>
      </c>
      <c r="S9" s="779"/>
      <c r="T9" s="779"/>
      <c r="U9" s="178">
        <f>P9+1</f>
        <v>157</v>
      </c>
      <c r="V9" s="258"/>
      <c r="W9" s="778">
        <f>IF(Z9&lt;&gt;0,VLOOKUP(Z9,fêtes,3),0)</f>
        <v>0</v>
      </c>
      <c r="X9" s="779"/>
      <c r="Y9" s="779"/>
      <c r="Z9" s="179">
        <f>U9+1</f>
        <v>158</v>
      </c>
      <c r="AA9" s="259"/>
      <c r="AB9" s="778">
        <f>IF(AE9&lt;&gt;0,VLOOKUP(AE9,fêtes,3),0)</f>
        <v>0</v>
      </c>
      <c r="AC9" s="779"/>
      <c r="AD9" s="779"/>
      <c r="AE9" s="178">
        <f>Z9+1</f>
        <v>159</v>
      </c>
      <c r="AF9" s="258"/>
      <c r="AG9" s="778">
        <f>IF(AJ9&lt;&gt;0,VLOOKUP(AJ9,fêtes,3),0)</f>
        <v>0</v>
      </c>
      <c r="AH9" s="779"/>
      <c r="AI9" s="779"/>
      <c r="AJ9" s="178">
        <f>AE9+1</f>
        <v>160</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e">
        <f>IF(F13&lt;&gt;0,VLOOKUP(F13,fêtes,2),0)</f>
        <v>#N/A</v>
      </c>
      <c r="D12" s="767"/>
      <c r="E12" s="717">
        <f>AI8+1</f>
        <v>10</v>
      </c>
      <c r="F12" s="766"/>
      <c r="G12" s="143"/>
      <c r="H12" s="706" t="str">
        <f>IF(K13&lt;&gt;0,VLOOKUP(K13,fêtes,2),0)</f>
        <v>Yannick</v>
      </c>
      <c r="I12" s="767"/>
      <c r="J12" s="717">
        <f>E12+1</f>
        <v>11</v>
      </c>
      <c r="K12" s="766"/>
      <c r="L12" s="143"/>
      <c r="M12" s="706" t="e">
        <f>IF(P13&lt;&gt;0,VLOOKUP(P13,fêtes,2),0)</f>
        <v>#N/A</v>
      </c>
      <c r="N12" s="767"/>
      <c r="O12" s="717">
        <f>J12+1</f>
        <v>12</v>
      </c>
      <c r="P12" s="766"/>
      <c r="Q12" s="143"/>
      <c r="R12" s="706" t="e">
        <f>IF(U13&lt;&gt;0,VLOOKUP(U13,fêtes,2),0)</f>
        <v>#N/A</v>
      </c>
      <c r="S12" s="767"/>
      <c r="T12" s="717">
        <f>O12+1</f>
        <v>13</v>
      </c>
      <c r="U12" s="766"/>
      <c r="V12" s="143"/>
      <c r="W12" s="706" t="e">
        <f>IF(Z13&lt;&gt;0,VLOOKUP(Z13,fêtes,2),0)</f>
        <v>#N/A</v>
      </c>
      <c r="X12" s="767"/>
      <c r="Y12" s="717">
        <f>T12+1</f>
        <v>14</v>
      </c>
      <c r="Z12" s="766"/>
      <c r="AA12" s="143"/>
      <c r="AB12" s="706" t="e">
        <f>IF(AE13&lt;&gt;0,VLOOKUP(AE13,fêtes,2),0)</f>
        <v>#N/A</v>
      </c>
      <c r="AC12" s="767"/>
      <c r="AD12" s="717">
        <f>Y12+1</f>
        <v>15</v>
      </c>
      <c r="AE12" s="766"/>
      <c r="AF12" s="143"/>
      <c r="AG12" s="706" t="e">
        <f>IF(AJ13&lt;&gt;0,VLOOKUP(AJ13,fêtes,2),0)</f>
        <v>#N/A</v>
      </c>
      <c r="AH12" s="767"/>
      <c r="AI12" s="717">
        <f>AD12+1</f>
        <v>16</v>
      </c>
      <c r="AJ12" s="766"/>
      <c r="AK12" s="219"/>
    </row>
    <row r="13" spans="2:42" s="164" customFormat="1" ht="15.75" customHeight="1">
      <c r="B13" s="220"/>
      <c r="C13" s="778">
        <f>IF(F13&lt;&gt;0,VLOOKUP(F13,fêtes,3),0)</f>
        <v>0</v>
      </c>
      <c r="D13" s="779"/>
      <c r="E13" s="779"/>
      <c r="F13" s="178">
        <f>AJ9+1</f>
        <v>161</v>
      </c>
      <c r="G13" s="258"/>
      <c r="H13" s="778">
        <f>IF(K13&lt;&gt;0,VLOOKUP(K13,fêtes,3),0)</f>
        <v>0</v>
      </c>
      <c r="I13" s="779"/>
      <c r="J13" s="779"/>
      <c r="K13" s="178">
        <f>F13+1</f>
        <v>162</v>
      </c>
      <c r="L13" s="258"/>
      <c r="M13" s="778">
        <f>IF(P13&lt;&gt;0,VLOOKUP(P13,fêtes,3),0)</f>
        <v>0</v>
      </c>
      <c r="N13" s="779"/>
      <c r="O13" s="779"/>
      <c r="P13" s="178">
        <f>K13+1</f>
        <v>163</v>
      </c>
      <c r="Q13" s="258"/>
      <c r="R13" s="778">
        <f>IF(U13&lt;&gt;0,VLOOKUP(U13,fêtes,3),0)</f>
        <v>0</v>
      </c>
      <c r="S13" s="779"/>
      <c r="T13" s="779"/>
      <c r="U13" s="178">
        <f>P13+1</f>
        <v>164</v>
      </c>
      <c r="V13" s="258"/>
      <c r="W13" s="778">
        <f>IF(Z13&lt;&gt;0,VLOOKUP(Z13,fêtes,3),0)</f>
        <v>0</v>
      </c>
      <c r="X13" s="779"/>
      <c r="Y13" s="779"/>
      <c r="Z13" s="180">
        <f>U13+1</f>
        <v>165</v>
      </c>
      <c r="AA13" s="260"/>
      <c r="AB13" s="778">
        <f>IF(AE13&lt;&gt;0,VLOOKUP(AE13,fêtes,3),0)</f>
        <v>0</v>
      </c>
      <c r="AC13" s="779"/>
      <c r="AD13" s="779"/>
      <c r="AE13" s="178">
        <f>Z13+1</f>
        <v>166</v>
      </c>
      <c r="AF13" s="258"/>
      <c r="AG13" s="778">
        <f>IF(AJ13&lt;&gt;0,VLOOKUP(AJ13,fêtes,3),0)</f>
        <v>0</v>
      </c>
      <c r="AH13" s="779"/>
      <c r="AI13" s="779"/>
      <c r="AJ13" s="178">
        <f>AE13+1</f>
        <v>167</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e">
        <f>IF(F17&lt;&gt;0,VLOOKUP(F17,fêtes,2),0)</f>
        <v>#N/A</v>
      </c>
      <c r="D16" s="767"/>
      <c r="E16" s="717">
        <f>AI12+1</f>
        <v>17</v>
      </c>
      <c r="F16" s="766"/>
      <c r="G16" s="143"/>
      <c r="H16" s="706" t="e">
        <f>IF(K17&lt;&gt;0,VLOOKUP(K17,fêtes,2),0)</f>
        <v>#N/A</v>
      </c>
      <c r="I16" s="767"/>
      <c r="J16" s="717">
        <f>E16+1</f>
        <v>18</v>
      </c>
      <c r="K16" s="766"/>
      <c r="L16" s="143"/>
      <c r="M16" s="706" t="e">
        <f>IF(P17&lt;&gt;0,VLOOKUP(P17,fêtes,2),0)</f>
        <v>#N/A</v>
      </c>
      <c r="N16" s="767"/>
      <c r="O16" s="717">
        <f>J16+1</f>
        <v>19</v>
      </c>
      <c r="P16" s="766"/>
      <c r="Q16" s="143"/>
      <c r="R16" s="706" t="e">
        <f>IF(U17&lt;&gt;0,VLOOKUP(U17,fêtes,2),0)</f>
        <v>#N/A</v>
      </c>
      <c r="S16" s="767"/>
      <c r="T16" s="717">
        <f>O16+1</f>
        <v>20</v>
      </c>
      <c r="U16" s="766"/>
      <c r="V16" s="143"/>
      <c r="W16" s="706" t="e">
        <f>IF(Z17&lt;&gt;0,VLOOKUP(Z17,fêtes,2),0)</f>
        <v>#N/A</v>
      </c>
      <c r="X16" s="767"/>
      <c r="Y16" s="717">
        <f>T16+1</f>
        <v>21</v>
      </c>
      <c r="Z16" s="766"/>
      <c r="AA16" s="143"/>
      <c r="AB16" s="706" t="e">
        <f>IF(AE17&lt;&gt;0,VLOOKUP(AE17,fêtes,2),0)</f>
        <v>#N/A</v>
      </c>
      <c r="AC16" s="767"/>
      <c r="AD16" s="717">
        <f>Y16+1</f>
        <v>22</v>
      </c>
      <c r="AE16" s="766"/>
      <c r="AF16" s="143"/>
      <c r="AG16" s="706" t="e">
        <f>IF(AJ17&lt;&gt;0,VLOOKUP(AJ17,fêtes,2),0)</f>
        <v>#N/A</v>
      </c>
      <c r="AH16" s="767"/>
      <c r="AI16" s="717">
        <f>AD16+1</f>
        <v>23</v>
      </c>
      <c r="AJ16" s="766"/>
      <c r="AK16" s="219"/>
    </row>
    <row r="17" spans="2:37" s="164" customFormat="1" ht="15.75" customHeight="1">
      <c r="B17" s="220"/>
      <c r="C17" s="778">
        <f>IF(F17&lt;&gt;0,VLOOKUP(F17,fêtes,3),0)</f>
        <v>0</v>
      </c>
      <c r="D17" s="779"/>
      <c r="E17" s="779"/>
      <c r="F17" s="178">
        <f>AJ13+1</f>
        <v>168</v>
      </c>
      <c r="G17" s="258"/>
      <c r="H17" s="778">
        <f>IF(K17&lt;&gt;0,VLOOKUP(K17,fêtes,3),0)</f>
        <v>0</v>
      </c>
      <c r="I17" s="779"/>
      <c r="J17" s="779"/>
      <c r="K17" s="178">
        <f>F17+1</f>
        <v>169</v>
      </c>
      <c r="L17" s="258"/>
      <c r="M17" s="778">
        <f>IF(P17&lt;&gt;0,VLOOKUP(P17,fêtes,3),0)</f>
        <v>0</v>
      </c>
      <c r="N17" s="779"/>
      <c r="O17" s="779"/>
      <c r="P17" s="178">
        <f>K17+1</f>
        <v>170</v>
      </c>
      <c r="Q17" s="258"/>
      <c r="R17" s="778">
        <f>IF(U17&lt;&gt;0,VLOOKUP(U17,fêtes,3),0)</f>
        <v>0</v>
      </c>
      <c r="S17" s="779"/>
      <c r="T17" s="779"/>
      <c r="U17" s="178">
        <f>P17+1</f>
        <v>171</v>
      </c>
      <c r="V17" s="258"/>
      <c r="W17" s="778">
        <f>IF(Z17&lt;&gt;0,VLOOKUP(Z17,fêtes,3),0)</f>
        <v>0</v>
      </c>
      <c r="X17" s="779"/>
      <c r="Y17" s="779"/>
      <c r="Z17" s="180">
        <f>U17+1</f>
        <v>172</v>
      </c>
      <c r="AA17" s="260"/>
      <c r="AB17" s="778">
        <f>IF(AE17&lt;&gt;0,VLOOKUP(AE17,fêtes,3),0)</f>
        <v>0</v>
      </c>
      <c r="AC17" s="779"/>
      <c r="AD17" s="779"/>
      <c r="AE17" s="178">
        <f>Z17+1</f>
        <v>173</v>
      </c>
      <c r="AF17" s="258"/>
      <c r="AG17" s="778">
        <f>IF(AJ17&lt;&gt;0,VLOOKUP(AJ17,fêtes,3),0)</f>
        <v>0</v>
      </c>
      <c r="AH17" s="779"/>
      <c r="AI17" s="779"/>
      <c r="AJ17" s="178">
        <f>AE17+1</f>
        <v>174</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e">
        <f>IF(F21&lt;&gt;0,VLOOKUP(F21,fêtes,2),0)</f>
        <v>#N/A</v>
      </c>
      <c r="D20" s="767"/>
      <c r="E20" s="717">
        <f>IF(AND(AI16+1&lt;=$K$52,AI16&lt;&gt;0),AI16+1,0)</f>
        <v>24</v>
      </c>
      <c r="F20" s="766"/>
      <c r="G20" s="143"/>
      <c r="H20" s="706" t="e">
        <f>IF(K21&lt;&gt;0,VLOOKUP(K21,fêtes,2),0)</f>
        <v>#N/A</v>
      </c>
      <c r="I20" s="767"/>
      <c r="J20" s="717">
        <f>IF(AND(E20+1&lt;=$K$52,E20&lt;&gt;0),E20+1,0)</f>
        <v>25</v>
      </c>
      <c r="K20" s="766"/>
      <c r="L20" s="143"/>
      <c r="M20" s="706" t="e">
        <f>IF(P21&lt;&gt;0,VLOOKUP(P21,fêtes,2),0)</f>
        <v>#N/A</v>
      </c>
      <c r="N20" s="767"/>
      <c r="O20" s="717">
        <f>IF(AND(J20+1&lt;=$K$52,J20&lt;&gt;0),J20+1,0)</f>
        <v>26</v>
      </c>
      <c r="P20" s="766"/>
      <c r="Q20" s="143"/>
      <c r="R20" s="706" t="e">
        <f>IF(U21&lt;&gt;0,VLOOKUP(U21,fêtes,2),0)</f>
        <v>#N/A</v>
      </c>
      <c r="S20" s="767"/>
      <c r="T20" s="717">
        <f>IF(AND(O20+1&lt;=$K$52,O20&lt;&gt;0),O20+1,0)</f>
        <v>27</v>
      </c>
      <c r="U20" s="766"/>
      <c r="V20" s="143"/>
      <c r="W20" s="706" t="e">
        <f>IF(Z21&lt;&gt;0,VLOOKUP(Z21,fêtes,2),0)</f>
        <v>#N/A</v>
      </c>
      <c r="X20" s="767"/>
      <c r="Y20" s="717">
        <f>IF(AND(T20+1&lt;=$K$52,T20&lt;&gt;0),T20+1,0)</f>
        <v>28</v>
      </c>
      <c r="Z20" s="766"/>
      <c r="AA20" s="143"/>
      <c r="AB20" s="706" t="e">
        <f>IF(AE21&lt;&gt;0,VLOOKUP(AE21,fêtes,2),0)</f>
        <v>#N/A</v>
      </c>
      <c r="AC20" s="767"/>
      <c r="AD20" s="717">
        <f>IF(AND(Y20+1&lt;=$K$52,Y20&lt;&gt;0),Y20+1,0)</f>
        <v>29</v>
      </c>
      <c r="AE20" s="766"/>
      <c r="AF20" s="143"/>
      <c r="AG20" s="706" t="e">
        <f>IF(AJ21&lt;&gt;0,VLOOKUP(AJ21,fêtes,2),0)</f>
        <v>#N/A</v>
      </c>
      <c r="AH20" s="767"/>
      <c r="AI20" s="717">
        <f>IF(AND(AD20+1&lt;=$K$52,AD20&lt;&gt;0),AD20+1,0)</f>
        <v>30</v>
      </c>
      <c r="AJ20" s="766"/>
      <c r="AK20" s="219"/>
    </row>
    <row r="21" spans="2:37" s="164" customFormat="1" ht="15.75" customHeight="1">
      <c r="B21" s="220"/>
      <c r="C21" s="778">
        <f>IF(F21&lt;&gt;0,VLOOKUP(F21,fêtes,3),0)</f>
        <v>0</v>
      </c>
      <c r="D21" s="779"/>
      <c r="E21" s="779"/>
      <c r="F21" s="178">
        <f>IF(E20&lt;&gt;0,AJ17+1,0)</f>
        <v>175</v>
      </c>
      <c r="G21" s="258"/>
      <c r="H21" s="778">
        <f>IF(K21&lt;&gt;0,VLOOKUP(K21,fêtes,3),0)</f>
        <v>0</v>
      </c>
      <c r="I21" s="779"/>
      <c r="J21" s="779"/>
      <c r="K21" s="178">
        <f>IF(J20&lt;&gt;0,F21+1,0)</f>
        <v>176</v>
      </c>
      <c r="L21" s="258"/>
      <c r="M21" s="778">
        <f>IF(P21&lt;&gt;0,VLOOKUP(P21,fêtes,3),0)</f>
        <v>0</v>
      </c>
      <c r="N21" s="779"/>
      <c r="O21" s="779"/>
      <c r="P21" s="178">
        <f>IF(O20&lt;&gt;0,K21+1,0)</f>
        <v>177</v>
      </c>
      <c r="Q21" s="258"/>
      <c r="R21" s="778">
        <f>IF(U21&lt;&gt;0,VLOOKUP(U21,fêtes,3),0)</f>
        <v>0</v>
      </c>
      <c r="S21" s="779"/>
      <c r="T21" s="779"/>
      <c r="U21" s="178">
        <f>IF(T20&lt;&gt;0,P21+1,0)</f>
        <v>178</v>
      </c>
      <c r="V21" s="258"/>
      <c r="W21" s="778">
        <f>IF(Z21&lt;&gt;0,VLOOKUP(Z21,fêtes,3),0)</f>
        <v>0</v>
      </c>
      <c r="X21" s="779"/>
      <c r="Y21" s="779"/>
      <c r="Z21" s="178">
        <f>IF(Y20&lt;&gt;0,U21+1,0)</f>
        <v>179</v>
      </c>
      <c r="AA21" s="258"/>
      <c r="AB21" s="778">
        <f>IF(AE21&lt;&gt;0,VLOOKUP(AE21,fêtes,3),0)</f>
        <v>0</v>
      </c>
      <c r="AC21" s="779"/>
      <c r="AD21" s="779"/>
      <c r="AE21" s="178">
        <f>IF(AD20&lt;&gt;0,Z21+1,0)</f>
        <v>180</v>
      </c>
      <c r="AF21" s="258"/>
      <c r="AG21" s="778">
        <f>IF(AJ21&lt;&gt;0,VLOOKUP(AJ21,fêtes,3),0)</f>
        <v>0</v>
      </c>
      <c r="AH21" s="779"/>
      <c r="AI21" s="779"/>
      <c r="AJ21" s="178">
        <f>IF(AI20&lt;&gt;0,AE21+1,0)</f>
        <v>181</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1</v>
      </c>
      <c r="F30" s="160">
        <f>IF(P51=4,1,IF(E30&lt;&gt;0,E30+1,0))</f>
        <v>2</v>
      </c>
      <c r="G30" s="735">
        <f>IF(P51=5,1,IF(F30&lt;&gt;0,F30+1,0))</f>
        <v>3</v>
      </c>
      <c r="H30" s="736"/>
      <c r="I30" s="160">
        <f>IF(P51=6,1,IF(G30&lt;&gt;0,G30+1,0))</f>
        <v>4</v>
      </c>
      <c r="J30" s="160">
        <f>IF(P51=0,1,IF(I30&lt;&gt;0,I30+1,0))</f>
        <v>5</v>
      </c>
      <c r="K30" s="143"/>
      <c r="L30" s="236"/>
      <c r="M30" s="241">
        <f>VLOOKUP(C52,Données,9)</f>
        <v>0</v>
      </c>
      <c r="N30" s="237"/>
      <c r="O30" s="237"/>
      <c r="P30" s="238"/>
      <c r="Q30" s="238"/>
      <c r="R30" s="239"/>
      <c r="S30" s="237"/>
      <c r="T30" s="237"/>
      <c r="U30" s="238"/>
      <c r="V30" s="238"/>
      <c r="W30" s="239"/>
      <c r="X30" s="237"/>
      <c r="Y30" s="237"/>
      <c r="Z30" s="238"/>
      <c r="AA30" s="238"/>
      <c r="AB30" s="231"/>
      <c r="AC30" s="160">
        <f>IF($U$51=1,1,0)</f>
        <v>1</v>
      </c>
      <c r="AD30" s="160">
        <f>IF($U$51=2,1,IF(AC30&lt;&gt;0,AC30+1,0))</f>
        <v>2</v>
      </c>
      <c r="AE30" s="165">
        <f>IF($U$51=3,1,IF(AD30&lt;&gt;0,AD30+1,0))</f>
        <v>3</v>
      </c>
      <c r="AF30" s="215"/>
      <c r="AG30" s="160">
        <f>IF($U$51=4,1,IF(AE30&lt;&gt;0,AE30+1,0))</f>
        <v>4</v>
      </c>
      <c r="AH30" s="160">
        <f>IF($U$51=5,1,IF(AG30&lt;&gt;0,AG30+1,0))</f>
        <v>5</v>
      </c>
      <c r="AI30" s="160">
        <f>IF($U$51=6,1,IF(AH30&lt;&gt;0,AH30+1,0))</f>
        <v>6</v>
      </c>
      <c r="AJ30" s="160">
        <f>IF($U$51=0,1,IF(AI30&lt;&gt;0,AI30+1,0))</f>
        <v>7</v>
      </c>
      <c r="AK30" s="240"/>
    </row>
    <row r="31" spans="2:37" ht="14.1" customHeight="1">
      <c r="B31" s="235"/>
      <c r="C31" s="160">
        <f>J30+1</f>
        <v>6</v>
      </c>
      <c r="D31" s="160">
        <f>C31+1</f>
        <v>7</v>
      </c>
      <c r="E31" s="160">
        <f t="shared" ref="E31:G33" si="0">D31+1</f>
        <v>8</v>
      </c>
      <c r="F31" s="160">
        <f t="shared" si="0"/>
        <v>9</v>
      </c>
      <c r="G31" s="735">
        <f t="shared" si="0"/>
        <v>10</v>
      </c>
      <c r="H31" s="736"/>
      <c r="I31" s="160">
        <f>G31+1</f>
        <v>11</v>
      </c>
      <c r="J31" s="160">
        <f>I31+1</f>
        <v>12</v>
      </c>
      <c r="K31" s="143"/>
      <c r="L31" s="241"/>
      <c r="M31" s="236">
        <f>VLOOKUP(C52,Données,10)</f>
        <v>0</v>
      </c>
      <c r="N31" s="232"/>
      <c r="O31" s="232"/>
      <c r="P31" s="233"/>
      <c r="Q31" s="233"/>
      <c r="R31" s="231"/>
      <c r="S31" s="232"/>
      <c r="T31" s="232"/>
      <c r="U31" s="233"/>
      <c r="V31" s="233"/>
      <c r="W31" s="231"/>
      <c r="X31" s="232"/>
      <c r="Y31" s="232"/>
      <c r="Z31" s="233"/>
      <c r="AA31" s="233"/>
      <c r="AB31" s="231"/>
      <c r="AC31" s="160">
        <f>AJ30+1</f>
        <v>8</v>
      </c>
      <c r="AD31" s="160">
        <f t="shared" ref="AD31:AE33" si="1">AC31+1</f>
        <v>9</v>
      </c>
      <c r="AE31" s="165">
        <f t="shared" si="1"/>
        <v>10</v>
      </c>
      <c r="AF31" s="215"/>
      <c r="AG31" s="160">
        <f>AE31+1</f>
        <v>11</v>
      </c>
      <c r="AH31" s="160">
        <f t="shared" ref="AH31:AJ33" si="2">AG31+1</f>
        <v>12</v>
      </c>
      <c r="AI31" s="160">
        <f t="shared" si="2"/>
        <v>13</v>
      </c>
      <c r="AJ31" s="160">
        <f t="shared" si="2"/>
        <v>14</v>
      </c>
      <c r="AK31" s="240"/>
    </row>
    <row r="32" spans="2:37" ht="14.1" customHeight="1">
      <c r="B32" s="235"/>
      <c r="C32" s="160">
        <f>J31+1</f>
        <v>13</v>
      </c>
      <c r="D32" s="160">
        <f>C32+1</f>
        <v>14</v>
      </c>
      <c r="E32" s="160">
        <f t="shared" si="0"/>
        <v>15</v>
      </c>
      <c r="F32" s="160">
        <f t="shared" si="0"/>
        <v>16</v>
      </c>
      <c r="G32" s="735">
        <f t="shared" si="0"/>
        <v>17</v>
      </c>
      <c r="H32" s="736"/>
      <c r="I32" s="160">
        <f>G32+1</f>
        <v>18</v>
      </c>
      <c r="J32" s="160">
        <f>I32+1</f>
        <v>19</v>
      </c>
      <c r="K32" s="143"/>
      <c r="L32" s="238"/>
      <c r="M32" s="233"/>
      <c r="N32" s="237"/>
      <c r="O32" s="237"/>
      <c r="P32" s="238"/>
      <c r="Q32" s="238"/>
      <c r="R32" s="239"/>
      <c r="S32" s="237"/>
      <c r="T32" s="237"/>
      <c r="U32" s="238"/>
      <c r="V32" s="238"/>
      <c r="W32" s="239"/>
      <c r="X32" s="237"/>
      <c r="Y32" s="237"/>
      <c r="Z32" s="238"/>
      <c r="AA32" s="238"/>
      <c r="AB32" s="231"/>
      <c r="AC32" s="160">
        <f>AJ31+1</f>
        <v>15</v>
      </c>
      <c r="AD32" s="160">
        <f t="shared" si="1"/>
        <v>16</v>
      </c>
      <c r="AE32" s="165">
        <f t="shared" si="1"/>
        <v>17</v>
      </c>
      <c r="AF32" s="215"/>
      <c r="AG32" s="160">
        <f>AE32+1</f>
        <v>18</v>
      </c>
      <c r="AH32" s="160">
        <f t="shared" si="2"/>
        <v>19</v>
      </c>
      <c r="AI32" s="160">
        <f t="shared" si="2"/>
        <v>20</v>
      </c>
      <c r="AJ32" s="160">
        <f t="shared" si="2"/>
        <v>21</v>
      </c>
      <c r="AK32" s="240"/>
    </row>
    <row r="33" spans="2:37" ht="14.1" customHeight="1">
      <c r="B33" s="235"/>
      <c r="C33" s="160">
        <f>J32+1</f>
        <v>20</v>
      </c>
      <c r="D33" s="160">
        <f>C33+1</f>
        <v>21</v>
      </c>
      <c r="E33" s="160">
        <f t="shared" si="0"/>
        <v>22</v>
      </c>
      <c r="F33" s="160">
        <f t="shared" si="0"/>
        <v>23</v>
      </c>
      <c r="G33" s="735">
        <f t="shared" si="0"/>
        <v>24</v>
      </c>
      <c r="H33" s="736"/>
      <c r="I33" s="160">
        <f>G33+1</f>
        <v>25</v>
      </c>
      <c r="J33" s="160">
        <f>I33+1</f>
        <v>26</v>
      </c>
      <c r="K33" s="233"/>
      <c r="L33" s="233"/>
      <c r="M33" s="239"/>
      <c r="N33" s="232"/>
      <c r="O33" s="232"/>
      <c r="P33" s="233"/>
      <c r="Q33" s="233"/>
      <c r="R33" s="231"/>
      <c r="S33" s="232"/>
      <c r="T33" s="232"/>
      <c r="U33" s="233"/>
      <c r="V33" s="233"/>
      <c r="W33" s="231"/>
      <c r="X33" s="232"/>
      <c r="Y33" s="232"/>
      <c r="Z33" s="233"/>
      <c r="AA33" s="233"/>
      <c r="AB33" s="231"/>
      <c r="AC33" s="160">
        <f>AJ32+1</f>
        <v>22</v>
      </c>
      <c r="AD33" s="160">
        <f t="shared" si="1"/>
        <v>23</v>
      </c>
      <c r="AE33" s="165">
        <f t="shared" si="1"/>
        <v>24</v>
      </c>
      <c r="AF33" s="215"/>
      <c r="AG33" s="160">
        <f>AE33+1</f>
        <v>25</v>
      </c>
      <c r="AH33" s="160">
        <f t="shared" si="2"/>
        <v>26</v>
      </c>
      <c r="AI33" s="160">
        <f t="shared" si="2"/>
        <v>27</v>
      </c>
      <c r="AJ33" s="160">
        <f t="shared" si="2"/>
        <v>28</v>
      </c>
      <c r="AK33" s="240"/>
    </row>
    <row r="34" spans="2:37" ht="14.1" customHeight="1">
      <c r="B34" s="235"/>
      <c r="C34" s="160">
        <f>IF(AND(J33+1&lt;=$P$52,J33&lt;&gt;0),J33+1,0)</f>
        <v>27</v>
      </c>
      <c r="D34" s="160">
        <f t="shared" ref="D34:G35" si="3">IF(AND(C34+1&lt;=$P$52,C34&lt;&gt;0),C34+1,0)</f>
        <v>28</v>
      </c>
      <c r="E34" s="160">
        <f t="shared" si="3"/>
        <v>29</v>
      </c>
      <c r="F34" s="160">
        <f t="shared" si="3"/>
        <v>30</v>
      </c>
      <c r="G34" s="735">
        <f t="shared" si="3"/>
        <v>31</v>
      </c>
      <c r="H34" s="736"/>
      <c r="I34" s="165">
        <f>IF(AND(G34+1&lt;=$P$52,G34&lt;&gt;0),G34+1,0)</f>
        <v>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29</v>
      </c>
      <c r="AD34" s="160">
        <f>IF(AND(AC34+1&lt;=U52,AC34&lt;&gt;0),AC34+1,0)</f>
        <v>30</v>
      </c>
      <c r="AE34" s="165">
        <f>IF(AND(AD34+1&lt;=U52,AD34&lt;&gt;0),AD34+1,0)</f>
        <v>31</v>
      </c>
      <c r="AF34" s="215"/>
      <c r="AG34" s="160">
        <f>IF(AND(AE34+1&lt;=U52,AE34&lt;&gt;0),AE34+1,0)</f>
        <v>0</v>
      </c>
      <c r="AH34" s="160">
        <f>IF(AND(AG34+1&lt;=U52,AG34&lt;&gt;0),AG34+1,0)</f>
        <v>0</v>
      </c>
      <c r="AI34" s="160">
        <f>IF(AND(AH34+1&lt;=U52,AH34&lt;&gt;0),AH34+1,0)</f>
        <v>0</v>
      </c>
      <c r="AJ34" s="160">
        <f>IF(AND(AI34+1&lt;=U52,AI34&lt;&gt;0),AI34+1,0)</f>
        <v>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43252</v>
      </c>
      <c r="L50" s="737"/>
      <c r="M50" s="737"/>
      <c r="N50" s="738"/>
      <c r="O50" s="147"/>
      <c r="P50" s="724">
        <f>DATE(C51,C52-1,1)</f>
        <v>43221</v>
      </c>
      <c r="Q50" s="725"/>
      <c r="R50" s="725"/>
      <c r="S50" s="726"/>
      <c r="T50" s="147"/>
      <c r="U50" s="724">
        <f>DATE(C51,C52+1,1)</f>
        <v>43282</v>
      </c>
      <c r="V50" s="759"/>
      <c r="W50" s="760"/>
    </row>
    <row r="51" spans="1:26" ht="15.75">
      <c r="A51" s="1" t="s">
        <v>153</v>
      </c>
      <c r="C51" s="762">
        <f>dates!H1</f>
        <v>2018</v>
      </c>
      <c r="D51" s="762"/>
      <c r="E51" s="138">
        <f>IF(C52=5,"Voir notes",0)</f>
        <v>0</v>
      </c>
      <c r="F51"/>
      <c r="G51" s="751">
        <f>DATE(C51+1,1,1)</f>
        <v>43466</v>
      </c>
      <c r="H51" s="752"/>
      <c r="I51" s="753"/>
      <c r="J51" s="147"/>
      <c r="K51" s="727">
        <f>MOD(K50,7)</f>
        <v>6</v>
      </c>
      <c r="L51" s="752"/>
      <c r="M51" s="752"/>
      <c r="N51" s="753"/>
      <c r="O51" s="147"/>
      <c r="P51" s="727">
        <f>MOD(P50,7)</f>
        <v>3</v>
      </c>
      <c r="Q51" s="728"/>
      <c r="R51" s="728"/>
      <c r="S51" s="729"/>
      <c r="T51" s="147"/>
      <c r="U51" s="727">
        <f>MOD(U50,7)</f>
        <v>1</v>
      </c>
      <c r="V51" s="733"/>
      <c r="W51" s="734"/>
    </row>
    <row r="52" spans="1:26" ht="15.75">
      <c r="A52" s="1" t="s">
        <v>152</v>
      </c>
      <c r="C52" s="168">
        <v>6</v>
      </c>
      <c r="D52" s="169"/>
      <c r="E52" s="139" t="s">
        <v>0</v>
      </c>
      <c r="F52"/>
      <c r="G52" s="754">
        <f>G51-G50</f>
        <v>365</v>
      </c>
      <c r="H52" s="755"/>
      <c r="I52" s="756"/>
      <c r="J52" s="147"/>
      <c r="K52" s="754">
        <f>VLOOKUP(C52,Données,3)</f>
        <v>30</v>
      </c>
      <c r="L52" s="782"/>
      <c r="M52" s="782"/>
      <c r="N52" s="783"/>
      <c r="O52" s="147"/>
      <c r="P52" s="754">
        <f>VLOOKUP(C52-1,Données,3)</f>
        <v>31</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51" priority="4" stopIfTrue="1" operator="containsText" text="CEPARI">
      <formula>NOT(ISERROR(SEARCH("CEPARI",C4)))</formula>
    </cfRule>
    <cfRule type="containsText" dxfId="50" priority="5" stopIfTrue="1" operator="containsText" text="Formation SP">
      <formula>NOT(ISERROR(SEARCH("Formation SP",C4)))</formula>
    </cfRule>
    <cfRule type="containsText" dxfId="49" priority="6" stopIfTrue="1" operator="containsText" text="Garde">
      <formula>NOT(ISERROR(SEARCH("Garde",C4)))</formula>
    </cfRule>
    <cfRule type="containsText" dxfId="48" priority="7" stopIfTrue="1" operator="containsText" text="Formation">
      <formula>NOT(ISERROR(SEARCH("Formation",C4)))</formula>
    </cfRule>
    <cfRule type="containsText" dxfId="47" priority="8" stopIfTrue="1" operator="containsText" text="Nuit">
      <formula>NOT(ISERROR(SEARCH("Nuit",C4)))</formula>
    </cfRule>
    <cfRule type="containsText" dxfId="46" priority="9" stopIfTrue="1" operator="containsText" text="Jour">
      <formula>NOT(ISERROR(SEARCH("Jour",C4)))</formula>
    </cfRule>
  </conditionalFormatting>
  <conditionalFormatting sqref="C4:AJ26">
    <cfRule type="containsText" dxfId="45" priority="1" stopIfTrue="1" operator="containsText" text="vacances">
      <formula>NOT(ISERROR(SEARCH("vacances",C4)))</formula>
    </cfRule>
  </conditionalFormatting>
  <hyperlinks>
    <hyperlink ref="C1:J1" location="dates!H153" display="dates!H153"/>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4994" r:id="rId4" name="MENU">
          <controlPr defaultSize="0" print="0" autoLine="0" r:id="rId5">
            <anchor moveWithCells="1">
              <from>
                <xdr:col>15</xdr:col>
                <xdr:colOff>38100</xdr:colOff>
                <xdr:row>8</xdr:row>
                <xdr:rowOff>152400</xdr:rowOff>
              </from>
              <to>
                <xdr:col>20</xdr:col>
                <xdr:colOff>304800</xdr:colOff>
                <xdr:row>11</xdr:row>
                <xdr:rowOff>85725</xdr:rowOff>
              </to>
            </anchor>
          </controlPr>
        </control>
      </mc:Choice>
      <mc:Fallback>
        <control shapeId="84994" r:id="rId4" name="MENU"/>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P74"/>
  <sheetViews>
    <sheetView showGridLines="0" workbookViewId="0">
      <pane ySplit="3" topLeftCell="A18" activePane="bottomLeft" state="frozen"/>
      <selection pane="bottomLeft" activeCell="X27" sqref="X27"/>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JUILLET</v>
      </c>
      <c r="D1" s="718"/>
      <c r="E1" s="718"/>
      <c r="F1" s="718"/>
      <c r="G1" s="718"/>
      <c r="H1" s="718"/>
      <c r="I1" s="718"/>
      <c r="J1" s="718"/>
      <c r="K1" s="189"/>
      <c r="L1" s="189"/>
      <c r="M1" s="190"/>
      <c r="N1" s="191" t="s">
        <v>187</v>
      </c>
      <c r="O1" s="188"/>
      <c r="P1" s="192"/>
      <c r="Q1" s="192"/>
      <c r="R1" s="190"/>
      <c r="S1" s="193"/>
      <c r="T1" s="194" t="str">
        <f>VLOOKUP(C52,Données,5)</f>
        <v>rubis</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pied-d'alouette + nénuphar</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t="e">
        <f>IF(F5&lt;&gt;0,VLOOKUP(F5,fêtes,2),0)</f>
        <v>#N/A</v>
      </c>
      <c r="D4" s="767"/>
      <c r="E4" s="717">
        <f>IF($K$51=1,1,0)</f>
        <v>1</v>
      </c>
      <c r="F4" s="766"/>
      <c r="G4" s="143"/>
      <c r="H4" s="706" t="e">
        <f>IF(K5&lt;&gt;0,VLOOKUP(K5,fêtes,2),0)</f>
        <v>#N/A</v>
      </c>
      <c r="I4" s="767"/>
      <c r="J4" s="717">
        <f>IF($K$51=2,1,IF(E4&lt;&gt;0,E4+1,0))</f>
        <v>2</v>
      </c>
      <c r="K4" s="766"/>
      <c r="L4" s="143"/>
      <c r="M4" s="706" t="e">
        <f>IF(P5&lt;&gt;0,VLOOKUP(P5,fêtes,2),0)</f>
        <v>#N/A</v>
      </c>
      <c r="N4" s="767"/>
      <c r="O4" s="717">
        <f>IF($K$51=3,1,IF(J4&lt;&gt;0,J4+1,0))</f>
        <v>3</v>
      </c>
      <c r="P4" s="766"/>
      <c r="Q4" s="143"/>
      <c r="R4" s="706" t="e">
        <f>IF(U5&lt;&gt;0,VLOOKUP(U5,fêtes,2),0)</f>
        <v>#N/A</v>
      </c>
      <c r="S4" s="767"/>
      <c r="T4" s="717">
        <f>IF($K$51=4,1,IF(O4&lt;&gt;0,O4+1,0))</f>
        <v>4</v>
      </c>
      <c r="U4" s="766"/>
      <c r="V4" s="143"/>
      <c r="W4" s="706" t="e">
        <f>IF(Z5&lt;&gt;0,VLOOKUP(Z5,fêtes,2),0)</f>
        <v>#N/A</v>
      </c>
      <c r="X4" s="767"/>
      <c r="Y4" s="717">
        <f>IF($K$51=5,1,IF(T4&lt;&gt;0,T4+1,0))</f>
        <v>5</v>
      </c>
      <c r="Z4" s="766"/>
      <c r="AA4" s="143"/>
      <c r="AB4" s="706" t="e">
        <f>IF(AE5&lt;&gt;0,VLOOKUP(AE5,fêtes,2),0)</f>
        <v>#N/A</v>
      </c>
      <c r="AC4" s="767"/>
      <c r="AD4" s="717">
        <f>IF($K$51=6,1,IF(Y4&lt;&gt;0,Y4+1,0))</f>
        <v>6</v>
      </c>
      <c r="AE4" s="766"/>
      <c r="AF4" s="143"/>
      <c r="AG4" s="706" t="str">
        <f>IF(AJ5&lt;&gt;0,VLOOKUP(AJ5,fêtes,2),0)</f>
        <v>vacances</v>
      </c>
      <c r="AH4" s="767"/>
      <c r="AI4" s="717">
        <f>IF($K$51=0,1,IF(AD4&lt;&gt;0,AD4+1,0))</f>
        <v>7</v>
      </c>
      <c r="AJ4" s="766"/>
      <c r="AK4" s="219"/>
    </row>
    <row r="5" spans="2:42" s="164" customFormat="1" ht="15.75" customHeight="1">
      <c r="B5" s="220"/>
      <c r="C5" s="778">
        <f>IF(F5&lt;&gt;0,VLOOKUP(F5,fêtes,3),0)</f>
        <v>0</v>
      </c>
      <c r="D5" s="779"/>
      <c r="E5" s="779"/>
      <c r="F5" s="178">
        <f>IF(E4&lt;&gt;0,VLOOKUP($C$52,Données,4),0)</f>
        <v>182</v>
      </c>
      <c r="G5" s="258"/>
      <c r="H5" s="778">
        <f>IF(K5&lt;&gt;0,VLOOKUP(K5,fêtes,3),0)</f>
        <v>0</v>
      </c>
      <c r="I5" s="779"/>
      <c r="J5" s="779"/>
      <c r="K5" s="178">
        <f>IF(J4&lt;&gt;0,VLOOKUP($C$52,Données,4)+E4,0)</f>
        <v>183</v>
      </c>
      <c r="L5" s="258"/>
      <c r="M5" s="778">
        <f>IF(P5&lt;&gt;0,VLOOKUP(P5,fêtes,3),0)</f>
        <v>0</v>
      </c>
      <c r="N5" s="779"/>
      <c r="O5" s="779"/>
      <c r="P5" s="178">
        <f>IF(O4&lt;&gt;0,VLOOKUP($C$52,Données,4)+J4,0)</f>
        <v>184</v>
      </c>
      <c r="Q5" s="258"/>
      <c r="R5" s="778">
        <f>IF(U5&lt;&gt;0,VLOOKUP(U5,fêtes,3),0)</f>
        <v>0</v>
      </c>
      <c r="S5" s="779"/>
      <c r="T5" s="779"/>
      <c r="U5" s="178">
        <f>IF(T4&lt;&gt;0,VLOOKUP($C$52,Données,4)+O4,0)</f>
        <v>185</v>
      </c>
      <c r="V5" s="258"/>
      <c r="W5" s="778">
        <f>IF(Z5&lt;&gt;0,VLOOKUP(Z5,fêtes,3),0)</f>
        <v>0</v>
      </c>
      <c r="X5" s="779"/>
      <c r="Y5" s="779"/>
      <c r="Z5" s="178">
        <f>IF(Y4&lt;&gt;0,VLOOKUP($C$52,Données,4)+T4,0)</f>
        <v>186</v>
      </c>
      <c r="AA5" s="258"/>
      <c r="AB5" s="778">
        <f>IF(AE5&lt;&gt;0,VLOOKUP(AE5,fêtes,3),0)</f>
        <v>0</v>
      </c>
      <c r="AC5" s="779"/>
      <c r="AD5" s="779"/>
      <c r="AE5" s="178">
        <f>IF(AD4&lt;&gt;0,VLOOKUP($C$52,Données,4)+Y4,0)</f>
        <v>187</v>
      </c>
      <c r="AF5" s="258"/>
      <c r="AG5" s="778">
        <f>IF(AJ5&lt;&gt;0,VLOOKUP(AJ5,fêtes,3),0)</f>
        <v>0</v>
      </c>
      <c r="AH5" s="779"/>
      <c r="AI5" s="779"/>
      <c r="AJ5" s="178">
        <f>IF(AI4&lt;&gt;0,VLOOKUP($C$52,Données,4)+AD4,0)</f>
        <v>188</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str">
        <f>IF(F9&lt;&gt;0,VLOOKUP(F9,fêtes,2),0)</f>
        <v>vacances</v>
      </c>
      <c r="D8" s="767"/>
      <c r="E8" s="717">
        <f>AI4+1</f>
        <v>8</v>
      </c>
      <c r="F8" s="766"/>
      <c r="G8" s="143"/>
      <c r="H8" s="706" t="str">
        <f>IF(K9&lt;&gt;0,VLOOKUP(K9,fêtes,2),0)</f>
        <v>vacances</v>
      </c>
      <c r="I8" s="767"/>
      <c r="J8" s="717">
        <f>E8+1</f>
        <v>9</v>
      </c>
      <c r="K8" s="766"/>
      <c r="L8" s="143"/>
      <c r="M8" s="706" t="str">
        <f>IF(P9&lt;&gt;0,VLOOKUP(P9,fêtes,2),0)</f>
        <v>vacances</v>
      </c>
      <c r="N8" s="767"/>
      <c r="O8" s="717">
        <f>J8+1</f>
        <v>10</v>
      </c>
      <c r="P8" s="766"/>
      <c r="Q8" s="143"/>
      <c r="R8" s="706" t="str">
        <f>IF(U9&lt;&gt;0,VLOOKUP(U9,fêtes,2),0)</f>
        <v>vacances</v>
      </c>
      <c r="S8" s="767"/>
      <c r="T8" s="717">
        <f>O8+1</f>
        <v>11</v>
      </c>
      <c r="U8" s="766"/>
      <c r="V8" s="143"/>
      <c r="W8" s="706" t="str">
        <f>IF(Z9&lt;&gt;0,VLOOKUP(Z9,fêtes,2),0)</f>
        <v>Nina</v>
      </c>
      <c r="X8" s="767"/>
      <c r="Y8" s="717">
        <f>T8+1</f>
        <v>12</v>
      </c>
      <c r="Z8" s="766"/>
      <c r="AA8" s="143"/>
      <c r="AB8" s="706" t="str">
        <f>IF(AE9&lt;&gt;0,VLOOKUP(AE9,fêtes,2),0)</f>
        <v>vacances</v>
      </c>
      <c r="AC8" s="767"/>
      <c r="AD8" s="717">
        <f>Y8+1</f>
        <v>13</v>
      </c>
      <c r="AE8" s="766"/>
      <c r="AF8" s="143"/>
      <c r="AG8" s="706" t="str">
        <f>IF(AJ9&lt;&gt;0,VLOOKUP(AJ9,fêtes,2),0)</f>
        <v>Fête Nationale</v>
      </c>
      <c r="AH8" s="767"/>
      <c r="AI8" s="717">
        <f>AD8+1</f>
        <v>14</v>
      </c>
      <c r="AJ8" s="766"/>
      <c r="AK8" s="219"/>
    </row>
    <row r="9" spans="2:42" s="164" customFormat="1" ht="15.75" customHeight="1">
      <c r="B9" s="220"/>
      <c r="C9" s="778">
        <f>IF(F9&lt;&gt;0,VLOOKUP(F9,fêtes,3),0)</f>
        <v>0</v>
      </c>
      <c r="D9" s="779"/>
      <c r="E9" s="779"/>
      <c r="F9" s="178">
        <f>AJ5+1</f>
        <v>189</v>
      </c>
      <c r="G9" s="258"/>
      <c r="H9" s="778">
        <f>IF(K9&lt;&gt;0,VLOOKUP(K9,fêtes,3),0)</f>
        <v>0</v>
      </c>
      <c r="I9" s="779"/>
      <c r="J9" s="779"/>
      <c r="K9" s="178">
        <f>F9+1</f>
        <v>190</v>
      </c>
      <c r="L9" s="258"/>
      <c r="M9" s="778">
        <f>IF(P9&lt;&gt;0,VLOOKUP(P9,fêtes,3),0)</f>
        <v>0</v>
      </c>
      <c r="N9" s="779"/>
      <c r="O9" s="779"/>
      <c r="P9" s="178">
        <f>K9+1</f>
        <v>191</v>
      </c>
      <c r="Q9" s="258"/>
      <c r="R9" s="778">
        <f>IF(U9&lt;&gt;0,VLOOKUP(U9,fêtes,3),0)</f>
        <v>0</v>
      </c>
      <c r="S9" s="779"/>
      <c r="T9" s="779"/>
      <c r="U9" s="178">
        <f>P9+1</f>
        <v>192</v>
      </c>
      <c r="V9" s="258"/>
      <c r="W9" s="778">
        <f>IF(Z9&lt;&gt;0,VLOOKUP(Z9,fêtes,3),0)</f>
        <v>0</v>
      </c>
      <c r="X9" s="779"/>
      <c r="Y9" s="779"/>
      <c r="Z9" s="179">
        <f>U9+1</f>
        <v>193</v>
      </c>
      <c r="AA9" s="259"/>
      <c r="AB9" s="778">
        <f>IF(AE9&lt;&gt;0,VLOOKUP(AE9,fêtes,3),0)</f>
        <v>0</v>
      </c>
      <c r="AC9" s="779"/>
      <c r="AD9" s="779"/>
      <c r="AE9" s="178">
        <f>Z9+1</f>
        <v>194</v>
      </c>
      <c r="AF9" s="258"/>
      <c r="AG9" s="778">
        <f>IF(AJ9&lt;&gt;0,VLOOKUP(AJ9,fêtes,3),0)</f>
        <v>0</v>
      </c>
      <c r="AH9" s="779"/>
      <c r="AI9" s="779"/>
      <c r="AJ9" s="178">
        <f>AE9+1</f>
        <v>195</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str">
        <f>IF(F13&lt;&gt;0,VLOOKUP(F13,fêtes,2),0)</f>
        <v>vacances</v>
      </c>
      <c r="D12" s="767"/>
      <c r="E12" s="717">
        <f>AI8+1</f>
        <v>15</v>
      </c>
      <c r="F12" s="766"/>
      <c r="G12" s="143"/>
      <c r="H12" s="706" t="str">
        <f>IF(K13&lt;&gt;0,VLOOKUP(K13,fêtes,2),0)</f>
        <v>vacances</v>
      </c>
      <c r="I12" s="767"/>
      <c r="J12" s="717">
        <f>E12+1</f>
        <v>16</v>
      </c>
      <c r="K12" s="766"/>
      <c r="L12" s="143"/>
      <c r="M12" s="706" t="str">
        <f>IF(P13&lt;&gt;0,VLOOKUP(P13,fêtes,2),0)</f>
        <v>vacances</v>
      </c>
      <c r="N12" s="767"/>
      <c r="O12" s="717">
        <f>J12+1</f>
        <v>17</v>
      </c>
      <c r="P12" s="766"/>
      <c r="Q12" s="143"/>
      <c r="R12" s="706" t="str">
        <f>IF(U13&lt;&gt;0,VLOOKUP(U13,fêtes,2),0)</f>
        <v>vacances</v>
      </c>
      <c r="S12" s="767"/>
      <c r="T12" s="717">
        <f>O12+1</f>
        <v>18</v>
      </c>
      <c r="U12" s="766"/>
      <c r="V12" s="143"/>
      <c r="W12" s="706" t="str">
        <f>IF(Z13&lt;&gt;0,VLOOKUP(Z13,fêtes,2),0)</f>
        <v>vacances</v>
      </c>
      <c r="X12" s="767"/>
      <c r="Y12" s="717">
        <f>T12+1</f>
        <v>19</v>
      </c>
      <c r="Z12" s="766"/>
      <c r="AA12" s="143"/>
      <c r="AB12" s="706" t="str">
        <f>IF(AE13&lt;&gt;0,VLOOKUP(AE13,fêtes,2),0)</f>
        <v>vacances</v>
      </c>
      <c r="AC12" s="767"/>
      <c r="AD12" s="717">
        <f>Y12+1</f>
        <v>20</v>
      </c>
      <c r="AE12" s="766"/>
      <c r="AF12" s="143"/>
      <c r="AG12" s="706" t="str">
        <f>IF(AJ13&lt;&gt;0,VLOOKUP(AJ13,fêtes,2),0)</f>
        <v>vacances</v>
      </c>
      <c r="AH12" s="767"/>
      <c r="AI12" s="717">
        <f>AD12+1</f>
        <v>21</v>
      </c>
      <c r="AJ12" s="766"/>
      <c r="AK12" s="219"/>
    </row>
    <row r="13" spans="2:42" s="164" customFormat="1" ht="15.75" customHeight="1">
      <c r="B13" s="220"/>
      <c r="C13" s="778">
        <f>IF(F13&lt;&gt;0,VLOOKUP(F13,fêtes,3),0)</f>
        <v>0</v>
      </c>
      <c r="D13" s="779"/>
      <c r="E13" s="779"/>
      <c r="F13" s="178">
        <f>AJ9+1</f>
        <v>196</v>
      </c>
      <c r="G13" s="258"/>
      <c r="H13" s="778">
        <f>IF(K13&lt;&gt;0,VLOOKUP(K13,fêtes,3),0)</f>
        <v>0</v>
      </c>
      <c r="I13" s="779"/>
      <c r="J13" s="779"/>
      <c r="K13" s="178">
        <f>F13+1</f>
        <v>197</v>
      </c>
      <c r="L13" s="258"/>
      <c r="M13" s="778">
        <f>IF(P13&lt;&gt;0,VLOOKUP(P13,fêtes,3),0)</f>
        <v>0</v>
      </c>
      <c r="N13" s="779"/>
      <c r="O13" s="779"/>
      <c r="P13" s="178">
        <f>K13+1</f>
        <v>198</v>
      </c>
      <c r="Q13" s="258"/>
      <c r="R13" s="778">
        <f>IF(U13&lt;&gt;0,VLOOKUP(U13,fêtes,3),0)</f>
        <v>0</v>
      </c>
      <c r="S13" s="779"/>
      <c r="T13" s="779"/>
      <c r="U13" s="178">
        <f>P13+1</f>
        <v>199</v>
      </c>
      <c r="V13" s="258"/>
      <c r="W13" s="778">
        <f>IF(Z13&lt;&gt;0,VLOOKUP(Z13,fêtes,3),0)</f>
        <v>0</v>
      </c>
      <c r="X13" s="779"/>
      <c r="Y13" s="779"/>
      <c r="Z13" s="180">
        <f>U13+1</f>
        <v>200</v>
      </c>
      <c r="AA13" s="260"/>
      <c r="AB13" s="778">
        <f>IF(AE13&lt;&gt;0,VLOOKUP(AE13,fêtes,3),0)</f>
        <v>0</v>
      </c>
      <c r="AC13" s="779"/>
      <c r="AD13" s="779"/>
      <c r="AE13" s="178">
        <f>Z13+1</f>
        <v>201</v>
      </c>
      <c r="AF13" s="258"/>
      <c r="AG13" s="778">
        <f>IF(AJ13&lt;&gt;0,VLOOKUP(AJ13,fêtes,3),0)</f>
        <v>0</v>
      </c>
      <c r="AH13" s="779"/>
      <c r="AI13" s="779"/>
      <c r="AJ13" s="178">
        <f>AE13+1</f>
        <v>202</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str">
        <f>IF(F17&lt;&gt;0,VLOOKUP(F17,fêtes,2),0)</f>
        <v>vacances</v>
      </c>
      <c r="D16" s="767"/>
      <c r="E16" s="717">
        <f>AI12+1</f>
        <v>22</v>
      </c>
      <c r="F16" s="766"/>
      <c r="G16" s="143"/>
      <c r="H16" s="706" t="str">
        <f>IF(K17&lt;&gt;0,VLOOKUP(K17,fêtes,2),0)</f>
        <v>vacances</v>
      </c>
      <c r="I16" s="767"/>
      <c r="J16" s="717">
        <f>E16+1</f>
        <v>23</v>
      </c>
      <c r="K16" s="766"/>
      <c r="L16" s="143"/>
      <c r="M16" s="706" t="str">
        <f>IF(P17&lt;&gt;0,VLOOKUP(P17,fêtes,2),0)</f>
        <v>vacances</v>
      </c>
      <c r="N16" s="767"/>
      <c r="O16" s="717">
        <f>J16+1</f>
        <v>24</v>
      </c>
      <c r="P16" s="766"/>
      <c r="Q16" s="143"/>
      <c r="R16" s="706" t="str">
        <f>IF(U17&lt;&gt;0,VLOOKUP(U17,fêtes,2),0)</f>
        <v>vacances</v>
      </c>
      <c r="S16" s="767"/>
      <c r="T16" s="717">
        <f>O16+1</f>
        <v>25</v>
      </c>
      <c r="U16" s="766"/>
      <c r="V16" s="143"/>
      <c r="W16" s="706" t="str">
        <f>IF(Z17&lt;&gt;0,VLOOKUP(Z17,fêtes,2),0)</f>
        <v>vacances</v>
      </c>
      <c r="X16" s="767"/>
      <c r="Y16" s="717">
        <f>T16+1</f>
        <v>26</v>
      </c>
      <c r="Z16" s="766"/>
      <c r="AA16" s="143"/>
      <c r="AB16" s="706" t="str">
        <f>IF(AE17&lt;&gt;0,VLOOKUP(AE17,fêtes,2),0)</f>
        <v>vacances</v>
      </c>
      <c r="AC16" s="767"/>
      <c r="AD16" s="717">
        <f>Y16+1</f>
        <v>27</v>
      </c>
      <c r="AE16" s="766"/>
      <c r="AF16" s="143"/>
      <c r="AG16" s="706" t="str">
        <f>IF(AJ17&lt;&gt;0,VLOOKUP(AJ17,fêtes,2),0)</f>
        <v>vacances</v>
      </c>
      <c r="AH16" s="767"/>
      <c r="AI16" s="717">
        <f>AD16+1</f>
        <v>28</v>
      </c>
      <c r="AJ16" s="766"/>
      <c r="AK16" s="219"/>
    </row>
    <row r="17" spans="2:37" s="164" customFormat="1" ht="15.75" customHeight="1">
      <c r="B17" s="220"/>
      <c r="C17" s="778">
        <f>IF(F17&lt;&gt;0,VLOOKUP(F17,fêtes,3),0)</f>
        <v>0</v>
      </c>
      <c r="D17" s="779"/>
      <c r="E17" s="779"/>
      <c r="F17" s="178">
        <f>AJ13+1</f>
        <v>203</v>
      </c>
      <c r="G17" s="258"/>
      <c r="H17" s="778">
        <f>IF(K17&lt;&gt;0,VLOOKUP(K17,fêtes,3),0)</f>
        <v>0</v>
      </c>
      <c r="I17" s="779"/>
      <c r="J17" s="779"/>
      <c r="K17" s="178">
        <f>F17+1</f>
        <v>204</v>
      </c>
      <c r="L17" s="258"/>
      <c r="M17" s="778">
        <f>IF(P17&lt;&gt;0,VLOOKUP(P17,fêtes,3),0)</f>
        <v>0</v>
      </c>
      <c r="N17" s="779"/>
      <c r="O17" s="779"/>
      <c r="P17" s="178">
        <f>K17+1</f>
        <v>205</v>
      </c>
      <c r="Q17" s="258"/>
      <c r="R17" s="778">
        <f>IF(U17&lt;&gt;0,VLOOKUP(U17,fêtes,3),0)</f>
        <v>0</v>
      </c>
      <c r="S17" s="779"/>
      <c r="T17" s="779"/>
      <c r="U17" s="178">
        <f>P17+1</f>
        <v>206</v>
      </c>
      <c r="V17" s="258"/>
      <c r="W17" s="778">
        <f>IF(Z17&lt;&gt;0,VLOOKUP(Z17,fêtes,3),0)</f>
        <v>0</v>
      </c>
      <c r="X17" s="779"/>
      <c r="Y17" s="779"/>
      <c r="Z17" s="180">
        <f>U17+1</f>
        <v>207</v>
      </c>
      <c r="AA17" s="260"/>
      <c r="AB17" s="778">
        <f>IF(AE17&lt;&gt;0,VLOOKUP(AE17,fêtes,3),0)</f>
        <v>0</v>
      </c>
      <c r="AC17" s="779"/>
      <c r="AD17" s="779"/>
      <c r="AE17" s="178">
        <f>Z17+1</f>
        <v>208</v>
      </c>
      <c r="AF17" s="258"/>
      <c r="AG17" s="778">
        <f>IF(AJ17&lt;&gt;0,VLOOKUP(AJ17,fêtes,3),0)</f>
        <v>0</v>
      </c>
      <c r="AH17" s="779"/>
      <c r="AI17" s="779"/>
      <c r="AJ17" s="178">
        <f>AE17+1</f>
        <v>209</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str">
        <f>IF(F21&lt;&gt;0,VLOOKUP(F21,fêtes,2),0)</f>
        <v>vacances</v>
      </c>
      <c r="D20" s="767"/>
      <c r="E20" s="717">
        <f>IF(AND(AI16+1&lt;=$K$52,AI16&lt;&gt;0),AI16+1,0)</f>
        <v>29</v>
      </c>
      <c r="F20" s="766"/>
      <c r="G20" s="143"/>
      <c r="H20" s="706" t="str">
        <f>IF(K21&lt;&gt;0,VLOOKUP(K21,fêtes,2),0)</f>
        <v>vacances</v>
      </c>
      <c r="I20" s="767"/>
      <c r="J20" s="717">
        <f>IF(AND(E20+1&lt;=$K$52,E20&lt;&gt;0),E20+1,0)</f>
        <v>30</v>
      </c>
      <c r="K20" s="766"/>
      <c r="L20" s="143"/>
      <c r="M20" s="706" t="str">
        <f>IF(P21&lt;&gt;0,VLOOKUP(P21,fêtes,2),0)</f>
        <v>vacances</v>
      </c>
      <c r="N20" s="767"/>
      <c r="O20" s="717">
        <f>IF(AND(J20+1&lt;=$K$52,J20&lt;&gt;0),J20+1,0)</f>
        <v>31</v>
      </c>
      <c r="P20" s="766"/>
      <c r="Q20" s="143"/>
      <c r="R20" s="706">
        <f>IF(U21&lt;&gt;0,VLOOKUP(U21,fêtes,2),0)</f>
        <v>0</v>
      </c>
      <c r="S20" s="767"/>
      <c r="T20" s="717">
        <f>IF(AND(O20+1&lt;=$K$52,O20&lt;&gt;0),O20+1,0)</f>
        <v>0</v>
      </c>
      <c r="U20" s="766"/>
      <c r="V20" s="143"/>
      <c r="W20" s="706">
        <f>IF(Z21&lt;&gt;0,VLOOKUP(Z21,fêtes,2),0)</f>
        <v>0</v>
      </c>
      <c r="X20" s="767"/>
      <c r="Y20" s="717">
        <f>IF(AND(T20+1&lt;=$K$52,T20&lt;&gt;0),T20+1,0)</f>
        <v>0</v>
      </c>
      <c r="Z20" s="766"/>
      <c r="AA20" s="143"/>
      <c r="AB20" s="706">
        <f>IF(AE21&lt;&gt;0,VLOOKUP(AE21,fêtes,2),0)</f>
        <v>0</v>
      </c>
      <c r="AC20" s="767"/>
      <c r="AD20" s="717">
        <f>IF(AND(Y20+1&lt;=$K$52,Y20&lt;&gt;0),Y20+1,0)</f>
        <v>0</v>
      </c>
      <c r="AE20" s="766"/>
      <c r="AF20" s="143"/>
      <c r="AG20" s="706">
        <f>IF(AJ21&lt;&gt;0,VLOOKUP(AJ21,fêtes,2),0)</f>
        <v>0</v>
      </c>
      <c r="AH20" s="767"/>
      <c r="AI20" s="717">
        <f>IF(AND(AD20+1&lt;=$K$52,AD20&lt;&gt;0),AD20+1,0)</f>
        <v>0</v>
      </c>
      <c r="AJ20" s="766"/>
      <c r="AK20" s="219"/>
    </row>
    <row r="21" spans="2:37" s="164" customFormat="1" ht="15.75" customHeight="1">
      <c r="B21" s="220"/>
      <c r="C21" s="778">
        <f>IF(F21&lt;&gt;0,VLOOKUP(F21,fêtes,3),0)</f>
        <v>0</v>
      </c>
      <c r="D21" s="779"/>
      <c r="E21" s="779"/>
      <c r="F21" s="178">
        <f>IF(E20&lt;&gt;0,AJ17+1,0)</f>
        <v>210</v>
      </c>
      <c r="G21" s="258"/>
      <c r="H21" s="778">
        <f>IF(K21&lt;&gt;0,VLOOKUP(K21,fêtes,3),0)</f>
        <v>0</v>
      </c>
      <c r="I21" s="779"/>
      <c r="J21" s="779"/>
      <c r="K21" s="178">
        <f>IF(J20&lt;&gt;0,F21+1,0)</f>
        <v>211</v>
      </c>
      <c r="L21" s="258"/>
      <c r="M21" s="778">
        <f>IF(P21&lt;&gt;0,VLOOKUP(P21,fêtes,3),0)</f>
        <v>0</v>
      </c>
      <c r="N21" s="779"/>
      <c r="O21" s="779"/>
      <c r="P21" s="178">
        <f>IF(O20&lt;&gt;0,K21+1,0)</f>
        <v>212</v>
      </c>
      <c r="Q21" s="258"/>
      <c r="R21" s="778">
        <f>IF(U21&lt;&gt;0,VLOOKUP(U21,fêtes,3),0)</f>
        <v>0</v>
      </c>
      <c r="S21" s="779"/>
      <c r="T21" s="779"/>
      <c r="U21" s="178">
        <f>IF(T20&lt;&gt;0,P21+1,0)</f>
        <v>0</v>
      </c>
      <c r="V21" s="258"/>
      <c r="W21" s="778">
        <f>IF(Z21&lt;&gt;0,VLOOKUP(Z21,fêtes,3),0)</f>
        <v>0</v>
      </c>
      <c r="X21" s="779"/>
      <c r="Y21" s="779"/>
      <c r="Z21" s="178">
        <f>IF(Y20&lt;&gt;0,U21+1,0)</f>
        <v>0</v>
      </c>
      <c r="AA21" s="258"/>
      <c r="AB21" s="778">
        <f>IF(AE21&lt;&gt;0,VLOOKUP(AE21,fêtes,3),0)</f>
        <v>0</v>
      </c>
      <c r="AC21" s="779"/>
      <c r="AD21" s="779"/>
      <c r="AE21" s="178">
        <f>IF(AD20&lt;&gt;0,Z21+1,0)</f>
        <v>0</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0</v>
      </c>
      <c r="G30" s="735">
        <f>IF(P51=5,1,IF(F30&lt;&gt;0,F30+1,0))</f>
        <v>0</v>
      </c>
      <c r="H30" s="736"/>
      <c r="I30" s="160">
        <f>IF(P51=6,1,IF(G30&lt;&gt;0,G30+1,0))</f>
        <v>1</v>
      </c>
      <c r="J30" s="160">
        <f>IF(P51=0,1,IF(I30&lt;&gt;0,I30+1,0))</f>
        <v>2</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1</v>
      </c>
      <c r="AH30" s="160">
        <f>IF($U$51=5,1,IF(AG30&lt;&gt;0,AG30+1,0))</f>
        <v>2</v>
      </c>
      <c r="AI30" s="160">
        <f>IF($U$51=6,1,IF(AH30&lt;&gt;0,AH30+1,0))</f>
        <v>3</v>
      </c>
      <c r="AJ30" s="160">
        <f>IF($U$51=0,1,IF(AI30&lt;&gt;0,AI30+1,0))</f>
        <v>4</v>
      </c>
      <c r="AK30" s="240"/>
    </row>
    <row r="31" spans="2:37" ht="14.1" customHeight="1">
      <c r="B31" s="235"/>
      <c r="C31" s="160">
        <f>J30+1</f>
        <v>3</v>
      </c>
      <c r="D31" s="160">
        <f>C31+1</f>
        <v>4</v>
      </c>
      <c r="E31" s="160">
        <f t="shared" ref="E31:G33" si="0">D31+1</f>
        <v>5</v>
      </c>
      <c r="F31" s="160">
        <f t="shared" si="0"/>
        <v>6</v>
      </c>
      <c r="G31" s="735">
        <f t="shared" si="0"/>
        <v>7</v>
      </c>
      <c r="H31" s="736"/>
      <c r="I31" s="160">
        <f>G31+1</f>
        <v>8</v>
      </c>
      <c r="J31" s="160">
        <f>I31+1</f>
        <v>9</v>
      </c>
      <c r="K31" s="143"/>
      <c r="L31" s="241"/>
      <c r="M31" s="236">
        <f>VLOOKUP(C52,Données,10)</f>
        <v>0</v>
      </c>
      <c r="N31" s="232"/>
      <c r="O31" s="232"/>
      <c r="P31" s="233"/>
      <c r="Q31" s="233"/>
      <c r="R31" s="231"/>
      <c r="S31" s="232"/>
      <c r="T31" s="232"/>
      <c r="U31" s="233"/>
      <c r="V31" s="233"/>
      <c r="W31" s="231"/>
      <c r="X31" s="232"/>
      <c r="Y31" s="232"/>
      <c r="Z31" s="233"/>
      <c r="AA31" s="233"/>
      <c r="AB31" s="231"/>
      <c r="AC31" s="160">
        <f>AJ30+1</f>
        <v>5</v>
      </c>
      <c r="AD31" s="160">
        <f t="shared" ref="AD31:AE33" si="1">AC31+1</f>
        <v>6</v>
      </c>
      <c r="AE31" s="165">
        <f t="shared" si="1"/>
        <v>7</v>
      </c>
      <c r="AF31" s="215"/>
      <c r="AG31" s="160">
        <f>AE31+1</f>
        <v>8</v>
      </c>
      <c r="AH31" s="160">
        <f t="shared" ref="AH31:AJ33" si="2">AG31+1</f>
        <v>9</v>
      </c>
      <c r="AI31" s="160">
        <f t="shared" si="2"/>
        <v>10</v>
      </c>
      <c r="AJ31" s="160">
        <f t="shared" si="2"/>
        <v>11</v>
      </c>
      <c r="AK31" s="240"/>
    </row>
    <row r="32" spans="2:37" ht="14.1" customHeight="1">
      <c r="B32" s="235"/>
      <c r="C32" s="160">
        <f>J31+1</f>
        <v>10</v>
      </c>
      <c r="D32" s="160">
        <f>C32+1</f>
        <v>11</v>
      </c>
      <c r="E32" s="160">
        <f t="shared" si="0"/>
        <v>12</v>
      </c>
      <c r="F32" s="160">
        <f t="shared" si="0"/>
        <v>13</v>
      </c>
      <c r="G32" s="735">
        <f t="shared" si="0"/>
        <v>14</v>
      </c>
      <c r="H32" s="736"/>
      <c r="I32" s="160">
        <f>G32+1</f>
        <v>15</v>
      </c>
      <c r="J32" s="160">
        <f>I32+1</f>
        <v>16</v>
      </c>
      <c r="K32" s="143"/>
      <c r="L32" s="238"/>
      <c r="M32" s="233"/>
      <c r="N32" s="237"/>
      <c r="O32" s="237"/>
      <c r="P32" s="238"/>
      <c r="Q32" s="238"/>
      <c r="R32" s="239"/>
      <c r="S32" s="237"/>
      <c r="T32" s="237"/>
      <c r="U32" s="238"/>
      <c r="V32" s="238"/>
      <c r="W32" s="239"/>
      <c r="X32" s="237"/>
      <c r="Y32" s="237"/>
      <c r="Z32" s="238"/>
      <c r="AA32" s="238"/>
      <c r="AB32" s="231"/>
      <c r="AC32" s="160">
        <f>AJ31+1</f>
        <v>12</v>
      </c>
      <c r="AD32" s="160">
        <f t="shared" si="1"/>
        <v>13</v>
      </c>
      <c r="AE32" s="165">
        <f t="shared" si="1"/>
        <v>14</v>
      </c>
      <c r="AF32" s="215"/>
      <c r="AG32" s="160">
        <f>AE32+1</f>
        <v>15</v>
      </c>
      <c r="AH32" s="160">
        <f t="shared" si="2"/>
        <v>16</v>
      </c>
      <c r="AI32" s="160">
        <f t="shared" si="2"/>
        <v>17</v>
      </c>
      <c r="AJ32" s="160">
        <f t="shared" si="2"/>
        <v>18</v>
      </c>
      <c r="AK32" s="240"/>
    </row>
    <row r="33" spans="2:37" ht="14.1" customHeight="1">
      <c r="B33" s="235"/>
      <c r="C33" s="160">
        <f>J32+1</f>
        <v>17</v>
      </c>
      <c r="D33" s="160">
        <f>C33+1</f>
        <v>18</v>
      </c>
      <c r="E33" s="160">
        <f t="shared" si="0"/>
        <v>19</v>
      </c>
      <c r="F33" s="160">
        <f t="shared" si="0"/>
        <v>20</v>
      </c>
      <c r="G33" s="735">
        <f t="shared" si="0"/>
        <v>21</v>
      </c>
      <c r="H33" s="736"/>
      <c r="I33" s="160">
        <f>G33+1</f>
        <v>22</v>
      </c>
      <c r="J33" s="160">
        <f>I33+1</f>
        <v>23</v>
      </c>
      <c r="K33" s="233"/>
      <c r="L33" s="233"/>
      <c r="M33" s="239"/>
      <c r="N33" s="232"/>
      <c r="O33" s="232"/>
      <c r="P33" s="233"/>
      <c r="Q33" s="233"/>
      <c r="R33" s="231"/>
      <c r="S33" s="232"/>
      <c r="T33" s="232"/>
      <c r="U33" s="233"/>
      <c r="V33" s="233"/>
      <c r="W33" s="231"/>
      <c r="X33" s="232"/>
      <c r="Y33" s="232"/>
      <c r="Z33" s="233"/>
      <c r="AA33" s="233"/>
      <c r="AB33" s="231"/>
      <c r="AC33" s="160">
        <f>AJ32+1</f>
        <v>19</v>
      </c>
      <c r="AD33" s="160">
        <f t="shared" si="1"/>
        <v>20</v>
      </c>
      <c r="AE33" s="165">
        <f t="shared" si="1"/>
        <v>21</v>
      </c>
      <c r="AF33" s="215"/>
      <c r="AG33" s="160">
        <f>AE33+1</f>
        <v>22</v>
      </c>
      <c r="AH33" s="160">
        <f t="shared" si="2"/>
        <v>23</v>
      </c>
      <c r="AI33" s="160">
        <f t="shared" si="2"/>
        <v>24</v>
      </c>
      <c r="AJ33" s="160">
        <f t="shared" si="2"/>
        <v>25</v>
      </c>
      <c r="AK33" s="240"/>
    </row>
    <row r="34" spans="2:37" ht="14.1" customHeight="1">
      <c r="B34" s="235"/>
      <c r="C34" s="160">
        <f>IF(AND(J33+1&lt;=$P$52,J33&lt;&gt;0),J33+1,0)</f>
        <v>24</v>
      </c>
      <c r="D34" s="160">
        <f t="shared" ref="D34:G35" si="3">IF(AND(C34+1&lt;=$P$52,C34&lt;&gt;0),C34+1,0)</f>
        <v>25</v>
      </c>
      <c r="E34" s="160">
        <f t="shared" si="3"/>
        <v>26</v>
      </c>
      <c r="F34" s="160">
        <f t="shared" si="3"/>
        <v>27</v>
      </c>
      <c r="G34" s="735">
        <f t="shared" si="3"/>
        <v>28</v>
      </c>
      <c r="H34" s="736"/>
      <c r="I34" s="165">
        <f>IF(AND(G34+1&lt;=$P$52,G34&lt;&gt;0),G34+1,0)</f>
        <v>29</v>
      </c>
      <c r="J34" s="160">
        <f>IF(AND(I34+1&lt;=$P$52,I34&lt;&gt;0),I34+1,0)</f>
        <v>30</v>
      </c>
      <c r="K34" s="233"/>
      <c r="L34" s="238"/>
      <c r="M34" s="239"/>
      <c r="N34" s="237"/>
      <c r="O34" s="237"/>
      <c r="P34" s="238"/>
      <c r="Q34" s="238"/>
      <c r="R34" s="239"/>
      <c r="S34" s="237"/>
      <c r="T34" s="237"/>
      <c r="U34" s="238"/>
      <c r="V34" s="238"/>
      <c r="W34" s="239"/>
      <c r="X34" s="237"/>
      <c r="Y34" s="237"/>
      <c r="Z34" s="238"/>
      <c r="AA34" s="238"/>
      <c r="AB34" s="231"/>
      <c r="AC34" s="160">
        <f>IF(AND(AJ33+1&lt;=U52,AJ33&lt;&gt;0),AJ33+1,0)</f>
        <v>26</v>
      </c>
      <c r="AD34" s="160">
        <f>IF(AND(AC34+1&lt;=U52,AC34&lt;&gt;0),AC34+1,0)</f>
        <v>27</v>
      </c>
      <c r="AE34" s="165">
        <f>IF(AND(AD34+1&lt;=U52,AD34&lt;&gt;0),AD34+1,0)</f>
        <v>28</v>
      </c>
      <c r="AF34" s="215"/>
      <c r="AG34" s="160">
        <f>IF(AND(AE34+1&lt;=U52,AE34&lt;&gt;0),AE34+1,0)</f>
        <v>29</v>
      </c>
      <c r="AH34" s="160">
        <f>IF(AND(AG34+1&lt;=U52,AG34&lt;&gt;0),AG34+1,0)</f>
        <v>30</v>
      </c>
      <c r="AI34" s="160">
        <f>IF(AND(AH34+1&lt;=U52,AH34&lt;&gt;0),AH34+1,0)</f>
        <v>31</v>
      </c>
      <c r="AJ34" s="160">
        <f>IF(AND(AI34+1&lt;=U52,AI34&lt;&gt;0),AI34+1,0)</f>
        <v>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43282</v>
      </c>
      <c r="L50" s="737"/>
      <c r="M50" s="737"/>
      <c r="N50" s="738"/>
      <c r="O50" s="147"/>
      <c r="P50" s="724">
        <f>DATE(C51,C52-1,1)</f>
        <v>43252</v>
      </c>
      <c r="Q50" s="725"/>
      <c r="R50" s="725"/>
      <c r="S50" s="726"/>
      <c r="T50" s="147"/>
      <c r="U50" s="724">
        <f>DATE(C51,C52+1,1)</f>
        <v>43313</v>
      </c>
      <c r="V50" s="759"/>
      <c r="W50" s="760"/>
    </row>
    <row r="51" spans="1:26" ht="15.75">
      <c r="A51" s="1" t="s">
        <v>153</v>
      </c>
      <c r="C51" s="762">
        <f>dates!H1</f>
        <v>2018</v>
      </c>
      <c r="D51" s="762"/>
      <c r="E51" s="138">
        <f>IF(C52=5,"Voir notes",0)</f>
        <v>0</v>
      </c>
      <c r="F51"/>
      <c r="G51" s="751">
        <f>DATE(C51+1,1,1)</f>
        <v>43466</v>
      </c>
      <c r="H51" s="752"/>
      <c r="I51" s="753"/>
      <c r="J51" s="147"/>
      <c r="K51" s="727">
        <f>MOD(K50,7)</f>
        <v>1</v>
      </c>
      <c r="L51" s="752"/>
      <c r="M51" s="752"/>
      <c r="N51" s="753"/>
      <c r="O51" s="147"/>
      <c r="P51" s="727">
        <f>MOD(P50,7)</f>
        <v>6</v>
      </c>
      <c r="Q51" s="728"/>
      <c r="R51" s="728"/>
      <c r="S51" s="729"/>
      <c r="T51" s="147"/>
      <c r="U51" s="727">
        <f>MOD(U50,7)</f>
        <v>4</v>
      </c>
      <c r="V51" s="733"/>
      <c r="W51" s="734"/>
    </row>
    <row r="52" spans="1:26" ht="15.75">
      <c r="A52" s="1" t="s">
        <v>152</v>
      </c>
      <c r="C52" s="168">
        <v>7</v>
      </c>
      <c r="D52" s="169"/>
      <c r="E52" s="139" t="s">
        <v>0</v>
      </c>
      <c r="F52"/>
      <c r="G52" s="754">
        <f>G51-G50</f>
        <v>365</v>
      </c>
      <c r="H52" s="755"/>
      <c r="I52" s="756"/>
      <c r="J52" s="147"/>
      <c r="K52" s="754">
        <f>VLOOKUP(C52,Données,3)</f>
        <v>31</v>
      </c>
      <c r="L52" s="782"/>
      <c r="M52" s="782"/>
      <c r="N52" s="783"/>
      <c r="O52" s="147"/>
      <c r="P52" s="754">
        <f>VLOOKUP(C52-1,Données,3)</f>
        <v>30</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44" priority="4" stopIfTrue="1" operator="containsText" text="CEPARI">
      <formula>NOT(ISERROR(SEARCH("CEPARI",C4)))</formula>
    </cfRule>
    <cfRule type="containsText" dxfId="43" priority="5" stopIfTrue="1" operator="containsText" text="Formation SP">
      <formula>NOT(ISERROR(SEARCH("Formation SP",C4)))</formula>
    </cfRule>
    <cfRule type="containsText" dxfId="42" priority="6" stopIfTrue="1" operator="containsText" text="Garde">
      <formula>NOT(ISERROR(SEARCH("Garde",C4)))</formula>
    </cfRule>
    <cfRule type="containsText" dxfId="41" priority="7" stopIfTrue="1" operator="containsText" text="Formation">
      <formula>NOT(ISERROR(SEARCH("Formation",C4)))</formula>
    </cfRule>
    <cfRule type="containsText" dxfId="40" priority="8" stopIfTrue="1" operator="containsText" text="Nuit">
      <formula>NOT(ISERROR(SEARCH("Nuit",C4)))</formula>
    </cfRule>
    <cfRule type="containsText" dxfId="39" priority="9" stopIfTrue="1" operator="containsText" text="Jour">
      <formula>NOT(ISERROR(SEARCH("Jour",C4)))</formula>
    </cfRule>
  </conditionalFormatting>
  <conditionalFormatting sqref="C4:AJ26">
    <cfRule type="containsText" dxfId="38" priority="1" stopIfTrue="1" operator="containsText" text="vacances">
      <formula>NOT(ISERROR(SEARCH("vacances",C4)))</formula>
    </cfRule>
  </conditionalFormatting>
  <hyperlinks>
    <hyperlink ref="C1:J1" location="dates!H183" display="dates!H183"/>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3970" r:id="rId4" name="MENU">
          <controlPr defaultSize="0" print="0" autoLine="0" r:id="rId5">
            <anchor moveWithCells="1">
              <from>
                <xdr:col>23</xdr:col>
                <xdr:colOff>123825</xdr:colOff>
                <xdr:row>27</xdr:row>
                <xdr:rowOff>133350</xdr:rowOff>
              </from>
              <to>
                <xdr:col>29</xdr:col>
                <xdr:colOff>76200</xdr:colOff>
                <xdr:row>30</xdr:row>
                <xdr:rowOff>0</xdr:rowOff>
              </to>
            </anchor>
          </controlPr>
        </control>
      </mc:Choice>
      <mc:Fallback>
        <control shapeId="83970" r:id="rId4" name="MENU"/>
      </mc:Fallback>
    </mc:AlternateContent>
  </control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P74"/>
  <sheetViews>
    <sheetView showGridLines="0" workbookViewId="0">
      <pane ySplit="3" topLeftCell="A21" activePane="bottomLeft" state="frozen"/>
      <selection pane="bottomLeft" activeCell="X30" sqref="X30"/>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AOÛT</v>
      </c>
      <c r="D1" s="718"/>
      <c r="E1" s="718"/>
      <c r="F1" s="718"/>
      <c r="G1" s="718"/>
      <c r="H1" s="718"/>
      <c r="I1" s="718"/>
      <c r="J1" s="718"/>
      <c r="K1" s="189"/>
      <c r="L1" s="189"/>
      <c r="M1" s="190"/>
      <c r="N1" s="191" t="s">
        <v>187</v>
      </c>
      <c r="O1" s="188"/>
      <c r="P1" s="192"/>
      <c r="Q1" s="192"/>
      <c r="R1" s="190"/>
      <c r="S1" s="193"/>
      <c r="T1" s="194" t="str">
        <f>VLOOKUP(C52,Données,5)</f>
        <v>péridot + sardoine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glaieul + coquelicot</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86">
        <f>IF(F5&lt;&gt;0,VLOOKUP(F5,fêtes,2),0)</f>
        <v>0</v>
      </c>
      <c r="D4" s="787"/>
      <c r="E4" s="717">
        <f>IF($K$51=1,1,0)</f>
        <v>0</v>
      </c>
      <c r="F4" s="766"/>
      <c r="G4" s="143"/>
      <c r="H4" s="786">
        <f>IF(K5&lt;&gt;0,VLOOKUP(K5,fêtes,2),0)</f>
        <v>0</v>
      </c>
      <c r="I4" s="787"/>
      <c r="J4" s="717">
        <f>IF($K$51=2,1,IF(E4&lt;&gt;0,E4+1,0))</f>
        <v>0</v>
      </c>
      <c r="K4" s="766"/>
      <c r="L4" s="143"/>
      <c r="M4" s="786">
        <f>IF(P5&lt;&gt;0,VLOOKUP(P5,fêtes,2),0)</f>
        <v>0</v>
      </c>
      <c r="N4" s="787"/>
      <c r="O4" s="717">
        <f>IF($K$51=3,1,IF(J4&lt;&gt;0,J4+1,0))</f>
        <v>0</v>
      </c>
      <c r="P4" s="766"/>
      <c r="Q4" s="143"/>
      <c r="R4" s="786" t="str">
        <f>IF(U5&lt;&gt;0,VLOOKUP(U5,fêtes,2),0)</f>
        <v>vacances</v>
      </c>
      <c r="S4" s="787"/>
      <c r="T4" s="717">
        <f>IF($K$51=4,1,IF(O4&lt;&gt;0,O4+1,0))</f>
        <v>1</v>
      </c>
      <c r="U4" s="766"/>
      <c r="V4" s="143"/>
      <c r="W4" s="786" t="str">
        <f>IF(Z5&lt;&gt;0,VLOOKUP(Z5,fêtes,2),0)</f>
        <v>vacances</v>
      </c>
      <c r="X4" s="787"/>
      <c r="Y4" s="717">
        <f>IF($K$51=5,1,IF(T4&lt;&gt;0,T4+1,0))</f>
        <v>2</v>
      </c>
      <c r="Z4" s="766"/>
      <c r="AA4" s="143"/>
      <c r="AB4" s="786" t="str">
        <f>IF(AE5&lt;&gt;0,VLOOKUP(AE5,fêtes,2),0)</f>
        <v>vacances</v>
      </c>
      <c r="AC4" s="787"/>
      <c r="AD4" s="717">
        <f>IF($K$51=6,1,IF(Y4&lt;&gt;0,Y4+1,0))</f>
        <v>3</v>
      </c>
      <c r="AE4" s="766"/>
      <c r="AF4" s="143"/>
      <c r="AG4" s="786" t="str">
        <f>IF(AJ5&lt;&gt;0,VLOOKUP(AJ5,fêtes,2),0)</f>
        <v>vacances</v>
      </c>
      <c r="AH4" s="787"/>
      <c r="AI4" s="717">
        <f>IF($K$51=0,1,IF(AD4&lt;&gt;0,AD4+1,0))</f>
        <v>4</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213</v>
      </c>
      <c r="V5" s="258"/>
      <c r="W5" s="778">
        <f>IF(Z5&lt;&gt;0,VLOOKUP(Z5,fêtes,3),0)</f>
        <v>0</v>
      </c>
      <c r="X5" s="779"/>
      <c r="Y5" s="779"/>
      <c r="Z5" s="178">
        <f>IF(Y4&lt;&gt;0,VLOOKUP($C$52,Données,4)+T4,0)</f>
        <v>214</v>
      </c>
      <c r="AA5" s="258"/>
      <c r="AB5" s="778">
        <f>IF(AE5&lt;&gt;0,VLOOKUP(AE5,fêtes,3),0)</f>
        <v>0</v>
      </c>
      <c r="AC5" s="779"/>
      <c r="AD5" s="779"/>
      <c r="AE5" s="178">
        <f>IF(AD4&lt;&gt;0,VLOOKUP($C$52,Données,4)+Y4,0)</f>
        <v>215</v>
      </c>
      <c r="AF5" s="258"/>
      <c r="AG5" s="778">
        <f>IF(AJ5&lt;&gt;0,VLOOKUP(AJ5,fêtes,3),0)</f>
        <v>0</v>
      </c>
      <c r="AH5" s="779"/>
      <c r="AI5" s="779"/>
      <c r="AJ5" s="178">
        <f>IF(AI4&lt;&gt;0,VLOOKUP($C$52,Données,4)+AD4,0)</f>
        <v>216</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86" t="str">
        <f>IF(F9&lt;&gt;0,VLOOKUP(F9,fêtes,2),0)</f>
        <v>vacances</v>
      </c>
      <c r="D8" s="787"/>
      <c r="E8" s="717">
        <f>AI4+1</f>
        <v>5</v>
      </c>
      <c r="F8" s="766"/>
      <c r="G8" s="143"/>
      <c r="H8" s="786" t="str">
        <f>IF(K9&lt;&gt;0,VLOOKUP(K9,fêtes,2),0)</f>
        <v>vacances</v>
      </c>
      <c r="I8" s="787"/>
      <c r="J8" s="717">
        <f>E8+1</f>
        <v>6</v>
      </c>
      <c r="K8" s="766"/>
      <c r="L8" s="143"/>
      <c r="M8" s="786" t="str">
        <f>IF(P9&lt;&gt;0,VLOOKUP(P9,fêtes,2),0)</f>
        <v>vacances</v>
      </c>
      <c r="N8" s="787"/>
      <c r="O8" s="717">
        <f>J8+1</f>
        <v>7</v>
      </c>
      <c r="P8" s="766"/>
      <c r="Q8" s="143"/>
      <c r="R8" s="786" t="str">
        <f>IF(U9&lt;&gt;0,VLOOKUP(U9,fêtes,2),0)</f>
        <v>vacances</v>
      </c>
      <c r="S8" s="787"/>
      <c r="T8" s="717">
        <f>O8+1</f>
        <v>8</v>
      </c>
      <c r="U8" s="766"/>
      <c r="V8" s="143"/>
      <c r="W8" s="786" t="str">
        <f>IF(Z9&lt;&gt;0,VLOOKUP(Z9,fêtes,2),0)</f>
        <v>vacances</v>
      </c>
      <c r="X8" s="787"/>
      <c r="Y8" s="717">
        <f>T8+1</f>
        <v>9</v>
      </c>
      <c r="Z8" s="766"/>
      <c r="AA8" s="143"/>
      <c r="AB8" s="786" t="str">
        <f>IF(AE9&lt;&gt;0,VLOOKUP(AE9,fêtes,2),0)</f>
        <v>vacances</v>
      </c>
      <c r="AC8" s="787"/>
      <c r="AD8" s="717">
        <f>Y8+1</f>
        <v>10</v>
      </c>
      <c r="AE8" s="766"/>
      <c r="AF8" s="143"/>
      <c r="AG8" s="786" t="str">
        <f>IF(AJ9&lt;&gt;0,VLOOKUP(AJ9,fêtes,2),0)</f>
        <v>vacances</v>
      </c>
      <c r="AH8" s="787"/>
      <c r="AI8" s="717">
        <f>AD8+1</f>
        <v>11</v>
      </c>
      <c r="AJ8" s="766"/>
      <c r="AK8" s="219"/>
    </row>
    <row r="9" spans="2:42" s="164" customFormat="1" ht="15.75" customHeight="1">
      <c r="B9" s="220"/>
      <c r="C9" s="778">
        <f>IF(F9&lt;&gt;0,VLOOKUP(F9,fêtes,3),0)</f>
        <v>0</v>
      </c>
      <c r="D9" s="779"/>
      <c r="E9" s="779"/>
      <c r="F9" s="178">
        <f>AJ5+1</f>
        <v>217</v>
      </c>
      <c r="G9" s="258"/>
      <c r="H9" s="778">
        <f>IF(K9&lt;&gt;0,VLOOKUP(K9,fêtes,3),0)</f>
        <v>0</v>
      </c>
      <c r="I9" s="779"/>
      <c r="J9" s="779"/>
      <c r="K9" s="178">
        <f>F9+1</f>
        <v>218</v>
      </c>
      <c r="L9" s="258"/>
      <c r="M9" s="778">
        <f>IF(P9&lt;&gt;0,VLOOKUP(P9,fêtes,3),0)</f>
        <v>0</v>
      </c>
      <c r="N9" s="779"/>
      <c r="O9" s="779"/>
      <c r="P9" s="178">
        <f>K9+1</f>
        <v>219</v>
      </c>
      <c r="Q9" s="258"/>
      <c r="R9" s="778">
        <f>IF(U9&lt;&gt;0,VLOOKUP(U9,fêtes,3),0)</f>
        <v>0</v>
      </c>
      <c r="S9" s="779"/>
      <c r="T9" s="779"/>
      <c r="U9" s="178">
        <f>P9+1</f>
        <v>220</v>
      </c>
      <c r="V9" s="258"/>
      <c r="W9" s="778">
        <f>IF(Z9&lt;&gt;0,VLOOKUP(Z9,fêtes,3),0)</f>
        <v>0</v>
      </c>
      <c r="X9" s="779"/>
      <c r="Y9" s="779"/>
      <c r="Z9" s="179">
        <f>U9+1</f>
        <v>221</v>
      </c>
      <c r="AA9" s="259"/>
      <c r="AB9" s="778">
        <f>IF(AE9&lt;&gt;0,VLOOKUP(AE9,fêtes,3),0)</f>
        <v>0</v>
      </c>
      <c r="AC9" s="779"/>
      <c r="AD9" s="779"/>
      <c r="AE9" s="178">
        <f>Z9+1</f>
        <v>222</v>
      </c>
      <c r="AF9" s="258"/>
      <c r="AG9" s="778">
        <f>IF(AJ9&lt;&gt;0,VLOOKUP(AJ9,fêtes,3),0)</f>
        <v>0</v>
      </c>
      <c r="AH9" s="779"/>
      <c r="AI9" s="779"/>
      <c r="AJ9" s="178">
        <f>AE9+1</f>
        <v>223</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86" t="str">
        <f>IF(F13&lt;&gt;0,VLOOKUP(F13,fêtes,2),0)</f>
        <v>vacances</v>
      </c>
      <c r="D12" s="787"/>
      <c r="E12" s="717">
        <f>AI8+1</f>
        <v>12</v>
      </c>
      <c r="F12" s="766"/>
      <c r="G12" s="143"/>
      <c r="H12" s="786" t="str">
        <f>IF(K13&lt;&gt;0,VLOOKUP(K13,fêtes,2),0)</f>
        <v>vacances</v>
      </c>
      <c r="I12" s="787"/>
      <c r="J12" s="717">
        <f>E12+1</f>
        <v>13</v>
      </c>
      <c r="K12" s="766"/>
      <c r="L12" s="143"/>
      <c r="M12" s="786" t="str">
        <f>IF(P13&lt;&gt;0,VLOOKUP(P13,fêtes,2),0)</f>
        <v>vacances</v>
      </c>
      <c r="N12" s="787"/>
      <c r="O12" s="717">
        <f>J12+1</f>
        <v>14</v>
      </c>
      <c r="P12" s="766"/>
      <c r="Q12" s="143"/>
      <c r="R12" s="786" t="str">
        <f>IF(U13&lt;&gt;0,VLOOKUP(U13,fêtes,2),0)</f>
        <v>Assomption</v>
      </c>
      <c r="S12" s="787"/>
      <c r="T12" s="717">
        <f>O12+1</f>
        <v>15</v>
      </c>
      <c r="U12" s="766"/>
      <c r="V12" s="143"/>
      <c r="W12" s="786" t="str">
        <f>IF(Z13&lt;&gt;0,VLOOKUP(Z13,fêtes,2),0)</f>
        <v>vacances</v>
      </c>
      <c r="X12" s="787"/>
      <c r="Y12" s="717">
        <f>T12+1</f>
        <v>16</v>
      </c>
      <c r="Z12" s="766"/>
      <c r="AA12" s="143"/>
      <c r="AB12" s="786" t="str">
        <f>IF(AE13&lt;&gt;0,VLOOKUP(AE13,fêtes,2),0)</f>
        <v>vacances</v>
      </c>
      <c r="AC12" s="787"/>
      <c r="AD12" s="717">
        <f>Y12+1</f>
        <v>17</v>
      </c>
      <c r="AE12" s="766"/>
      <c r="AF12" s="143"/>
      <c r="AG12" s="786" t="str">
        <f>IF(AJ13&lt;&gt;0,VLOOKUP(AJ13,fêtes,2),0)</f>
        <v>vacances</v>
      </c>
      <c r="AH12" s="787"/>
      <c r="AI12" s="717">
        <f>AD12+1</f>
        <v>18</v>
      </c>
      <c r="AJ12" s="766"/>
      <c r="AK12" s="219"/>
    </row>
    <row r="13" spans="2:42" s="164" customFormat="1" ht="15.75" customHeight="1">
      <c r="B13" s="220"/>
      <c r="C13" s="778">
        <f>IF(F13&lt;&gt;0,VLOOKUP(F13,fêtes,3),0)</f>
        <v>0</v>
      </c>
      <c r="D13" s="779"/>
      <c r="E13" s="779"/>
      <c r="F13" s="178">
        <f>AJ9+1</f>
        <v>224</v>
      </c>
      <c r="G13" s="258"/>
      <c r="H13" s="778">
        <f>IF(K13&lt;&gt;0,VLOOKUP(K13,fêtes,3),0)</f>
        <v>0</v>
      </c>
      <c r="I13" s="779"/>
      <c r="J13" s="779"/>
      <c r="K13" s="178">
        <f>F13+1</f>
        <v>225</v>
      </c>
      <c r="L13" s="258"/>
      <c r="M13" s="778">
        <f>IF(P13&lt;&gt;0,VLOOKUP(P13,fêtes,3),0)</f>
        <v>0</v>
      </c>
      <c r="N13" s="779"/>
      <c r="O13" s="779"/>
      <c r="P13" s="178">
        <f>K13+1</f>
        <v>226</v>
      </c>
      <c r="Q13" s="258"/>
      <c r="R13" s="778">
        <f>IF(U13&lt;&gt;0,VLOOKUP(U13,fêtes,3),0)</f>
        <v>0</v>
      </c>
      <c r="S13" s="779"/>
      <c r="T13" s="779"/>
      <c r="U13" s="178">
        <f>P13+1</f>
        <v>227</v>
      </c>
      <c r="V13" s="258"/>
      <c r="W13" s="778">
        <f>IF(Z13&lt;&gt;0,VLOOKUP(Z13,fêtes,3),0)</f>
        <v>0</v>
      </c>
      <c r="X13" s="779"/>
      <c r="Y13" s="779"/>
      <c r="Z13" s="180">
        <f>U13+1</f>
        <v>228</v>
      </c>
      <c r="AA13" s="260"/>
      <c r="AB13" s="778">
        <f>IF(AE13&lt;&gt;0,VLOOKUP(AE13,fêtes,3),0)</f>
        <v>0</v>
      </c>
      <c r="AC13" s="779"/>
      <c r="AD13" s="779"/>
      <c r="AE13" s="178">
        <f>Z13+1</f>
        <v>229</v>
      </c>
      <c r="AF13" s="258"/>
      <c r="AG13" s="778">
        <f>IF(AJ13&lt;&gt;0,VLOOKUP(AJ13,fêtes,3),0)</f>
        <v>0</v>
      </c>
      <c r="AH13" s="779"/>
      <c r="AI13" s="779"/>
      <c r="AJ13" s="178">
        <f>AE13+1</f>
        <v>230</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86" t="str">
        <f>IF(F17&lt;&gt;0,VLOOKUP(F17,fêtes,2),0)</f>
        <v>vacances</v>
      </c>
      <c r="D16" s="787"/>
      <c r="E16" s="717">
        <f>AI12+1</f>
        <v>19</v>
      </c>
      <c r="F16" s="766"/>
      <c r="G16" s="143"/>
      <c r="H16" s="786" t="str">
        <f>IF(K17&lt;&gt;0,VLOOKUP(K17,fêtes,2),0)</f>
        <v>vacances</v>
      </c>
      <c r="I16" s="787"/>
      <c r="J16" s="717">
        <f>E16+1</f>
        <v>20</v>
      </c>
      <c r="K16" s="766"/>
      <c r="L16" s="143"/>
      <c r="M16" s="786" t="str">
        <f>IF(P17&lt;&gt;0,VLOOKUP(P17,fêtes,2),0)</f>
        <v>vacances</v>
      </c>
      <c r="N16" s="787"/>
      <c r="O16" s="717">
        <f>J16+1</f>
        <v>21</v>
      </c>
      <c r="P16" s="766"/>
      <c r="Q16" s="143"/>
      <c r="R16" s="786" t="str">
        <f>IF(U17&lt;&gt;0,VLOOKUP(U17,fêtes,2),0)</f>
        <v>vacances</v>
      </c>
      <c r="S16" s="787"/>
      <c r="T16" s="717">
        <f>O16+1</f>
        <v>22</v>
      </c>
      <c r="U16" s="766"/>
      <c r="V16" s="143"/>
      <c r="W16" s="786" t="str">
        <f>IF(Z17&lt;&gt;0,VLOOKUP(Z17,fêtes,2),0)</f>
        <v>vacances</v>
      </c>
      <c r="X16" s="787"/>
      <c r="Y16" s="717">
        <f>T16+1</f>
        <v>23</v>
      </c>
      <c r="Z16" s="766"/>
      <c r="AA16" s="143"/>
      <c r="AB16" s="786" t="str">
        <f>IF(AE17&lt;&gt;0,VLOOKUP(AE17,fêtes,2),0)</f>
        <v>vacances</v>
      </c>
      <c r="AC16" s="787"/>
      <c r="AD16" s="717">
        <f>Y16+1</f>
        <v>24</v>
      </c>
      <c r="AE16" s="766"/>
      <c r="AF16" s="143"/>
      <c r="AG16" s="786" t="str">
        <f>IF(AJ17&lt;&gt;0,VLOOKUP(AJ17,fêtes,2),0)</f>
        <v>vacances</v>
      </c>
      <c r="AH16" s="787"/>
      <c r="AI16" s="717">
        <f>AD16+1</f>
        <v>25</v>
      </c>
      <c r="AJ16" s="766"/>
      <c r="AK16" s="219"/>
    </row>
    <row r="17" spans="2:37" s="164" customFormat="1" ht="15.75" customHeight="1">
      <c r="B17" s="220"/>
      <c r="C17" s="778">
        <f>IF(F17&lt;&gt;0,VLOOKUP(F17,fêtes,3),0)</f>
        <v>0</v>
      </c>
      <c r="D17" s="779"/>
      <c r="E17" s="779"/>
      <c r="F17" s="178">
        <f>AJ13+1</f>
        <v>231</v>
      </c>
      <c r="G17" s="258"/>
      <c r="H17" s="778">
        <f>IF(K17&lt;&gt;0,VLOOKUP(K17,fêtes,3),0)</f>
        <v>0</v>
      </c>
      <c r="I17" s="779"/>
      <c r="J17" s="779"/>
      <c r="K17" s="178">
        <f>F17+1</f>
        <v>232</v>
      </c>
      <c r="L17" s="258"/>
      <c r="M17" s="778">
        <f>IF(P17&lt;&gt;0,VLOOKUP(P17,fêtes,3),0)</f>
        <v>0</v>
      </c>
      <c r="N17" s="779"/>
      <c r="O17" s="779"/>
      <c r="P17" s="178">
        <f>K17+1</f>
        <v>233</v>
      </c>
      <c r="Q17" s="258"/>
      <c r="R17" s="778">
        <f>IF(U17&lt;&gt;0,VLOOKUP(U17,fêtes,3),0)</f>
        <v>0</v>
      </c>
      <c r="S17" s="779"/>
      <c r="T17" s="779"/>
      <c r="U17" s="178">
        <f>P17+1</f>
        <v>234</v>
      </c>
      <c r="V17" s="258"/>
      <c r="W17" s="778">
        <f>IF(Z17&lt;&gt;0,VLOOKUP(Z17,fêtes,3),0)</f>
        <v>0</v>
      </c>
      <c r="X17" s="779"/>
      <c r="Y17" s="779"/>
      <c r="Z17" s="180">
        <f>U17+1</f>
        <v>235</v>
      </c>
      <c r="AA17" s="260"/>
      <c r="AB17" s="778">
        <f>IF(AE17&lt;&gt;0,VLOOKUP(AE17,fêtes,3),0)</f>
        <v>0</v>
      </c>
      <c r="AC17" s="779"/>
      <c r="AD17" s="779"/>
      <c r="AE17" s="178">
        <f>Z17+1</f>
        <v>236</v>
      </c>
      <c r="AF17" s="258"/>
      <c r="AG17" s="778">
        <f>IF(AJ17&lt;&gt;0,VLOOKUP(AJ17,fêtes,3),0)</f>
        <v>0</v>
      </c>
      <c r="AH17" s="779"/>
      <c r="AI17" s="779"/>
      <c r="AJ17" s="178">
        <f>AE17+1</f>
        <v>237</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86" t="str">
        <f>IF(F21&lt;&gt;0,VLOOKUP(F21,fêtes,2),0)</f>
        <v>vacances</v>
      </c>
      <c r="D20" s="787"/>
      <c r="E20" s="717">
        <f>IF(AND(AI16+1&lt;=$K$52,AI16&lt;&gt;0),AI16+1,0)</f>
        <v>26</v>
      </c>
      <c r="F20" s="766"/>
      <c r="G20" s="143"/>
      <c r="H20" s="786" t="str">
        <f>IF(K21&lt;&gt;0,VLOOKUP(K21,fêtes,2),0)</f>
        <v>vacances</v>
      </c>
      <c r="I20" s="787"/>
      <c r="J20" s="717">
        <f>IF(AND(E20+1&lt;=$K$52,E20&lt;&gt;0),E20+1,0)</f>
        <v>27</v>
      </c>
      <c r="K20" s="766"/>
      <c r="L20" s="143"/>
      <c r="M20" s="786" t="str">
        <f>IF(P21&lt;&gt;0,VLOOKUP(P21,fêtes,2),0)</f>
        <v>vacances</v>
      </c>
      <c r="N20" s="787"/>
      <c r="O20" s="717">
        <f>IF(AND(J20+1&lt;=$K$52,J20&lt;&gt;0),J20+1,0)</f>
        <v>28</v>
      </c>
      <c r="P20" s="766"/>
      <c r="Q20" s="143"/>
      <c r="R20" s="786" t="str">
        <f>IF(U21&lt;&gt;0,VLOOKUP(U21,fêtes,2),0)</f>
        <v>vacances</v>
      </c>
      <c r="S20" s="787"/>
      <c r="T20" s="717">
        <f>IF(AND(O20+1&lt;=$K$52,O20&lt;&gt;0),O20+1,0)</f>
        <v>29</v>
      </c>
      <c r="U20" s="766"/>
      <c r="V20" s="143"/>
      <c r="W20" s="786" t="str">
        <f>IF(Z21&lt;&gt;0,VLOOKUP(Z21,fêtes,2),0)</f>
        <v>vacances</v>
      </c>
      <c r="X20" s="787"/>
      <c r="Y20" s="717">
        <f>IF(AND(T20+1&lt;=$K$52,T20&lt;&gt;0),T20+1,0)</f>
        <v>30</v>
      </c>
      <c r="Z20" s="766"/>
      <c r="AA20" s="143"/>
      <c r="AB20" s="786" t="str">
        <f>IF(AE21&lt;&gt;0,VLOOKUP(AE21,fêtes,2),0)</f>
        <v>vacances</v>
      </c>
      <c r="AC20" s="787"/>
      <c r="AD20" s="717">
        <f>IF(AND(Y20+1&lt;=$K$52,Y20&lt;&gt;0),Y20+1,0)</f>
        <v>31</v>
      </c>
      <c r="AE20" s="766"/>
      <c r="AF20" s="143"/>
      <c r="AG20" s="786">
        <f>IF(AJ21&lt;&gt;0,VLOOKUP(AJ21,fêtes,2),0)</f>
        <v>0</v>
      </c>
      <c r="AH20" s="787"/>
      <c r="AI20" s="717">
        <f>IF(AND(AD20+1&lt;=$K$52,AD20&lt;&gt;0),AD20+1,0)</f>
        <v>0</v>
      </c>
      <c r="AJ20" s="766"/>
      <c r="AK20" s="219"/>
    </row>
    <row r="21" spans="2:37" s="164" customFormat="1" ht="15.75" customHeight="1">
      <c r="B21" s="220"/>
      <c r="C21" s="778">
        <f>IF(F21&lt;&gt;0,VLOOKUP(F21,fêtes,3),0)</f>
        <v>0</v>
      </c>
      <c r="D21" s="779"/>
      <c r="E21" s="779"/>
      <c r="F21" s="178">
        <f>IF(E20&lt;&gt;0,AJ17+1,0)</f>
        <v>238</v>
      </c>
      <c r="G21" s="258"/>
      <c r="H21" s="778">
        <f>IF(K21&lt;&gt;0,VLOOKUP(K21,fêtes,3),0)</f>
        <v>0</v>
      </c>
      <c r="I21" s="779"/>
      <c r="J21" s="779"/>
      <c r="K21" s="178">
        <f>IF(J20&lt;&gt;0,F21+1,0)</f>
        <v>239</v>
      </c>
      <c r="L21" s="258"/>
      <c r="M21" s="778">
        <f>IF(P21&lt;&gt;0,VLOOKUP(P21,fêtes,3),0)</f>
        <v>0</v>
      </c>
      <c r="N21" s="779"/>
      <c r="O21" s="779"/>
      <c r="P21" s="178">
        <f>IF(O20&lt;&gt;0,K21+1,0)</f>
        <v>240</v>
      </c>
      <c r="Q21" s="258"/>
      <c r="R21" s="778">
        <f>IF(U21&lt;&gt;0,VLOOKUP(U21,fêtes,3),0)</f>
        <v>0</v>
      </c>
      <c r="S21" s="779"/>
      <c r="T21" s="779"/>
      <c r="U21" s="178">
        <f>IF(T20&lt;&gt;0,P21+1,0)</f>
        <v>241</v>
      </c>
      <c r="V21" s="258"/>
      <c r="W21" s="778">
        <f>IF(Z21&lt;&gt;0,VLOOKUP(Z21,fêtes,3),0)</f>
        <v>0</v>
      </c>
      <c r="X21" s="779"/>
      <c r="Y21" s="779"/>
      <c r="Z21" s="178">
        <f>IF(Y20&lt;&gt;0,U21+1,0)</f>
        <v>242</v>
      </c>
      <c r="AA21" s="258"/>
      <c r="AB21" s="778">
        <f>IF(AE21&lt;&gt;0,VLOOKUP(AE21,fêtes,3),0)</f>
        <v>0</v>
      </c>
      <c r="AC21" s="779"/>
      <c r="AD21" s="779"/>
      <c r="AE21" s="178">
        <f>IF(AD20&lt;&gt;0,Z21+1,0)</f>
        <v>243</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86">
        <f>IF(F25&lt;&gt;0,VLOOKUP(F25,fêtes,2),0)</f>
        <v>0</v>
      </c>
      <c r="D24" s="787"/>
      <c r="E24" s="717">
        <f>IF(AND(AI20+1&lt;=$K$52,AI20&lt;&gt;0),AI20+1,0)</f>
        <v>0</v>
      </c>
      <c r="F24" s="766"/>
      <c r="G24" s="154"/>
      <c r="H24" s="786">
        <f>IF(K25&lt;&gt;0,VLOOKUP(K25,fêtes,2),0)</f>
        <v>0</v>
      </c>
      <c r="I24" s="78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1</v>
      </c>
      <c r="D30" s="160">
        <f>IF(P51=2,1,IF(C30&lt;&gt;0,C30+1,0))</f>
        <v>2</v>
      </c>
      <c r="E30" s="160">
        <f>IF(P51=3,1,IF(D30&lt;&gt;0,D30+1,0))</f>
        <v>3</v>
      </c>
      <c r="F30" s="160">
        <f>IF(P51=4,1,IF(E30&lt;&gt;0,E30+1,0))</f>
        <v>4</v>
      </c>
      <c r="G30" s="735">
        <f>IF(P51=5,1,IF(F30&lt;&gt;0,F30+1,0))</f>
        <v>5</v>
      </c>
      <c r="H30" s="736"/>
      <c r="I30" s="160">
        <f>IF(P51=6,1,IF(G30&lt;&gt;0,G30+1,0))</f>
        <v>6</v>
      </c>
      <c r="J30" s="160">
        <f>IF(P51=0,1,IF(I30&lt;&gt;0,I30+1,0))</f>
        <v>7</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0</v>
      </c>
      <c r="AH30" s="160">
        <f>IF($U$51=5,1,IF(AG30&lt;&gt;0,AG30+1,0))</f>
        <v>0</v>
      </c>
      <c r="AI30" s="160">
        <f>IF($U$51=6,1,IF(AH30&lt;&gt;0,AH30+1,0))</f>
        <v>0</v>
      </c>
      <c r="AJ30" s="160">
        <f>IF($U$51=0,1,IF(AI30&lt;&gt;0,AI30+1,0))</f>
        <v>1</v>
      </c>
      <c r="AK30" s="240"/>
    </row>
    <row r="31" spans="2:37" ht="14.1" customHeight="1">
      <c r="B31" s="235"/>
      <c r="C31" s="160">
        <f>J30+1</f>
        <v>8</v>
      </c>
      <c r="D31" s="160">
        <f>C31+1</f>
        <v>9</v>
      </c>
      <c r="E31" s="160">
        <f t="shared" ref="E31:G33" si="0">D31+1</f>
        <v>10</v>
      </c>
      <c r="F31" s="160">
        <f t="shared" si="0"/>
        <v>11</v>
      </c>
      <c r="G31" s="735">
        <f t="shared" si="0"/>
        <v>12</v>
      </c>
      <c r="H31" s="736"/>
      <c r="I31" s="160">
        <f>G31+1</f>
        <v>13</v>
      </c>
      <c r="J31" s="160">
        <f>I31+1</f>
        <v>14</v>
      </c>
      <c r="K31" s="143"/>
      <c r="L31" s="241"/>
      <c r="M31" s="236">
        <f>VLOOKUP(C52,Données,10)</f>
        <v>0</v>
      </c>
      <c r="N31" s="232"/>
      <c r="O31" s="232"/>
      <c r="P31" s="233"/>
      <c r="Q31" s="233"/>
      <c r="R31" s="231"/>
      <c r="S31" s="232"/>
      <c r="T31" s="232"/>
      <c r="U31" s="233"/>
      <c r="V31" s="233"/>
      <c r="W31" s="231"/>
      <c r="X31" s="232"/>
      <c r="Y31" s="232"/>
      <c r="Z31" s="233"/>
      <c r="AA31" s="233"/>
      <c r="AB31" s="231"/>
      <c r="AC31" s="160">
        <f>AJ30+1</f>
        <v>2</v>
      </c>
      <c r="AD31" s="160">
        <f t="shared" ref="AD31:AE33" si="1">AC31+1</f>
        <v>3</v>
      </c>
      <c r="AE31" s="165">
        <f t="shared" si="1"/>
        <v>4</v>
      </c>
      <c r="AF31" s="215"/>
      <c r="AG31" s="160">
        <f>AE31+1</f>
        <v>5</v>
      </c>
      <c r="AH31" s="160">
        <f t="shared" ref="AH31:AJ33" si="2">AG31+1</f>
        <v>6</v>
      </c>
      <c r="AI31" s="160">
        <f t="shared" si="2"/>
        <v>7</v>
      </c>
      <c r="AJ31" s="160">
        <f t="shared" si="2"/>
        <v>8</v>
      </c>
      <c r="AK31" s="240"/>
    </row>
    <row r="32" spans="2:37" ht="14.1" customHeight="1">
      <c r="B32" s="235"/>
      <c r="C32" s="160">
        <f>J31+1</f>
        <v>15</v>
      </c>
      <c r="D32" s="160">
        <f>C32+1</f>
        <v>16</v>
      </c>
      <c r="E32" s="160">
        <f t="shared" si="0"/>
        <v>17</v>
      </c>
      <c r="F32" s="160">
        <f t="shared" si="0"/>
        <v>18</v>
      </c>
      <c r="G32" s="735">
        <f t="shared" si="0"/>
        <v>19</v>
      </c>
      <c r="H32" s="736"/>
      <c r="I32" s="160">
        <f>G32+1</f>
        <v>20</v>
      </c>
      <c r="J32" s="160">
        <f>I32+1</f>
        <v>21</v>
      </c>
      <c r="K32" s="143"/>
      <c r="L32" s="238"/>
      <c r="M32" s="233"/>
      <c r="N32" s="237"/>
      <c r="O32" s="237"/>
      <c r="P32" s="238"/>
      <c r="Q32" s="238"/>
      <c r="R32" s="239"/>
      <c r="S32" s="237"/>
      <c r="T32" s="237"/>
      <c r="U32" s="238"/>
      <c r="V32" s="238"/>
      <c r="W32" s="239"/>
      <c r="X32" s="237"/>
      <c r="Y32" s="237"/>
      <c r="Z32" s="238"/>
      <c r="AA32" s="238"/>
      <c r="AB32" s="231"/>
      <c r="AC32" s="160">
        <f>AJ31+1</f>
        <v>9</v>
      </c>
      <c r="AD32" s="160">
        <f t="shared" si="1"/>
        <v>10</v>
      </c>
      <c r="AE32" s="165">
        <f t="shared" si="1"/>
        <v>11</v>
      </c>
      <c r="AF32" s="215"/>
      <c r="AG32" s="160">
        <f>AE32+1</f>
        <v>12</v>
      </c>
      <c r="AH32" s="160">
        <f t="shared" si="2"/>
        <v>13</v>
      </c>
      <c r="AI32" s="160">
        <f t="shared" si="2"/>
        <v>14</v>
      </c>
      <c r="AJ32" s="160">
        <f t="shared" si="2"/>
        <v>15</v>
      </c>
      <c r="AK32" s="240"/>
    </row>
    <row r="33" spans="2:37" ht="14.1" customHeight="1">
      <c r="B33" s="235"/>
      <c r="C33" s="160">
        <f>J32+1</f>
        <v>22</v>
      </c>
      <c r="D33" s="160">
        <f>C33+1</f>
        <v>23</v>
      </c>
      <c r="E33" s="160">
        <f t="shared" si="0"/>
        <v>24</v>
      </c>
      <c r="F33" s="160">
        <f t="shared" si="0"/>
        <v>25</v>
      </c>
      <c r="G33" s="735">
        <f t="shared" si="0"/>
        <v>26</v>
      </c>
      <c r="H33" s="736"/>
      <c r="I33" s="160">
        <f>G33+1</f>
        <v>27</v>
      </c>
      <c r="J33" s="160">
        <f>I33+1</f>
        <v>28</v>
      </c>
      <c r="K33" s="233"/>
      <c r="L33" s="233"/>
      <c r="M33" s="239"/>
      <c r="N33" s="232"/>
      <c r="O33" s="232"/>
      <c r="P33" s="233"/>
      <c r="Q33" s="233"/>
      <c r="R33" s="231"/>
      <c r="S33" s="232"/>
      <c r="T33" s="232"/>
      <c r="U33" s="233"/>
      <c r="V33" s="233"/>
      <c r="W33" s="231"/>
      <c r="X33" s="232"/>
      <c r="Y33" s="232"/>
      <c r="Z33" s="233"/>
      <c r="AA33" s="233"/>
      <c r="AB33" s="231"/>
      <c r="AC33" s="160">
        <f>AJ32+1</f>
        <v>16</v>
      </c>
      <c r="AD33" s="160">
        <f t="shared" si="1"/>
        <v>17</v>
      </c>
      <c r="AE33" s="165">
        <f t="shared" si="1"/>
        <v>18</v>
      </c>
      <c r="AF33" s="215"/>
      <c r="AG33" s="160">
        <f>AE33+1</f>
        <v>19</v>
      </c>
      <c r="AH33" s="160">
        <f t="shared" si="2"/>
        <v>20</v>
      </c>
      <c r="AI33" s="160">
        <f t="shared" si="2"/>
        <v>21</v>
      </c>
      <c r="AJ33" s="160">
        <f t="shared" si="2"/>
        <v>22</v>
      </c>
      <c r="AK33" s="240"/>
    </row>
    <row r="34" spans="2:37" ht="14.1" customHeight="1">
      <c r="B34" s="235"/>
      <c r="C34" s="160">
        <f>IF(AND(J33+1&lt;=$P$52,J33&lt;&gt;0),J33+1,0)</f>
        <v>29</v>
      </c>
      <c r="D34" s="160">
        <f t="shared" ref="D34:G35" si="3">IF(AND(C34+1&lt;=$P$52,C34&lt;&gt;0),C34+1,0)</f>
        <v>30</v>
      </c>
      <c r="E34" s="160">
        <f t="shared" si="3"/>
        <v>31</v>
      </c>
      <c r="F34" s="160">
        <f t="shared" si="3"/>
        <v>0</v>
      </c>
      <c r="G34" s="735">
        <f t="shared" si="3"/>
        <v>0</v>
      </c>
      <c r="H34" s="736"/>
      <c r="I34" s="165">
        <f>IF(AND(G34+1&lt;=$P$52,G34&lt;&gt;0),G34+1,0)</f>
        <v>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23</v>
      </c>
      <c r="AD34" s="160">
        <f>IF(AND(AC34+1&lt;=U52,AC34&lt;&gt;0),AC34+1,0)</f>
        <v>24</v>
      </c>
      <c r="AE34" s="165">
        <f>IF(AND(AD34+1&lt;=U52,AD34&lt;&gt;0),AD34+1,0)</f>
        <v>25</v>
      </c>
      <c r="AF34" s="215"/>
      <c r="AG34" s="160">
        <f>IF(AND(AE34+1&lt;=U52,AE34&lt;&gt;0),AE34+1,0)</f>
        <v>26</v>
      </c>
      <c r="AH34" s="160">
        <f>IF(AND(AG34+1&lt;=U52,AG34&lt;&gt;0),AG34+1,0)</f>
        <v>27</v>
      </c>
      <c r="AI34" s="160">
        <f>IF(AND(AH34+1&lt;=U52,AH34&lt;&gt;0),AH34+1,0)</f>
        <v>28</v>
      </c>
      <c r="AJ34" s="160">
        <f>IF(AND(AI34+1&lt;=U52,AI34&lt;&gt;0),AI34+1,0)</f>
        <v>29</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30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43313</v>
      </c>
      <c r="L50" s="737"/>
      <c r="M50" s="737"/>
      <c r="N50" s="738"/>
      <c r="O50" s="147"/>
      <c r="P50" s="724">
        <f>DATE(C51,C52-1,1)</f>
        <v>43282</v>
      </c>
      <c r="Q50" s="725"/>
      <c r="R50" s="725"/>
      <c r="S50" s="726"/>
      <c r="T50" s="147"/>
      <c r="U50" s="724">
        <f>DATE(C51,C52+1,1)</f>
        <v>43344</v>
      </c>
      <c r="V50" s="759"/>
      <c r="W50" s="760"/>
    </row>
    <row r="51" spans="1:26" ht="15.75">
      <c r="A51" s="1" t="s">
        <v>153</v>
      </c>
      <c r="C51" s="762">
        <f>dates!H1</f>
        <v>2018</v>
      </c>
      <c r="D51" s="762"/>
      <c r="E51" s="138">
        <f>IF(C52=5,"Voir notes",0)</f>
        <v>0</v>
      </c>
      <c r="F51"/>
      <c r="G51" s="751">
        <f>DATE(C51+1,1,1)</f>
        <v>43466</v>
      </c>
      <c r="H51" s="752"/>
      <c r="I51" s="753"/>
      <c r="J51" s="147"/>
      <c r="K51" s="727">
        <f>MOD(K50,7)</f>
        <v>4</v>
      </c>
      <c r="L51" s="752"/>
      <c r="M51" s="752"/>
      <c r="N51" s="753"/>
      <c r="O51" s="147"/>
      <c r="P51" s="727">
        <f>MOD(P50,7)</f>
        <v>1</v>
      </c>
      <c r="Q51" s="728"/>
      <c r="R51" s="728"/>
      <c r="S51" s="729"/>
      <c r="T51" s="147"/>
      <c r="U51" s="727">
        <f>MOD(U50,7)</f>
        <v>0</v>
      </c>
      <c r="V51" s="733"/>
      <c r="W51" s="734"/>
    </row>
    <row r="52" spans="1:26" ht="15.75">
      <c r="A52" s="1" t="s">
        <v>152</v>
      </c>
      <c r="C52" s="168">
        <v>8</v>
      </c>
      <c r="D52" s="169"/>
      <c r="E52" s="139" t="s">
        <v>0</v>
      </c>
      <c r="F52"/>
      <c r="G52" s="754">
        <f>G51-G50</f>
        <v>365</v>
      </c>
      <c r="H52" s="755"/>
      <c r="I52" s="756"/>
      <c r="J52" s="147"/>
      <c r="K52" s="754">
        <f>VLOOKUP(C52,Données,3)</f>
        <v>31</v>
      </c>
      <c r="L52" s="782"/>
      <c r="M52" s="782"/>
      <c r="N52" s="783"/>
      <c r="O52" s="147"/>
      <c r="P52" s="754">
        <f>VLOOKUP(C52-1,Données,3)</f>
        <v>31</v>
      </c>
      <c r="Q52" s="782"/>
      <c r="R52" s="782"/>
      <c r="S52" s="783"/>
      <c r="T52" s="147"/>
      <c r="U52" s="754">
        <f>VLOOKUP(C52+1,Données,3)</f>
        <v>30</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37" priority="4" stopIfTrue="1" operator="containsText" text="CEPARI">
      <formula>NOT(ISERROR(SEARCH("CEPARI",C4)))</formula>
    </cfRule>
    <cfRule type="containsText" dxfId="36" priority="5" stopIfTrue="1" operator="containsText" text="Formation SP">
      <formula>NOT(ISERROR(SEARCH("Formation SP",C4)))</formula>
    </cfRule>
    <cfRule type="containsText" dxfId="35" priority="6" stopIfTrue="1" operator="containsText" text="Garde">
      <formula>NOT(ISERROR(SEARCH("Garde",C4)))</formula>
    </cfRule>
    <cfRule type="containsText" dxfId="34" priority="7" stopIfTrue="1" operator="containsText" text="Formation">
      <formula>NOT(ISERROR(SEARCH("Formation",C4)))</formula>
    </cfRule>
    <cfRule type="containsText" dxfId="33" priority="8" stopIfTrue="1" operator="containsText" text="Nuit">
      <formula>NOT(ISERROR(SEARCH("Nuit",C4)))</formula>
    </cfRule>
    <cfRule type="containsText" dxfId="32" priority="9" stopIfTrue="1" operator="containsText" text="Jour">
      <formula>NOT(ISERROR(SEARCH("Jour",C4)))</formula>
    </cfRule>
  </conditionalFormatting>
  <conditionalFormatting sqref="C4:AJ26">
    <cfRule type="containsText" dxfId="31" priority="1" stopIfTrue="1" operator="containsText" text="vacances">
      <formula>NOT(ISERROR(SEARCH("vacances",C4)))</formula>
    </cfRule>
  </conditionalFormatting>
  <hyperlinks>
    <hyperlink ref="C1:J1" location="dates!H214" display="dates!H214"/>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2946" r:id="rId4" name="MENU">
          <controlPr defaultSize="0" print="0" autoLine="0" r:id="rId5">
            <anchor moveWithCells="1">
              <from>
                <xdr:col>23</xdr:col>
                <xdr:colOff>123825</xdr:colOff>
                <xdr:row>30</xdr:row>
                <xdr:rowOff>133350</xdr:rowOff>
              </from>
              <to>
                <xdr:col>29</xdr:col>
                <xdr:colOff>76200</xdr:colOff>
                <xdr:row>33</xdr:row>
                <xdr:rowOff>0</xdr:rowOff>
              </to>
            </anchor>
          </controlPr>
        </control>
      </mc:Choice>
      <mc:Fallback>
        <control shapeId="82946" r:id="rId4" name="MENU"/>
      </mc:Fallback>
    </mc:AlternateContent>
  </control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P74"/>
  <sheetViews>
    <sheetView showGridLines="0" workbookViewId="0">
      <pane ySplit="3" topLeftCell="A18" activePane="bottomLeft" state="frozen"/>
      <selection pane="bottomLeft" activeCell="N25" sqref="N25:AI25"/>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SEPTEMBRE</v>
      </c>
      <c r="D1" s="718"/>
      <c r="E1" s="718"/>
      <c r="F1" s="718"/>
      <c r="G1" s="718"/>
      <c r="H1" s="718"/>
      <c r="I1" s="718"/>
      <c r="J1" s="718"/>
      <c r="K1" s="189"/>
      <c r="L1" s="189"/>
      <c r="M1" s="190"/>
      <c r="N1" s="191" t="s">
        <v>187</v>
      </c>
      <c r="O1" s="188"/>
      <c r="P1" s="192"/>
      <c r="Q1" s="192"/>
      <c r="R1" s="190"/>
      <c r="S1" s="193"/>
      <c r="T1" s="194" t="str">
        <f>VLOOKUP(C52,Données,5)</f>
        <v>saphir</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aster + belle-de-jour</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f>IF(P5&lt;&gt;0,VLOOKUP(P5,fêtes,2),0)</f>
        <v>0</v>
      </c>
      <c r="N4" s="767"/>
      <c r="O4" s="717">
        <f>IF($K$51=3,1,IF(J4&lt;&gt;0,J4+1,0))</f>
        <v>0</v>
      </c>
      <c r="P4" s="766"/>
      <c r="Q4" s="143"/>
      <c r="R4" s="706">
        <f>IF(U5&lt;&gt;0,VLOOKUP(U5,fêtes,2),0)</f>
        <v>0</v>
      </c>
      <c r="S4" s="767"/>
      <c r="T4" s="717">
        <f>IF($K$51=4,1,IF(O4&lt;&gt;0,O4+1,0))</f>
        <v>0</v>
      </c>
      <c r="U4" s="766"/>
      <c r="V4" s="143"/>
      <c r="W4" s="706">
        <f>IF(Z5&lt;&gt;0,VLOOKUP(Z5,fêtes,2),0)</f>
        <v>0</v>
      </c>
      <c r="X4" s="767"/>
      <c r="Y4" s="717">
        <f>IF($K$51=5,1,IF(T4&lt;&gt;0,T4+1,0))</f>
        <v>0</v>
      </c>
      <c r="Z4" s="766"/>
      <c r="AA4" s="143"/>
      <c r="AB4" s="706">
        <f>IF(AE5&lt;&gt;0,VLOOKUP(AE5,fêtes,2),0)</f>
        <v>0</v>
      </c>
      <c r="AC4" s="767"/>
      <c r="AD4" s="717">
        <f>IF($K$51=6,1,IF(Y4&lt;&gt;0,Y4+1,0))</f>
        <v>0</v>
      </c>
      <c r="AE4" s="766"/>
      <c r="AF4" s="143"/>
      <c r="AG4" s="706" t="str">
        <f>IF(AJ5&lt;&gt;0,VLOOKUP(AJ5,fêtes,2),0)</f>
        <v>vacances</v>
      </c>
      <c r="AH4" s="767"/>
      <c r="AI4" s="717">
        <f>IF($K$51=0,1,IF(AD4&lt;&gt;0,AD4+1,0))</f>
        <v>1</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0</v>
      </c>
      <c r="V5" s="258"/>
      <c r="W5" s="778">
        <f>IF(Z5&lt;&gt;0,VLOOKUP(Z5,fêtes,3),0)</f>
        <v>0</v>
      </c>
      <c r="X5" s="779"/>
      <c r="Y5" s="779"/>
      <c r="Z5" s="178">
        <f>IF(Y4&lt;&gt;0,VLOOKUP($C$52,Données,4)+T4,0)</f>
        <v>0</v>
      </c>
      <c r="AA5" s="258"/>
      <c r="AB5" s="778">
        <f>IF(AE5&lt;&gt;0,VLOOKUP(AE5,fêtes,3),0)</f>
        <v>0</v>
      </c>
      <c r="AC5" s="779"/>
      <c r="AD5" s="779"/>
      <c r="AE5" s="178">
        <f>IF(AD4&lt;&gt;0,VLOOKUP($C$52,Données,4)+Y4,0)</f>
        <v>0</v>
      </c>
      <c r="AF5" s="258"/>
      <c r="AG5" s="778">
        <f>IF(AJ5&lt;&gt;0,VLOOKUP(AJ5,fêtes,3),0)</f>
        <v>0</v>
      </c>
      <c r="AH5" s="779"/>
      <c r="AI5" s="779"/>
      <c r="AJ5" s="178">
        <f>IF(AI4&lt;&gt;0,VLOOKUP($C$52,Données,4)+AD4,0)</f>
        <v>244</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str">
        <f>IF(F9&lt;&gt;0,VLOOKUP(F9,fêtes,2),0)</f>
        <v/>
      </c>
      <c r="D8" s="767"/>
      <c r="E8" s="717">
        <f>AI4+1</f>
        <v>2</v>
      </c>
      <c r="F8" s="766"/>
      <c r="G8" s="143"/>
      <c r="H8" s="706" t="str">
        <f>IF(K9&lt;&gt;0,VLOOKUP(K9,fêtes,2),0)</f>
        <v/>
      </c>
      <c r="I8" s="767"/>
      <c r="J8" s="717">
        <f>E8+1</f>
        <v>3</v>
      </c>
      <c r="K8" s="766"/>
      <c r="L8" s="143"/>
      <c r="M8" s="706" t="str">
        <f>IF(P9&lt;&gt;0,VLOOKUP(P9,fêtes,2),0)</f>
        <v/>
      </c>
      <c r="N8" s="767"/>
      <c r="O8" s="717">
        <f>J8+1</f>
        <v>4</v>
      </c>
      <c r="P8" s="766"/>
      <c r="Q8" s="143"/>
      <c r="R8" s="706" t="str">
        <f>IF(U9&lt;&gt;0,VLOOKUP(U9,fêtes,2),0)</f>
        <v/>
      </c>
      <c r="S8" s="767"/>
      <c r="T8" s="717">
        <f>O8+1</f>
        <v>5</v>
      </c>
      <c r="U8" s="766"/>
      <c r="V8" s="143"/>
      <c r="W8" s="706" t="str">
        <f>IF(Z9&lt;&gt;0,VLOOKUP(Z9,fêtes,2),0)</f>
        <v/>
      </c>
      <c r="X8" s="767"/>
      <c r="Y8" s="717">
        <f>T8+1</f>
        <v>6</v>
      </c>
      <c r="Z8" s="766"/>
      <c r="AA8" s="143"/>
      <c r="AB8" s="706" t="str">
        <f>IF(AE9&lt;&gt;0,VLOOKUP(AE9,fêtes,2),0)</f>
        <v/>
      </c>
      <c r="AC8" s="767"/>
      <c r="AD8" s="717">
        <f>Y8+1</f>
        <v>7</v>
      </c>
      <c r="AE8" s="766"/>
      <c r="AF8" s="143"/>
      <c r="AG8" s="706" t="str">
        <f>IF(AJ9&lt;&gt;0,VLOOKUP(AJ9,fêtes,2),0)</f>
        <v/>
      </c>
      <c r="AH8" s="767"/>
      <c r="AI8" s="717">
        <f>AD8+1</f>
        <v>8</v>
      </c>
      <c r="AJ8" s="766"/>
      <c r="AK8" s="219"/>
    </row>
    <row r="9" spans="2:42" s="164" customFormat="1" ht="15.75" customHeight="1">
      <c r="B9" s="220"/>
      <c r="C9" s="778">
        <f>IF(F9&lt;&gt;0,VLOOKUP(F9,fêtes,3),0)</f>
        <v>0</v>
      </c>
      <c r="D9" s="779"/>
      <c r="E9" s="779"/>
      <c r="F9" s="178">
        <f>AJ5+1</f>
        <v>245</v>
      </c>
      <c r="G9" s="258"/>
      <c r="H9" s="778">
        <f>IF(K9&lt;&gt;0,VLOOKUP(K9,fêtes,3),0)</f>
        <v>0</v>
      </c>
      <c r="I9" s="779"/>
      <c r="J9" s="779"/>
      <c r="K9" s="178">
        <f>F9+1</f>
        <v>246</v>
      </c>
      <c r="L9" s="258"/>
      <c r="M9" s="778">
        <f>IF(P9&lt;&gt;0,VLOOKUP(P9,fêtes,3),0)</f>
        <v>0</v>
      </c>
      <c r="N9" s="779"/>
      <c r="O9" s="779"/>
      <c r="P9" s="178">
        <f>K9+1</f>
        <v>247</v>
      </c>
      <c r="Q9" s="258"/>
      <c r="R9" s="778">
        <f>IF(U9&lt;&gt;0,VLOOKUP(U9,fêtes,3),0)</f>
        <v>0</v>
      </c>
      <c r="S9" s="779"/>
      <c r="T9" s="779"/>
      <c r="U9" s="178">
        <f>P9+1</f>
        <v>248</v>
      </c>
      <c r="V9" s="258"/>
      <c r="W9" s="778">
        <f>IF(Z9&lt;&gt;0,VLOOKUP(Z9,fêtes,3),0)</f>
        <v>0</v>
      </c>
      <c r="X9" s="779"/>
      <c r="Y9" s="779"/>
      <c r="Z9" s="179">
        <f>U9+1</f>
        <v>249</v>
      </c>
      <c r="AA9" s="259"/>
      <c r="AB9" s="778">
        <f>IF(AE9&lt;&gt;0,VLOOKUP(AE9,fêtes,3),0)</f>
        <v>0</v>
      </c>
      <c r="AC9" s="779"/>
      <c r="AD9" s="779"/>
      <c r="AE9" s="178">
        <f>Z9+1</f>
        <v>250</v>
      </c>
      <c r="AF9" s="258"/>
      <c r="AG9" s="778">
        <f>IF(AJ9&lt;&gt;0,VLOOKUP(AJ9,fêtes,3),0)</f>
        <v>0</v>
      </c>
      <c r="AH9" s="779"/>
      <c r="AI9" s="779"/>
      <c r="AJ9" s="178">
        <f>AE9+1</f>
        <v>251</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str">
        <f>IF(F13&lt;&gt;0,VLOOKUP(F13,fêtes,2),0)</f>
        <v/>
      </c>
      <c r="D12" s="767"/>
      <c r="E12" s="717">
        <f>AI8+1</f>
        <v>9</v>
      </c>
      <c r="F12" s="766"/>
      <c r="G12" s="143"/>
      <c r="H12" s="706" t="str">
        <f>IF(K13&lt;&gt;0,VLOOKUP(K13,fêtes,2),0)</f>
        <v/>
      </c>
      <c r="I12" s="767"/>
      <c r="J12" s="717">
        <f>E12+1</f>
        <v>10</v>
      </c>
      <c r="K12" s="766"/>
      <c r="L12" s="143"/>
      <c r="M12" s="706" t="str">
        <f>IF(P13&lt;&gt;0,VLOOKUP(P13,fêtes,2),0)</f>
        <v/>
      </c>
      <c r="N12" s="767"/>
      <c r="O12" s="717">
        <f>J12+1</f>
        <v>11</v>
      </c>
      <c r="P12" s="766"/>
      <c r="Q12" s="143"/>
      <c r="R12" s="706" t="str">
        <f>IF(U13&lt;&gt;0,VLOOKUP(U13,fêtes,2),0)</f>
        <v/>
      </c>
      <c r="S12" s="767"/>
      <c r="T12" s="717">
        <f>O12+1</f>
        <v>12</v>
      </c>
      <c r="U12" s="766"/>
      <c r="V12" s="143"/>
      <c r="W12" s="706" t="str">
        <f>IF(Z13&lt;&gt;0,VLOOKUP(Z13,fêtes,2),0)</f>
        <v/>
      </c>
      <c r="X12" s="767"/>
      <c r="Y12" s="717">
        <f>T12+1</f>
        <v>13</v>
      </c>
      <c r="Z12" s="766"/>
      <c r="AA12" s="143"/>
      <c r="AB12" s="706" t="str">
        <f>IF(AE13&lt;&gt;0,VLOOKUP(AE13,fêtes,2),0)</f>
        <v/>
      </c>
      <c r="AC12" s="767"/>
      <c r="AD12" s="717">
        <f>Y12+1</f>
        <v>14</v>
      </c>
      <c r="AE12" s="766"/>
      <c r="AF12" s="143"/>
      <c r="AG12" s="706" t="str">
        <f>IF(AJ13&lt;&gt;0,VLOOKUP(AJ13,fêtes,2),0)</f>
        <v/>
      </c>
      <c r="AH12" s="767"/>
      <c r="AI12" s="717">
        <f>AD12+1</f>
        <v>15</v>
      </c>
      <c r="AJ12" s="766"/>
      <c r="AK12" s="219"/>
    </row>
    <row r="13" spans="2:42" s="164" customFormat="1" ht="15.75" customHeight="1">
      <c r="B13" s="220"/>
      <c r="C13" s="778">
        <f>IF(F13&lt;&gt;0,VLOOKUP(F13,fêtes,3),0)</f>
        <v>0</v>
      </c>
      <c r="D13" s="779"/>
      <c r="E13" s="779"/>
      <c r="F13" s="178">
        <f>AJ9+1</f>
        <v>252</v>
      </c>
      <c r="G13" s="258"/>
      <c r="H13" s="778">
        <f>IF(K13&lt;&gt;0,VLOOKUP(K13,fêtes,3),0)</f>
        <v>0</v>
      </c>
      <c r="I13" s="779"/>
      <c r="J13" s="779"/>
      <c r="K13" s="178">
        <f>F13+1</f>
        <v>253</v>
      </c>
      <c r="L13" s="258"/>
      <c r="M13" s="778">
        <f>IF(P13&lt;&gt;0,VLOOKUP(P13,fêtes,3),0)</f>
        <v>0</v>
      </c>
      <c r="N13" s="779"/>
      <c r="O13" s="779"/>
      <c r="P13" s="178">
        <f>K13+1</f>
        <v>254</v>
      </c>
      <c r="Q13" s="258"/>
      <c r="R13" s="778">
        <f>IF(U13&lt;&gt;0,VLOOKUP(U13,fêtes,3),0)</f>
        <v>0</v>
      </c>
      <c r="S13" s="779"/>
      <c r="T13" s="779"/>
      <c r="U13" s="178">
        <f>P13+1</f>
        <v>255</v>
      </c>
      <c r="V13" s="258"/>
      <c r="W13" s="778">
        <f>IF(Z13&lt;&gt;0,VLOOKUP(Z13,fêtes,3),0)</f>
        <v>0</v>
      </c>
      <c r="X13" s="779"/>
      <c r="Y13" s="779"/>
      <c r="Z13" s="180">
        <f>U13+1</f>
        <v>256</v>
      </c>
      <c r="AA13" s="260"/>
      <c r="AB13" s="778">
        <f>IF(AE13&lt;&gt;0,VLOOKUP(AE13,fêtes,3),0)</f>
        <v>0</v>
      </c>
      <c r="AC13" s="779"/>
      <c r="AD13" s="779"/>
      <c r="AE13" s="178">
        <f>Z13+1</f>
        <v>257</v>
      </c>
      <c r="AF13" s="258"/>
      <c r="AG13" s="778">
        <f>IF(AJ13&lt;&gt;0,VLOOKUP(AJ13,fêtes,3),0)</f>
        <v>0</v>
      </c>
      <c r="AH13" s="779"/>
      <c r="AI13" s="779"/>
      <c r="AJ13" s="178">
        <f>AE13+1</f>
        <v>258</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f>IF(K13&lt;&gt;0,VLOOKUP(K13,fêtes,5),0)</f>
        <v>0</v>
      </c>
      <c r="L14" s="154"/>
      <c r="M14" s="776">
        <f>IF(P13&lt;&gt;0,VLOOKUP(P13,fêtes,4),0)</f>
        <v>0</v>
      </c>
      <c r="N14" s="777"/>
      <c r="O14" s="777"/>
      <c r="P14" s="263">
        <f>IF(P13&lt;&gt;0,VLOOKUP(P13,fêtes,5),0)</f>
        <v>0</v>
      </c>
      <c r="Q14" s="154"/>
      <c r="R14" s="776">
        <f>IF(U13&lt;&gt;0,VLOOKUP(U13,fêtes,4),0)</f>
        <v>0</v>
      </c>
      <c r="S14" s="777"/>
      <c r="T14" s="777"/>
      <c r="U14" s="263">
        <f>IF(U13&lt;&gt;0,VLOOKUP(U13,fêtes,5),0)</f>
        <v>0</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str">
        <f>IF(F17&lt;&gt;0,VLOOKUP(F17,fêtes,2),0)</f>
        <v/>
      </c>
      <c r="D16" s="767"/>
      <c r="E16" s="717">
        <f>AI12+1</f>
        <v>16</v>
      </c>
      <c r="F16" s="766"/>
      <c r="G16" s="143"/>
      <c r="H16" s="706" t="str">
        <f>IF(K17&lt;&gt;0,VLOOKUP(K17,fêtes,2),0)</f>
        <v/>
      </c>
      <c r="I16" s="767"/>
      <c r="J16" s="717">
        <f>E16+1</f>
        <v>17</v>
      </c>
      <c r="K16" s="766"/>
      <c r="L16" s="143"/>
      <c r="M16" s="706" t="str">
        <f>IF(P17&lt;&gt;0,VLOOKUP(P17,fêtes,2),0)</f>
        <v/>
      </c>
      <c r="N16" s="767"/>
      <c r="O16" s="717">
        <f>J16+1</f>
        <v>18</v>
      </c>
      <c r="P16" s="766"/>
      <c r="Q16" s="143"/>
      <c r="R16" s="706" t="str">
        <f>IF(U17&lt;&gt;0,VLOOKUP(U17,fêtes,2),0)</f>
        <v/>
      </c>
      <c r="S16" s="767"/>
      <c r="T16" s="717">
        <f>O16+1</f>
        <v>19</v>
      </c>
      <c r="U16" s="766"/>
      <c r="V16" s="143"/>
      <c r="W16" s="706" t="str">
        <f>IF(Z17&lt;&gt;0,VLOOKUP(Z17,fêtes,2),0)</f>
        <v/>
      </c>
      <c r="X16" s="767"/>
      <c r="Y16" s="717">
        <f>T16+1</f>
        <v>20</v>
      </c>
      <c r="Z16" s="766"/>
      <c r="AA16" s="143"/>
      <c r="AB16" s="706" t="str">
        <f>IF(AE17&lt;&gt;0,VLOOKUP(AE17,fêtes,2),0)</f>
        <v/>
      </c>
      <c r="AC16" s="767"/>
      <c r="AD16" s="717">
        <f>Y16+1</f>
        <v>21</v>
      </c>
      <c r="AE16" s="766"/>
      <c r="AF16" s="143"/>
      <c r="AG16" s="706" t="str">
        <f>IF(AJ17&lt;&gt;0,VLOOKUP(AJ17,fêtes,2),0)</f>
        <v/>
      </c>
      <c r="AH16" s="767"/>
      <c r="AI16" s="717">
        <f>AD16+1</f>
        <v>22</v>
      </c>
      <c r="AJ16" s="766"/>
      <c r="AK16" s="219"/>
    </row>
    <row r="17" spans="2:37" s="164" customFormat="1" ht="15.75" customHeight="1">
      <c r="B17" s="220"/>
      <c r="C17" s="778">
        <f>IF(F17&lt;&gt;0,VLOOKUP(F17,fêtes,3),0)</f>
        <v>0</v>
      </c>
      <c r="D17" s="779"/>
      <c r="E17" s="779"/>
      <c r="F17" s="178">
        <f>AJ13+1</f>
        <v>259</v>
      </c>
      <c r="G17" s="258"/>
      <c r="H17" s="778">
        <f>IF(K17&lt;&gt;0,VLOOKUP(K17,fêtes,3),0)</f>
        <v>0</v>
      </c>
      <c r="I17" s="779"/>
      <c r="J17" s="779"/>
      <c r="K17" s="178">
        <f>F17+1</f>
        <v>260</v>
      </c>
      <c r="L17" s="258"/>
      <c r="M17" s="778">
        <f>IF(P17&lt;&gt;0,VLOOKUP(P17,fêtes,3),0)</f>
        <v>0</v>
      </c>
      <c r="N17" s="779"/>
      <c r="O17" s="779"/>
      <c r="P17" s="178">
        <f>K17+1</f>
        <v>261</v>
      </c>
      <c r="Q17" s="258"/>
      <c r="R17" s="778">
        <f>IF(U17&lt;&gt;0,VLOOKUP(U17,fêtes,3),0)</f>
        <v>0</v>
      </c>
      <c r="S17" s="779"/>
      <c r="T17" s="779"/>
      <c r="U17" s="178">
        <f>P17+1</f>
        <v>262</v>
      </c>
      <c r="V17" s="258"/>
      <c r="W17" s="778">
        <f>IF(Z17&lt;&gt;0,VLOOKUP(Z17,fêtes,3),0)</f>
        <v>0</v>
      </c>
      <c r="X17" s="779"/>
      <c r="Y17" s="779"/>
      <c r="Z17" s="180">
        <f>U17+1</f>
        <v>263</v>
      </c>
      <c r="AA17" s="260"/>
      <c r="AB17" s="778">
        <f>IF(AE17&lt;&gt;0,VLOOKUP(AE17,fêtes,3),0)</f>
        <v>0</v>
      </c>
      <c r="AC17" s="779"/>
      <c r="AD17" s="779"/>
      <c r="AE17" s="178">
        <f>Z17+1</f>
        <v>264</v>
      </c>
      <c r="AF17" s="258"/>
      <c r="AG17" s="778">
        <f>IF(AJ17&lt;&gt;0,VLOOKUP(AJ17,fêtes,3),0)</f>
        <v>0</v>
      </c>
      <c r="AH17" s="779"/>
      <c r="AI17" s="779"/>
      <c r="AJ17" s="178">
        <f>AE17+1</f>
        <v>265</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f>IF(P17&lt;&gt;0,VLOOKUP(P17,fêtes,5),0)</f>
        <v>0</v>
      </c>
      <c r="Q18" s="154"/>
      <c r="R18" s="776">
        <f>IF(U17&lt;&gt;0,VLOOKUP(U17,fêtes,4),0)</f>
        <v>0</v>
      </c>
      <c r="S18" s="777"/>
      <c r="T18" s="777"/>
      <c r="U18" s="263">
        <f>IF(U17&lt;&gt;0,VLOOKUP(U17,fêtes,5),0)</f>
        <v>0</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str">
        <f>IF(F21&lt;&gt;0,VLOOKUP(F21,fêtes,2),0)</f>
        <v/>
      </c>
      <c r="D20" s="767"/>
      <c r="E20" s="717">
        <f>IF(AND(AI16+1&lt;=$K$52,AI16&lt;&gt;0),AI16+1,0)</f>
        <v>23</v>
      </c>
      <c r="F20" s="766"/>
      <c r="G20" s="143"/>
      <c r="H20" s="706" t="str">
        <f>IF(K21&lt;&gt;0,VLOOKUP(K21,fêtes,2),0)</f>
        <v/>
      </c>
      <c r="I20" s="767"/>
      <c r="J20" s="717">
        <f>IF(AND(E20+1&lt;=$K$52,E20&lt;&gt;0),E20+1,0)</f>
        <v>24</v>
      </c>
      <c r="K20" s="766"/>
      <c r="L20" s="143"/>
      <c r="M20" s="706" t="str">
        <f>IF(P21&lt;&gt;0,VLOOKUP(P21,fêtes,2),0)</f>
        <v/>
      </c>
      <c r="N20" s="767"/>
      <c r="O20" s="717">
        <f>IF(AND(J20+1&lt;=$K$52,J20&lt;&gt;0),J20+1,0)</f>
        <v>25</v>
      </c>
      <c r="P20" s="766"/>
      <c r="Q20" s="143"/>
      <c r="R20" s="706" t="str">
        <f>IF(U21&lt;&gt;0,VLOOKUP(U21,fêtes,2),0)</f>
        <v/>
      </c>
      <c r="S20" s="767"/>
      <c r="T20" s="717">
        <f>IF(AND(O20+1&lt;=$K$52,O20&lt;&gt;0),O20+1,0)</f>
        <v>26</v>
      </c>
      <c r="U20" s="766"/>
      <c r="V20" s="143"/>
      <c r="W20" s="706" t="str">
        <f>IF(Z21&lt;&gt;0,VLOOKUP(Z21,fêtes,2),0)</f>
        <v>Gérald</v>
      </c>
      <c r="X20" s="767"/>
      <c r="Y20" s="717">
        <f>IF(AND(T20+1&lt;=$K$52,T20&lt;&gt;0),T20+1,0)</f>
        <v>27</v>
      </c>
      <c r="Z20" s="766"/>
      <c r="AA20" s="143"/>
      <c r="AB20" s="706" t="str">
        <f>IF(AE21&lt;&gt;0,VLOOKUP(AE21,fêtes,2),0)</f>
        <v/>
      </c>
      <c r="AC20" s="767"/>
      <c r="AD20" s="717">
        <f>IF(AND(Y20+1&lt;=$K$52,Y20&lt;&gt;0),Y20+1,0)</f>
        <v>28</v>
      </c>
      <c r="AE20" s="766"/>
      <c r="AF20" s="143"/>
      <c r="AG20" s="706" t="str">
        <f>IF(AJ21&lt;&gt;0,VLOOKUP(AJ21,fêtes,2),0)</f>
        <v/>
      </c>
      <c r="AH20" s="767"/>
      <c r="AI20" s="717">
        <f>IF(AND(AD20+1&lt;=$K$52,AD20&lt;&gt;0),AD20+1,0)</f>
        <v>29</v>
      </c>
      <c r="AJ20" s="766"/>
      <c r="AK20" s="219"/>
    </row>
    <row r="21" spans="2:37" s="164" customFormat="1" ht="15.75" customHeight="1">
      <c r="B21" s="220"/>
      <c r="C21" s="778">
        <f>IF(F21&lt;&gt;0,VLOOKUP(F21,fêtes,3),0)</f>
        <v>0</v>
      </c>
      <c r="D21" s="779"/>
      <c r="E21" s="779"/>
      <c r="F21" s="178">
        <f>IF(E20&lt;&gt;0,AJ17+1,0)</f>
        <v>266</v>
      </c>
      <c r="G21" s="258"/>
      <c r="H21" s="778">
        <f>IF(K21&lt;&gt;0,VLOOKUP(K21,fêtes,3),0)</f>
        <v>0</v>
      </c>
      <c r="I21" s="779"/>
      <c r="J21" s="779"/>
      <c r="K21" s="178">
        <f>IF(J20&lt;&gt;0,F21+1,0)</f>
        <v>267</v>
      </c>
      <c r="L21" s="258"/>
      <c r="M21" s="778">
        <f>IF(P21&lt;&gt;0,VLOOKUP(P21,fêtes,3),0)</f>
        <v>0</v>
      </c>
      <c r="N21" s="779"/>
      <c r="O21" s="779"/>
      <c r="P21" s="178">
        <f>IF(O20&lt;&gt;0,K21+1,0)</f>
        <v>268</v>
      </c>
      <c r="Q21" s="258"/>
      <c r="R21" s="778">
        <f>IF(U21&lt;&gt;0,VLOOKUP(U21,fêtes,3),0)</f>
        <v>0</v>
      </c>
      <c r="S21" s="779"/>
      <c r="T21" s="779"/>
      <c r="U21" s="178">
        <f>IF(T20&lt;&gt;0,P21+1,0)</f>
        <v>269</v>
      </c>
      <c r="V21" s="258"/>
      <c r="W21" s="778">
        <f>IF(Z21&lt;&gt;0,VLOOKUP(Z21,fêtes,3),0)</f>
        <v>0</v>
      </c>
      <c r="X21" s="779"/>
      <c r="Y21" s="779"/>
      <c r="Z21" s="178">
        <f>IF(Y20&lt;&gt;0,U21+1,0)</f>
        <v>270</v>
      </c>
      <c r="AA21" s="258"/>
      <c r="AB21" s="778">
        <f>IF(AE21&lt;&gt;0,VLOOKUP(AE21,fêtes,3),0)</f>
        <v>0</v>
      </c>
      <c r="AC21" s="779"/>
      <c r="AD21" s="779"/>
      <c r="AE21" s="178">
        <f>IF(AD20&lt;&gt;0,Z21+1,0)</f>
        <v>271</v>
      </c>
      <c r="AF21" s="258"/>
      <c r="AG21" s="778">
        <f>IF(AJ21&lt;&gt;0,VLOOKUP(AJ21,fêtes,3),0)</f>
        <v>0</v>
      </c>
      <c r="AH21" s="779"/>
      <c r="AI21" s="779"/>
      <c r="AJ21" s="178">
        <f>IF(AI20&lt;&gt;0,AE21+1,0)</f>
        <v>272</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t="str">
        <f>IF(F25&lt;&gt;0,VLOOKUP(F25,fêtes,2),0)</f>
        <v/>
      </c>
      <c r="D24" s="767"/>
      <c r="E24" s="717">
        <f>IF(AND(AI20+1&lt;=$K$52,AI20&lt;&gt;0),AI20+1,0)</f>
        <v>30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273</v>
      </c>
      <c r="G25" s="258"/>
      <c r="H25" s="788">
        <f>IF(K25&lt;&gt;0,VLOOKUP(K25,fêtes,3),0)</f>
        <v>0</v>
      </c>
      <c r="I25" s="789"/>
      <c r="J25" s="78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1</v>
      </c>
      <c r="G30" s="735">
        <f>IF(P51=5,1,IF(F30&lt;&gt;0,F30+1,0))</f>
        <v>2</v>
      </c>
      <c r="H30" s="736"/>
      <c r="I30" s="160">
        <f>IF(P51=6,1,IF(G30&lt;&gt;0,G30+1,0))</f>
        <v>3</v>
      </c>
      <c r="J30" s="160">
        <f>IF(P51=0,1,IF(I30&lt;&gt;0,I30+1,0))</f>
        <v>4</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1</v>
      </c>
      <c r="AE30" s="165">
        <f>IF($U$51=3,1,IF(AD30&lt;&gt;0,AD30+1,0))</f>
        <v>2</v>
      </c>
      <c r="AF30" s="215"/>
      <c r="AG30" s="160">
        <f>IF($U$51=4,1,IF(AE30&lt;&gt;0,AE30+1,0))</f>
        <v>3</v>
      </c>
      <c r="AH30" s="160">
        <f>IF($U$51=5,1,IF(AG30&lt;&gt;0,AG30+1,0))</f>
        <v>4</v>
      </c>
      <c r="AI30" s="160">
        <f>IF($U$51=6,1,IF(AH30&lt;&gt;0,AH30+1,0))</f>
        <v>5</v>
      </c>
      <c r="AJ30" s="160">
        <f>IF($U$51=0,1,IF(AI30&lt;&gt;0,AI30+1,0))</f>
        <v>6</v>
      </c>
      <c r="AK30" s="240"/>
    </row>
    <row r="31" spans="2:37" ht="14.1" customHeight="1">
      <c r="B31" s="235"/>
      <c r="C31" s="160">
        <f>J30+1</f>
        <v>5</v>
      </c>
      <c r="D31" s="160">
        <f>C31+1</f>
        <v>6</v>
      </c>
      <c r="E31" s="160">
        <f t="shared" ref="E31:G33" si="0">D31+1</f>
        <v>7</v>
      </c>
      <c r="F31" s="160">
        <f t="shared" si="0"/>
        <v>8</v>
      </c>
      <c r="G31" s="735">
        <f t="shared" si="0"/>
        <v>9</v>
      </c>
      <c r="H31" s="736"/>
      <c r="I31" s="160">
        <f>G31+1</f>
        <v>10</v>
      </c>
      <c r="J31" s="160">
        <f>I31+1</f>
        <v>11</v>
      </c>
      <c r="K31" s="143"/>
      <c r="L31" s="241"/>
      <c r="M31" s="236">
        <f>VLOOKUP(C52,Données,10)</f>
        <v>0</v>
      </c>
      <c r="N31" s="232"/>
      <c r="O31" s="232"/>
      <c r="P31" s="233"/>
      <c r="Q31" s="233"/>
      <c r="R31" s="231"/>
      <c r="S31" s="232"/>
      <c r="T31" s="232"/>
      <c r="U31" s="233"/>
      <c r="V31" s="233"/>
      <c r="W31" s="231"/>
      <c r="X31" s="232"/>
      <c r="Y31" s="232"/>
      <c r="Z31" s="233"/>
      <c r="AA31" s="233"/>
      <c r="AB31" s="231"/>
      <c r="AC31" s="160">
        <f>AJ30+1</f>
        <v>7</v>
      </c>
      <c r="AD31" s="160">
        <f t="shared" ref="AD31:AE33" si="1">AC31+1</f>
        <v>8</v>
      </c>
      <c r="AE31" s="165">
        <f t="shared" si="1"/>
        <v>9</v>
      </c>
      <c r="AF31" s="215"/>
      <c r="AG31" s="160">
        <f>AE31+1</f>
        <v>10</v>
      </c>
      <c r="AH31" s="160">
        <f t="shared" ref="AH31:AJ33" si="2">AG31+1</f>
        <v>11</v>
      </c>
      <c r="AI31" s="160">
        <f t="shared" si="2"/>
        <v>12</v>
      </c>
      <c r="AJ31" s="160">
        <f t="shared" si="2"/>
        <v>13</v>
      </c>
      <c r="AK31" s="240"/>
    </row>
    <row r="32" spans="2:37" ht="14.1" customHeight="1">
      <c r="B32" s="235"/>
      <c r="C32" s="160">
        <f>J31+1</f>
        <v>12</v>
      </c>
      <c r="D32" s="160">
        <f>C32+1</f>
        <v>13</v>
      </c>
      <c r="E32" s="160">
        <f t="shared" si="0"/>
        <v>14</v>
      </c>
      <c r="F32" s="160">
        <f t="shared" si="0"/>
        <v>15</v>
      </c>
      <c r="G32" s="735">
        <f t="shared" si="0"/>
        <v>16</v>
      </c>
      <c r="H32" s="736"/>
      <c r="I32" s="160">
        <f>G32+1</f>
        <v>17</v>
      </c>
      <c r="J32" s="160">
        <f>I32+1</f>
        <v>18</v>
      </c>
      <c r="K32" s="143"/>
      <c r="L32" s="238"/>
      <c r="M32" s="233"/>
      <c r="N32" s="237"/>
      <c r="O32" s="237"/>
      <c r="P32" s="238"/>
      <c r="Q32" s="238"/>
      <c r="R32" s="239"/>
      <c r="S32" s="237"/>
      <c r="T32" s="237"/>
      <c r="U32" s="238"/>
      <c r="V32" s="238"/>
      <c r="W32" s="239"/>
      <c r="X32" s="237"/>
      <c r="Y32" s="237"/>
      <c r="Z32" s="238"/>
      <c r="AA32" s="238"/>
      <c r="AB32" s="231"/>
      <c r="AC32" s="160">
        <f>AJ31+1</f>
        <v>14</v>
      </c>
      <c r="AD32" s="160">
        <f t="shared" si="1"/>
        <v>15</v>
      </c>
      <c r="AE32" s="165">
        <f t="shared" si="1"/>
        <v>16</v>
      </c>
      <c r="AF32" s="215"/>
      <c r="AG32" s="160">
        <f>AE32+1</f>
        <v>17</v>
      </c>
      <c r="AH32" s="160">
        <f t="shared" si="2"/>
        <v>18</v>
      </c>
      <c r="AI32" s="160">
        <f t="shared" si="2"/>
        <v>19</v>
      </c>
      <c r="AJ32" s="160">
        <f t="shared" si="2"/>
        <v>20</v>
      </c>
      <c r="AK32" s="240"/>
    </row>
    <row r="33" spans="2:37" ht="14.1" customHeight="1">
      <c r="B33" s="235"/>
      <c r="C33" s="160">
        <f>J32+1</f>
        <v>19</v>
      </c>
      <c r="D33" s="160">
        <f>C33+1</f>
        <v>20</v>
      </c>
      <c r="E33" s="160">
        <f t="shared" si="0"/>
        <v>21</v>
      </c>
      <c r="F33" s="160">
        <f t="shared" si="0"/>
        <v>22</v>
      </c>
      <c r="G33" s="735">
        <f t="shared" si="0"/>
        <v>23</v>
      </c>
      <c r="H33" s="736"/>
      <c r="I33" s="160">
        <f>G33+1</f>
        <v>24</v>
      </c>
      <c r="J33" s="160">
        <f>I33+1</f>
        <v>25</v>
      </c>
      <c r="K33" s="233"/>
      <c r="L33" s="233"/>
      <c r="M33" s="239"/>
      <c r="N33" s="232"/>
      <c r="O33" s="232"/>
      <c r="P33" s="233"/>
      <c r="Q33" s="233"/>
      <c r="R33" s="231"/>
      <c r="S33" s="232"/>
      <c r="T33" s="232"/>
      <c r="U33" s="233"/>
      <c r="V33" s="233"/>
      <c r="W33" s="231"/>
      <c r="X33" s="232"/>
      <c r="Y33" s="232"/>
      <c r="Z33" s="233"/>
      <c r="AA33" s="233"/>
      <c r="AB33" s="231"/>
      <c r="AC33" s="160">
        <f>AJ32+1</f>
        <v>21</v>
      </c>
      <c r="AD33" s="160">
        <f t="shared" si="1"/>
        <v>22</v>
      </c>
      <c r="AE33" s="165">
        <f t="shared" si="1"/>
        <v>23</v>
      </c>
      <c r="AF33" s="215"/>
      <c r="AG33" s="160">
        <f>AE33+1</f>
        <v>24</v>
      </c>
      <c r="AH33" s="160">
        <f t="shared" si="2"/>
        <v>25</v>
      </c>
      <c r="AI33" s="160">
        <f t="shared" si="2"/>
        <v>26</v>
      </c>
      <c r="AJ33" s="160">
        <f t="shared" si="2"/>
        <v>27</v>
      </c>
      <c r="AK33" s="240"/>
    </row>
    <row r="34" spans="2:37" ht="14.1" customHeight="1">
      <c r="B34" s="235"/>
      <c r="C34" s="160">
        <f>IF(AND(J33+1&lt;=$P$52,J33&lt;&gt;0),J33+1,0)</f>
        <v>26</v>
      </c>
      <c r="D34" s="160">
        <f t="shared" ref="D34:G35" si="3">IF(AND(C34+1&lt;=$P$52,C34&lt;&gt;0),C34+1,0)</f>
        <v>27</v>
      </c>
      <c r="E34" s="160">
        <f t="shared" si="3"/>
        <v>28</v>
      </c>
      <c r="F34" s="160">
        <f t="shared" si="3"/>
        <v>29</v>
      </c>
      <c r="G34" s="735">
        <f t="shared" si="3"/>
        <v>30</v>
      </c>
      <c r="H34" s="736"/>
      <c r="I34" s="165">
        <f>IF(AND(G34+1&lt;=$P$52,G34&lt;&gt;0),G34+1,0)</f>
        <v>31</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28</v>
      </c>
      <c r="AD34" s="160">
        <f>IF(AND(AC34+1&lt;=U52,AC34&lt;&gt;0),AC34+1,0)</f>
        <v>29</v>
      </c>
      <c r="AE34" s="165">
        <f>IF(AND(AD34+1&lt;=U52,AD34&lt;&gt;0),AD34+1,0)</f>
        <v>30</v>
      </c>
      <c r="AF34" s="215"/>
      <c r="AG34" s="160">
        <f>IF(AND(AE34+1&lt;=U52,AE34&lt;&gt;0),AE34+1,0)</f>
        <v>31</v>
      </c>
      <c r="AH34" s="160">
        <f>IF(AND(AG34+1&lt;=U52,AG34&lt;&gt;0),AG34+1,0)</f>
        <v>0</v>
      </c>
      <c r="AI34" s="160">
        <f>IF(AND(AH34+1&lt;=U52,AH34&lt;&gt;0),AH34+1,0)</f>
        <v>0</v>
      </c>
      <c r="AJ34" s="160">
        <f>IF(AND(AI34+1&lt;=U52,AI34&lt;&gt;0),AI34+1,0)</f>
        <v>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43344</v>
      </c>
      <c r="L50" s="737"/>
      <c r="M50" s="737"/>
      <c r="N50" s="738"/>
      <c r="O50" s="147"/>
      <c r="P50" s="724">
        <f>DATE(C51,C52-1,1)</f>
        <v>43313</v>
      </c>
      <c r="Q50" s="725"/>
      <c r="R50" s="725"/>
      <c r="S50" s="726"/>
      <c r="T50" s="147"/>
      <c r="U50" s="724">
        <f>DATE(C51,C52+1,1)</f>
        <v>43374</v>
      </c>
      <c r="V50" s="759"/>
      <c r="W50" s="760"/>
    </row>
    <row r="51" spans="1:26" ht="15.75">
      <c r="A51" s="1" t="s">
        <v>153</v>
      </c>
      <c r="C51" s="762">
        <f>dates!H1</f>
        <v>2018</v>
      </c>
      <c r="D51" s="762"/>
      <c r="E51" s="138">
        <f>IF(C52=5,"Voir notes",0)</f>
        <v>0</v>
      </c>
      <c r="F51"/>
      <c r="G51" s="751">
        <f>DATE(C51+1,1,1)</f>
        <v>43466</v>
      </c>
      <c r="H51" s="752"/>
      <c r="I51" s="753"/>
      <c r="J51" s="147"/>
      <c r="K51" s="727">
        <f>MOD(K50,7)</f>
        <v>0</v>
      </c>
      <c r="L51" s="752"/>
      <c r="M51" s="752"/>
      <c r="N51" s="753"/>
      <c r="O51" s="147"/>
      <c r="P51" s="727">
        <f>MOD(P50,7)</f>
        <v>4</v>
      </c>
      <c r="Q51" s="728"/>
      <c r="R51" s="728"/>
      <c r="S51" s="729"/>
      <c r="T51" s="147"/>
      <c r="U51" s="727">
        <f>MOD(U50,7)</f>
        <v>2</v>
      </c>
      <c r="V51" s="733"/>
      <c r="W51" s="734"/>
    </row>
    <row r="52" spans="1:26" ht="15.75">
      <c r="A52" s="1" t="s">
        <v>152</v>
      </c>
      <c r="C52" s="168">
        <v>9</v>
      </c>
      <c r="D52" s="169"/>
      <c r="E52" s="139" t="s">
        <v>0</v>
      </c>
      <c r="F52"/>
      <c r="G52" s="754">
        <f>G51-G50</f>
        <v>365</v>
      </c>
      <c r="H52" s="755"/>
      <c r="I52" s="756"/>
      <c r="J52" s="147"/>
      <c r="K52" s="754">
        <f>VLOOKUP(C52,Données,3)</f>
        <v>30</v>
      </c>
      <c r="L52" s="782"/>
      <c r="M52" s="782"/>
      <c r="N52" s="783"/>
      <c r="O52" s="147"/>
      <c r="P52" s="754">
        <f>VLOOKUP(C52-1,Données,3)</f>
        <v>31</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30" priority="4" stopIfTrue="1" operator="containsText" text="CEPARI">
      <formula>NOT(ISERROR(SEARCH("CEPARI",C4)))</formula>
    </cfRule>
    <cfRule type="containsText" dxfId="29" priority="5" stopIfTrue="1" operator="containsText" text="Formation SP">
      <formula>NOT(ISERROR(SEARCH("Formation SP",C4)))</formula>
    </cfRule>
    <cfRule type="containsText" dxfId="28" priority="6" stopIfTrue="1" operator="containsText" text="Garde">
      <formula>NOT(ISERROR(SEARCH("Garde",C4)))</formula>
    </cfRule>
    <cfRule type="containsText" dxfId="27" priority="7" stopIfTrue="1" operator="containsText" text="Formation">
      <formula>NOT(ISERROR(SEARCH("Formation",C4)))</formula>
    </cfRule>
    <cfRule type="containsText" dxfId="26" priority="8" stopIfTrue="1" operator="containsText" text="Nuit">
      <formula>NOT(ISERROR(SEARCH("Nuit",C4)))</formula>
    </cfRule>
    <cfRule type="containsText" dxfId="25" priority="9" stopIfTrue="1" operator="containsText" text="Jour">
      <formula>NOT(ISERROR(SEARCH("Jour",C4)))</formula>
    </cfRule>
  </conditionalFormatting>
  <conditionalFormatting sqref="C4:AJ26">
    <cfRule type="containsText" dxfId="24" priority="1" stopIfTrue="1" operator="containsText" text="vacances">
      <formula>NOT(ISERROR(SEARCH("vacances",C4)))</formula>
    </cfRule>
  </conditionalFormatting>
  <hyperlinks>
    <hyperlink ref="C1:J1" location="dates!H245" display="dates!H245"/>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1922" r:id="rId4" name="MENU">
          <controlPr defaultSize="0" print="0" autoLine="0" r:id="rId5">
            <anchor moveWithCells="1">
              <from>
                <xdr:col>13</xdr:col>
                <xdr:colOff>123825</xdr:colOff>
                <xdr:row>25</xdr:row>
                <xdr:rowOff>104775</xdr:rowOff>
              </from>
              <to>
                <xdr:col>19</xdr:col>
                <xdr:colOff>76200</xdr:colOff>
                <xdr:row>27</xdr:row>
                <xdr:rowOff>114300</xdr:rowOff>
              </to>
            </anchor>
          </controlPr>
        </control>
      </mc:Choice>
      <mc:Fallback>
        <control shapeId="81922" r:id="rId4" name="MENU"/>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AP74"/>
  <sheetViews>
    <sheetView showGridLines="0" workbookViewId="0">
      <pane ySplit="3" topLeftCell="A4" activePane="bottomLeft" state="frozen"/>
      <selection pane="bottomLeft" activeCell="AM9" sqref="AM9"/>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OCTOBRE</v>
      </c>
      <c r="D1" s="718"/>
      <c r="E1" s="718"/>
      <c r="F1" s="718"/>
      <c r="G1" s="718"/>
      <c r="H1" s="718"/>
      <c r="I1" s="718"/>
      <c r="J1" s="718"/>
      <c r="K1" s="189"/>
      <c r="L1" s="189"/>
      <c r="M1" s="190"/>
      <c r="N1" s="191" t="s">
        <v>187</v>
      </c>
      <c r="O1" s="188"/>
      <c r="P1" s="192"/>
      <c r="Q1" s="192"/>
      <c r="R1" s="190"/>
      <c r="S1" s="193"/>
      <c r="T1" s="194" t="str">
        <f>VLOOKUP(C52,Données,5)</f>
        <v>opale + tourmaline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souci + cosmos</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t="str">
        <f>IF(K5&lt;&gt;0,VLOOKUP(K5,fêtes,2),0)</f>
        <v/>
      </c>
      <c r="I4" s="767"/>
      <c r="J4" s="717">
        <f>IF($K$51=2,1,IF(E4&lt;&gt;0,E4+1,0))</f>
        <v>1</v>
      </c>
      <c r="K4" s="766"/>
      <c r="L4" s="143"/>
      <c r="M4" s="706" t="str">
        <f>IF(P5&lt;&gt;0,VLOOKUP(P5,fêtes,2),0)</f>
        <v/>
      </c>
      <c r="N4" s="767"/>
      <c r="O4" s="717">
        <f>IF($K$51=3,1,IF(J4&lt;&gt;0,J4+1,0))</f>
        <v>2</v>
      </c>
      <c r="P4" s="766"/>
      <c r="Q4" s="143"/>
      <c r="R4" s="706" t="str">
        <f>IF(U5&lt;&gt;0,VLOOKUP(U5,fêtes,2),0)</f>
        <v/>
      </c>
      <c r="S4" s="767"/>
      <c r="T4" s="717">
        <f>IF($K$51=4,1,IF(O4&lt;&gt;0,O4+1,0))</f>
        <v>3</v>
      </c>
      <c r="U4" s="766"/>
      <c r="V4" s="143"/>
      <c r="W4" s="706" t="str">
        <f>IF(Z5&lt;&gt;0,VLOOKUP(Z5,fêtes,2),0)</f>
        <v/>
      </c>
      <c r="X4" s="767"/>
      <c r="Y4" s="717">
        <f>IF($K$51=5,1,IF(T4&lt;&gt;0,T4+1,0))</f>
        <v>4</v>
      </c>
      <c r="Z4" s="766"/>
      <c r="AA4" s="143"/>
      <c r="AB4" s="706" t="str">
        <f>IF(AE5&lt;&gt;0,VLOOKUP(AE5,fêtes,2),0)</f>
        <v/>
      </c>
      <c r="AC4" s="767"/>
      <c r="AD4" s="717">
        <f>IF($K$51=6,1,IF(Y4&lt;&gt;0,Y4+1,0))</f>
        <v>5</v>
      </c>
      <c r="AE4" s="766"/>
      <c r="AF4" s="143"/>
      <c r="AG4" s="706" t="str">
        <f>IF(AJ5&lt;&gt;0,VLOOKUP(AJ5,fêtes,2),0)</f>
        <v/>
      </c>
      <c r="AH4" s="767"/>
      <c r="AI4" s="717">
        <f>IF($K$51=0,1,IF(AD4&lt;&gt;0,AD4+1,0))</f>
        <v>6</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274</v>
      </c>
      <c r="L5" s="258"/>
      <c r="M5" s="778">
        <f>IF(P5&lt;&gt;0,VLOOKUP(P5,fêtes,3),0)</f>
        <v>0</v>
      </c>
      <c r="N5" s="779"/>
      <c r="O5" s="779"/>
      <c r="P5" s="178">
        <f>IF(O4&lt;&gt;0,VLOOKUP($C$52,Données,4)+J4,0)</f>
        <v>275</v>
      </c>
      <c r="Q5" s="258"/>
      <c r="R5" s="778">
        <f>IF(U5&lt;&gt;0,VLOOKUP(U5,fêtes,3),0)</f>
        <v>0</v>
      </c>
      <c r="S5" s="779"/>
      <c r="T5" s="779"/>
      <c r="U5" s="178">
        <f>IF(T4&lt;&gt;0,VLOOKUP($C$52,Données,4)+O4,0)</f>
        <v>276</v>
      </c>
      <c r="V5" s="258"/>
      <c r="W5" s="778">
        <f>IF(Z5&lt;&gt;0,VLOOKUP(Z5,fêtes,3),0)</f>
        <v>0</v>
      </c>
      <c r="X5" s="779"/>
      <c r="Y5" s="779"/>
      <c r="Z5" s="178">
        <f>IF(Y4&lt;&gt;0,VLOOKUP($C$52,Données,4)+T4,0)</f>
        <v>277</v>
      </c>
      <c r="AA5" s="258"/>
      <c r="AB5" s="778" t="str">
        <f>IF(AE5&lt;&gt;0,VLOOKUP(AE5,fêtes,3),0)</f>
        <v>nuit</v>
      </c>
      <c r="AC5" s="779"/>
      <c r="AD5" s="779"/>
      <c r="AE5" s="178">
        <f>IF(AD4&lt;&gt;0,VLOOKUP($C$52,Données,4)+Y4,0)</f>
        <v>278</v>
      </c>
      <c r="AF5" s="258"/>
      <c r="AG5" s="778" t="str">
        <f>IF(AJ5&lt;&gt;0,VLOOKUP(AJ5,fêtes,3),0)</f>
        <v>nuit</v>
      </c>
      <c r="AH5" s="779"/>
      <c r="AI5" s="779"/>
      <c r="AJ5" s="178">
        <f>IF(AI4&lt;&gt;0,VLOOKUP($C$52,Données,4)+AD4,0)</f>
        <v>279</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t="str">
        <f>IF(Z5&lt;&gt;0,VLOOKUP(Z5,fêtes,4),0)</f>
        <v>Garde jour</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f>IF(AJ5&lt;&gt;0,VLOOKUP(AJ5,fêtes,5),0)</f>
        <v>0</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str">
        <f>IF(F9&lt;&gt;0,VLOOKUP(F9,fêtes,2),0)</f>
        <v/>
      </c>
      <c r="D8" s="767"/>
      <c r="E8" s="717">
        <f>AI4+1</f>
        <v>7</v>
      </c>
      <c r="F8" s="766"/>
      <c r="G8" s="143"/>
      <c r="H8" s="706" t="str">
        <f>IF(K9&lt;&gt;0,VLOOKUP(K9,fêtes,2),0)</f>
        <v/>
      </c>
      <c r="I8" s="767"/>
      <c r="J8" s="717">
        <f>E8+1</f>
        <v>8</v>
      </c>
      <c r="K8" s="766"/>
      <c r="L8" s="143"/>
      <c r="M8" s="706" t="str">
        <f>IF(P9&lt;&gt;0,VLOOKUP(P9,fêtes,2),0)</f>
        <v/>
      </c>
      <c r="N8" s="767"/>
      <c r="O8" s="717">
        <f>J8+1</f>
        <v>9</v>
      </c>
      <c r="P8" s="766"/>
      <c r="Q8" s="143"/>
      <c r="R8" s="706" t="str">
        <f>IF(U9&lt;&gt;0,VLOOKUP(U9,fêtes,2),0)</f>
        <v/>
      </c>
      <c r="S8" s="767"/>
      <c r="T8" s="717">
        <f>O8+1</f>
        <v>10</v>
      </c>
      <c r="U8" s="766"/>
      <c r="V8" s="143"/>
      <c r="W8" s="706" t="str">
        <f>IF(Z9&lt;&gt;0,VLOOKUP(Z9,fêtes,2),0)</f>
        <v/>
      </c>
      <c r="X8" s="767"/>
      <c r="Y8" s="717">
        <f>T8+1</f>
        <v>11</v>
      </c>
      <c r="Z8" s="766"/>
      <c r="AA8" s="143"/>
      <c r="AB8" s="706" t="str">
        <f>IF(AE9&lt;&gt;0,VLOOKUP(AE9,fêtes,2),0)</f>
        <v/>
      </c>
      <c r="AC8" s="767"/>
      <c r="AD8" s="717">
        <f>Y8+1</f>
        <v>12</v>
      </c>
      <c r="AE8" s="766"/>
      <c r="AF8" s="143"/>
      <c r="AG8" s="706" t="str">
        <f>IF(AJ9&lt;&gt;0,VLOOKUP(AJ9,fêtes,2),0)</f>
        <v/>
      </c>
      <c r="AH8" s="767"/>
      <c r="AI8" s="717">
        <f>AD8+1</f>
        <v>13</v>
      </c>
      <c r="AJ8" s="766"/>
      <c r="AK8" s="219"/>
    </row>
    <row r="9" spans="2:42" s="164" customFormat="1" ht="15.75" customHeight="1">
      <c r="B9" s="220"/>
      <c r="C9" s="778" t="str">
        <f>IF(F9&lt;&gt;0,VLOOKUP(F9,fêtes,3),0)</f>
        <v>nuit</v>
      </c>
      <c r="D9" s="779"/>
      <c r="E9" s="779"/>
      <c r="F9" s="178">
        <f>AJ5+1</f>
        <v>280</v>
      </c>
      <c r="G9" s="258"/>
      <c r="H9" s="778">
        <f>IF(K9&lt;&gt;0,VLOOKUP(K9,fêtes,3),0)</f>
        <v>0</v>
      </c>
      <c r="I9" s="779"/>
      <c r="J9" s="779"/>
      <c r="K9" s="178">
        <f>F9+1</f>
        <v>281</v>
      </c>
      <c r="L9" s="258"/>
      <c r="M9" s="778">
        <f>IF(P9&lt;&gt;0,VLOOKUP(P9,fêtes,3),0)</f>
        <v>0</v>
      </c>
      <c r="N9" s="779"/>
      <c r="O9" s="779"/>
      <c r="P9" s="178">
        <f>K9+1</f>
        <v>282</v>
      </c>
      <c r="Q9" s="258"/>
      <c r="R9" s="778" t="str">
        <f>IF(U9&lt;&gt;0,VLOOKUP(U9,fêtes,3),0)</f>
        <v>jour</v>
      </c>
      <c r="S9" s="779"/>
      <c r="T9" s="779"/>
      <c r="U9" s="178">
        <f>P9+1</f>
        <v>283</v>
      </c>
      <c r="V9" s="258"/>
      <c r="W9" s="778">
        <f>IF(Z9&lt;&gt;0,VLOOKUP(Z9,fêtes,3),0)</f>
        <v>0</v>
      </c>
      <c r="X9" s="779"/>
      <c r="Y9" s="779"/>
      <c r="Z9" s="179">
        <f>U9+1</f>
        <v>284</v>
      </c>
      <c r="AA9" s="259"/>
      <c r="AB9" s="778">
        <f>IF(AE9&lt;&gt;0,VLOOKUP(AE9,fêtes,3),0)</f>
        <v>0</v>
      </c>
      <c r="AC9" s="779"/>
      <c r="AD9" s="779"/>
      <c r="AE9" s="178">
        <f>Z9+1</f>
        <v>285</v>
      </c>
      <c r="AF9" s="258"/>
      <c r="AG9" s="778" t="str">
        <f>IF(AJ9&lt;&gt;0,VLOOKUP(AJ9,fêtes,3),0)</f>
        <v>nuit</v>
      </c>
      <c r="AH9" s="779"/>
      <c r="AI9" s="779"/>
      <c r="AJ9" s="178">
        <f>AE9+1</f>
        <v>286</v>
      </c>
      <c r="AK9" s="222"/>
    </row>
    <row r="10" spans="2:42" s="155" customFormat="1" ht="15.75">
      <c r="B10" s="223"/>
      <c r="C10" s="780">
        <f>IF(F9&lt;&gt;0,VLOOKUP(F9,fêtes,4),0)</f>
        <v>0</v>
      </c>
      <c r="D10" s="781"/>
      <c r="E10" s="781"/>
      <c r="F10" s="263">
        <f>IF(F9&lt;&gt;0,VLOOKUP(F9,fêtes,5),0)</f>
        <v>0</v>
      </c>
      <c r="G10" s="154"/>
      <c r="H10" s="776">
        <f>IF(K9&lt;&gt;0,VLOOKUP(K9,fêtes,4),0)</f>
        <v>0</v>
      </c>
      <c r="I10" s="777"/>
      <c r="J10" s="777"/>
      <c r="K10" s="263">
        <f>IF(K9&lt;&gt;0,VLOOKUP(K9,fêtes,5),0)</f>
        <v>0</v>
      </c>
      <c r="L10" s="154"/>
      <c r="M10" s="776" t="str">
        <f>IF(P9&lt;&gt;0,VLOOKUP(P9,fêtes,4),0)</f>
        <v>Garde jour</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str">
        <f>IF(F13&lt;&gt;0,VLOOKUP(F13,fêtes,2),0)</f>
        <v/>
      </c>
      <c r="D12" s="767"/>
      <c r="E12" s="717">
        <f>AI8+1</f>
        <v>14</v>
      </c>
      <c r="F12" s="766"/>
      <c r="G12" s="143"/>
      <c r="H12" s="706" t="str">
        <f>IF(K13&lt;&gt;0,VLOOKUP(K13,fêtes,2),0)</f>
        <v/>
      </c>
      <c r="I12" s="767"/>
      <c r="J12" s="717">
        <f>E12+1</f>
        <v>15</v>
      </c>
      <c r="K12" s="766"/>
      <c r="L12" s="143"/>
      <c r="M12" s="706" t="str">
        <f>IF(P13&lt;&gt;0,VLOOKUP(P13,fêtes,2),0)</f>
        <v/>
      </c>
      <c r="N12" s="767"/>
      <c r="O12" s="717">
        <f>J12+1</f>
        <v>16</v>
      </c>
      <c r="P12" s="766"/>
      <c r="Q12" s="143"/>
      <c r="R12" s="706" t="str">
        <f>IF(U13&lt;&gt;0,VLOOKUP(U13,fêtes,2),0)</f>
        <v/>
      </c>
      <c r="S12" s="767"/>
      <c r="T12" s="717">
        <f>O12+1</f>
        <v>17</v>
      </c>
      <c r="U12" s="766"/>
      <c r="V12" s="143"/>
      <c r="W12" s="706" t="str">
        <f>IF(Z13&lt;&gt;0,VLOOKUP(Z13,fêtes,2),0)</f>
        <v/>
      </c>
      <c r="X12" s="767"/>
      <c r="Y12" s="717">
        <f>T12+1</f>
        <v>18</v>
      </c>
      <c r="Z12" s="766"/>
      <c r="AA12" s="143"/>
      <c r="AB12" s="706" t="str">
        <f>IF(AE13&lt;&gt;0,VLOOKUP(AE13,fêtes,2),0)</f>
        <v/>
      </c>
      <c r="AC12" s="767"/>
      <c r="AD12" s="717">
        <f>Y12+1</f>
        <v>19</v>
      </c>
      <c r="AE12" s="766"/>
      <c r="AF12" s="143"/>
      <c r="AG12" s="706" t="str">
        <f>IF(AJ13&lt;&gt;0,VLOOKUP(AJ13,fêtes,2),0)</f>
        <v>vacances</v>
      </c>
      <c r="AH12" s="767"/>
      <c r="AI12" s="717">
        <f>AD12+1</f>
        <v>20</v>
      </c>
      <c r="AJ12" s="766"/>
      <c r="AK12" s="219"/>
    </row>
    <row r="13" spans="2:42" s="164" customFormat="1" ht="15.75" customHeight="1">
      <c r="B13" s="220"/>
      <c r="C13" s="778" t="str">
        <f>IF(F13&lt;&gt;0,VLOOKUP(F13,fêtes,3),0)</f>
        <v>nuit</v>
      </c>
      <c r="D13" s="779"/>
      <c r="E13" s="779"/>
      <c r="F13" s="178">
        <f>AJ9+1</f>
        <v>287</v>
      </c>
      <c r="G13" s="258"/>
      <c r="H13" s="778">
        <f>IF(K13&lt;&gt;0,VLOOKUP(K13,fêtes,3),0)</f>
        <v>0</v>
      </c>
      <c r="I13" s="779"/>
      <c r="J13" s="779"/>
      <c r="K13" s="178">
        <f>F13+1</f>
        <v>288</v>
      </c>
      <c r="L13" s="258"/>
      <c r="M13" s="778">
        <f>IF(P13&lt;&gt;0,VLOOKUP(P13,fêtes,3),0)</f>
        <v>0</v>
      </c>
      <c r="N13" s="779"/>
      <c r="O13" s="779"/>
      <c r="P13" s="178">
        <f>K13+1</f>
        <v>289</v>
      </c>
      <c r="Q13" s="258"/>
      <c r="R13" s="778">
        <f>IF(U13&lt;&gt;0,VLOOKUP(U13,fêtes,3),0)</f>
        <v>0</v>
      </c>
      <c r="S13" s="779"/>
      <c r="T13" s="779"/>
      <c r="U13" s="178">
        <f>P13+1</f>
        <v>290</v>
      </c>
      <c r="V13" s="258"/>
      <c r="W13" s="778">
        <f>IF(Z13&lt;&gt;0,VLOOKUP(Z13,fêtes,3),0)</f>
        <v>0</v>
      </c>
      <c r="X13" s="779"/>
      <c r="Y13" s="779"/>
      <c r="Z13" s="180">
        <f>U13+1</f>
        <v>291</v>
      </c>
      <c r="AA13" s="260"/>
      <c r="AB13" s="778" t="str">
        <f>IF(AE13&lt;&gt;0,VLOOKUP(AE13,fêtes,3),0)</f>
        <v>nuit</v>
      </c>
      <c r="AC13" s="779"/>
      <c r="AD13" s="779"/>
      <c r="AE13" s="178">
        <f>Z13+1</f>
        <v>292</v>
      </c>
      <c r="AF13" s="258"/>
      <c r="AG13" s="778" t="str">
        <f>IF(AJ13&lt;&gt;0,VLOOKUP(AJ13,fêtes,3),0)</f>
        <v>nuit</v>
      </c>
      <c r="AH13" s="779"/>
      <c r="AI13" s="779"/>
      <c r="AJ13" s="178">
        <f>AE13+1</f>
        <v>293</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t="str">
        <f>IF(K13&lt;&gt;0,VLOOKUP(K13,fêtes,5),0)</f>
        <v>A</v>
      </c>
      <c r="L14" s="154"/>
      <c r="M14" s="776">
        <f>IF(P13&lt;&gt;0,VLOOKUP(P13,fêtes,4),0)</f>
        <v>0</v>
      </c>
      <c r="N14" s="777"/>
      <c r="O14" s="777"/>
      <c r="P14" s="263">
        <f>IF(P13&lt;&gt;0,VLOOKUP(P13,fêtes,5),0)</f>
        <v>0</v>
      </c>
      <c r="Q14" s="154"/>
      <c r="R14" s="776">
        <f>IF(U13&lt;&gt;0,VLOOKUP(U13,fêtes,4),0)</f>
        <v>0</v>
      </c>
      <c r="S14" s="777"/>
      <c r="T14" s="777"/>
      <c r="U14" s="263" t="str">
        <f>IF(U13&lt;&gt;0,VLOOKUP(U13,fêtes,5),0)</f>
        <v>A</v>
      </c>
      <c r="V14" s="154"/>
      <c r="W14" s="776" t="str">
        <f>IF(Z13&lt;&gt;0,VLOOKUP(Z13,fêtes,4),0)</f>
        <v>Garde jour</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str">
        <f>IF(F17&lt;&gt;0,VLOOKUP(F17,fêtes,2),0)</f>
        <v>vacances</v>
      </c>
      <c r="D16" s="767"/>
      <c r="E16" s="717">
        <f>AI12+1</f>
        <v>21</v>
      </c>
      <c r="F16" s="766"/>
      <c r="G16" s="143"/>
      <c r="H16" s="706" t="str">
        <f>IF(K17&lt;&gt;0,VLOOKUP(K17,fêtes,2),0)</f>
        <v>vacances</v>
      </c>
      <c r="I16" s="767"/>
      <c r="J16" s="717">
        <f>E16+1</f>
        <v>22</v>
      </c>
      <c r="K16" s="766"/>
      <c r="L16" s="143"/>
      <c r="M16" s="706" t="str">
        <f>IF(P17&lt;&gt;0,VLOOKUP(P17,fêtes,2),0)</f>
        <v>vacances</v>
      </c>
      <c r="N16" s="767"/>
      <c r="O16" s="717">
        <f>J16+1</f>
        <v>23</v>
      </c>
      <c r="P16" s="766"/>
      <c r="Q16" s="143"/>
      <c r="R16" s="706" t="str">
        <f>IF(U17&lt;&gt;0,VLOOKUP(U17,fêtes,2),0)</f>
        <v>vacances</v>
      </c>
      <c r="S16" s="767"/>
      <c r="T16" s="717">
        <f>O16+1</f>
        <v>24</v>
      </c>
      <c r="U16" s="766"/>
      <c r="V16" s="143"/>
      <c r="W16" s="706" t="str">
        <f>IF(Z17&lt;&gt;0,VLOOKUP(Z17,fêtes,2),0)</f>
        <v>vacances</v>
      </c>
      <c r="X16" s="767"/>
      <c r="Y16" s="717">
        <f>T16+1</f>
        <v>25</v>
      </c>
      <c r="Z16" s="766"/>
      <c r="AA16" s="143"/>
      <c r="AB16" s="706" t="str">
        <f>IF(AE17&lt;&gt;0,VLOOKUP(AE17,fêtes,2),0)</f>
        <v>vacances</v>
      </c>
      <c r="AC16" s="767"/>
      <c r="AD16" s="717">
        <f>Y16+1</f>
        <v>26</v>
      </c>
      <c r="AE16" s="766"/>
      <c r="AF16" s="143"/>
      <c r="AG16" s="706" t="str">
        <f>IF(AJ17&lt;&gt;0,VLOOKUP(AJ17,fêtes,2),0)</f>
        <v>vacances</v>
      </c>
      <c r="AH16" s="767"/>
      <c r="AI16" s="717">
        <f>AD16+1</f>
        <v>27</v>
      </c>
      <c r="AJ16" s="766"/>
      <c r="AK16" s="219"/>
    </row>
    <row r="17" spans="2:37" s="164" customFormat="1" ht="15.75" customHeight="1">
      <c r="B17" s="220"/>
      <c r="C17" s="778" t="str">
        <f>IF(F17&lt;&gt;0,VLOOKUP(F17,fêtes,3),0)</f>
        <v>nuit</v>
      </c>
      <c r="D17" s="779"/>
      <c r="E17" s="779"/>
      <c r="F17" s="178">
        <f>AJ13+1</f>
        <v>294</v>
      </c>
      <c r="G17" s="258"/>
      <c r="H17" s="778">
        <f>IF(K17&lt;&gt;0,VLOOKUP(K17,fêtes,3),0)</f>
        <v>0</v>
      </c>
      <c r="I17" s="779"/>
      <c r="J17" s="779"/>
      <c r="K17" s="178">
        <f>F17+1</f>
        <v>295</v>
      </c>
      <c r="L17" s="258"/>
      <c r="M17" s="778">
        <f>IF(P17&lt;&gt;0,VLOOKUP(P17,fêtes,3),0)</f>
        <v>0</v>
      </c>
      <c r="N17" s="779"/>
      <c r="O17" s="779"/>
      <c r="P17" s="178">
        <f>K17+1</f>
        <v>296</v>
      </c>
      <c r="Q17" s="258"/>
      <c r="R17" s="778">
        <f>IF(U17&lt;&gt;0,VLOOKUP(U17,fêtes,3),0)</f>
        <v>0</v>
      </c>
      <c r="S17" s="779"/>
      <c r="T17" s="779"/>
      <c r="U17" s="178">
        <f>P17+1</f>
        <v>297</v>
      </c>
      <c r="V17" s="258"/>
      <c r="W17" s="778" t="str">
        <f>IF(Z17&lt;&gt;0,VLOOKUP(Z17,fêtes,3),0)</f>
        <v>jour</v>
      </c>
      <c r="X17" s="779"/>
      <c r="Y17" s="779"/>
      <c r="Z17" s="180">
        <f>U17+1</f>
        <v>298</v>
      </c>
      <c r="AA17" s="260"/>
      <c r="AB17" s="778" t="str">
        <f>IF(AE17&lt;&gt;0,VLOOKUP(AE17,fêtes,3),0)</f>
        <v>jour</v>
      </c>
      <c r="AC17" s="779"/>
      <c r="AD17" s="779"/>
      <c r="AE17" s="178">
        <f>Z17+1</f>
        <v>299</v>
      </c>
      <c r="AF17" s="258"/>
      <c r="AG17" s="778">
        <f>IF(AJ17&lt;&gt;0,VLOOKUP(AJ17,fêtes,3),0)</f>
        <v>0</v>
      </c>
      <c r="AH17" s="779"/>
      <c r="AI17" s="779"/>
      <c r="AJ17" s="178">
        <f>AE17+1</f>
        <v>300</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t="str">
        <f>IF(P17&lt;&gt;0,VLOOKUP(P17,fêtes,5),0)</f>
        <v>A</v>
      </c>
      <c r="Q18" s="154"/>
      <c r="R18" s="776">
        <f>IF(U17&lt;&gt;0,VLOOKUP(U17,fêtes,4),0)</f>
        <v>0</v>
      </c>
      <c r="S18" s="777"/>
      <c r="T18" s="777"/>
      <c r="U18" s="263">
        <f>IF(U17&lt;&gt;0,VLOOKUP(U17,fêtes,5),0)</f>
        <v>0</v>
      </c>
      <c r="V18" s="154"/>
      <c r="W18" s="776">
        <f>IF(Z17&lt;&gt;0,VLOOKUP(Z17,fêtes,4),0)</f>
        <v>0</v>
      </c>
      <c r="X18" s="777"/>
      <c r="Y18" s="777"/>
      <c r="Z18" s="263" t="str">
        <f>IF(Z17&lt;&gt;0,VLOOKUP(Z17,fêtes,5),0)</f>
        <v>A</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str">
        <f>IF(F21&lt;&gt;0,VLOOKUP(F21,fêtes,2),0)</f>
        <v>vacances</v>
      </c>
      <c r="D20" s="767"/>
      <c r="E20" s="717">
        <f>IF(AND(AI16+1&lt;=$K$52,AI16&lt;&gt;0),AI16+1,0)</f>
        <v>28</v>
      </c>
      <c r="F20" s="766"/>
      <c r="G20" s="143"/>
      <c r="H20" s="706" t="str">
        <f>IF(K21&lt;&gt;0,VLOOKUP(K21,fêtes,2),0)</f>
        <v>vacances</v>
      </c>
      <c r="I20" s="767"/>
      <c r="J20" s="717">
        <f>IF(AND(E20+1&lt;=$K$52,E20&lt;&gt;0),E20+1,0)</f>
        <v>29</v>
      </c>
      <c r="K20" s="766"/>
      <c r="L20" s="143"/>
      <c r="M20" s="706" t="str">
        <f>IF(P21&lt;&gt;0,VLOOKUP(P21,fêtes,2),0)</f>
        <v>vacances</v>
      </c>
      <c r="N20" s="767"/>
      <c r="O20" s="717">
        <f>IF(AND(J20+1&lt;=$K$52,J20&lt;&gt;0),J20+1,0)</f>
        <v>30</v>
      </c>
      <c r="P20" s="766"/>
      <c r="Q20" s="143"/>
      <c r="R20" s="706" t="str">
        <f>IF(U21&lt;&gt;0,VLOOKUP(U21,fêtes,2),0)</f>
        <v>vacances</v>
      </c>
      <c r="S20" s="767"/>
      <c r="T20" s="717">
        <f>IF(AND(O20+1&lt;=$K$52,O20&lt;&gt;0),O20+1,0)</f>
        <v>31</v>
      </c>
      <c r="U20" s="766"/>
      <c r="V20" s="143"/>
      <c r="W20" s="706">
        <f>IF(Z21&lt;&gt;0,VLOOKUP(Z21,fêtes,2),0)</f>
        <v>0</v>
      </c>
      <c r="X20" s="767"/>
      <c r="Y20" s="717">
        <f>IF(AND(T20+1&lt;=$K$52,T20&lt;&gt;0),T20+1,0)</f>
        <v>0</v>
      </c>
      <c r="Z20" s="766"/>
      <c r="AA20" s="143"/>
      <c r="AB20" s="706">
        <f>IF(AE21&lt;&gt;0,VLOOKUP(AE21,fêtes,2),0)</f>
        <v>0</v>
      </c>
      <c r="AC20" s="767"/>
      <c r="AD20" s="717">
        <f>IF(AND(Y20+1&lt;=$K$52,Y20&lt;&gt;0),Y20+1,0)</f>
        <v>0</v>
      </c>
      <c r="AE20" s="766"/>
      <c r="AF20" s="143"/>
      <c r="AG20" s="706">
        <f>IF(AJ21&lt;&gt;0,VLOOKUP(AJ21,fêtes,2),0)</f>
        <v>0</v>
      </c>
      <c r="AH20" s="767"/>
      <c r="AI20" s="717">
        <f>IF(AND(AD20+1&lt;=$K$52,AD20&lt;&gt;0),AD20+1,0)</f>
        <v>0</v>
      </c>
      <c r="AJ20" s="766"/>
      <c r="AK20" s="219"/>
    </row>
    <row r="21" spans="2:37" s="164" customFormat="1" ht="15.75" customHeight="1">
      <c r="B21" s="220"/>
      <c r="C21" s="778">
        <f>IF(F21&lt;&gt;0,VLOOKUP(F21,fêtes,3),0)</f>
        <v>0</v>
      </c>
      <c r="D21" s="779"/>
      <c r="E21" s="779"/>
      <c r="F21" s="178">
        <f>IF(E20&lt;&gt;0,AJ17+1,0)</f>
        <v>301</v>
      </c>
      <c r="G21" s="258"/>
      <c r="H21" s="778">
        <f>IF(K21&lt;&gt;0,VLOOKUP(K21,fêtes,3),0)</f>
        <v>0</v>
      </c>
      <c r="I21" s="779"/>
      <c r="J21" s="779"/>
      <c r="K21" s="178">
        <f>IF(J20&lt;&gt;0,F21+1,0)</f>
        <v>302</v>
      </c>
      <c r="L21" s="258"/>
      <c r="M21" s="778" t="str">
        <f>IF(P21&lt;&gt;0,VLOOKUP(P21,fêtes,3),0)</f>
        <v>jour</v>
      </c>
      <c r="N21" s="779"/>
      <c r="O21" s="779"/>
      <c r="P21" s="178">
        <f>IF(O20&lt;&gt;0,K21+1,0)</f>
        <v>303</v>
      </c>
      <c r="Q21" s="258"/>
      <c r="R21" s="778" t="str">
        <f>IF(U21&lt;&gt;0,VLOOKUP(U21,fêtes,3),0)</f>
        <v>jour</v>
      </c>
      <c r="S21" s="779"/>
      <c r="T21" s="779"/>
      <c r="U21" s="178">
        <f>IF(T20&lt;&gt;0,P21+1,0)</f>
        <v>304</v>
      </c>
      <c r="V21" s="258"/>
      <c r="W21" s="778">
        <f>IF(Z21&lt;&gt;0,VLOOKUP(Z21,fêtes,3),0)</f>
        <v>0</v>
      </c>
      <c r="X21" s="779"/>
      <c r="Y21" s="779"/>
      <c r="Z21" s="178">
        <f>IF(Y20&lt;&gt;0,U21+1,0)</f>
        <v>0</v>
      </c>
      <c r="AA21" s="258"/>
      <c r="AB21" s="778">
        <f>IF(AE21&lt;&gt;0,VLOOKUP(AE21,fêtes,3),0)</f>
        <v>0</v>
      </c>
      <c r="AC21" s="779"/>
      <c r="AD21" s="779"/>
      <c r="AE21" s="178">
        <f>IF(AD20&lt;&gt;0,Z21+1,0)</f>
        <v>0</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t="str">
        <f>IF(K21&lt;&gt;0,VLOOKUP(K21,fêtes,4),0)</f>
        <v>Garde jour</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f>IF(AE21&lt;&gt;0,VLOOKUP(AE21,fêtes,5),0)</f>
        <v>0</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0</v>
      </c>
      <c r="G30" s="735">
        <f>IF(P51=5,1,IF(F30&lt;&gt;0,F30+1,0))</f>
        <v>0</v>
      </c>
      <c r="H30" s="736"/>
      <c r="I30" s="160">
        <f>IF(P51=6,1,IF(G30&lt;&gt;0,G30+1,0))</f>
        <v>0</v>
      </c>
      <c r="J30" s="160">
        <f>IF(P51=0,1,IF(I30&lt;&gt;0,I30+1,0))</f>
        <v>1</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0</v>
      </c>
      <c r="AH30" s="160">
        <f>IF($U$51=5,1,IF(AG30&lt;&gt;0,AG30+1,0))</f>
        <v>1</v>
      </c>
      <c r="AI30" s="160">
        <f>IF($U$51=6,1,IF(AH30&lt;&gt;0,AH30+1,0))</f>
        <v>2</v>
      </c>
      <c r="AJ30" s="160">
        <f>IF($U$51=0,1,IF(AI30&lt;&gt;0,AI30+1,0))</f>
        <v>3</v>
      </c>
      <c r="AK30" s="240"/>
    </row>
    <row r="31" spans="2:37" ht="14.1" customHeight="1">
      <c r="B31" s="235"/>
      <c r="C31" s="160">
        <f>J30+1</f>
        <v>2</v>
      </c>
      <c r="D31" s="160">
        <f>C31+1</f>
        <v>3</v>
      </c>
      <c r="E31" s="160">
        <f t="shared" ref="E31:G33" si="0">D31+1</f>
        <v>4</v>
      </c>
      <c r="F31" s="160">
        <f t="shared" si="0"/>
        <v>5</v>
      </c>
      <c r="G31" s="735">
        <f t="shared" si="0"/>
        <v>6</v>
      </c>
      <c r="H31" s="736"/>
      <c r="I31" s="160">
        <f>G31+1</f>
        <v>7</v>
      </c>
      <c r="J31" s="160">
        <f>I31+1</f>
        <v>8</v>
      </c>
      <c r="K31" s="143"/>
      <c r="L31" s="241"/>
      <c r="M31" s="236">
        <f>VLOOKUP(C52,Données,10)</f>
        <v>0</v>
      </c>
      <c r="N31" s="232"/>
      <c r="O31" s="232"/>
      <c r="P31" s="233"/>
      <c r="Q31" s="233"/>
      <c r="R31" s="231"/>
      <c r="S31" s="232"/>
      <c r="T31" s="232"/>
      <c r="U31" s="233"/>
      <c r="V31" s="233"/>
      <c r="W31" s="231"/>
      <c r="X31" s="232"/>
      <c r="Y31" s="232"/>
      <c r="Z31" s="233"/>
      <c r="AA31" s="233"/>
      <c r="AB31" s="231"/>
      <c r="AC31" s="160">
        <f>AJ30+1</f>
        <v>4</v>
      </c>
      <c r="AD31" s="160">
        <f t="shared" ref="AD31:AE33" si="1">AC31+1</f>
        <v>5</v>
      </c>
      <c r="AE31" s="165">
        <f t="shared" si="1"/>
        <v>6</v>
      </c>
      <c r="AF31" s="215"/>
      <c r="AG31" s="160">
        <f>AE31+1</f>
        <v>7</v>
      </c>
      <c r="AH31" s="160">
        <f t="shared" ref="AH31:AJ33" si="2">AG31+1</f>
        <v>8</v>
      </c>
      <c r="AI31" s="160">
        <f t="shared" si="2"/>
        <v>9</v>
      </c>
      <c r="AJ31" s="160">
        <f t="shared" si="2"/>
        <v>10</v>
      </c>
      <c r="AK31" s="240"/>
    </row>
    <row r="32" spans="2:37" ht="14.1" customHeight="1">
      <c r="B32" s="235"/>
      <c r="C32" s="160">
        <f>J31+1</f>
        <v>9</v>
      </c>
      <c r="D32" s="160">
        <f>C32+1</f>
        <v>10</v>
      </c>
      <c r="E32" s="160">
        <f t="shared" si="0"/>
        <v>11</v>
      </c>
      <c r="F32" s="160">
        <f t="shared" si="0"/>
        <v>12</v>
      </c>
      <c r="G32" s="735">
        <f t="shared" si="0"/>
        <v>13</v>
      </c>
      <c r="H32" s="736"/>
      <c r="I32" s="160">
        <f>G32+1</f>
        <v>14</v>
      </c>
      <c r="J32" s="160">
        <f>I32+1</f>
        <v>15</v>
      </c>
      <c r="K32" s="143"/>
      <c r="L32" s="238"/>
      <c r="M32" s="233"/>
      <c r="N32" s="237"/>
      <c r="O32" s="237"/>
      <c r="P32" s="238"/>
      <c r="Q32" s="238"/>
      <c r="R32" s="239"/>
      <c r="S32" s="237"/>
      <c r="T32" s="237"/>
      <c r="U32" s="238"/>
      <c r="V32" s="238"/>
      <c r="W32" s="239"/>
      <c r="X32" s="237"/>
      <c r="Y32" s="237"/>
      <c r="Z32" s="238"/>
      <c r="AA32" s="238"/>
      <c r="AB32" s="231"/>
      <c r="AC32" s="160">
        <f>AJ31+1</f>
        <v>11</v>
      </c>
      <c r="AD32" s="160">
        <f t="shared" si="1"/>
        <v>12</v>
      </c>
      <c r="AE32" s="165">
        <f t="shared" si="1"/>
        <v>13</v>
      </c>
      <c r="AF32" s="215"/>
      <c r="AG32" s="160">
        <f>AE32+1</f>
        <v>14</v>
      </c>
      <c r="AH32" s="160">
        <f t="shared" si="2"/>
        <v>15</v>
      </c>
      <c r="AI32" s="160">
        <f t="shared" si="2"/>
        <v>16</v>
      </c>
      <c r="AJ32" s="160">
        <f t="shared" si="2"/>
        <v>17</v>
      </c>
      <c r="AK32" s="240"/>
    </row>
    <row r="33" spans="2:37" ht="14.1" customHeight="1">
      <c r="B33" s="235"/>
      <c r="C33" s="160">
        <f>J32+1</f>
        <v>16</v>
      </c>
      <c r="D33" s="160">
        <f>C33+1</f>
        <v>17</v>
      </c>
      <c r="E33" s="160">
        <f t="shared" si="0"/>
        <v>18</v>
      </c>
      <c r="F33" s="160">
        <f t="shared" si="0"/>
        <v>19</v>
      </c>
      <c r="G33" s="735">
        <f t="shared" si="0"/>
        <v>20</v>
      </c>
      <c r="H33" s="736"/>
      <c r="I33" s="160">
        <f>G33+1</f>
        <v>21</v>
      </c>
      <c r="J33" s="160">
        <f>I33+1</f>
        <v>22</v>
      </c>
      <c r="K33" s="233"/>
      <c r="L33" s="233"/>
      <c r="M33" s="239"/>
      <c r="N33" s="232"/>
      <c r="O33" s="232"/>
      <c r="P33" s="233"/>
      <c r="Q33" s="233"/>
      <c r="R33" s="231"/>
      <c r="S33" s="232"/>
      <c r="T33" s="232"/>
      <c r="U33" s="233"/>
      <c r="V33" s="233"/>
      <c r="W33" s="231"/>
      <c r="X33" s="232"/>
      <c r="Y33" s="232"/>
      <c r="Z33" s="233"/>
      <c r="AA33" s="233"/>
      <c r="AB33" s="231"/>
      <c r="AC33" s="160">
        <f>AJ32+1</f>
        <v>18</v>
      </c>
      <c r="AD33" s="160">
        <f t="shared" si="1"/>
        <v>19</v>
      </c>
      <c r="AE33" s="165">
        <f t="shared" si="1"/>
        <v>20</v>
      </c>
      <c r="AF33" s="215"/>
      <c r="AG33" s="160">
        <f>AE33+1</f>
        <v>21</v>
      </c>
      <c r="AH33" s="160">
        <f t="shared" si="2"/>
        <v>22</v>
      </c>
      <c r="AI33" s="160">
        <f t="shared" si="2"/>
        <v>23</v>
      </c>
      <c r="AJ33" s="160">
        <f t="shared" si="2"/>
        <v>24</v>
      </c>
      <c r="AK33" s="240"/>
    </row>
    <row r="34" spans="2:37" ht="14.1" customHeight="1">
      <c r="B34" s="235"/>
      <c r="C34" s="160">
        <f>IF(AND(J33+1&lt;=$P$52,J33&lt;&gt;0),J33+1,0)</f>
        <v>23</v>
      </c>
      <c r="D34" s="160">
        <f t="shared" ref="D34:G35" si="3">IF(AND(C34+1&lt;=$P$52,C34&lt;&gt;0),C34+1,0)</f>
        <v>24</v>
      </c>
      <c r="E34" s="160">
        <f t="shared" si="3"/>
        <v>25</v>
      </c>
      <c r="F34" s="160">
        <f t="shared" si="3"/>
        <v>26</v>
      </c>
      <c r="G34" s="735">
        <f t="shared" si="3"/>
        <v>27</v>
      </c>
      <c r="H34" s="736"/>
      <c r="I34" s="165">
        <f>IF(AND(G34+1&lt;=$P$52,G34&lt;&gt;0),G34+1,0)</f>
        <v>28</v>
      </c>
      <c r="J34" s="160">
        <f>IF(AND(I34+1&lt;=$P$52,I34&lt;&gt;0),I34+1,0)</f>
        <v>29</v>
      </c>
      <c r="K34" s="233"/>
      <c r="L34" s="238"/>
      <c r="M34" s="239"/>
      <c r="N34" s="237"/>
      <c r="O34" s="237"/>
      <c r="P34" s="238"/>
      <c r="Q34" s="238"/>
      <c r="R34" s="239"/>
      <c r="S34" s="237"/>
      <c r="T34" s="237"/>
      <c r="U34" s="238"/>
      <c r="V34" s="238"/>
      <c r="W34" s="239"/>
      <c r="X34" s="237"/>
      <c r="Y34" s="237"/>
      <c r="Z34" s="238"/>
      <c r="AA34" s="238"/>
      <c r="AB34" s="231"/>
      <c r="AC34" s="160">
        <f>IF(AND(AJ33+1&lt;=U52,AJ33&lt;&gt;0),AJ33+1,0)</f>
        <v>25</v>
      </c>
      <c r="AD34" s="160">
        <f>IF(AND(AC34+1&lt;=U52,AC34&lt;&gt;0),AC34+1,0)</f>
        <v>26</v>
      </c>
      <c r="AE34" s="165">
        <f>IF(AND(AD34+1&lt;=U52,AD34&lt;&gt;0),AD34+1,0)</f>
        <v>27</v>
      </c>
      <c r="AF34" s="215"/>
      <c r="AG34" s="160">
        <f>IF(AND(AE34+1&lt;=U52,AE34&lt;&gt;0),AE34+1,0)</f>
        <v>28</v>
      </c>
      <c r="AH34" s="160">
        <f>IF(AND(AG34+1&lt;=U52,AG34&lt;&gt;0),AG34+1,0)</f>
        <v>29</v>
      </c>
      <c r="AI34" s="160">
        <f>IF(AND(AH34+1&lt;=U52,AH34&lt;&gt;0),AH34+1,0)</f>
        <v>30</v>
      </c>
      <c r="AJ34" s="160">
        <f>IF(AND(AI34+1&lt;=U52,AI34&lt;&gt;0),AI34+1,0)</f>
        <v>0</v>
      </c>
      <c r="AK34" s="240"/>
    </row>
    <row r="35" spans="2:37" ht="14.1" customHeight="1">
      <c r="B35" s="235"/>
      <c r="C35" s="160">
        <f>IF(AND(J34+1&lt;=$P$52,J34&lt;&gt;0),J34+1,0)</f>
        <v>30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43374</v>
      </c>
      <c r="L50" s="737"/>
      <c r="M50" s="737"/>
      <c r="N50" s="738"/>
      <c r="O50" s="147"/>
      <c r="P50" s="724">
        <f>DATE(C51,C52-1,1)</f>
        <v>43344</v>
      </c>
      <c r="Q50" s="725"/>
      <c r="R50" s="725"/>
      <c r="S50" s="726"/>
      <c r="T50" s="147"/>
      <c r="U50" s="724">
        <f>DATE(C51,C52+1,1)</f>
        <v>43405</v>
      </c>
      <c r="V50" s="759"/>
      <c r="W50" s="760"/>
    </row>
    <row r="51" spans="1:26" ht="15.75">
      <c r="A51" s="1" t="s">
        <v>153</v>
      </c>
      <c r="C51" s="762">
        <f>dates!H1</f>
        <v>2018</v>
      </c>
      <c r="D51" s="762"/>
      <c r="E51" s="138">
        <f>IF(C52=5,"Voir notes",0)</f>
        <v>0</v>
      </c>
      <c r="F51"/>
      <c r="G51" s="751">
        <f>DATE(C51+1,1,1)</f>
        <v>43466</v>
      </c>
      <c r="H51" s="752"/>
      <c r="I51" s="753"/>
      <c r="J51" s="147"/>
      <c r="K51" s="727">
        <f>MOD(K50,7)</f>
        <v>2</v>
      </c>
      <c r="L51" s="752"/>
      <c r="M51" s="752"/>
      <c r="N51" s="753"/>
      <c r="O51" s="147"/>
      <c r="P51" s="727">
        <f>MOD(P50,7)</f>
        <v>0</v>
      </c>
      <c r="Q51" s="728"/>
      <c r="R51" s="728"/>
      <c r="S51" s="729"/>
      <c r="T51" s="147"/>
      <c r="U51" s="727">
        <f>MOD(U50,7)</f>
        <v>5</v>
      </c>
      <c r="V51" s="733"/>
      <c r="W51" s="734"/>
    </row>
    <row r="52" spans="1:26" ht="15.75">
      <c r="A52" s="1" t="s">
        <v>152</v>
      </c>
      <c r="C52" s="168">
        <v>10</v>
      </c>
      <c r="D52" s="169"/>
      <c r="E52" s="139" t="s">
        <v>0</v>
      </c>
      <c r="F52"/>
      <c r="G52" s="754">
        <f>G51-G50</f>
        <v>365</v>
      </c>
      <c r="H52" s="755"/>
      <c r="I52" s="756"/>
      <c r="J52" s="147"/>
      <c r="K52" s="754">
        <f>VLOOKUP(C52,Données,3)</f>
        <v>31</v>
      </c>
      <c r="L52" s="782"/>
      <c r="M52" s="782"/>
      <c r="N52" s="783"/>
      <c r="O52" s="147"/>
      <c r="P52" s="754">
        <f>VLOOKUP(C52-1,Données,3)</f>
        <v>30</v>
      </c>
      <c r="Q52" s="782"/>
      <c r="R52" s="782"/>
      <c r="S52" s="783"/>
      <c r="T52" s="147"/>
      <c r="U52" s="754">
        <f>VLOOKUP(C52+1,Données,3)</f>
        <v>30</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23" priority="3" stopIfTrue="1" operator="containsText" text="A">
      <formula>NOT(ISERROR(SEARCH("A",C4)))</formula>
    </cfRule>
    <cfRule type="containsText" dxfId="22" priority="4" stopIfTrue="1" operator="containsText" text="CEPARI">
      <formula>NOT(ISERROR(SEARCH("CEPARI",C4)))</formula>
    </cfRule>
    <cfRule type="containsText" dxfId="21" priority="5" stopIfTrue="1" operator="containsText" text="Formation SP">
      <formula>NOT(ISERROR(SEARCH("Formation SP",C4)))</formula>
    </cfRule>
    <cfRule type="containsText" dxfId="20" priority="6" stopIfTrue="1" operator="containsText" text="Garde">
      <formula>NOT(ISERROR(SEARCH("Garde",C4)))</formula>
    </cfRule>
    <cfRule type="containsText" dxfId="19" priority="7" stopIfTrue="1" operator="containsText" text="Formation">
      <formula>NOT(ISERROR(SEARCH("Formation",C4)))</formula>
    </cfRule>
    <cfRule type="containsText" dxfId="18" priority="8" stopIfTrue="1" operator="containsText" text="Nuit">
      <formula>NOT(ISERROR(SEARCH("Nuit",C4)))</formula>
    </cfRule>
    <cfRule type="containsText" dxfId="17" priority="9" stopIfTrue="1" operator="containsText" text="Jour">
      <formula>NOT(ISERROR(SEARCH("Jour",C4)))</formula>
    </cfRule>
  </conditionalFormatting>
  <conditionalFormatting sqref="C4:AJ26">
    <cfRule type="containsText" dxfId="16" priority="1" stopIfTrue="1" operator="containsText" text="vacances">
      <formula>NOT(ISERROR(SEARCH("vacances",C4)))</formula>
    </cfRule>
  </conditionalFormatting>
  <hyperlinks>
    <hyperlink ref="C1:J1" location="dates!H275" display="dates!H275"/>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78850" r:id="rId4" name="MENU">
          <controlPr defaultSize="0" print="0" autoLine="0" r:id="rId5">
            <anchor moveWithCells="1">
              <from>
                <xdr:col>38</xdr:col>
                <xdr:colOff>66675</xdr:colOff>
                <xdr:row>3</xdr:row>
                <xdr:rowOff>9525</xdr:rowOff>
              </from>
              <to>
                <xdr:col>44</xdr:col>
                <xdr:colOff>85725</xdr:colOff>
                <xdr:row>4</xdr:row>
                <xdr:rowOff>57150</xdr:rowOff>
              </to>
            </anchor>
          </controlPr>
        </control>
      </mc:Choice>
      <mc:Fallback>
        <control shapeId="78850" r:id="rId4" name="MENU"/>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P74"/>
  <sheetViews>
    <sheetView showGridLines="0" workbookViewId="0">
      <pane ySplit="3" topLeftCell="A17" activePane="bottomLeft" state="frozen"/>
      <selection pane="bottomLeft" activeCell="N24" sqref="N24:AI24"/>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NOVEMBRE</v>
      </c>
      <c r="D1" s="718"/>
      <c r="E1" s="718"/>
      <c r="F1" s="718"/>
      <c r="G1" s="718"/>
      <c r="H1" s="718"/>
      <c r="I1" s="718"/>
      <c r="J1" s="718"/>
      <c r="K1" s="189"/>
      <c r="L1" s="189"/>
      <c r="M1" s="190"/>
      <c r="N1" s="191" t="s">
        <v>187</v>
      </c>
      <c r="O1" s="188"/>
      <c r="P1" s="192"/>
      <c r="Q1" s="192"/>
      <c r="R1" s="190"/>
      <c r="S1" s="193"/>
      <c r="T1" s="194" t="str">
        <f>VLOOKUP(C52,Données,5)</f>
        <v>topaze</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chrysantème</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f>IF(P5&lt;&gt;0,VLOOKUP(P5,fêtes,2),0)</f>
        <v>0</v>
      </c>
      <c r="N4" s="767"/>
      <c r="O4" s="717">
        <f>IF($K$51=3,1,IF(J4&lt;&gt;0,J4+1,0))</f>
        <v>0</v>
      </c>
      <c r="P4" s="766"/>
      <c r="Q4" s="143"/>
      <c r="R4" s="706">
        <f>IF(U5&lt;&gt;0,VLOOKUP(U5,fêtes,2),0)</f>
        <v>0</v>
      </c>
      <c r="S4" s="767"/>
      <c r="T4" s="717">
        <f>IF($K$51=4,1,IF(O4&lt;&gt;0,O4+1,0))</f>
        <v>0</v>
      </c>
      <c r="U4" s="766"/>
      <c r="V4" s="143"/>
      <c r="W4" s="706" t="str">
        <f>IF(Z5&lt;&gt;0,VLOOKUP(Z5,fêtes,2),0)</f>
        <v>La Toussaint</v>
      </c>
      <c r="X4" s="767"/>
      <c r="Y4" s="717">
        <f>IF($K$51=5,1,IF(T4&lt;&gt;0,T4+1,0))</f>
        <v>1</v>
      </c>
      <c r="Z4" s="766"/>
      <c r="AA4" s="143"/>
      <c r="AB4" s="706" t="str">
        <f>IF(AE5&lt;&gt;0,VLOOKUP(AE5,fêtes,2),0)</f>
        <v>vacances</v>
      </c>
      <c r="AC4" s="767"/>
      <c r="AD4" s="717">
        <f>IF($K$51=6,1,IF(Y4&lt;&gt;0,Y4+1,0))</f>
        <v>2</v>
      </c>
      <c r="AE4" s="766"/>
      <c r="AF4" s="143"/>
      <c r="AG4" s="706" t="str">
        <f>IF(AJ5&lt;&gt;0,VLOOKUP(AJ5,fêtes,2),0)</f>
        <v>vacances</v>
      </c>
      <c r="AH4" s="767"/>
      <c r="AI4" s="717">
        <f>IF($K$51=0,1,IF(AD4&lt;&gt;0,AD4+1,0))</f>
        <v>3</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0</v>
      </c>
      <c r="V5" s="258"/>
      <c r="W5" s="778">
        <f>IF(Z5&lt;&gt;0,VLOOKUP(Z5,fêtes,3),0)</f>
        <v>0</v>
      </c>
      <c r="X5" s="779"/>
      <c r="Y5" s="779"/>
      <c r="Z5" s="178">
        <f>IF(Y4&lt;&gt;0,VLOOKUP($C$52,Données,4)+T4,0)</f>
        <v>305</v>
      </c>
      <c r="AA5" s="258"/>
      <c r="AB5" s="778">
        <f>IF(AE5&lt;&gt;0,VLOOKUP(AE5,fêtes,3),0)</f>
        <v>0</v>
      </c>
      <c r="AC5" s="779"/>
      <c r="AD5" s="779"/>
      <c r="AE5" s="178">
        <f>IF(AD4&lt;&gt;0,VLOOKUP($C$52,Données,4)+Y4,0)</f>
        <v>306</v>
      </c>
      <c r="AF5" s="258"/>
      <c r="AG5" s="778">
        <f>IF(AJ5&lt;&gt;0,VLOOKUP(AJ5,fêtes,3),0)</f>
        <v>0</v>
      </c>
      <c r="AH5" s="779"/>
      <c r="AI5" s="779"/>
      <c r="AJ5" s="178">
        <f>IF(AI4&lt;&gt;0,VLOOKUP($C$52,Données,4)+AD4,0)</f>
        <v>307</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t="str">
        <f>IF(AE5&lt;&gt;0,VLOOKUP(AE5,fêtes,5),0)</f>
        <v>A</v>
      </c>
      <c r="AF6" s="154"/>
      <c r="AG6" s="780">
        <f>IF(AJ5&lt;&gt;0,VLOOKUP(AJ5,fêtes,4),0)</f>
        <v>0</v>
      </c>
      <c r="AH6" s="781"/>
      <c r="AI6" s="781"/>
      <c r="AJ6" s="263" t="str">
        <f>IF(AJ5&lt;&gt;0,VLOOKUP(AJ5,fêtes,5),0)</f>
        <v>A</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str">
        <f>IF(F9&lt;&gt;0,VLOOKUP(F9,fêtes,2),0)</f>
        <v/>
      </c>
      <c r="D8" s="767"/>
      <c r="E8" s="717">
        <f>AI4+1</f>
        <v>4</v>
      </c>
      <c r="F8" s="766"/>
      <c r="G8" s="143"/>
      <c r="H8" s="706" t="str">
        <f>IF(K9&lt;&gt;0,VLOOKUP(K9,fêtes,2),0)</f>
        <v/>
      </c>
      <c r="I8" s="767"/>
      <c r="J8" s="717">
        <f>E8+1</f>
        <v>5</v>
      </c>
      <c r="K8" s="766"/>
      <c r="L8" s="143"/>
      <c r="M8" s="706" t="str">
        <f>IF(P9&lt;&gt;0,VLOOKUP(P9,fêtes,2),0)</f>
        <v/>
      </c>
      <c r="N8" s="767"/>
      <c r="O8" s="717">
        <f>J8+1</f>
        <v>6</v>
      </c>
      <c r="P8" s="766"/>
      <c r="Q8" s="143"/>
      <c r="R8" s="706" t="str">
        <f>IF(U9&lt;&gt;0,VLOOKUP(U9,fêtes,2),0)</f>
        <v/>
      </c>
      <c r="S8" s="767"/>
      <c r="T8" s="717">
        <f>O8+1</f>
        <v>7</v>
      </c>
      <c r="U8" s="766"/>
      <c r="V8" s="143"/>
      <c r="W8" s="706" t="str">
        <f>IF(Z9&lt;&gt;0,VLOOKUP(Z9,fêtes,2),0)</f>
        <v/>
      </c>
      <c r="X8" s="767"/>
      <c r="Y8" s="717">
        <f>T8+1</f>
        <v>8</v>
      </c>
      <c r="Z8" s="766"/>
      <c r="AA8" s="143"/>
      <c r="AB8" s="706" t="str">
        <f>IF(AE9&lt;&gt;0,VLOOKUP(AE9,fêtes,2),0)</f>
        <v/>
      </c>
      <c r="AC8" s="767"/>
      <c r="AD8" s="717">
        <f>Y8+1</f>
        <v>9</v>
      </c>
      <c r="AE8" s="766"/>
      <c r="AF8" s="143"/>
      <c r="AG8" s="706" t="str">
        <f>IF(AJ9&lt;&gt;0,VLOOKUP(AJ9,fêtes,2),0)</f>
        <v/>
      </c>
      <c r="AH8" s="767"/>
      <c r="AI8" s="717">
        <f>AD8+1</f>
        <v>10</v>
      </c>
      <c r="AJ8" s="766"/>
      <c r="AK8" s="219"/>
    </row>
    <row r="9" spans="2:42" s="164" customFormat="1" ht="15.75" customHeight="1">
      <c r="B9" s="220"/>
      <c r="C9" s="778">
        <f>IF(F9&lt;&gt;0,VLOOKUP(F9,fêtes,3),0)</f>
        <v>0</v>
      </c>
      <c r="D9" s="779"/>
      <c r="E9" s="779"/>
      <c r="F9" s="178">
        <f>AJ5+1</f>
        <v>308</v>
      </c>
      <c r="G9" s="258"/>
      <c r="H9" s="778">
        <f>IF(K9&lt;&gt;0,VLOOKUP(K9,fêtes,3),0)</f>
        <v>0</v>
      </c>
      <c r="I9" s="779"/>
      <c r="J9" s="779"/>
      <c r="K9" s="178">
        <f>F9+1</f>
        <v>309</v>
      </c>
      <c r="L9" s="258"/>
      <c r="M9" s="778">
        <f>IF(P9&lt;&gt;0,VLOOKUP(P9,fêtes,3),0)</f>
        <v>0</v>
      </c>
      <c r="N9" s="779"/>
      <c r="O9" s="779"/>
      <c r="P9" s="178">
        <f>K9+1</f>
        <v>310</v>
      </c>
      <c r="Q9" s="258"/>
      <c r="R9" s="778">
        <f>IF(U9&lt;&gt;0,VLOOKUP(U9,fêtes,3),0)</f>
        <v>0</v>
      </c>
      <c r="S9" s="779"/>
      <c r="T9" s="779"/>
      <c r="U9" s="178">
        <f>P9+1</f>
        <v>311</v>
      </c>
      <c r="V9" s="258"/>
      <c r="W9" s="778">
        <f>IF(Z9&lt;&gt;0,VLOOKUP(Z9,fêtes,3),0)</f>
        <v>0</v>
      </c>
      <c r="X9" s="779"/>
      <c r="Y9" s="779"/>
      <c r="Z9" s="179">
        <f>U9+1</f>
        <v>312</v>
      </c>
      <c r="AA9" s="259"/>
      <c r="AB9" s="778">
        <f>IF(AE9&lt;&gt;0,VLOOKUP(AE9,fêtes,3),0)</f>
        <v>0</v>
      </c>
      <c r="AC9" s="779"/>
      <c r="AD9" s="779"/>
      <c r="AE9" s="178">
        <f>Z9+1</f>
        <v>313</v>
      </c>
      <c r="AF9" s="258"/>
      <c r="AG9" s="778">
        <f>IF(AJ9&lt;&gt;0,VLOOKUP(AJ9,fêtes,3),0)</f>
        <v>0</v>
      </c>
      <c r="AH9" s="779"/>
      <c r="AI9" s="779"/>
      <c r="AJ9" s="178">
        <f>AE9+1</f>
        <v>314</v>
      </c>
      <c r="AK9" s="222"/>
    </row>
    <row r="10" spans="2:42" s="155" customFormat="1" ht="15.75">
      <c r="B10" s="223"/>
      <c r="C10" s="780">
        <f>IF(F9&lt;&gt;0,VLOOKUP(F9,fêtes,4),0)</f>
        <v>0</v>
      </c>
      <c r="D10" s="781"/>
      <c r="E10" s="781"/>
      <c r="F10" s="263" t="str">
        <f>IF(F9&lt;&gt;0,VLOOKUP(F9,fêtes,5),0)</f>
        <v>A</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str">
        <f>IF(F13&lt;&gt;0,VLOOKUP(F13,fêtes,2),0)</f>
        <v>Armistice 1918</v>
      </c>
      <c r="D12" s="767"/>
      <c r="E12" s="717">
        <f>AI8+1</f>
        <v>11</v>
      </c>
      <c r="F12" s="766"/>
      <c r="G12" s="143"/>
      <c r="H12" s="706" t="str">
        <f>IF(K13&lt;&gt;0,VLOOKUP(K13,fêtes,2),0)</f>
        <v/>
      </c>
      <c r="I12" s="767"/>
      <c r="J12" s="717">
        <f>E12+1</f>
        <v>12</v>
      </c>
      <c r="K12" s="766"/>
      <c r="L12" s="143"/>
      <c r="M12" s="706" t="str">
        <f>IF(P13&lt;&gt;0,VLOOKUP(P13,fêtes,2),0)</f>
        <v/>
      </c>
      <c r="N12" s="767"/>
      <c r="O12" s="717">
        <f>J12+1</f>
        <v>13</v>
      </c>
      <c r="P12" s="766"/>
      <c r="Q12" s="143"/>
      <c r="R12" s="706" t="str">
        <f>IF(U13&lt;&gt;0,VLOOKUP(U13,fêtes,2),0)</f>
        <v/>
      </c>
      <c r="S12" s="767"/>
      <c r="T12" s="717">
        <f>O12+1</f>
        <v>14</v>
      </c>
      <c r="U12" s="766"/>
      <c r="V12" s="143"/>
      <c r="W12" s="706" t="str">
        <f>IF(Z13&lt;&gt;0,VLOOKUP(Z13,fêtes,2),0)</f>
        <v/>
      </c>
      <c r="X12" s="767"/>
      <c r="Y12" s="717">
        <f>T12+1</f>
        <v>15</v>
      </c>
      <c r="Z12" s="766"/>
      <c r="AA12" s="143"/>
      <c r="AB12" s="706" t="str">
        <f>IF(AE13&lt;&gt;0,VLOOKUP(AE13,fêtes,2),0)</f>
        <v/>
      </c>
      <c r="AC12" s="767"/>
      <c r="AD12" s="717">
        <f>Y12+1</f>
        <v>16</v>
      </c>
      <c r="AE12" s="766"/>
      <c r="AF12" s="143"/>
      <c r="AG12" s="706" t="str">
        <f>IF(AJ13&lt;&gt;0,VLOOKUP(AJ13,fêtes,2),0)</f>
        <v/>
      </c>
      <c r="AH12" s="767"/>
      <c r="AI12" s="717">
        <f>AD12+1</f>
        <v>17</v>
      </c>
      <c r="AJ12" s="766"/>
      <c r="AK12" s="219"/>
    </row>
    <row r="13" spans="2:42" s="164" customFormat="1" ht="15.75" customHeight="1">
      <c r="B13" s="220"/>
      <c r="C13" s="778">
        <f>IF(F13&lt;&gt;0,VLOOKUP(F13,fêtes,3),0)</f>
        <v>0</v>
      </c>
      <c r="D13" s="779"/>
      <c r="E13" s="779"/>
      <c r="F13" s="178">
        <f>AJ9+1</f>
        <v>315</v>
      </c>
      <c r="G13" s="258"/>
      <c r="H13" s="778">
        <f>IF(K13&lt;&gt;0,VLOOKUP(K13,fêtes,3),0)</f>
        <v>0</v>
      </c>
      <c r="I13" s="779"/>
      <c r="J13" s="779"/>
      <c r="K13" s="178">
        <f>F13+1</f>
        <v>316</v>
      </c>
      <c r="L13" s="258"/>
      <c r="M13" s="778">
        <f>IF(P13&lt;&gt;0,VLOOKUP(P13,fêtes,3),0)</f>
        <v>0</v>
      </c>
      <c r="N13" s="779"/>
      <c r="O13" s="779"/>
      <c r="P13" s="178">
        <f>K13+1</f>
        <v>317</v>
      </c>
      <c r="Q13" s="258"/>
      <c r="R13" s="778">
        <f>IF(U13&lt;&gt;0,VLOOKUP(U13,fêtes,3),0)</f>
        <v>0</v>
      </c>
      <c r="S13" s="779"/>
      <c r="T13" s="779"/>
      <c r="U13" s="178">
        <f>P13+1</f>
        <v>318</v>
      </c>
      <c r="V13" s="258"/>
      <c r="W13" s="778">
        <f>IF(Z13&lt;&gt;0,VLOOKUP(Z13,fêtes,3),0)</f>
        <v>0</v>
      </c>
      <c r="X13" s="779"/>
      <c r="Y13" s="779"/>
      <c r="Z13" s="180">
        <f>U13+1</f>
        <v>319</v>
      </c>
      <c r="AA13" s="260"/>
      <c r="AB13" s="778">
        <f>IF(AE13&lt;&gt;0,VLOOKUP(AE13,fêtes,3),0)</f>
        <v>0</v>
      </c>
      <c r="AC13" s="779"/>
      <c r="AD13" s="779"/>
      <c r="AE13" s="178">
        <f>Z13+1</f>
        <v>320</v>
      </c>
      <c r="AF13" s="258"/>
      <c r="AG13" s="778">
        <f>IF(AJ13&lt;&gt;0,VLOOKUP(AJ13,fêtes,3),0)</f>
        <v>0</v>
      </c>
      <c r="AH13" s="779"/>
      <c r="AI13" s="779"/>
      <c r="AJ13" s="178">
        <f>AE13+1</f>
        <v>321</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t="str">
        <f>IF(K13&lt;&gt;0,VLOOKUP(K13,fêtes,5),0)</f>
        <v>A</v>
      </c>
      <c r="L14" s="154"/>
      <c r="M14" s="776">
        <f>IF(P13&lt;&gt;0,VLOOKUP(P13,fêtes,4),0)</f>
        <v>0</v>
      </c>
      <c r="N14" s="777"/>
      <c r="O14" s="777"/>
      <c r="P14" s="263">
        <f>IF(P13&lt;&gt;0,VLOOKUP(P13,fêtes,5),0)</f>
        <v>0</v>
      </c>
      <c r="Q14" s="154"/>
      <c r="R14" s="776">
        <f>IF(U13&lt;&gt;0,VLOOKUP(U13,fêtes,4),0)</f>
        <v>0</v>
      </c>
      <c r="S14" s="777"/>
      <c r="T14" s="777"/>
      <c r="U14" s="263" t="str">
        <f>IF(U13&lt;&gt;0,VLOOKUP(U13,fêtes,5),0)</f>
        <v>A</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str">
        <f>IF(F17&lt;&gt;0,VLOOKUP(F17,fêtes,2),0)</f>
        <v/>
      </c>
      <c r="D16" s="767"/>
      <c r="E16" s="717">
        <f>AI12+1</f>
        <v>18</v>
      </c>
      <c r="F16" s="766"/>
      <c r="G16" s="143"/>
      <c r="H16" s="706" t="str">
        <f>IF(K17&lt;&gt;0,VLOOKUP(K17,fêtes,2),0)</f>
        <v/>
      </c>
      <c r="I16" s="767"/>
      <c r="J16" s="717">
        <f>E16+1</f>
        <v>19</v>
      </c>
      <c r="K16" s="766"/>
      <c r="L16" s="143"/>
      <c r="M16" s="706" t="str">
        <f>IF(P17&lt;&gt;0,VLOOKUP(P17,fêtes,2),0)</f>
        <v/>
      </c>
      <c r="N16" s="767"/>
      <c r="O16" s="717">
        <f>J16+1</f>
        <v>20</v>
      </c>
      <c r="P16" s="766"/>
      <c r="Q16" s="143"/>
      <c r="R16" s="706" t="str">
        <f>IF(U17&lt;&gt;0,VLOOKUP(U17,fêtes,2),0)</f>
        <v/>
      </c>
      <c r="S16" s="767"/>
      <c r="T16" s="717">
        <f>O16+1</f>
        <v>21</v>
      </c>
      <c r="U16" s="766"/>
      <c r="V16" s="143"/>
      <c r="W16" s="706" t="str">
        <f>IF(Z17&lt;&gt;0,VLOOKUP(Z17,fêtes,2),0)</f>
        <v/>
      </c>
      <c r="X16" s="767"/>
      <c r="Y16" s="717">
        <f>T16+1</f>
        <v>22</v>
      </c>
      <c r="Z16" s="766"/>
      <c r="AA16" s="143"/>
      <c r="AB16" s="706" t="str">
        <f>IF(AE17&lt;&gt;0,VLOOKUP(AE17,fêtes,2),0)</f>
        <v/>
      </c>
      <c r="AC16" s="767"/>
      <c r="AD16" s="717">
        <f>Y16+1</f>
        <v>23</v>
      </c>
      <c r="AE16" s="766"/>
      <c r="AF16" s="143"/>
      <c r="AG16" s="706" t="str">
        <f>IF(AJ17&lt;&gt;0,VLOOKUP(AJ17,fêtes,2),0)</f>
        <v/>
      </c>
      <c r="AH16" s="767"/>
      <c r="AI16" s="717">
        <f>AD16+1</f>
        <v>24</v>
      </c>
      <c r="AJ16" s="766"/>
      <c r="AK16" s="219"/>
    </row>
    <row r="17" spans="2:37" s="164" customFormat="1" ht="15.75" customHeight="1">
      <c r="B17" s="220"/>
      <c r="C17" s="778">
        <f>IF(F17&lt;&gt;0,VLOOKUP(F17,fêtes,3),0)</f>
        <v>0</v>
      </c>
      <c r="D17" s="779"/>
      <c r="E17" s="779"/>
      <c r="F17" s="178">
        <f>AJ13+1</f>
        <v>322</v>
      </c>
      <c r="G17" s="258"/>
      <c r="H17" s="778">
        <f>IF(K17&lt;&gt;0,VLOOKUP(K17,fêtes,3),0)</f>
        <v>0</v>
      </c>
      <c r="I17" s="779"/>
      <c r="J17" s="779"/>
      <c r="K17" s="178">
        <f>F17+1</f>
        <v>323</v>
      </c>
      <c r="L17" s="258"/>
      <c r="M17" s="778">
        <f>IF(P17&lt;&gt;0,VLOOKUP(P17,fêtes,3),0)</f>
        <v>0</v>
      </c>
      <c r="N17" s="779"/>
      <c r="O17" s="779"/>
      <c r="P17" s="178">
        <f>K17+1</f>
        <v>324</v>
      </c>
      <c r="Q17" s="258"/>
      <c r="R17" s="778">
        <f>IF(U17&lt;&gt;0,VLOOKUP(U17,fêtes,3),0)</f>
        <v>0</v>
      </c>
      <c r="S17" s="779"/>
      <c r="T17" s="779"/>
      <c r="U17" s="178">
        <f>P17+1</f>
        <v>325</v>
      </c>
      <c r="V17" s="258"/>
      <c r="W17" s="778">
        <f>IF(Z17&lt;&gt;0,VLOOKUP(Z17,fêtes,3),0)</f>
        <v>0</v>
      </c>
      <c r="X17" s="779"/>
      <c r="Y17" s="779"/>
      <c r="Z17" s="180">
        <f>U17+1</f>
        <v>326</v>
      </c>
      <c r="AA17" s="260"/>
      <c r="AB17" s="778">
        <f>IF(AE17&lt;&gt;0,VLOOKUP(AE17,fêtes,3),0)</f>
        <v>0</v>
      </c>
      <c r="AC17" s="779"/>
      <c r="AD17" s="779"/>
      <c r="AE17" s="178">
        <f>Z17+1</f>
        <v>327</v>
      </c>
      <c r="AF17" s="258"/>
      <c r="AG17" s="778">
        <f>IF(AJ17&lt;&gt;0,VLOOKUP(AJ17,fêtes,3),0)</f>
        <v>0</v>
      </c>
      <c r="AH17" s="779"/>
      <c r="AI17" s="779"/>
      <c r="AJ17" s="178">
        <f>AE17+1</f>
        <v>328</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t="str">
        <f>IF(P17&lt;&gt;0,VLOOKUP(P17,fêtes,5),0)</f>
        <v>A</v>
      </c>
      <c r="Q18" s="154"/>
      <c r="R18" s="776">
        <f>IF(U17&lt;&gt;0,VLOOKUP(U17,fêtes,4),0)</f>
        <v>0</v>
      </c>
      <c r="S18" s="777"/>
      <c r="T18" s="777"/>
      <c r="U18" s="263" t="str">
        <f>IF(U17&lt;&gt;0,VLOOKUP(U17,fêtes,5),0)</f>
        <v>A</v>
      </c>
      <c r="V18" s="154"/>
      <c r="W18" s="776">
        <f>IF(Z17&lt;&gt;0,VLOOKUP(Z17,fêtes,4),0)</f>
        <v>0</v>
      </c>
      <c r="X18" s="777"/>
      <c r="Y18" s="777"/>
      <c r="Z18" s="263">
        <f>IF(Z17&lt;&gt;0,VLOOKUP(Z17,fêtes,5),0)</f>
        <v>0</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str">
        <f>IF(F21&lt;&gt;0,VLOOKUP(F21,fêtes,2),0)</f>
        <v/>
      </c>
      <c r="D20" s="767"/>
      <c r="E20" s="717">
        <f>IF(AND(AI16+1&lt;=$K$52,AI16&lt;&gt;0),AI16+1,0)</f>
        <v>25</v>
      </c>
      <c r="F20" s="766"/>
      <c r="G20" s="143"/>
      <c r="H20" s="706" t="str">
        <f>IF(K21&lt;&gt;0,VLOOKUP(K21,fêtes,2),0)</f>
        <v/>
      </c>
      <c r="I20" s="767"/>
      <c r="J20" s="717">
        <f>IF(AND(E20+1&lt;=$K$52,E20&lt;&gt;0),E20+1,0)</f>
        <v>26</v>
      </c>
      <c r="K20" s="766"/>
      <c r="L20" s="143"/>
      <c r="M20" s="706" t="str">
        <f>IF(P21&lt;&gt;0,VLOOKUP(P21,fêtes,2),0)</f>
        <v/>
      </c>
      <c r="N20" s="767"/>
      <c r="O20" s="717">
        <f>IF(AND(J20+1&lt;=$K$52,J20&lt;&gt;0),J20+1,0)</f>
        <v>27</v>
      </c>
      <c r="P20" s="766"/>
      <c r="Q20" s="143"/>
      <c r="R20" s="706" t="str">
        <f>IF(U21&lt;&gt;0,VLOOKUP(U21,fêtes,2),0)</f>
        <v/>
      </c>
      <c r="S20" s="767"/>
      <c r="T20" s="717">
        <f>IF(AND(O20+1&lt;=$K$52,O20&lt;&gt;0),O20+1,0)</f>
        <v>28</v>
      </c>
      <c r="U20" s="766"/>
      <c r="V20" s="143"/>
      <c r="W20" s="706" t="str">
        <f>IF(Z21&lt;&gt;0,VLOOKUP(Z21,fêtes,2),0)</f>
        <v/>
      </c>
      <c r="X20" s="767"/>
      <c r="Y20" s="717">
        <f>IF(AND(T20+1&lt;=$K$52,T20&lt;&gt;0),T20+1,0)</f>
        <v>29</v>
      </c>
      <c r="Z20" s="766"/>
      <c r="AA20" s="143"/>
      <c r="AB20" s="706" t="str">
        <f>IF(AE21&lt;&gt;0,VLOOKUP(AE21,fêtes,2),0)</f>
        <v/>
      </c>
      <c r="AC20" s="767"/>
      <c r="AD20" s="717">
        <f>IF(AND(Y20+1&lt;=$K$52,Y20&lt;&gt;0),Y20+1,0)</f>
        <v>30</v>
      </c>
      <c r="AE20" s="766"/>
      <c r="AF20" s="143"/>
      <c r="AG20" s="706">
        <f>IF(AJ21&lt;&gt;0,VLOOKUP(AJ21,fêtes,2),0)</f>
        <v>0</v>
      </c>
      <c r="AH20" s="767"/>
      <c r="AI20" s="717">
        <f>IF(AND(AD20+1&lt;=$K$52,AD20&lt;&gt;0),AD20+1,0)</f>
        <v>0</v>
      </c>
      <c r="AJ20" s="766"/>
      <c r="AK20" s="219"/>
    </row>
    <row r="21" spans="2:37" s="164" customFormat="1" ht="15.75" customHeight="1">
      <c r="B21" s="220"/>
      <c r="C21" s="778">
        <f>IF(F21&lt;&gt;0,VLOOKUP(F21,fêtes,3),0)</f>
        <v>0</v>
      </c>
      <c r="D21" s="779"/>
      <c r="E21" s="779"/>
      <c r="F21" s="178">
        <f>IF(E20&lt;&gt;0,AJ17+1,0)</f>
        <v>329</v>
      </c>
      <c r="G21" s="258"/>
      <c r="H21" s="778">
        <f>IF(K21&lt;&gt;0,VLOOKUP(K21,fêtes,3),0)</f>
        <v>0</v>
      </c>
      <c r="I21" s="779"/>
      <c r="J21" s="779"/>
      <c r="K21" s="178">
        <f>IF(J20&lt;&gt;0,F21+1,0)</f>
        <v>330</v>
      </c>
      <c r="L21" s="258"/>
      <c r="M21" s="778">
        <f>IF(P21&lt;&gt;0,VLOOKUP(P21,fêtes,3),0)</f>
        <v>0</v>
      </c>
      <c r="N21" s="779"/>
      <c r="O21" s="779"/>
      <c r="P21" s="178">
        <f>IF(O20&lt;&gt;0,K21+1,0)</f>
        <v>331</v>
      </c>
      <c r="Q21" s="258"/>
      <c r="R21" s="778">
        <f>IF(U21&lt;&gt;0,VLOOKUP(U21,fêtes,3),0)</f>
        <v>0</v>
      </c>
      <c r="S21" s="779"/>
      <c r="T21" s="779"/>
      <c r="U21" s="178">
        <f>IF(T20&lt;&gt;0,P21+1,0)</f>
        <v>332</v>
      </c>
      <c r="V21" s="258"/>
      <c r="W21" s="778">
        <f>IF(Z21&lt;&gt;0,VLOOKUP(Z21,fêtes,3),0)</f>
        <v>0</v>
      </c>
      <c r="X21" s="779"/>
      <c r="Y21" s="779"/>
      <c r="Z21" s="178">
        <f>IF(Y20&lt;&gt;0,U21+1,0)</f>
        <v>333</v>
      </c>
      <c r="AA21" s="258"/>
      <c r="AB21" s="778">
        <f>IF(AE21&lt;&gt;0,VLOOKUP(AE21,fêtes,3),0)</f>
        <v>0</v>
      </c>
      <c r="AC21" s="779"/>
      <c r="AD21" s="779"/>
      <c r="AE21" s="178">
        <f>IF(AD20&lt;&gt;0,Z21+1,0)</f>
        <v>334</v>
      </c>
      <c r="AF21" s="258"/>
      <c r="AG21" s="778">
        <f>IF(AJ21&lt;&gt;0,VLOOKUP(AJ21,fêtes,3),0)</f>
        <v>0</v>
      </c>
      <c r="AH21" s="779"/>
      <c r="AI21" s="779"/>
      <c r="AJ21" s="178">
        <f>IF(AI20&lt;&gt;0,AE21+1,0)</f>
        <v>0</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t="str">
        <f>IF(AE21&lt;&gt;0,VLOOKUP(AE21,fêtes,5),0)</f>
        <v>A</v>
      </c>
      <c r="AF22" s="154"/>
      <c r="AG22" s="780">
        <f>IF(AJ21&lt;&gt;0,VLOOKUP(AJ21,fêtes,4),0)</f>
        <v>0</v>
      </c>
      <c r="AH22" s="781"/>
      <c r="AI22" s="781"/>
      <c r="AJ22" s="263">
        <f>IF(AJ21&lt;&gt;0,VLOOKUP(AJ21,fêtes,5),0)</f>
        <v>0</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f>IF(F25&lt;&gt;0,VLOOKUP(F25,fêtes,2),0)</f>
        <v>0</v>
      </c>
      <c r="D24" s="767"/>
      <c r="E24" s="717">
        <f>IF(AND(AI20+1&lt;=$K$52,AI20&lt;&gt;0),AI20+1,0)</f>
        <v>0</v>
      </c>
      <c r="F24" s="766"/>
      <c r="G24" s="154"/>
      <c r="H24" s="706">
        <f>IF(K25&lt;&gt;0,VLOOKUP(K25,fêtes,2),0)</f>
        <v>0</v>
      </c>
      <c r="I24" s="767"/>
      <c r="J24" s="717">
        <f>IF(AND(E24+1&lt;=$K$52,E24&lt;&gt;0),E24+1,0)</f>
        <v>0</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0</v>
      </c>
      <c r="G25" s="258"/>
      <c r="H25" s="778">
        <f>IF(K25&lt;&gt;0,VLOOKUP(K25,fêtes,3),0)</f>
        <v>0</v>
      </c>
      <c r="I25" s="779"/>
      <c r="J25" s="779"/>
      <c r="K25" s="178">
        <f>IF(J24&lt;&gt;0,F25+1,0)</f>
        <v>0</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f>IF(F25&lt;&gt;0,VLOOKUP(F25,fêtes,5),0)</f>
        <v>0</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1</v>
      </c>
      <c r="E30" s="160">
        <f>IF(P51=3,1,IF(D30&lt;&gt;0,D30+1,0))</f>
        <v>2</v>
      </c>
      <c r="F30" s="160">
        <f>IF(P51=4,1,IF(E30&lt;&gt;0,E30+1,0))</f>
        <v>3</v>
      </c>
      <c r="G30" s="735">
        <f>IF(P51=5,1,IF(F30&lt;&gt;0,F30+1,0))</f>
        <v>4</v>
      </c>
      <c r="H30" s="736"/>
      <c r="I30" s="160">
        <f>IF(P51=6,1,IF(G30&lt;&gt;0,G30+1,0))</f>
        <v>5</v>
      </c>
      <c r="J30" s="160">
        <f>IF(P51=0,1,IF(I30&lt;&gt;0,I30+1,0))</f>
        <v>6</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0</v>
      </c>
      <c r="AF30" s="215"/>
      <c r="AG30" s="160">
        <f>IF($U$51=4,1,IF(AE30&lt;&gt;0,AE30+1,0))</f>
        <v>0</v>
      </c>
      <c r="AH30" s="160">
        <f>IF($U$51=5,1,IF(AG30&lt;&gt;0,AG30+1,0))</f>
        <v>0</v>
      </c>
      <c r="AI30" s="160">
        <f>IF($U$51=6,1,IF(AH30&lt;&gt;0,AH30+1,0))</f>
        <v>0</v>
      </c>
      <c r="AJ30" s="160">
        <f>IF($U$51=0,1,IF(AI30&lt;&gt;0,AI30+1,0))</f>
        <v>1</v>
      </c>
      <c r="AK30" s="240"/>
    </row>
    <row r="31" spans="2:37" ht="14.1" customHeight="1">
      <c r="B31" s="235"/>
      <c r="C31" s="160">
        <f>J30+1</f>
        <v>7</v>
      </c>
      <c r="D31" s="160">
        <f>C31+1</f>
        <v>8</v>
      </c>
      <c r="E31" s="160">
        <f t="shared" ref="E31:G33" si="0">D31+1</f>
        <v>9</v>
      </c>
      <c r="F31" s="160">
        <f t="shared" si="0"/>
        <v>10</v>
      </c>
      <c r="G31" s="735">
        <f t="shared" si="0"/>
        <v>11</v>
      </c>
      <c r="H31" s="736"/>
      <c r="I31" s="160">
        <f>G31+1</f>
        <v>12</v>
      </c>
      <c r="J31" s="160">
        <f>I31+1</f>
        <v>13</v>
      </c>
      <c r="K31" s="143"/>
      <c r="L31" s="241"/>
      <c r="M31" s="236">
        <f>VLOOKUP(C52,Données,10)</f>
        <v>0</v>
      </c>
      <c r="N31" s="232"/>
      <c r="O31" s="232"/>
      <c r="P31" s="233"/>
      <c r="Q31" s="233"/>
      <c r="R31" s="231"/>
      <c r="S31" s="232"/>
      <c r="T31" s="232"/>
      <c r="U31" s="233"/>
      <c r="V31" s="233"/>
      <c r="W31" s="231"/>
      <c r="X31" s="232"/>
      <c r="Y31" s="232"/>
      <c r="Z31" s="233"/>
      <c r="AA31" s="233"/>
      <c r="AB31" s="231"/>
      <c r="AC31" s="160">
        <f>AJ30+1</f>
        <v>2</v>
      </c>
      <c r="AD31" s="160">
        <f t="shared" ref="AD31:AE33" si="1">AC31+1</f>
        <v>3</v>
      </c>
      <c r="AE31" s="165">
        <f t="shared" si="1"/>
        <v>4</v>
      </c>
      <c r="AF31" s="215"/>
      <c r="AG31" s="160">
        <f>AE31+1</f>
        <v>5</v>
      </c>
      <c r="AH31" s="160">
        <f t="shared" ref="AH31:AJ33" si="2">AG31+1</f>
        <v>6</v>
      </c>
      <c r="AI31" s="160">
        <f t="shared" si="2"/>
        <v>7</v>
      </c>
      <c r="AJ31" s="160">
        <f t="shared" si="2"/>
        <v>8</v>
      </c>
      <c r="AK31" s="240"/>
    </row>
    <row r="32" spans="2:37" ht="14.1" customHeight="1">
      <c r="B32" s="235"/>
      <c r="C32" s="160">
        <f>J31+1</f>
        <v>14</v>
      </c>
      <c r="D32" s="160">
        <f>C32+1</f>
        <v>15</v>
      </c>
      <c r="E32" s="160">
        <f t="shared" si="0"/>
        <v>16</v>
      </c>
      <c r="F32" s="160">
        <f t="shared" si="0"/>
        <v>17</v>
      </c>
      <c r="G32" s="735">
        <f t="shared" si="0"/>
        <v>18</v>
      </c>
      <c r="H32" s="736"/>
      <c r="I32" s="160">
        <f>G32+1</f>
        <v>19</v>
      </c>
      <c r="J32" s="160">
        <f>I32+1</f>
        <v>20</v>
      </c>
      <c r="K32" s="143"/>
      <c r="L32" s="238"/>
      <c r="M32" s="233"/>
      <c r="N32" s="237"/>
      <c r="O32" s="237"/>
      <c r="P32" s="238"/>
      <c r="Q32" s="238"/>
      <c r="R32" s="239"/>
      <c r="S32" s="237"/>
      <c r="T32" s="237"/>
      <c r="U32" s="238"/>
      <c r="V32" s="238"/>
      <c r="W32" s="239"/>
      <c r="X32" s="237"/>
      <c r="Y32" s="237"/>
      <c r="Z32" s="238"/>
      <c r="AA32" s="238"/>
      <c r="AB32" s="231"/>
      <c r="AC32" s="160">
        <f>AJ31+1</f>
        <v>9</v>
      </c>
      <c r="AD32" s="160">
        <f t="shared" si="1"/>
        <v>10</v>
      </c>
      <c r="AE32" s="165">
        <f t="shared" si="1"/>
        <v>11</v>
      </c>
      <c r="AF32" s="215"/>
      <c r="AG32" s="160">
        <f>AE32+1</f>
        <v>12</v>
      </c>
      <c r="AH32" s="160">
        <f t="shared" si="2"/>
        <v>13</v>
      </c>
      <c r="AI32" s="160">
        <f t="shared" si="2"/>
        <v>14</v>
      </c>
      <c r="AJ32" s="160">
        <f t="shared" si="2"/>
        <v>15</v>
      </c>
      <c r="AK32" s="240"/>
    </row>
    <row r="33" spans="2:37" ht="14.1" customHeight="1">
      <c r="B33" s="235"/>
      <c r="C33" s="160">
        <f>J32+1</f>
        <v>21</v>
      </c>
      <c r="D33" s="160">
        <f>C33+1</f>
        <v>22</v>
      </c>
      <c r="E33" s="160">
        <f t="shared" si="0"/>
        <v>23</v>
      </c>
      <c r="F33" s="160">
        <f t="shared" si="0"/>
        <v>24</v>
      </c>
      <c r="G33" s="735">
        <f t="shared" si="0"/>
        <v>25</v>
      </c>
      <c r="H33" s="736"/>
      <c r="I33" s="160">
        <f>G33+1</f>
        <v>26</v>
      </c>
      <c r="J33" s="160">
        <f>I33+1</f>
        <v>27</v>
      </c>
      <c r="K33" s="233"/>
      <c r="L33" s="233"/>
      <c r="M33" s="239"/>
      <c r="N33" s="232"/>
      <c r="O33" s="232"/>
      <c r="P33" s="233"/>
      <c r="Q33" s="233"/>
      <c r="R33" s="231"/>
      <c r="S33" s="232"/>
      <c r="T33" s="232"/>
      <c r="U33" s="233"/>
      <c r="V33" s="233"/>
      <c r="W33" s="231"/>
      <c r="X33" s="232"/>
      <c r="Y33" s="232"/>
      <c r="Z33" s="233"/>
      <c r="AA33" s="233"/>
      <c r="AB33" s="231"/>
      <c r="AC33" s="160">
        <f>AJ32+1</f>
        <v>16</v>
      </c>
      <c r="AD33" s="160">
        <f t="shared" si="1"/>
        <v>17</v>
      </c>
      <c r="AE33" s="165">
        <f t="shared" si="1"/>
        <v>18</v>
      </c>
      <c r="AF33" s="215"/>
      <c r="AG33" s="160">
        <f>AE33+1</f>
        <v>19</v>
      </c>
      <c r="AH33" s="160">
        <f t="shared" si="2"/>
        <v>20</v>
      </c>
      <c r="AI33" s="160">
        <f t="shared" si="2"/>
        <v>21</v>
      </c>
      <c r="AJ33" s="160">
        <f t="shared" si="2"/>
        <v>22</v>
      </c>
      <c r="AK33" s="240"/>
    </row>
    <row r="34" spans="2:37" ht="14.1" customHeight="1">
      <c r="B34" s="235"/>
      <c r="C34" s="160">
        <f>IF(AND(J33+1&lt;=$P$52,J33&lt;&gt;0),J33+1,0)</f>
        <v>28</v>
      </c>
      <c r="D34" s="160">
        <f t="shared" ref="D34:G35" si="3">IF(AND(C34+1&lt;=$P$52,C34&lt;&gt;0),C34+1,0)</f>
        <v>29</v>
      </c>
      <c r="E34" s="160">
        <f t="shared" si="3"/>
        <v>30</v>
      </c>
      <c r="F34" s="160">
        <f t="shared" si="3"/>
        <v>31</v>
      </c>
      <c r="G34" s="735">
        <f t="shared" si="3"/>
        <v>0</v>
      </c>
      <c r="H34" s="736"/>
      <c r="I34" s="165">
        <f>IF(AND(G34+1&lt;=$P$52,G34&lt;&gt;0),G34+1,0)</f>
        <v>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23</v>
      </c>
      <c r="AD34" s="160">
        <f>IF(AND(AC34+1&lt;=U52,AC34&lt;&gt;0),AC34+1,0)</f>
        <v>24</v>
      </c>
      <c r="AE34" s="165">
        <f>IF(AND(AD34+1&lt;=U52,AD34&lt;&gt;0),AD34+1,0)</f>
        <v>25</v>
      </c>
      <c r="AF34" s="215"/>
      <c r="AG34" s="160">
        <f>IF(AND(AE34+1&lt;=U52,AE34&lt;&gt;0),AE34+1,0)</f>
        <v>26</v>
      </c>
      <c r="AH34" s="160">
        <f>IF(AND(AG34+1&lt;=U52,AG34&lt;&gt;0),AG34+1,0)</f>
        <v>27</v>
      </c>
      <c r="AI34" s="160">
        <f>IF(AND(AH34+1&lt;=U52,AH34&lt;&gt;0),AH34+1,0)</f>
        <v>28</v>
      </c>
      <c r="AJ34" s="160">
        <f>IF(AND(AI34+1&lt;=U52,AI34&lt;&gt;0),AI34+1,0)</f>
        <v>29</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30</v>
      </c>
      <c r="AD35" s="160">
        <f>IF(AND(AC35+1&lt;=U52,AC35&lt;&gt;0),AC35+1,0)</f>
        <v>31</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43405</v>
      </c>
      <c r="L50" s="737"/>
      <c r="M50" s="737"/>
      <c r="N50" s="738"/>
      <c r="O50" s="147"/>
      <c r="P50" s="724">
        <f>DATE(C51,C52-1,1)</f>
        <v>43374</v>
      </c>
      <c r="Q50" s="725"/>
      <c r="R50" s="725"/>
      <c r="S50" s="726"/>
      <c r="T50" s="147"/>
      <c r="U50" s="724">
        <f>DATE(C51,C52+1,1)</f>
        <v>43435</v>
      </c>
      <c r="V50" s="759"/>
      <c r="W50" s="760"/>
    </row>
    <row r="51" spans="1:26" ht="15.75">
      <c r="A51" s="1" t="s">
        <v>153</v>
      </c>
      <c r="C51" s="762">
        <f>dates!H1</f>
        <v>2018</v>
      </c>
      <c r="D51" s="762"/>
      <c r="E51" s="138">
        <f>IF(C52=5,"Voir notes",0)</f>
        <v>0</v>
      </c>
      <c r="F51"/>
      <c r="G51" s="751">
        <f>DATE(C51+1,1,1)</f>
        <v>43466</v>
      </c>
      <c r="H51" s="752"/>
      <c r="I51" s="753"/>
      <c r="J51" s="147"/>
      <c r="K51" s="727">
        <f>MOD(K50,7)</f>
        <v>5</v>
      </c>
      <c r="L51" s="752"/>
      <c r="M51" s="752"/>
      <c r="N51" s="753"/>
      <c r="O51" s="147"/>
      <c r="P51" s="727">
        <f>MOD(P50,7)</f>
        <v>2</v>
      </c>
      <c r="Q51" s="728"/>
      <c r="R51" s="728"/>
      <c r="S51" s="729"/>
      <c r="T51" s="147"/>
      <c r="U51" s="727">
        <f>MOD(U50,7)</f>
        <v>0</v>
      </c>
      <c r="V51" s="733"/>
      <c r="W51" s="734"/>
    </row>
    <row r="52" spans="1:26" ht="15.75">
      <c r="A52" s="1" t="s">
        <v>152</v>
      </c>
      <c r="C52" s="168">
        <v>11</v>
      </c>
      <c r="D52" s="169"/>
      <c r="E52" s="139" t="s">
        <v>0</v>
      </c>
      <c r="F52"/>
      <c r="G52" s="754">
        <f>G51-G50</f>
        <v>365</v>
      </c>
      <c r="H52" s="755"/>
      <c r="I52" s="756"/>
      <c r="J52" s="147"/>
      <c r="K52" s="754">
        <f>VLOOKUP(C52,Données,3)</f>
        <v>30</v>
      </c>
      <c r="L52" s="782"/>
      <c r="M52" s="782"/>
      <c r="N52" s="783"/>
      <c r="O52" s="147"/>
      <c r="P52" s="754">
        <f>VLOOKUP(C52-1,Données,3)</f>
        <v>31</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15" priority="5" stopIfTrue="1" operator="containsText" text="CEPARI">
      <formula>NOT(ISERROR(SEARCH("CEPARI",C4)))</formula>
    </cfRule>
    <cfRule type="containsText" dxfId="14" priority="6" stopIfTrue="1" operator="containsText" text="Formation SP">
      <formula>NOT(ISERROR(SEARCH("Formation SP",C4)))</formula>
    </cfRule>
    <cfRule type="containsText" dxfId="13" priority="7" stopIfTrue="1" operator="containsText" text="Garde">
      <formula>NOT(ISERROR(SEARCH("Garde",C4)))</formula>
    </cfRule>
    <cfRule type="containsText" dxfId="12" priority="8" stopIfTrue="1" operator="containsText" text="Formation">
      <formula>NOT(ISERROR(SEARCH("Formation",C4)))</formula>
    </cfRule>
    <cfRule type="containsText" dxfId="11" priority="9" stopIfTrue="1" operator="containsText" text="Nuit">
      <formula>NOT(ISERROR(SEARCH("Nuit",C4)))</formula>
    </cfRule>
    <cfRule type="containsText" dxfId="10" priority="10" stopIfTrue="1" operator="containsText" text="Jour">
      <formula>NOT(ISERROR(SEARCH("Jour",C4)))</formula>
    </cfRule>
  </conditionalFormatting>
  <conditionalFormatting sqref="F6 K6 P6 U6 Z6 AE6 AJ6 AJ10 AE10 Z10 U10 P10 K10 F10 F14 K14 U14 P14 Z14 AE14 AJ14 AJ18 AE18 Z18 U18 P18 K18 F18 F22 F26 K26 K22 P22 U22 Z22 AE22 AJ22">
    <cfRule type="containsText" dxfId="9" priority="2" stopIfTrue="1" operator="containsText" text="A">
      <formula>NOT(ISERROR(SEARCH("A",F6)))</formula>
    </cfRule>
  </conditionalFormatting>
  <conditionalFormatting sqref="C4:AJ26">
    <cfRule type="containsText" dxfId="8" priority="1" stopIfTrue="1" operator="containsText" text="vacances">
      <formula>NOT(ISERROR(SEARCH("vacances",C4)))</formula>
    </cfRule>
  </conditionalFormatting>
  <hyperlinks>
    <hyperlink ref="C1:J1" location="dates!H306" display="dates!H306"/>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79874" r:id="rId4" name="MENU">
          <controlPr defaultSize="0" print="0" autoLine="0" r:id="rId5">
            <anchor moveWithCells="1">
              <from>
                <xdr:col>13</xdr:col>
                <xdr:colOff>123825</xdr:colOff>
                <xdr:row>23</xdr:row>
                <xdr:rowOff>304800</xdr:rowOff>
              </from>
              <to>
                <xdr:col>19</xdr:col>
                <xdr:colOff>76200</xdr:colOff>
                <xdr:row>25</xdr:row>
                <xdr:rowOff>152400</xdr:rowOff>
              </to>
            </anchor>
          </controlPr>
        </control>
      </mc:Choice>
      <mc:Fallback>
        <control shapeId="79874" r:id="rId4" name="MENU"/>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P74"/>
  <sheetViews>
    <sheetView showGridLines="0" workbookViewId="0">
      <pane ySplit="3" topLeftCell="A4" activePane="bottomLeft" state="frozen"/>
      <selection pane="bottomLeft" activeCell="B1" sqref="B1"/>
    </sheetView>
  </sheetViews>
  <sheetFormatPr baseColWidth="10" defaultRowHeight="12.75"/>
  <cols>
    <col min="1" max="1" width="3.7109375" customWidth="1"/>
    <col min="2" max="2" width="2.5703125" customWidth="1"/>
    <col min="3" max="4" width="4.7109375" customWidth="1"/>
    <col min="5" max="5" width="3.7109375" style="147" customWidth="1"/>
    <col min="6" max="6" width="4.7109375" style="147" customWidth="1"/>
    <col min="7" max="7" width="0.7109375" style="147" customWidth="1"/>
    <col min="8" max="8" width="4.7109375" customWidth="1"/>
    <col min="9" max="9" width="4.7109375" style="155" customWidth="1"/>
    <col min="10" max="10" width="3.7109375" customWidth="1"/>
    <col min="11" max="11" width="4.7109375" style="147" customWidth="1"/>
    <col min="12" max="12" width="0.7109375" style="147" customWidth="1"/>
    <col min="13" max="13" width="4.7109375" style="155" customWidth="1"/>
    <col min="14" max="14" width="4.7109375" customWidth="1"/>
    <col min="15" max="15" width="3.7109375" customWidth="1"/>
    <col min="16" max="16" width="4.7109375" style="147" customWidth="1"/>
    <col min="17" max="17" width="0.7109375" style="147" customWidth="1"/>
    <col min="18" max="18" width="4.7109375" style="155" customWidth="1"/>
    <col min="19" max="19" width="4.7109375" customWidth="1"/>
    <col min="20" max="20" width="3.7109375" customWidth="1"/>
    <col min="21" max="21" width="4.7109375" style="147" customWidth="1"/>
    <col min="22" max="22" width="0.7109375" style="147" customWidth="1"/>
    <col min="23" max="23" width="4.7109375" style="155" customWidth="1"/>
    <col min="24" max="24" width="4.7109375" customWidth="1"/>
    <col min="25" max="25" width="3.7109375" customWidth="1"/>
    <col min="26" max="26" width="4.7109375" style="147" customWidth="1"/>
    <col min="27" max="27" width="0.7109375" style="147" customWidth="1"/>
    <col min="28" max="28" width="4.7109375" style="155" customWidth="1"/>
    <col min="29" max="29" width="4.7109375" customWidth="1"/>
    <col min="30" max="30" width="3.7109375" customWidth="1"/>
    <col min="31" max="31" width="4.7109375" style="147" customWidth="1"/>
    <col min="32" max="32" width="0.7109375" style="147" customWidth="1"/>
    <col min="33" max="33" width="4.7109375" style="147" customWidth="1"/>
    <col min="34" max="34" width="4.7109375" style="155" customWidth="1"/>
    <col min="35" max="35" width="3.7109375" customWidth="1"/>
    <col min="36" max="36" width="4.7109375" customWidth="1"/>
    <col min="37" max="37" width="2.5703125" customWidth="1"/>
    <col min="38" max="58" width="3.7109375" customWidth="1"/>
  </cols>
  <sheetData>
    <row r="1" spans="2:42" ht="30" customHeight="1">
      <c r="B1" s="187"/>
      <c r="C1" s="718" t="str">
        <f>VLOOKUP(C52,Données,2)</f>
        <v>DÉCEMBRE</v>
      </c>
      <c r="D1" s="718"/>
      <c r="E1" s="718"/>
      <c r="F1" s="718"/>
      <c r="G1" s="718"/>
      <c r="H1" s="718"/>
      <c r="I1" s="718"/>
      <c r="J1" s="718"/>
      <c r="K1" s="189"/>
      <c r="L1" s="189"/>
      <c r="M1" s="190"/>
      <c r="N1" s="191" t="s">
        <v>187</v>
      </c>
      <c r="O1" s="188"/>
      <c r="P1" s="192"/>
      <c r="Q1" s="192"/>
      <c r="R1" s="190"/>
      <c r="S1" s="193"/>
      <c r="T1" s="194" t="str">
        <f>VLOOKUP(C52,Données,5)</f>
        <v>turquoize + zircon</v>
      </c>
      <c r="U1" s="195"/>
      <c r="V1" s="195"/>
      <c r="W1" s="190"/>
      <c r="X1" s="196"/>
      <c r="Y1" s="188"/>
      <c r="Z1" s="197"/>
      <c r="AA1" s="197"/>
      <c r="AB1" s="190"/>
      <c r="AC1" s="193"/>
      <c r="AD1" s="188"/>
      <c r="AE1" s="198"/>
      <c r="AF1" s="198"/>
      <c r="AG1" s="198"/>
      <c r="AH1" s="190"/>
      <c r="AI1" s="199"/>
      <c r="AJ1" s="188"/>
      <c r="AK1" s="200"/>
      <c r="AM1" s="768" t="s">
        <v>0</v>
      </c>
      <c r="AN1" s="769"/>
      <c r="AO1" s="770"/>
      <c r="AP1" s="771"/>
    </row>
    <row r="2" spans="2:42" ht="30" customHeight="1">
      <c r="B2" s="201"/>
      <c r="C2" s="772">
        <f>annee</f>
        <v>2018</v>
      </c>
      <c r="D2" s="772"/>
      <c r="E2" s="772"/>
      <c r="F2" s="143"/>
      <c r="G2" s="143"/>
      <c r="H2" s="153"/>
      <c r="I2" s="202"/>
      <c r="J2" s="153"/>
      <c r="K2" s="203"/>
      <c r="L2" s="203"/>
      <c r="M2" s="154"/>
      <c r="N2" s="204" t="s">
        <v>188</v>
      </c>
      <c r="O2" s="153"/>
      <c r="P2" s="205"/>
      <c r="Q2" s="205"/>
      <c r="R2" s="154"/>
      <c r="S2" s="206"/>
      <c r="T2" s="207" t="str">
        <f>VLOOKUP(C52,Données,6)</f>
        <v>narcisse + houx</v>
      </c>
      <c r="U2" s="143"/>
      <c r="V2" s="143"/>
      <c r="W2" s="154"/>
      <c r="X2" s="208"/>
      <c r="Y2" s="153"/>
      <c r="Z2" s="209"/>
      <c r="AA2" s="209"/>
      <c r="AB2" s="154"/>
      <c r="AC2" s="206"/>
      <c r="AD2" s="153"/>
      <c r="AE2" s="210"/>
      <c r="AF2" s="210"/>
      <c r="AG2" s="210"/>
      <c r="AH2" s="154"/>
      <c r="AI2" s="211"/>
      <c r="AJ2" s="153"/>
      <c r="AK2" s="212"/>
    </row>
    <row r="3" spans="2:42" s="159" customFormat="1" ht="15.75">
      <c r="B3" s="213"/>
      <c r="C3" s="730" t="s">
        <v>154</v>
      </c>
      <c r="D3" s="731"/>
      <c r="E3" s="731"/>
      <c r="F3" s="773"/>
      <c r="G3" s="214"/>
      <c r="H3" s="719" t="s">
        <v>155</v>
      </c>
      <c r="I3" s="774"/>
      <c r="J3" s="774"/>
      <c r="K3" s="775"/>
      <c r="L3" s="214"/>
      <c r="M3" s="719" t="s">
        <v>156</v>
      </c>
      <c r="N3" s="774"/>
      <c r="O3" s="774"/>
      <c r="P3" s="775"/>
      <c r="Q3" s="214"/>
      <c r="R3" s="719" t="s">
        <v>157</v>
      </c>
      <c r="S3" s="774"/>
      <c r="T3" s="774"/>
      <c r="U3" s="775"/>
      <c r="V3" s="214"/>
      <c r="W3" s="719" t="s">
        <v>158</v>
      </c>
      <c r="X3" s="774"/>
      <c r="Y3" s="774"/>
      <c r="Z3" s="775"/>
      <c r="AA3" s="216"/>
      <c r="AB3" s="719" t="s">
        <v>159</v>
      </c>
      <c r="AC3" s="774"/>
      <c r="AD3" s="774"/>
      <c r="AE3" s="775"/>
      <c r="AF3" s="214"/>
      <c r="AG3" s="719" t="s">
        <v>160</v>
      </c>
      <c r="AH3" s="774"/>
      <c r="AI3" s="774"/>
      <c r="AJ3" s="775"/>
      <c r="AK3" s="217"/>
    </row>
    <row r="4" spans="2:42" s="147" customFormat="1" ht="26.25">
      <c r="B4" s="218"/>
      <c r="C4" s="706">
        <f>IF(F5&lt;&gt;0,VLOOKUP(F5,fêtes,2),0)</f>
        <v>0</v>
      </c>
      <c r="D4" s="767"/>
      <c r="E4" s="717">
        <f>IF($K$51=1,1,0)</f>
        <v>0</v>
      </c>
      <c r="F4" s="766"/>
      <c r="G4" s="143"/>
      <c r="H4" s="706">
        <f>IF(K5&lt;&gt;0,VLOOKUP(K5,fêtes,2),0)</f>
        <v>0</v>
      </c>
      <c r="I4" s="767"/>
      <c r="J4" s="717">
        <f>IF($K$51=2,1,IF(E4&lt;&gt;0,E4+1,0))</f>
        <v>0</v>
      </c>
      <c r="K4" s="766"/>
      <c r="L4" s="143"/>
      <c r="M4" s="706">
        <f>IF(P5&lt;&gt;0,VLOOKUP(P5,fêtes,2),0)</f>
        <v>0</v>
      </c>
      <c r="N4" s="767"/>
      <c r="O4" s="717">
        <f>IF($K$51=3,1,IF(J4&lt;&gt;0,J4+1,0))</f>
        <v>0</v>
      </c>
      <c r="P4" s="766"/>
      <c r="Q4" s="143"/>
      <c r="R4" s="706">
        <f>IF(U5&lt;&gt;0,VLOOKUP(U5,fêtes,2),0)</f>
        <v>0</v>
      </c>
      <c r="S4" s="767"/>
      <c r="T4" s="717">
        <f>IF($K$51=4,1,IF(O4&lt;&gt;0,O4+1,0))</f>
        <v>0</v>
      </c>
      <c r="U4" s="766"/>
      <c r="V4" s="143"/>
      <c r="W4" s="706">
        <f>IF(Z5&lt;&gt;0,VLOOKUP(Z5,fêtes,2),0)</f>
        <v>0</v>
      </c>
      <c r="X4" s="767"/>
      <c r="Y4" s="717">
        <f>IF($K$51=5,1,IF(T4&lt;&gt;0,T4+1,0))</f>
        <v>0</v>
      </c>
      <c r="Z4" s="766"/>
      <c r="AA4" s="143"/>
      <c r="AB4" s="706">
        <f>IF(AE5&lt;&gt;0,VLOOKUP(AE5,fêtes,2),0)</f>
        <v>0</v>
      </c>
      <c r="AC4" s="767"/>
      <c r="AD4" s="717">
        <f>IF($K$51=6,1,IF(Y4&lt;&gt;0,Y4+1,0))</f>
        <v>0</v>
      </c>
      <c r="AE4" s="766"/>
      <c r="AF4" s="143"/>
      <c r="AG4" s="706" t="str">
        <f>IF(AJ5&lt;&gt;0,VLOOKUP(AJ5,fêtes,2),0)</f>
        <v/>
      </c>
      <c r="AH4" s="767"/>
      <c r="AI4" s="717">
        <f>IF($K$51=0,1,IF(AD4&lt;&gt;0,AD4+1,0))</f>
        <v>1</v>
      </c>
      <c r="AJ4" s="766"/>
      <c r="AK4" s="219"/>
    </row>
    <row r="5" spans="2:42" s="164" customFormat="1" ht="15.75" customHeight="1">
      <c r="B5" s="220"/>
      <c r="C5" s="778">
        <f>IF(F5&lt;&gt;0,VLOOKUP(F5,fêtes,3),0)</f>
        <v>0</v>
      </c>
      <c r="D5" s="779"/>
      <c r="E5" s="779"/>
      <c r="F5" s="178">
        <f>IF(E4&lt;&gt;0,VLOOKUP($C$52,Données,4),0)</f>
        <v>0</v>
      </c>
      <c r="G5" s="258"/>
      <c r="H5" s="778">
        <f>IF(K5&lt;&gt;0,VLOOKUP(K5,fêtes,3),0)</f>
        <v>0</v>
      </c>
      <c r="I5" s="779"/>
      <c r="J5" s="779"/>
      <c r="K5" s="178">
        <f>IF(J4&lt;&gt;0,VLOOKUP($C$52,Données,4)+E4,0)</f>
        <v>0</v>
      </c>
      <c r="L5" s="258"/>
      <c r="M5" s="778">
        <f>IF(P5&lt;&gt;0,VLOOKUP(P5,fêtes,3),0)</f>
        <v>0</v>
      </c>
      <c r="N5" s="779"/>
      <c r="O5" s="779"/>
      <c r="P5" s="178">
        <f>IF(O4&lt;&gt;0,VLOOKUP($C$52,Données,4)+J4,0)</f>
        <v>0</v>
      </c>
      <c r="Q5" s="258"/>
      <c r="R5" s="778">
        <f>IF(U5&lt;&gt;0,VLOOKUP(U5,fêtes,3),0)</f>
        <v>0</v>
      </c>
      <c r="S5" s="779"/>
      <c r="T5" s="779"/>
      <c r="U5" s="178">
        <f>IF(T4&lt;&gt;0,VLOOKUP($C$52,Données,4)+O4,0)</f>
        <v>0</v>
      </c>
      <c r="V5" s="258"/>
      <c r="W5" s="778">
        <f>IF(Z5&lt;&gt;0,VLOOKUP(Z5,fêtes,3),0)</f>
        <v>0</v>
      </c>
      <c r="X5" s="779"/>
      <c r="Y5" s="779"/>
      <c r="Z5" s="178">
        <f>IF(Y4&lt;&gt;0,VLOOKUP($C$52,Données,4)+T4,0)</f>
        <v>0</v>
      </c>
      <c r="AA5" s="258"/>
      <c r="AB5" s="778">
        <f>IF(AE5&lt;&gt;0,VLOOKUP(AE5,fêtes,3),0)</f>
        <v>0</v>
      </c>
      <c r="AC5" s="779"/>
      <c r="AD5" s="779"/>
      <c r="AE5" s="178">
        <f>IF(AD4&lt;&gt;0,VLOOKUP($C$52,Données,4)+Y4,0)</f>
        <v>0</v>
      </c>
      <c r="AF5" s="258"/>
      <c r="AG5" s="778">
        <f>IF(AJ5&lt;&gt;0,VLOOKUP(AJ5,fêtes,3),0)</f>
        <v>0</v>
      </c>
      <c r="AH5" s="779"/>
      <c r="AI5" s="779"/>
      <c r="AJ5" s="178">
        <f>IF(AI4&lt;&gt;0,VLOOKUP($C$52,Données,4)+AD4,0)</f>
        <v>335</v>
      </c>
      <c r="AK5" s="222"/>
    </row>
    <row r="6" spans="2:42" s="155" customFormat="1" ht="15.75">
      <c r="B6" s="223"/>
      <c r="C6" s="780">
        <f>IF(F5&lt;&gt;0,VLOOKUP(F5,fêtes,4),0)</f>
        <v>0</v>
      </c>
      <c r="D6" s="781"/>
      <c r="E6" s="781"/>
      <c r="F6" s="263">
        <f>IF(F5&lt;&gt;0,VLOOKUP(F5,fêtes,5),0)</f>
        <v>0</v>
      </c>
      <c r="G6" s="154"/>
      <c r="H6" s="776">
        <f>IF(K5&lt;&gt;0,VLOOKUP(K5,fêtes,4),0)</f>
        <v>0</v>
      </c>
      <c r="I6" s="777"/>
      <c r="J6" s="777"/>
      <c r="K6" s="263">
        <f>IF(K5&lt;&gt;0,VLOOKUP(K5,fêtes,5),0)</f>
        <v>0</v>
      </c>
      <c r="L6" s="154"/>
      <c r="M6" s="776">
        <f>IF(P5&lt;&gt;0,VLOOKUP(P5,fêtes,4),0)</f>
        <v>0</v>
      </c>
      <c r="N6" s="777"/>
      <c r="O6" s="777"/>
      <c r="P6" s="263">
        <f>IF(P5&lt;&gt;0,VLOOKUP(P5,fêtes,5),0)</f>
        <v>0</v>
      </c>
      <c r="Q6" s="154"/>
      <c r="R6" s="776">
        <f>IF(U5&lt;&gt;0,VLOOKUP(U5,fêtes,4),0)</f>
        <v>0</v>
      </c>
      <c r="S6" s="777"/>
      <c r="T6" s="777"/>
      <c r="U6" s="263">
        <f>IF(U5&lt;&gt;0,VLOOKUP(U5,fêtes,5),0)</f>
        <v>0</v>
      </c>
      <c r="V6" s="154"/>
      <c r="W6" s="776">
        <f>IF(Z5&lt;&gt;0,VLOOKUP(Z5,fêtes,4),0)</f>
        <v>0</v>
      </c>
      <c r="X6" s="777"/>
      <c r="Y6" s="777"/>
      <c r="Z6" s="263">
        <f>IF(Z5&lt;&gt;0,VLOOKUP(Z5,fêtes,5),0)</f>
        <v>0</v>
      </c>
      <c r="AA6" s="224"/>
      <c r="AB6" s="776">
        <f>IF(AE5&lt;&gt;0,VLOOKUP(AE5,fêtes,4),0)</f>
        <v>0</v>
      </c>
      <c r="AC6" s="777"/>
      <c r="AD6" s="777"/>
      <c r="AE6" s="263">
        <f>IF(AE5&lt;&gt;0,VLOOKUP(AE5,fêtes,5),0)</f>
        <v>0</v>
      </c>
      <c r="AF6" s="154"/>
      <c r="AG6" s="780">
        <f>IF(AJ5&lt;&gt;0,VLOOKUP(AJ5,fêtes,4),0)</f>
        <v>0</v>
      </c>
      <c r="AH6" s="781"/>
      <c r="AI6" s="781"/>
      <c r="AJ6" s="263" t="str">
        <f>IF(AJ5&lt;&gt;0,VLOOKUP(AJ5,fêtes,5),0)</f>
        <v>A</v>
      </c>
      <c r="AK6" s="222"/>
    </row>
    <row r="7" spans="2:42" s="155" customFormat="1" ht="3.75" customHeight="1">
      <c r="B7" s="223"/>
      <c r="C7" s="154"/>
      <c r="D7" s="154"/>
      <c r="E7" s="154"/>
      <c r="F7" s="154"/>
      <c r="G7" s="154"/>
      <c r="H7" s="154"/>
      <c r="I7" s="154"/>
      <c r="J7" s="154"/>
      <c r="K7" s="154"/>
      <c r="L7" s="154"/>
      <c r="M7" s="154"/>
      <c r="N7" s="154"/>
      <c r="O7" s="154"/>
      <c r="P7" s="154"/>
      <c r="Q7" s="154"/>
      <c r="R7" s="154"/>
      <c r="S7" s="154"/>
      <c r="T7" s="154"/>
      <c r="U7" s="154"/>
      <c r="V7" s="154"/>
      <c r="W7" s="154"/>
      <c r="X7" s="154"/>
      <c r="Y7" s="154"/>
      <c r="Z7" s="224"/>
      <c r="AA7" s="224"/>
      <c r="AB7" s="154"/>
      <c r="AC7" s="154"/>
      <c r="AD7" s="154"/>
      <c r="AE7" s="154"/>
      <c r="AF7" s="154"/>
      <c r="AG7" s="154"/>
      <c r="AH7" s="154"/>
      <c r="AI7" s="154"/>
      <c r="AJ7" s="154"/>
      <c r="AK7" s="222"/>
    </row>
    <row r="8" spans="2:42" s="147" customFormat="1" ht="26.25">
      <c r="B8" s="218"/>
      <c r="C8" s="706" t="str">
        <f>IF(F9&lt;&gt;0,VLOOKUP(F9,fêtes,2),0)</f>
        <v/>
      </c>
      <c r="D8" s="767"/>
      <c r="E8" s="717">
        <f>AI4+1</f>
        <v>2</v>
      </c>
      <c r="F8" s="766"/>
      <c r="G8" s="143"/>
      <c r="H8" s="706" t="str">
        <f>IF(K9&lt;&gt;0,VLOOKUP(K9,fêtes,2),0)</f>
        <v/>
      </c>
      <c r="I8" s="767"/>
      <c r="J8" s="717">
        <f>E8+1</f>
        <v>3</v>
      </c>
      <c r="K8" s="766"/>
      <c r="L8" s="143"/>
      <c r="M8" s="706" t="str">
        <f>IF(P9&lt;&gt;0,VLOOKUP(P9,fêtes,2),0)</f>
        <v/>
      </c>
      <c r="N8" s="767"/>
      <c r="O8" s="717">
        <f>J8+1</f>
        <v>4</v>
      </c>
      <c r="P8" s="766"/>
      <c r="Q8" s="143"/>
      <c r="R8" s="706" t="str">
        <f>IF(U9&lt;&gt;0,VLOOKUP(U9,fêtes,2),0)</f>
        <v/>
      </c>
      <c r="S8" s="767"/>
      <c r="T8" s="717">
        <f>O8+1</f>
        <v>5</v>
      </c>
      <c r="U8" s="766"/>
      <c r="V8" s="143"/>
      <c r="W8" s="706" t="str">
        <f>IF(Z9&lt;&gt;0,VLOOKUP(Z9,fêtes,2),0)</f>
        <v/>
      </c>
      <c r="X8" s="767"/>
      <c r="Y8" s="717">
        <f>T8+1</f>
        <v>6</v>
      </c>
      <c r="Z8" s="766"/>
      <c r="AA8" s="143"/>
      <c r="AB8" s="706" t="str">
        <f>IF(AE9&lt;&gt;0,VLOOKUP(AE9,fêtes,2),0)</f>
        <v/>
      </c>
      <c r="AC8" s="767"/>
      <c r="AD8" s="717">
        <f>Y8+1</f>
        <v>7</v>
      </c>
      <c r="AE8" s="766"/>
      <c r="AF8" s="143"/>
      <c r="AG8" s="706" t="str">
        <f>IF(AJ9&lt;&gt;0,VLOOKUP(AJ9,fêtes,2),0)</f>
        <v/>
      </c>
      <c r="AH8" s="767"/>
      <c r="AI8" s="717">
        <f>AD8+1</f>
        <v>8</v>
      </c>
      <c r="AJ8" s="766"/>
      <c r="AK8" s="219"/>
    </row>
    <row r="9" spans="2:42" s="164" customFormat="1" ht="15.75" customHeight="1">
      <c r="B9" s="220"/>
      <c r="C9" s="778">
        <f>IF(F9&lt;&gt;0,VLOOKUP(F9,fêtes,3),0)</f>
        <v>0</v>
      </c>
      <c r="D9" s="779"/>
      <c r="E9" s="779"/>
      <c r="F9" s="178">
        <f>AJ5+1</f>
        <v>336</v>
      </c>
      <c r="G9" s="258"/>
      <c r="H9" s="778">
        <f>IF(K9&lt;&gt;0,VLOOKUP(K9,fêtes,3),0)</f>
        <v>0</v>
      </c>
      <c r="I9" s="779"/>
      <c r="J9" s="779"/>
      <c r="K9" s="178">
        <f>F9+1</f>
        <v>337</v>
      </c>
      <c r="L9" s="258"/>
      <c r="M9" s="778">
        <f>IF(P9&lt;&gt;0,VLOOKUP(P9,fêtes,3),0)</f>
        <v>0</v>
      </c>
      <c r="N9" s="779"/>
      <c r="O9" s="779"/>
      <c r="P9" s="178">
        <f>K9+1</f>
        <v>338</v>
      </c>
      <c r="Q9" s="258"/>
      <c r="R9" s="778">
        <f>IF(U9&lt;&gt;0,VLOOKUP(U9,fêtes,3),0)</f>
        <v>0</v>
      </c>
      <c r="S9" s="779"/>
      <c r="T9" s="779"/>
      <c r="U9" s="178">
        <f>P9+1</f>
        <v>339</v>
      </c>
      <c r="V9" s="258"/>
      <c r="W9" s="778">
        <f>IF(Z9&lt;&gt;0,VLOOKUP(Z9,fêtes,3),0)</f>
        <v>0</v>
      </c>
      <c r="X9" s="779"/>
      <c r="Y9" s="779"/>
      <c r="Z9" s="179">
        <f>U9+1</f>
        <v>340</v>
      </c>
      <c r="AA9" s="259"/>
      <c r="AB9" s="778">
        <f>IF(AE9&lt;&gt;0,VLOOKUP(AE9,fêtes,3),0)</f>
        <v>0</v>
      </c>
      <c r="AC9" s="779"/>
      <c r="AD9" s="779"/>
      <c r="AE9" s="178">
        <f>Z9+1</f>
        <v>341</v>
      </c>
      <c r="AF9" s="258"/>
      <c r="AG9" s="778">
        <f>IF(AJ9&lt;&gt;0,VLOOKUP(AJ9,fêtes,3),0)</f>
        <v>0</v>
      </c>
      <c r="AH9" s="779"/>
      <c r="AI9" s="779"/>
      <c r="AJ9" s="178">
        <f>AE9+1</f>
        <v>342</v>
      </c>
      <c r="AK9" s="222"/>
    </row>
    <row r="10" spans="2:42" s="155" customFormat="1" ht="15.75">
      <c r="B10" s="223"/>
      <c r="C10" s="780">
        <f>IF(F9&lt;&gt;0,VLOOKUP(F9,fêtes,4),0)</f>
        <v>0</v>
      </c>
      <c r="D10" s="781"/>
      <c r="E10" s="781"/>
      <c r="F10" s="263" t="str">
        <f>IF(F9&lt;&gt;0,VLOOKUP(F9,fêtes,5),0)</f>
        <v>A</v>
      </c>
      <c r="G10" s="154"/>
      <c r="H10" s="776">
        <f>IF(K9&lt;&gt;0,VLOOKUP(K9,fêtes,4),0)</f>
        <v>0</v>
      </c>
      <c r="I10" s="777"/>
      <c r="J10" s="777"/>
      <c r="K10" s="263">
        <f>IF(K9&lt;&gt;0,VLOOKUP(K9,fêtes,5),0)</f>
        <v>0</v>
      </c>
      <c r="L10" s="154"/>
      <c r="M10" s="776">
        <f>IF(P9&lt;&gt;0,VLOOKUP(P9,fêtes,4),0)</f>
        <v>0</v>
      </c>
      <c r="N10" s="777"/>
      <c r="O10" s="777"/>
      <c r="P10" s="263">
        <f>IF(P9&lt;&gt;0,VLOOKUP(P9,fêtes,5),0)</f>
        <v>0</v>
      </c>
      <c r="Q10" s="154"/>
      <c r="R10" s="776">
        <f>IF(U9&lt;&gt;0,VLOOKUP(U9,fêtes,4),0)</f>
        <v>0</v>
      </c>
      <c r="S10" s="777"/>
      <c r="T10" s="777"/>
      <c r="U10" s="263">
        <f>IF(U9&lt;&gt;0,VLOOKUP(U9,fêtes,5),0)</f>
        <v>0</v>
      </c>
      <c r="V10" s="154"/>
      <c r="W10" s="776">
        <f>IF(Z9&lt;&gt;0,VLOOKUP(Z9,fêtes,4),0)</f>
        <v>0</v>
      </c>
      <c r="X10" s="777"/>
      <c r="Y10" s="777"/>
      <c r="Z10" s="263">
        <f>IF(Z9&lt;&gt;0,VLOOKUP(Z9,fêtes,5),0)</f>
        <v>0</v>
      </c>
      <c r="AA10" s="224"/>
      <c r="AB10" s="776">
        <f>IF(AE9&lt;&gt;0,VLOOKUP(AE9,fêtes,4),0)</f>
        <v>0</v>
      </c>
      <c r="AC10" s="777"/>
      <c r="AD10" s="777"/>
      <c r="AE10" s="263">
        <f>IF(AE9&lt;&gt;0,VLOOKUP(AE9,fêtes,5),0)</f>
        <v>0</v>
      </c>
      <c r="AF10" s="154"/>
      <c r="AG10" s="780">
        <f>IF(AJ9&lt;&gt;0,VLOOKUP(AJ9,fêtes,4),0)</f>
        <v>0</v>
      </c>
      <c r="AH10" s="781"/>
      <c r="AI10" s="781"/>
      <c r="AJ10" s="263">
        <f>IF(AJ9&lt;&gt;0,VLOOKUP(AJ9,fêtes,5),0)</f>
        <v>0</v>
      </c>
      <c r="AK10" s="222"/>
    </row>
    <row r="11" spans="2:42" s="155" customFormat="1" ht="3.75" customHeight="1">
      <c r="B11" s="223"/>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224"/>
      <c r="AA11" s="224"/>
      <c r="AB11" s="154"/>
      <c r="AC11" s="154"/>
      <c r="AD11" s="154"/>
      <c r="AE11" s="154"/>
      <c r="AF11" s="154"/>
      <c r="AG11" s="154"/>
      <c r="AH11" s="154"/>
      <c r="AI11" s="154"/>
      <c r="AJ11" s="154"/>
      <c r="AK11" s="222"/>
    </row>
    <row r="12" spans="2:42" s="147" customFormat="1" ht="26.25">
      <c r="B12" s="218"/>
      <c r="C12" s="706" t="str">
        <f>IF(F13&lt;&gt;0,VLOOKUP(F13,fêtes,2),0)</f>
        <v/>
      </c>
      <c r="D12" s="767"/>
      <c r="E12" s="717">
        <f>AI8+1</f>
        <v>9</v>
      </c>
      <c r="F12" s="766"/>
      <c r="G12" s="143"/>
      <c r="H12" s="706" t="str">
        <f>IF(K13&lt;&gt;0,VLOOKUP(K13,fêtes,2),0)</f>
        <v/>
      </c>
      <c r="I12" s="767"/>
      <c r="J12" s="717">
        <f>E12+1</f>
        <v>10</v>
      </c>
      <c r="K12" s="766"/>
      <c r="L12" s="143"/>
      <c r="M12" s="706" t="str">
        <f>IF(P13&lt;&gt;0,VLOOKUP(P13,fêtes,2),0)</f>
        <v/>
      </c>
      <c r="N12" s="767"/>
      <c r="O12" s="717">
        <f>J12+1</f>
        <v>11</v>
      </c>
      <c r="P12" s="766"/>
      <c r="Q12" s="143"/>
      <c r="R12" s="706" t="str">
        <f>IF(U13&lt;&gt;0,VLOOKUP(U13,fêtes,2),0)</f>
        <v/>
      </c>
      <c r="S12" s="767"/>
      <c r="T12" s="717">
        <f>O12+1</f>
        <v>12</v>
      </c>
      <c r="U12" s="766"/>
      <c r="V12" s="143"/>
      <c r="W12" s="706" t="str">
        <f>IF(Z13&lt;&gt;0,VLOOKUP(Z13,fêtes,2),0)</f>
        <v/>
      </c>
      <c r="X12" s="767"/>
      <c r="Y12" s="717">
        <f>T12+1</f>
        <v>13</v>
      </c>
      <c r="Z12" s="766"/>
      <c r="AA12" s="143"/>
      <c r="AB12" s="706" t="str">
        <f>IF(AE13&lt;&gt;0,VLOOKUP(AE13,fêtes,2),0)</f>
        <v/>
      </c>
      <c r="AC12" s="767"/>
      <c r="AD12" s="717">
        <f>Y12+1</f>
        <v>14</v>
      </c>
      <c r="AE12" s="766"/>
      <c r="AF12" s="143"/>
      <c r="AG12" s="706" t="str">
        <f>IF(AJ13&lt;&gt;0,VLOOKUP(AJ13,fêtes,2),0)</f>
        <v/>
      </c>
      <c r="AH12" s="767"/>
      <c r="AI12" s="717">
        <f>AD12+1</f>
        <v>15</v>
      </c>
      <c r="AJ12" s="766"/>
      <c r="AK12" s="219"/>
    </row>
    <row r="13" spans="2:42" s="164" customFormat="1" ht="15.75" customHeight="1">
      <c r="B13" s="220"/>
      <c r="C13" s="778">
        <f>IF(F13&lt;&gt;0,VLOOKUP(F13,fêtes,3),0)</f>
        <v>0</v>
      </c>
      <c r="D13" s="779"/>
      <c r="E13" s="779"/>
      <c r="F13" s="178">
        <f>AJ9+1</f>
        <v>343</v>
      </c>
      <c r="G13" s="258"/>
      <c r="H13" s="778">
        <f>IF(K13&lt;&gt;0,VLOOKUP(K13,fêtes,3),0)</f>
        <v>0</v>
      </c>
      <c r="I13" s="779"/>
      <c r="J13" s="779"/>
      <c r="K13" s="178">
        <f>F13+1</f>
        <v>344</v>
      </c>
      <c r="L13" s="258"/>
      <c r="M13" s="778">
        <f>IF(P13&lt;&gt;0,VLOOKUP(P13,fêtes,3),0)</f>
        <v>0</v>
      </c>
      <c r="N13" s="779"/>
      <c r="O13" s="779"/>
      <c r="P13" s="178">
        <f>K13+1</f>
        <v>345</v>
      </c>
      <c r="Q13" s="258"/>
      <c r="R13" s="778">
        <f>IF(U13&lt;&gt;0,VLOOKUP(U13,fêtes,3),0)</f>
        <v>0</v>
      </c>
      <c r="S13" s="779"/>
      <c r="T13" s="779"/>
      <c r="U13" s="178">
        <f>P13+1</f>
        <v>346</v>
      </c>
      <c r="V13" s="258"/>
      <c r="W13" s="778">
        <f>IF(Z13&lt;&gt;0,VLOOKUP(Z13,fêtes,3),0)</f>
        <v>0</v>
      </c>
      <c r="X13" s="779"/>
      <c r="Y13" s="779"/>
      <c r="Z13" s="180">
        <f>U13+1</f>
        <v>347</v>
      </c>
      <c r="AA13" s="260"/>
      <c r="AB13" s="778">
        <f>IF(AE13&lt;&gt;0,VLOOKUP(AE13,fêtes,3),0)</f>
        <v>0</v>
      </c>
      <c r="AC13" s="779"/>
      <c r="AD13" s="779"/>
      <c r="AE13" s="178">
        <f>Z13+1</f>
        <v>348</v>
      </c>
      <c r="AF13" s="258"/>
      <c r="AG13" s="778">
        <f>IF(AJ13&lt;&gt;0,VLOOKUP(AJ13,fêtes,3),0)</f>
        <v>0</v>
      </c>
      <c r="AH13" s="779"/>
      <c r="AI13" s="779"/>
      <c r="AJ13" s="178">
        <f>AE13+1</f>
        <v>349</v>
      </c>
      <c r="AK13" s="222"/>
      <c r="AO13" s="147"/>
    </row>
    <row r="14" spans="2:42" s="155" customFormat="1" ht="15.75">
      <c r="B14" s="223"/>
      <c r="C14" s="780">
        <f>IF(F13&lt;&gt;0,VLOOKUP(F13,fêtes,4),0)</f>
        <v>0</v>
      </c>
      <c r="D14" s="781"/>
      <c r="E14" s="781"/>
      <c r="F14" s="263">
        <f>IF(F13&lt;&gt;0,VLOOKUP(F13,fêtes,5),0)</f>
        <v>0</v>
      </c>
      <c r="G14" s="154"/>
      <c r="H14" s="776">
        <f>IF(K13&lt;&gt;0,VLOOKUP(K13,fêtes,4),0)</f>
        <v>0</v>
      </c>
      <c r="I14" s="777"/>
      <c r="J14" s="777"/>
      <c r="K14" s="263" t="str">
        <f>IF(K13&lt;&gt;0,VLOOKUP(K13,fêtes,5),0)</f>
        <v>A</v>
      </c>
      <c r="L14" s="154"/>
      <c r="M14" s="776">
        <f>IF(P13&lt;&gt;0,VLOOKUP(P13,fêtes,4),0)</f>
        <v>0</v>
      </c>
      <c r="N14" s="777"/>
      <c r="O14" s="777"/>
      <c r="P14" s="263">
        <f>IF(P13&lt;&gt;0,VLOOKUP(P13,fêtes,5),0)</f>
        <v>0</v>
      </c>
      <c r="Q14" s="154"/>
      <c r="R14" s="776">
        <f>IF(U13&lt;&gt;0,VLOOKUP(U13,fêtes,4),0)</f>
        <v>0</v>
      </c>
      <c r="S14" s="777"/>
      <c r="T14" s="777"/>
      <c r="U14" s="263" t="str">
        <f>IF(U13&lt;&gt;0,VLOOKUP(U13,fêtes,5),0)</f>
        <v>A</v>
      </c>
      <c r="V14" s="154"/>
      <c r="W14" s="776">
        <f>IF(Z13&lt;&gt;0,VLOOKUP(Z13,fêtes,4),0)</f>
        <v>0</v>
      </c>
      <c r="X14" s="777"/>
      <c r="Y14" s="777"/>
      <c r="Z14" s="263">
        <f>IF(Z13&lt;&gt;0,VLOOKUP(Z13,fêtes,5),0)</f>
        <v>0</v>
      </c>
      <c r="AA14" s="224"/>
      <c r="AB14" s="776">
        <f>IF(AE13&lt;&gt;0,VLOOKUP(AE13,fêtes,4),0)</f>
        <v>0</v>
      </c>
      <c r="AC14" s="777"/>
      <c r="AD14" s="777"/>
      <c r="AE14" s="263">
        <f>IF(AE13&lt;&gt;0,VLOOKUP(AE13,fêtes,5),0)</f>
        <v>0</v>
      </c>
      <c r="AF14" s="154"/>
      <c r="AG14" s="780">
        <f>IF(AJ13&lt;&gt;0,VLOOKUP(AJ13,fêtes,4),0)</f>
        <v>0</v>
      </c>
      <c r="AH14" s="781"/>
      <c r="AI14" s="781"/>
      <c r="AJ14" s="263">
        <f>IF(AJ13&lt;&gt;0,VLOOKUP(AJ13,fêtes,5),0)</f>
        <v>0</v>
      </c>
      <c r="AK14" s="222"/>
    </row>
    <row r="15" spans="2:42" s="155" customFormat="1" ht="3.75" customHeight="1">
      <c r="B15" s="223"/>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224"/>
      <c r="AA15" s="224"/>
      <c r="AB15" s="154"/>
      <c r="AC15" s="154"/>
      <c r="AD15" s="154"/>
      <c r="AE15" s="154"/>
      <c r="AF15" s="154"/>
      <c r="AG15" s="154"/>
      <c r="AH15" s="154"/>
      <c r="AI15" s="154"/>
      <c r="AJ15" s="154"/>
      <c r="AK15" s="222"/>
    </row>
    <row r="16" spans="2:42" s="147" customFormat="1" ht="26.25">
      <c r="B16" s="218"/>
      <c r="C16" s="706" t="str">
        <f>IF(F17&lt;&gt;0,VLOOKUP(F17,fêtes,2),0)</f>
        <v/>
      </c>
      <c r="D16" s="767"/>
      <c r="E16" s="717">
        <f>AI12+1</f>
        <v>16</v>
      </c>
      <c r="F16" s="766"/>
      <c r="G16" s="143"/>
      <c r="H16" s="706" t="str">
        <f>IF(K17&lt;&gt;0,VLOOKUP(K17,fêtes,2),0)</f>
        <v/>
      </c>
      <c r="I16" s="767"/>
      <c r="J16" s="717">
        <f>E16+1</f>
        <v>17</v>
      </c>
      <c r="K16" s="766"/>
      <c r="L16" s="143"/>
      <c r="M16" s="706" t="str">
        <f>IF(P17&lt;&gt;0,VLOOKUP(P17,fêtes,2),0)</f>
        <v/>
      </c>
      <c r="N16" s="767"/>
      <c r="O16" s="717">
        <f>J16+1</f>
        <v>18</v>
      </c>
      <c r="P16" s="766"/>
      <c r="Q16" s="143"/>
      <c r="R16" s="706" t="str">
        <f>IF(U17&lt;&gt;0,VLOOKUP(U17,fêtes,2),0)</f>
        <v/>
      </c>
      <c r="S16" s="767"/>
      <c r="T16" s="717">
        <f>O16+1</f>
        <v>19</v>
      </c>
      <c r="U16" s="766"/>
      <c r="V16" s="143"/>
      <c r="W16" s="706" t="str">
        <f>IF(Z17&lt;&gt;0,VLOOKUP(Z17,fêtes,2),0)</f>
        <v/>
      </c>
      <c r="X16" s="767"/>
      <c r="Y16" s="717">
        <f>T16+1</f>
        <v>20</v>
      </c>
      <c r="Z16" s="766"/>
      <c r="AA16" s="143"/>
      <c r="AB16" s="706" t="str">
        <f>IF(AE17&lt;&gt;0,VLOOKUP(AE17,fêtes,2),0)</f>
        <v/>
      </c>
      <c r="AC16" s="767"/>
      <c r="AD16" s="717">
        <f>Y16+1</f>
        <v>21</v>
      </c>
      <c r="AE16" s="766"/>
      <c r="AF16" s="143"/>
      <c r="AG16" s="706" t="str">
        <f>IF(AJ17&lt;&gt;0,VLOOKUP(AJ17,fêtes,2),0)</f>
        <v>vacances</v>
      </c>
      <c r="AH16" s="767"/>
      <c r="AI16" s="717">
        <f>AD16+1</f>
        <v>22</v>
      </c>
      <c r="AJ16" s="766"/>
      <c r="AK16" s="219"/>
    </row>
    <row r="17" spans="2:37" s="164" customFormat="1" ht="15.75" customHeight="1">
      <c r="B17" s="220"/>
      <c r="C17" s="778">
        <f>IF(F17&lt;&gt;0,VLOOKUP(F17,fêtes,3),0)</f>
        <v>0</v>
      </c>
      <c r="D17" s="779"/>
      <c r="E17" s="779"/>
      <c r="F17" s="178">
        <f>AJ13+1</f>
        <v>350</v>
      </c>
      <c r="G17" s="258"/>
      <c r="H17" s="778">
        <f>IF(K17&lt;&gt;0,VLOOKUP(K17,fêtes,3),0)</f>
        <v>0</v>
      </c>
      <c r="I17" s="779"/>
      <c r="J17" s="779"/>
      <c r="K17" s="178">
        <f>F17+1</f>
        <v>351</v>
      </c>
      <c r="L17" s="258"/>
      <c r="M17" s="778">
        <f>IF(P17&lt;&gt;0,VLOOKUP(P17,fêtes,3),0)</f>
        <v>0</v>
      </c>
      <c r="N17" s="779"/>
      <c r="O17" s="779"/>
      <c r="P17" s="178">
        <f>K17+1</f>
        <v>352</v>
      </c>
      <c r="Q17" s="258"/>
      <c r="R17" s="778">
        <f>IF(U17&lt;&gt;0,VLOOKUP(U17,fêtes,3),0)</f>
        <v>0</v>
      </c>
      <c r="S17" s="779"/>
      <c r="T17" s="779"/>
      <c r="U17" s="178">
        <f>P17+1</f>
        <v>353</v>
      </c>
      <c r="V17" s="258"/>
      <c r="W17" s="778">
        <f>IF(Z17&lt;&gt;0,VLOOKUP(Z17,fêtes,3),0)</f>
        <v>0</v>
      </c>
      <c r="X17" s="779"/>
      <c r="Y17" s="779"/>
      <c r="Z17" s="180">
        <f>U17+1</f>
        <v>354</v>
      </c>
      <c r="AA17" s="260"/>
      <c r="AB17" s="778">
        <f>IF(AE17&lt;&gt;0,VLOOKUP(AE17,fêtes,3),0)</f>
        <v>0</v>
      </c>
      <c r="AC17" s="779"/>
      <c r="AD17" s="779"/>
      <c r="AE17" s="178">
        <f>Z17+1</f>
        <v>355</v>
      </c>
      <c r="AF17" s="258"/>
      <c r="AG17" s="778">
        <f>IF(AJ17&lt;&gt;0,VLOOKUP(AJ17,fêtes,3),0)</f>
        <v>0</v>
      </c>
      <c r="AH17" s="779"/>
      <c r="AI17" s="779"/>
      <c r="AJ17" s="178">
        <f>AE17+1</f>
        <v>356</v>
      </c>
      <c r="AK17" s="222"/>
    </row>
    <row r="18" spans="2:37" s="155" customFormat="1" ht="15.75">
      <c r="B18" s="223"/>
      <c r="C18" s="780">
        <f>IF(F17&lt;&gt;0,VLOOKUP(F17,fêtes,4),0)</f>
        <v>0</v>
      </c>
      <c r="D18" s="781"/>
      <c r="E18" s="781"/>
      <c r="F18" s="263">
        <f>IF(F17&lt;&gt;0,VLOOKUP(F17,fêtes,5),0)</f>
        <v>0</v>
      </c>
      <c r="G18" s="154"/>
      <c r="H18" s="776">
        <f>IF(K17&lt;&gt;0,VLOOKUP(K17,fêtes,4),0)</f>
        <v>0</v>
      </c>
      <c r="I18" s="777"/>
      <c r="J18" s="777"/>
      <c r="K18" s="263">
        <f>IF(K17&lt;&gt;0,VLOOKUP(K17,fêtes,5),0)</f>
        <v>0</v>
      </c>
      <c r="L18" s="154"/>
      <c r="M18" s="776">
        <f>IF(P17&lt;&gt;0,VLOOKUP(P17,fêtes,4),0)</f>
        <v>0</v>
      </c>
      <c r="N18" s="777"/>
      <c r="O18" s="777"/>
      <c r="P18" s="263" t="str">
        <f>IF(P17&lt;&gt;0,VLOOKUP(P17,fêtes,5),0)</f>
        <v>A</v>
      </c>
      <c r="Q18" s="154"/>
      <c r="R18" s="776">
        <f>IF(U17&lt;&gt;0,VLOOKUP(U17,fêtes,4),0)</f>
        <v>0</v>
      </c>
      <c r="S18" s="777"/>
      <c r="T18" s="777"/>
      <c r="U18" s="263">
        <f>IF(U17&lt;&gt;0,VLOOKUP(U17,fêtes,5),0)</f>
        <v>0</v>
      </c>
      <c r="V18" s="154"/>
      <c r="W18" s="776">
        <f>IF(Z17&lt;&gt;0,VLOOKUP(Z17,fêtes,4),0)</f>
        <v>0</v>
      </c>
      <c r="X18" s="777"/>
      <c r="Y18" s="777"/>
      <c r="Z18" s="263" t="str">
        <f>IF(Z17&lt;&gt;0,VLOOKUP(Z17,fêtes,5),0)</f>
        <v>A</v>
      </c>
      <c r="AA18" s="224"/>
      <c r="AB18" s="776">
        <f>IF(AE17&lt;&gt;0,VLOOKUP(AE17,fêtes,4),0)</f>
        <v>0</v>
      </c>
      <c r="AC18" s="777"/>
      <c r="AD18" s="777"/>
      <c r="AE18" s="263">
        <f>IF(AE17&lt;&gt;0,VLOOKUP(AE17,fêtes,5),0)</f>
        <v>0</v>
      </c>
      <c r="AF18" s="154"/>
      <c r="AG18" s="780">
        <f>IF(AJ17&lt;&gt;0,VLOOKUP(AJ17,fêtes,4),0)</f>
        <v>0</v>
      </c>
      <c r="AH18" s="781"/>
      <c r="AI18" s="781"/>
      <c r="AJ18" s="263">
        <f>IF(AJ17&lt;&gt;0,VLOOKUP(AJ17,fêtes,5),0)</f>
        <v>0</v>
      </c>
      <c r="AK18" s="222"/>
    </row>
    <row r="19" spans="2:37" s="155" customFormat="1" ht="3.75" customHeight="1">
      <c r="B19" s="223"/>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224"/>
      <c r="AA19" s="224"/>
      <c r="AB19" s="154"/>
      <c r="AC19" s="154"/>
      <c r="AD19" s="154"/>
      <c r="AE19" s="154"/>
      <c r="AF19" s="154"/>
      <c r="AG19" s="154"/>
      <c r="AH19" s="154"/>
      <c r="AI19" s="154"/>
      <c r="AJ19" s="154"/>
      <c r="AK19" s="222"/>
    </row>
    <row r="20" spans="2:37" s="147" customFormat="1" ht="26.25">
      <c r="B20" s="218"/>
      <c r="C20" s="706" t="str">
        <f>IF(F21&lt;&gt;0,VLOOKUP(F21,fêtes,2),0)</f>
        <v>vacances</v>
      </c>
      <c r="D20" s="767"/>
      <c r="E20" s="717">
        <f>IF(AND(AI16+1&lt;=$K$52,AI16&lt;&gt;0),AI16+1,0)</f>
        <v>23</v>
      </c>
      <c r="F20" s="766"/>
      <c r="G20" s="143"/>
      <c r="H20" s="706" t="str">
        <f>IF(K21&lt;&gt;0,VLOOKUP(K21,fêtes,2),0)</f>
        <v>vacances</v>
      </c>
      <c r="I20" s="767"/>
      <c r="J20" s="717">
        <f>IF(AND(E20+1&lt;=$K$52,E20&lt;&gt;0),E20+1,0)</f>
        <v>24</v>
      </c>
      <c r="K20" s="766"/>
      <c r="L20" s="143"/>
      <c r="M20" s="706" t="str">
        <f>IF(P21&lt;&gt;0,VLOOKUP(P21,fêtes,2),0)</f>
        <v>Noël</v>
      </c>
      <c r="N20" s="767"/>
      <c r="O20" s="717">
        <f>IF(AND(J20+1&lt;=$K$52,J20&lt;&gt;0),J20+1,0)</f>
        <v>25</v>
      </c>
      <c r="P20" s="766"/>
      <c r="Q20" s="143"/>
      <c r="R20" s="706" t="str">
        <f>IF(U21&lt;&gt;0,VLOOKUP(U21,fêtes,2),0)</f>
        <v>vacances</v>
      </c>
      <c r="S20" s="767"/>
      <c r="T20" s="717">
        <f>IF(AND(O20+1&lt;=$K$52,O20&lt;&gt;0),O20+1,0)</f>
        <v>26</v>
      </c>
      <c r="U20" s="766"/>
      <c r="V20" s="143"/>
      <c r="W20" s="706" t="str">
        <f>IF(Z21&lt;&gt;0,VLOOKUP(Z21,fêtes,2),0)</f>
        <v>vacances</v>
      </c>
      <c r="X20" s="767"/>
      <c r="Y20" s="717">
        <f>IF(AND(T20+1&lt;=$K$52,T20&lt;&gt;0),T20+1,0)</f>
        <v>27</v>
      </c>
      <c r="Z20" s="766"/>
      <c r="AA20" s="143"/>
      <c r="AB20" s="706" t="str">
        <f>IF(AE21&lt;&gt;0,VLOOKUP(AE21,fêtes,2),0)</f>
        <v>vacances</v>
      </c>
      <c r="AC20" s="767"/>
      <c r="AD20" s="717">
        <f>IF(AND(Y20+1&lt;=$K$52,Y20&lt;&gt;0),Y20+1,0)</f>
        <v>28</v>
      </c>
      <c r="AE20" s="766"/>
      <c r="AF20" s="143"/>
      <c r="AG20" s="706" t="str">
        <f>IF(AJ21&lt;&gt;0,VLOOKUP(AJ21,fêtes,2),0)</f>
        <v>vacances</v>
      </c>
      <c r="AH20" s="767"/>
      <c r="AI20" s="717">
        <f>IF(AND(AD20+1&lt;=$K$52,AD20&lt;&gt;0),AD20+1,0)</f>
        <v>29</v>
      </c>
      <c r="AJ20" s="766"/>
      <c r="AK20" s="219"/>
    </row>
    <row r="21" spans="2:37" s="164" customFormat="1" ht="15.75" customHeight="1">
      <c r="B21" s="220"/>
      <c r="C21" s="778">
        <f>IF(F21&lt;&gt;0,VLOOKUP(F21,fêtes,3),0)</f>
        <v>0</v>
      </c>
      <c r="D21" s="779"/>
      <c r="E21" s="779"/>
      <c r="F21" s="178">
        <f>IF(E20&lt;&gt;0,AJ17+1,0)</f>
        <v>357</v>
      </c>
      <c r="G21" s="258"/>
      <c r="H21" s="778">
        <f>IF(K21&lt;&gt;0,VLOOKUP(K21,fêtes,3),0)</f>
        <v>0</v>
      </c>
      <c r="I21" s="779"/>
      <c r="J21" s="779"/>
      <c r="K21" s="178">
        <f>IF(J20&lt;&gt;0,F21+1,0)</f>
        <v>358</v>
      </c>
      <c r="L21" s="258"/>
      <c r="M21" s="778">
        <f>IF(P21&lt;&gt;0,VLOOKUP(P21,fêtes,3),0)</f>
        <v>0</v>
      </c>
      <c r="N21" s="779"/>
      <c r="O21" s="779"/>
      <c r="P21" s="178">
        <f>IF(O20&lt;&gt;0,K21+1,0)</f>
        <v>359</v>
      </c>
      <c r="Q21" s="258"/>
      <c r="R21" s="778">
        <f>IF(U21&lt;&gt;0,VLOOKUP(U21,fêtes,3),0)</f>
        <v>0</v>
      </c>
      <c r="S21" s="779"/>
      <c r="T21" s="779"/>
      <c r="U21" s="178">
        <f>IF(T20&lt;&gt;0,P21+1,0)</f>
        <v>360</v>
      </c>
      <c r="V21" s="258"/>
      <c r="W21" s="778">
        <f>IF(Z21&lt;&gt;0,VLOOKUP(Z21,fêtes,3),0)</f>
        <v>0</v>
      </c>
      <c r="X21" s="779"/>
      <c r="Y21" s="779"/>
      <c r="Z21" s="178">
        <f>IF(Y20&lt;&gt;0,U21+1,0)</f>
        <v>361</v>
      </c>
      <c r="AA21" s="258"/>
      <c r="AB21" s="778">
        <f>IF(AE21&lt;&gt;0,VLOOKUP(AE21,fêtes,3),0)</f>
        <v>0</v>
      </c>
      <c r="AC21" s="779"/>
      <c r="AD21" s="779"/>
      <c r="AE21" s="178">
        <f>IF(AD20&lt;&gt;0,Z21+1,0)</f>
        <v>362</v>
      </c>
      <c r="AF21" s="258"/>
      <c r="AG21" s="778">
        <f>IF(AJ21&lt;&gt;0,VLOOKUP(AJ21,fêtes,3),0)</f>
        <v>0</v>
      </c>
      <c r="AH21" s="779"/>
      <c r="AI21" s="779"/>
      <c r="AJ21" s="178">
        <f>IF(AI20&lt;&gt;0,AE21+1,0)</f>
        <v>363</v>
      </c>
      <c r="AK21" s="222"/>
    </row>
    <row r="22" spans="2:37" s="155" customFormat="1" ht="15.75">
      <c r="B22" s="223"/>
      <c r="C22" s="780">
        <f>IF(F21&lt;&gt;0,VLOOKUP(F21,fêtes,4),0)</f>
        <v>0</v>
      </c>
      <c r="D22" s="781"/>
      <c r="E22" s="781"/>
      <c r="F22" s="263">
        <f>IF(F21&lt;&gt;0,VLOOKUP(F21,fêtes,5),0)</f>
        <v>0</v>
      </c>
      <c r="G22" s="154"/>
      <c r="H22" s="776">
        <f>IF(K21&lt;&gt;0,VLOOKUP(K21,fêtes,4),0)</f>
        <v>0</v>
      </c>
      <c r="I22" s="777"/>
      <c r="J22" s="777"/>
      <c r="K22" s="263">
        <f>IF(K21&lt;&gt;0,VLOOKUP(K21,fêtes,5),0)</f>
        <v>0</v>
      </c>
      <c r="L22" s="154"/>
      <c r="M22" s="776">
        <f>IF(P21&lt;&gt;0,VLOOKUP(P21,fêtes,4),0)</f>
        <v>0</v>
      </c>
      <c r="N22" s="777"/>
      <c r="O22" s="777"/>
      <c r="P22" s="263">
        <f>IF(P21&lt;&gt;0,VLOOKUP(P21,fêtes,5),0)</f>
        <v>0</v>
      </c>
      <c r="Q22" s="154"/>
      <c r="R22" s="776">
        <f>IF(U21&lt;&gt;0,VLOOKUP(U21,fêtes,4),0)</f>
        <v>0</v>
      </c>
      <c r="S22" s="777"/>
      <c r="T22" s="777"/>
      <c r="U22" s="263">
        <f>IF(U21&lt;&gt;0,VLOOKUP(U21,fêtes,5),0)</f>
        <v>0</v>
      </c>
      <c r="V22" s="154"/>
      <c r="W22" s="776">
        <f>IF(Z21&lt;&gt;0,VLOOKUP(Z21,fêtes,4),0)</f>
        <v>0</v>
      </c>
      <c r="X22" s="777"/>
      <c r="Y22" s="777"/>
      <c r="Z22" s="263">
        <f>IF(Z21&lt;&gt;0,VLOOKUP(Z21,fêtes,5),0)</f>
        <v>0</v>
      </c>
      <c r="AA22" s="224"/>
      <c r="AB22" s="776">
        <f>IF(AE21&lt;&gt;0,VLOOKUP(AE21,fêtes,4),0)</f>
        <v>0</v>
      </c>
      <c r="AC22" s="777"/>
      <c r="AD22" s="777"/>
      <c r="AE22" s="263" t="str">
        <f>IF(AE21&lt;&gt;0,VLOOKUP(AE21,fêtes,5),0)</f>
        <v>A</v>
      </c>
      <c r="AF22" s="154"/>
      <c r="AG22" s="780">
        <f>IF(AJ21&lt;&gt;0,VLOOKUP(AJ21,fêtes,4),0)</f>
        <v>0</v>
      </c>
      <c r="AH22" s="781"/>
      <c r="AI22" s="781"/>
      <c r="AJ22" s="263" t="str">
        <f>IF(AJ21&lt;&gt;0,VLOOKUP(AJ21,fêtes,5),0)</f>
        <v>A</v>
      </c>
      <c r="AK22" s="222"/>
    </row>
    <row r="23" spans="2:37" s="155" customFormat="1" ht="3.75" customHeight="1">
      <c r="B23" s="223"/>
      <c r="C23" s="154"/>
      <c r="D23" s="154"/>
      <c r="E23" s="154"/>
      <c r="F23" s="154"/>
      <c r="G23" s="154"/>
      <c r="H23" s="154"/>
      <c r="I23" s="154"/>
      <c r="J23" s="154"/>
      <c r="K23" s="154"/>
      <c r="L23" s="154"/>
      <c r="M23" s="154"/>
      <c r="N23" s="154"/>
      <c r="O23" s="154"/>
      <c r="P23" s="154"/>
      <c r="Q23" s="154"/>
      <c r="R23" s="154"/>
      <c r="S23" s="154"/>
      <c r="T23" s="154"/>
      <c r="U23" s="154"/>
      <c r="V23" s="154"/>
      <c r="W23" s="154"/>
      <c r="X23" s="154"/>
      <c r="Y23" s="154"/>
      <c r="Z23" s="224"/>
      <c r="AA23" s="224"/>
      <c r="AB23" s="154"/>
      <c r="AC23" s="154"/>
      <c r="AD23" s="154"/>
      <c r="AE23" s="154"/>
      <c r="AF23" s="154"/>
      <c r="AG23" s="154"/>
      <c r="AH23" s="154"/>
      <c r="AI23" s="154"/>
      <c r="AJ23" s="154"/>
      <c r="AK23" s="222"/>
    </row>
    <row r="24" spans="2:37" s="155" customFormat="1" ht="26.25">
      <c r="B24" s="223"/>
      <c r="C24" s="706" t="str">
        <f>IF(F25&lt;&gt;0,VLOOKUP(F25,fêtes,2),0)</f>
        <v>vacances</v>
      </c>
      <c r="D24" s="767"/>
      <c r="E24" s="717">
        <f>IF(AND(AI20+1&lt;=$K$52,AI20&lt;&gt;0),AI20+1,0)</f>
        <v>30</v>
      </c>
      <c r="F24" s="766"/>
      <c r="G24" s="154"/>
      <c r="H24" s="706" t="str">
        <f>IF(K25&lt;&gt;0,VLOOKUP(K25,fêtes,2),0)</f>
        <v>vacances</v>
      </c>
      <c r="I24" s="767"/>
      <c r="J24" s="717">
        <f>IF(AND(E24+1&lt;=$K$52,E24&lt;&gt;0),E24+1,0)</f>
        <v>31</v>
      </c>
      <c r="K24" s="766"/>
      <c r="L24" s="154"/>
      <c r="M24" s="166" t="s">
        <v>0</v>
      </c>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182"/>
      <c r="AK24" s="227"/>
    </row>
    <row r="25" spans="2:37" s="164" customFormat="1" ht="15.75" customHeight="1">
      <c r="B25" s="220"/>
      <c r="C25" s="778">
        <f>IF(F25&lt;&gt;0,VLOOKUP(F25,fêtes,3),0)</f>
        <v>0</v>
      </c>
      <c r="D25" s="779"/>
      <c r="E25" s="779"/>
      <c r="F25" s="178">
        <f>IF(E24&lt;&gt;0,AJ21+1,0)</f>
        <v>364</v>
      </c>
      <c r="G25" s="258"/>
      <c r="H25" s="778">
        <f>IF(K25&lt;&gt;0,VLOOKUP(K25,fêtes,3),0)</f>
        <v>0</v>
      </c>
      <c r="I25" s="779"/>
      <c r="J25" s="779"/>
      <c r="K25" s="178">
        <f>IF(J24&lt;&gt;0,F25+1,0)</f>
        <v>365</v>
      </c>
      <c r="L25" s="258"/>
      <c r="M25" s="261" t="s">
        <v>0</v>
      </c>
      <c r="N25" s="713"/>
      <c r="O25" s="713"/>
      <c r="P25" s="713"/>
      <c r="Q25" s="713"/>
      <c r="R25" s="713"/>
      <c r="S25" s="713"/>
      <c r="T25" s="713"/>
      <c r="U25" s="713"/>
      <c r="V25" s="713"/>
      <c r="W25" s="713"/>
      <c r="X25" s="713"/>
      <c r="Y25" s="713"/>
      <c r="Z25" s="713"/>
      <c r="AA25" s="713"/>
      <c r="AB25" s="713"/>
      <c r="AC25" s="713"/>
      <c r="AD25" s="713"/>
      <c r="AE25" s="713"/>
      <c r="AF25" s="713"/>
      <c r="AG25" s="713"/>
      <c r="AH25" s="713"/>
      <c r="AI25" s="713"/>
      <c r="AJ25" s="186"/>
      <c r="AK25" s="228"/>
    </row>
    <row r="26" spans="2:37" s="155" customFormat="1" ht="15.75">
      <c r="B26" s="223"/>
      <c r="C26" s="780">
        <f>IF(F25&lt;&gt;0,VLOOKUP(F25,fêtes,4),0)</f>
        <v>0</v>
      </c>
      <c r="D26" s="781"/>
      <c r="E26" s="781"/>
      <c r="F26" s="263" t="str">
        <f>IF(F25&lt;&gt;0,VLOOKUP(F25,fêtes,5),0)</f>
        <v>A</v>
      </c>
      <c r="G26" s="154"/>
      <c r="H26" s="776">
        <f>IF(K25&lt;&gt;0,VLOOKUP(K25,fêtes,4),0)</f>
        <v>0</v>
      </c>
      <c r="I26" s="777"/>
      <c r="J26" s="777"/>
      <c r="K26" s="263">
        <f>IF(K25&lt;&gt;0,VLOOKUP(K25,fêtes,5),0)</f>
        <v>0</v>
      </c>
      <c r="L26" s="154"/>
      <c r="M26" s="161"/>
      <c r="N26" s="156" t="s">
        <v>0</v>
      </c>
      <c r="O26" s="156"/>
      <c r="P26" s="156"/>
      <c r="Q26" s="156"/>
      <c r="R26" s="156"/>
      <c r="S26" s="156" t="s">
        <v>0</v>
      </c>
      <c r="T26" s="156"/>
      <c r="U26" s="156"/>
      <c r="V26" s="156"/>
      <c r="W26" s="156"/>
      <c r="X26" s="156" t="s">
        <v>0</v>
      </c>
      <c r="Y26" s="156"/>
      <c r="Z26" s="163" t="s">
        <v>0</v>
      </c>
      <c r="AA26" s="163"/>
      <c r="AB26" s="156"/>
      <c r="AC26" s="156" t="s">
        <v>0</v>
      </c>
      <c r="AD26" s="183" t="s">
        <v>0</v>
      </c>
      <c r="AE26" s="184"/>
      <c r="AF26" s="184"/>
      <c r="AG26" s="184"/>
      <c r="AH26" s="184"/>
      <c r="AI26" s="184"/>
      <c r="AJ26" s="185"/>
      <c r="AK26" s="228"/>
    </row>
    <row r="27" spans="2:37" ht="13.5" customHeight="1">
      <c r="B27" s="229" t="s">
        <v>0</v>
      </c>
      <c r="C27" s="230" t="s">
        <v>0</v>
      </c>
      <c r="D27" s="230" t="s">
        <v>0</v>
      </c>
      <c r="E27" s="230" t="s">
        <v>0</v>
      </c>
      <c r="F27" s="230"/>
      <c r="G27" s="230"/>
      <c r="H27" s="230" t="s">
        <v>0</v>
      </c>
      <c r="I27" s="231" t="s">
        <v>0</v>
      </c>
      <c r="J27" s="232"/>
      <c r="K27" s="233"/>
      <c r="L27" s="233"/>
      <c r="M27" s="231"/>
      <c r="N27" s="232"/>
      <c r="O27" s="232"/>
      <c r="P27" s="233"/>
      <c r="Q27" s="233"/>
      <c r="R27" s="231"/>
      <c r="S27" s="232"/>
      <c r="T27" s="232"/>
      <c r="U27" s="233"/>
      <c r="V27" s="233"/>
      <c r="W27" s="231"/>
      <c r="X27" s="232"/>
      <c r="Y27" s="232"/>
      <c r="Z27" s="233"/>
      <c r="AA27" s="233"/>
      <c r="AB27" s="231"/>
      <c r="AC27" s="232"/>
      <c r="AD27" s="230" t="s">
        <v>0</v>
      </c>
      <c r="AE27" s="230" t="s">
        <v>0</v>
      </c>
      <c r="AF27" s="230"/>
      <c r="AG27" s="230"/>
      <c r="AH27" s="231" t="s">
        <v>0</v>
      </c>
      <c r="AI27" s="230" t="s">
        <v>0</v>
      </c>
      <c r="AJ27" s="230" t="s">
        <v>0</v>
      </c>
      <c r="AK27" s="234" t="s">
        <v>0</v>
      </c>
    </row>
    <row r="28" spans="2:37" ht="14.1" customHeight="1">
      <c r="B28" s="235" t="s">
        <v>0</v>
      </c>
      <c r="C28" s="758" t="s">
        <v>200</v>
      </c>
      <c r="D28" s="722"/>
      <c r="E28" s="722"/>
      <c r="F28" s="722"/>
      <c r="G28" s="722"/>
      <c r="H28" s="722"/>
      <c r="I28" s="757">
        <f>annee</f>
        <v>2018</v>
      </c>
      <c r="J28" s="723"/>
      <c r="K28" s="143"/>
      <c r="L28" s="236"/>
      <c r="M28" s="236">
        <f>VLOOKUP(C52,Données,7)</f>
        <v>0</v>
      </c>
      <c r="N28" s="237"/>
      <c r="O28" s="237"/>
      <c r="P28" s="238"/>
      <c r="Q28" s="238"/>
      <c r="R28" s="239"/>
      <c r="S28" s="237"/>
      <c r="T28" s="237"/>
      <c r="U28" s="238"/>
      <c r="V28" s="238"/>
      <c r="W28" s="239"/>
      <c r="X28" s="237"/>
      <c r="Y28" s="237"/>
      <c r="Z28" s="238"/>
      <c r="AA28" s="238"/>
      <c r="AB28" s="231"/>
      <c r="AC28" s="758" t="s">
        <v>163</v>
      </c>
      <c r="AD28" s="722"/>
      <c r="AE28" s="722"/>
      <c r="AF28" s="722"/>
      <c r="AG28" s="722"/>
      <c r="AH28" s="722"/>
      <c r="AI28" s="757">
        <f>annee</f>
        <v>2018</v>
      </c>
      <c r="AJ28" s="723"/>
      <c r="AK28" s="240"/>
    </row>
    <row r="29" spans="2:37" ht="14.1" customHeight="1">
      <c r="B29" s="235"/>
      <c r="C29" s="160" t="s">
        <v>177</v>
      </c>
      <c r="D29" s="160" t="s">
        <v>178</v>
      </c>
      <c r="E29" s="160" t="s">
        <v>179</v>
      </c>
      <c r="F29" s="160" t="s">
        <v>179</v>
      </c>
      <c r="G29" s="735" t="s">
        <v>184</v>
      </c>
      <c r="H29" s="736"/>
      <c r="I29" s="160" t="s">
        <v>180</v>
      </c>
      <c r="J29" s="160" t="s">
        <v>183</v>
      </c>
      <c r="K29" s="143"/>
      <c r="L29" s="241"/>
      <c r="M29" s="236">
        <f>VLOOKUP(C52,Données,8)</f>
        <v>0</v>
      </c>
      <c r="N29" s="232"/>
      <c r="O29" s="232"/>
      <c r="P29" s="233"/>
      <c r="Q29" s="233"/>
      <c r="R29" s="231"/>
      <c r="S29" s="232"/>
      <c r="T29" s="232"/>
      <c r="U29" s="233"/>
      <c r="V29" s="233"/>
      <c r="W29" s="231"/>
      <c r="X29" s="232"/>
      <c r="Y29" s="232"/>
      <c r="Z29" s="233"/>
      <c r="AA29" s="233"/>
      <c r="AB29" s="231"/>
      <c r="AC29" s="160" t="s">
        <v>177</v>
      </c>
      <c r="AD29" s="160" t="s">
        <v>178</v>
      </c>
      <c r="AE29" s="165" t="s">
        <v>179</v>
      </c>
      <c r="AF29" s="215"/>
      <c r="AG29" s="160" t="s">
        <v>179</v>
      </c>
      <c r="AH29" s="160" t="s">
        <v>184</v>
      </c>
      <c r="AI29" s="160" t="s">
        <v>180</v>
      </c>
      <c r="AJ29" s="160" t="s">
        <v>183</v>
      </c>
      <c r="AK29" s="240"/>
    </row>
    <row r="30" spans="2:37" ht="14.1" customHeight="1">
      <c r="B30" s="235"/>
      <c r="C30" s="160">
        <f>IF(P51=1,1,0)</f>
        <v>0</v>
      </c>
      <c r="D30" s="160">
        <f>IF(P51=2,1,IF(C30&lt;&gt;0,C30+1,0))</f>
        <v>0</v>
      </c>
      <c r="E30" s="160">
        <f>IF(P51=3,1,IF(D30&lt;&gt;0,D30+1,0))</f>
        <v>0</v>
      </c>
      <c r="F30" s="160">
        <f>IF(P51=4,1,IF(E30&lt;&gt;0,E30+1,0))</f>
        <v>0</v>
      </c>
      <c r="G30" s="735">
        <f>IF(P51=5,1,IF(F30&lt;&gt;0,F30+1,0))</f>
        <v>1</v>
      </c>
      <c r="H30" s="736"/>
      <c r="I30" s="160">
        <f>IF(P51=6,1,IF(G30&lt;&gt;0,G30+1,0))</f>
        <v>2</v>
      </c>
      <c r="J30" s="160">
        <f>IF(P51=0,1,IF(I30&lt;&gt;0,I30+1,0))</f>
        <v>3</v>
      </c>
      <c r="K30" s="143"/>
      <c r="L30" s="236"/>
      <c r="M30" s="241">
        <f>VLOOKUP(C52,Données,9)</f>
        <v>0</v>
      </c>
      <c r="N30" s="237"/>
      <c r="O30" s="237"/>
      <c r="P30" s="238"/>
      <c r="Q30" s="238"/>
      <c r="R30" s="239"/>
      <c r="S30" s="237"/>
      <c r="T30" s="237"/>
      <c r="U30" s="238"/>
      <c r="V30" s="238"/>
      <c r="W30" s="239"/>
      <c r="X30" s="237"/>
      <c r="Y30" s="237"/>
      <c r="Z30" s="238"/>
      <c r="AA30" s="238"/>
      <c r="AB30" s="231"/>
      <c r="AC30" s="160">
        <f>IF($U$51=1,1,0)</f>
        <v>0</v>
      </c>
      <c r="AD30" s="160">
        <f>IF($U$51=2,1,IF(AC30&lt;&gt;0,AC30+1,0))</f>
        <v>0</v>
      </c>
      <c r="AE30" s="165">
        <f>IF($U$51=3,1,IF(AD30&lt;&gt;0,AD30+1,0))</f>
        <v>1</v>
      </c>
      <c r="AF30" s="215"/>
      <c r="AG30" s="160">
        <f>IF($U$51=4,1,IF(AE30&lt;&gt;0,AE30+1,0))</f>
        <v>2</v>
      </c>
      <c r="AH30" s="160">
        <f>IF($U$51=5,1,IF(AG30&lt;&gt;0,AG30+1,0))</f>
        <v>3</v>
      </c>
      <c r="AI30" s="160">
        <f>IF($U$51=6,1,IF(AH30&lt;&gt;0,AH30+1,0))</f>
        <v>4</v>
      </c>
      <c r="AJ30" s="160">
        <f>IF($U$51=0,1,IF(AI30&lt;&gt;0,AI30+1,0))</f>
        <v>5</v>
      </c>
      <c r="AK30" s="240"/>
    </row>
    <row r="31" spans="2:37" ht="14.1" customHeight="1">
      <c r="B31" s="235"/>
      <c r="C31" s="160">
        <f>J30+1</f>
        <v>4</v>
      </c>
      <c r="D31" s="160">
        <f>C31+1</f>
        <v>5</v>
      </c>
      <c r="E31" s="160">
        <f t="shared" ref="E31:G33" si="0">D31+1</f>
        <v>6</v>
      </c>
      <c r="F31" s="160">
        <f t="shared" si="0"/>
        <v>7</v>
      </c>
      <c r="G31" s="735">
        <f t="shared" si="0"/>
        <v>8</v>
      </c>
      <c r="H31" s="736"/>
      <c r="I31" s="160">
        <f>G31+1</f>
        <v>9</v>
      </c>
      <c r="J31" s="160">
        <f>I31+1</f>
        <v>10</v>
      </c>
      <c r="K31" s="143"/>
      <c r="L31" s="241"/>
      <c r="M31" s="236">
        <f>VLOOKUP(C52,Données,10)</f>
        <v>0</v>
      </c>
      <c r="N31" s="232"/>
      <c r="O31" s="232"/>
      <c r="P31" s="233"/>
      <c r="Q31" s="233"/>
      <c r="R31" s="231"/>
      <c r="S31" s="232"/>
      <c r="T31" s="232"/>
      <c r="U31" s="233"/>
      <c r="V31" s="233"/>
      <c r="W31" s="231"/>
      <c r="X31" s="232"/>
      <c r="Y31" s="232"/>
      <c r="Z31" s="233"/>
      <c r="AA31" s="233"/>
      <c r="AB31" s="231"/>
      <c r="AC31" s="160">
        <f>AJ30+1</f>
        <v>6</v>
      </c>
      <c r="AD31" s="160">
        <f t="shared" ref="AD31:AE33" si="1">AC31+1</f>
        <v>7</v>
      </c>
      <c r="AE31" s="165">
        <f t="shared" si="1"/>
        <v>8</v>
      </c>
      <c r="AF31" s="215"/>
      <c r="AG31" s="160">
        <f>AE31+1</f>
        <v>9</v>
      </c>
      <c r="AH31" s="160">
        <f t="shared" ref="AH31:AJ33" si="2">AG31+1</f>
        <v>10</v>
      </c>
      <c r="AI31" s="160">
        <f t="shared" si="2"/>
        <v>11</v>
      </c>
      <c r="AJ31" s="160">
        <f t="shared" si="2"/>
        <v>12</v>
      </c>
      <c r="AK31" s="240"/>
    </row>
    <row r="32" spans="2:37" ht="14.1" customHeight="1">
      <c r="B32" s="235"/>
      <c r="C32" s="160">
        <f>J31+1</f>
        <v>11</v>
      </c>
      <c r="D32" s="160">
        <f>C32+1</f>
        <v>12</v>
      </c>
      <c r="E32" s="160">
        <f t="shared" si="0"/>
        <v>13</v>
      </c>
      <c r="F32" s="160">
        <f t="shared" si="0"/>
        <v>14</v>
      </c>
      <c r="G32" s="735">
        <f t="shared" si="0"/>
        <v>15</v>
      </c>
      <c r="H32" s="736"/>
      <c r="I32" s="160">
        <f>G32+1</f>
        <v>16</v>
      </c>
      <c r="J32" s="160">
        <f>I32+1</f>
        <v>17</v>
      </c>
      <c r="K32" s="143"/>
      <c r="L32" s="238"/>
      <c r="M32" s="233"/>
      <c r="N32" s="237"/>
      <c r="O32" s="237"/>
      <c r="P32" s="238"/>
      <c r="Q32" s="238"/>
      <c r="R32" s="239"/>
      <c r="S32" s="237"/>
      <c r="T32" s="237"/>
      <c r="U32" s="238"/>
      <c r="V32" s="238"/>
      <c r="W32" s="239"/>
      <c r="X32" s="237"/>
      <c r="Y32" s="237"/>
      <c r="Z32" s="238"/>
      <c r="AA32" s="238"/>
      <c r="AB32" s="231"/>
      <c r="AC32" s="160">
        <f>AJ31+1</f>
        <v>13</v>
      </c>
      <c r="AD32" s="160">
        <f t="shared" si="1"/>
        <v>14</v>
      </c>
      <c r="AE32" s="165">
        <f t="shared" si="1"/>
        <v>15</v>
      </c>
      <c r="AF32" s="215"/>
      <c r="AG32" s="160">
        <f>AE32+1</f>
        <v>16</v>
      </c>
      <c r="AH32" s="160">
        <f t="shared" si="2"/>
        <v>17</v>
      </c>
      <c r="AI32" s="160">
        <f t="shared" si="2"/>
        <v>18</v>
      </c>
      <c r="AJ32" s="160">
        <f t="shared" si="2"/>
        <v>19</v>
      </c>
      <c r="AK32" s="240"/>
    </row>
    <row r="33" spans="2:37" ht="14.1" customHeight="1">
      <c r="B33" s="235"/>
      <c r="C33" s="160">
        <f>J32+1</f>
        <v>18</v>
      </c>
      <c r="D33" s="160">
        <f>C33+1</f>
        <v>19</v>
      </c>
      <c r="E33" s="160">
        <f t="shared" si="0"/>
        <v>20</v>
      </c>
      <c r="F33" s="160">
        <f t="shared" si="0"/>
        <v>21</v>
      </c>
      <c r="G33" s="735">
        <f t="shared" si="0"/>
        <v>22</v>
      </c>
      <c r="H33" s="736"/>
      <c r="I33" s="160">
        <f>G33+1</f>
        <v>23</v>
      </c>
      <c r="J33" s="160">
        <f>I33+1</f>
        <v>24</v>
      </c>
      <c r="K33" s="233"/>
      <c r="L33" s="233"/>
      <c r="M33" s="239"/>
      <c r="N33" s="232"/>
      <c r="O33" s="232"/>
      <c r="P33" s="233"/>
      <c r="Q33" s="233"/>
      <c r="R33" s="231"/>
      <c r="S33" s="232"/>
      <c r="T33" s="232"/>
      <c r="U33" s="233"/>
      <c r="V33" s="233"/>
      <c r="W33" s="231"/>
      <c r="X33" s="232"/>
      <c r="Y33" s="232"/>
      <c r="Z33" s="233"/>
      <c r="AA33" s="233"/>
      <c r="AB33" s="231"/>
      <c r="AC33" s="160">
        <f>AJ32+1</f>
        <v>20</v>
      </c>
      <c r="AD33" s="160">
        <f t="shared" si="1"/>
        <v>21</v>
      </c>
      <c r="AE33" s="165">
        <f t="shared" si="1"/>
        <v>22</v>
      </c>
      <c r="AF33" s="215"/>
      <c r="AG33" s="160">
        <f>AE33+1</f>
        <v>23</v>
      </c>
      <c r="AH33" s="160">
        <f t="shared" si="2"/>
        <v>24</v>
      </c>
      <c r="AI33" s="160">
        <f t="shared" si="2"/>
        <v>25</v>
      </c>
      <c r="AJ33" s="160">
        <f t="shared" si="2"/>
        <v>26</v>
      </c>
      <c r="AK33" s="240"/>
    </row>
    <row r="34" spans="2:37" ht="14.1" customHeight="1">
      <c r="B34" s="235"/>
      <c r="C34" s="160">
        <f>IF(AND(J33+1&lt;=$P$52,J33&lt;&gt;0),J33+1,0)</f>
        <v>25</v>
      </c>
      <c r="D34" s="160">
        <f t="shared" ref="D34:G35" si="3">IF(AND(C34+1&lt;=$P$52,C34&lt;&gt;0),C34+1,0)</f>
        <v>26</v>
      </c>
      <c r="E34" s="160">
        <f t="shared" si="3"/>
        <v>27</v>
      </c>
      <c r="F34" s="160">
        <f t="shared" si="3"/>
        <v>28</v>
      </c>
      <c r="G34" s="735">
        <f t="shared" si="3"/>
        <v>29</v>
      </c>
      <c r="H34" s="736"/>
      <c r="I34" s="165">
        <f>IF(AND(G34+1&lt;=$P$52,G34&lt;&gt;0),G34+1,0)</f>
        <v>30</v>
      </c>
      <c r="J34" s="160">
        <f>IF(AND(I34+1&lt;=$P$52,I34&lt;&gt;0),I34+1,0)</f>
        <v>0</v>
      </c>
      <c r="K34" s="233"/>
      <c r="L34" s="238"/>
      <c r="M34" s="239"/>
      <c r="N34" s="237"/>
      <c r="O34" s="237"/>
      <c r="P34" s="238"/>
      <c r="Q34" s="238"/>
      <c r="R34" s="239"/>
      <c r="S34" s="237"/>
      <c r="T34" s="237"/>
      <c r="U34" s="238"/>
      <c r="V34" s="238"/>
      <c r="W34" s="239"/>
      <c r="X34" s="237"/>
      <c r="Y34" s="237"/>
      <c r="Z34" s="238"/>
      <c r="AA34" s="238"/>
      <c r="AB34" s="231"/>
      <c r="AC34" s="160">
        <f>IF(AND(AJ33+1&lt;=U52,AJ33&lt;&gt;0),AJ33+1,0)</f>
        <v>27</v>
      </c>
      <c r="AD34" s="160">
        <f>IF(AND(AC34+1&lt;=U52,AC34&lt;&gt;0),AC34+1,0)</f>
        <v>28</v>
      </c>
      <c r="AE34" s="165">
        <f>IF(AND(AD34+1&lt;=U52,AD34&lt;&gt;0),AD34+1,0)</f>
        <v>29</v>
      </c>
      <c r="AF34" s="215"/>
      <c r="AG34" s="160">
        <f>IF(AND(AE34+1&lt;=U52,AE34&lt;&gt;0),AE34+1,0)</f>
        <v>30</v>
      </c>
      <c r="AH34" s="160">
        <f>IF(AND(AG34+1&lt;=U52,AG34&lt;&gt;0),AG34+1,0)</f>
        <v>31</v>
      </c>
      <c r="AI34" s="160">
        <f>IF(AND(AH34+1&lt;=U52,AH34&lt;&gt;0),AH34+1,0)</f>
        <v>0</v>
      </c>
      <c r="AJ34" s="160">
        <f>IF(AND(AI34+1&lt;=U52,AI34&lt;&gt;0),AI34+1,0)</f>
        <v>0</v>
      </c>
      <c r="AK34" s="240"/>
    </row>
    <row r="35" spans="2:37" ht="14.1" customHeight="1">
      <c r="B35" s="235"/>
      <c r="C35" s="160">
        <f>IF(AND(J34+1&lt;=$P$52,J34&lt;&gt;0),J34+1,0)</f>
        <v>0</v>
      </c>
      <c r="D35" s="160">
        <f t="shared" si="3"/>
        <v>0</v>
      </c>
      <c r="E35" s="160">
        <f t="shared" si="3"/>
        <v>0</v>
      </c>
      <c r="F35" s="160">
        <f t="shared" si="3"/>
        <v>0</v>
      </c>
      <c r="G35" s="735">
        <f t="shared" si="3"/>
        <v>0</v>
      </c>
      <c r="H35" s="736"/>
      <c r="I35" s="160">
        <f>IF(AND(G35+1&lt;=$P$52,G35&lt;&gt;0),G35+1,0)</f>
        <v>0</v>
      </c>
      <c r="J35" s="160">
        <f>IF(AND(I35+1&lt;=$P$52,I35&lt;&gt;0),I35+1,0)</f>
        <v>0</v>
      </c>
      <c r="K35" s="233"/>
      <c r="L35" s="238"/>
      <c r="M35" s="239"/>
      <c r="N35" s="237"/>
      <c r="O35" s="237"/>
      <c r="P35" s="238"/>
      <c r="Q35" s="238"/>
      <c r="R35" s="239"/>
      <c r="S35" s="237"/>
      <c r="T35" s="237"/>
      <c r="U35" s="238"/>
      <c r="V35" s="238"/>
      <c r="W35" s="239"/>
      <c r="X35" s="237"/>
      <c r="Y35" s="237"/>
      <c r="Z35" s="238"/>
      <c r="AA35" s="238"/>
      <c r="AB35" s="231"/>
      <c r="AC35" s="160">
        <f>IF(AND(AJ34+1&lt;=U52,AJ34&lt;&gt;0),AJ34+1,0)</f>
        <v>0</v>
      </c>
      <c r="AD35" s="160">
        <f>IF(AND(AC35+1&lt;=U52,AC35&lt;&gt;0),AC35+1,0)</f>
        <v>0</v>
      </c>
      <c r="AE35" s="165">
        <f>IF(AND(AD35+1&lt;=U52,AD35&lt;&gt;0),AD35+1,0)</f>
        <v>0</v>
      </c>
      <c r="AF35" s="215"/>
      <c r="AG35" s="160">
        <f>IF(AND(AE35+1&lt;=U52,AE35&lt;&gt;0),AE35+1,0)</f>
        <v>0</v>
      </c>
      <c r="AH35" s="160">
        <f>IF(AND(AG35+1&lt;=U52,AG35&lt;&gt;0),AG35+1,0)</f>
        <v>0</v>
      </c>
      <c r="AI35" s="160">
        <f>IF(AND(AH35+1&lt;=U52,AH35&lt;&gt;0),AH35+1,0)</f>
        <v>0</v>
      </c>
      <c r="AJ35" s="160">
        <f>IF(AND(AI35+1&lt;=U52,AI35&lt;&gt;0),AI35+1,0)</f>
        <v>0</v>
      </c>
      <c r="AK35" s="240"/>
    </row>
    <row r="36" spans="2:37" ht="14.1" customHeight="1" thickBot="1">
      <c r="B36" s="242"/>
      <c r="C36" s="243"/>
      <c r="D36" s="244"/>
      <c r="E36" s="245"/>
      <c r="F36" s="245"/>
      <c r="G36" s="245"/>
      <c r="H36" s="244"/>
      <c r="I36" s="246" t="s">
        <v>0</v>
      </c>
      <c r="J36" s="244"/>
      <c r="K36" s="262"/>
      <c r="L36" s="262"/>
      <c r="M36" s="248"/>
      <c r="N36" s="243"/>
      <c r="O36" s="244"/>
      <c r="P36" s="245"/>
      <c r="Q36" s="245"/>
      <c r="R36" s="248"/>
      <c r="S36" s="243"/>
      <c r="T36" s="243"/>
      <c r="U36" s="249"/>
      <c r="V36" s="249"/>
      <c r="W36" s="248"/>
      <c r="X36" s="250" t="s">
        <v>0</v>
      </c>
      <c r="Y36" s="244"/>
      <c r="Z36" s="245"/>
      <c r="AA36" s="245"/>
      <c r="AB36" s="248"/>
      <c r="AC36" s="763" t="s">
        <v>0</v>
      </c>
      <c r="AD36" s="764"/>
      <c r="AE36" s="251" t="s">
        <v>0</v>
      </c>
      <c r="AF36" s="251"/>
      <c r="AG36" s="251"/>
      <c r="AH36" s="248"/>
      <c r="AI36" s="243"/>
      <c r="AJ36" s="244"/>
      <c r="AK36" s="252"/>
    </row>
    <row r="38" spans="2:37">
      <c r="P38" s="147" t="s">
        <v>0</v>
      </c>
      <c r="X38" t="s">
        <v>0</v>
      </c>
    </row>
    <row r="39" spans="2:37">
      <c r="I39" s="1" t="s">
        <v>0</v>
      </c>
      <c r="K39" s="148"/>
      <c r="L39" s="148"/>
      <c r="P39" s="149" t="s">
        <v>0</v>
      </c>
      <c r="Q39" s="149"/>
      <c r="S39" s="136"/>
    </row>
    <row r="40" spans="2:37">
      <c r="N40" s="135" t="s">
        <v>0</v>
      </c>
      <c r="P40" s="147" t="s">
        <v>0</v>
      </c>
    </row>
    <row r="41" spans="2:37">
      <c r="B41" s="1" t="s">
        <v>0</v>
      </c>
      <c r="C41" s="8" t="s">
        <v>0</v>
      </c>
      <c r="E41" s="146" t="s">
        <v>0</v>
      </c>
      <c r="F41" s="146"/>
      <c r="G41" s="146"/>
      <c r="N41" s="135" t="s">
        <v>0</v>
      </c>
      <c r="P41" s="147" t="s">
        <v>0</v>
      </c>
    </row>
    <row r="42" spans="2:37" ht="15.75">
      <c r="C42" s="8"/>
      <c r="E42" s="151" t="s">
        <v>0</v>
      </c>
      <c r="F42" s="151"/>
      <c r="G42" s="151"/>
      <c r="K42" s="150"/>
      <c r="L42" s="150"/>
      <c r="N42" s="140"/>
      <c r="P42" s="146"/>
      <c r="Q42" s="146"/>
      <c r="S42" s="8"/>
      <c r="T42" s="8"/>
      <c r="X42" s="8"/>
    </row>
    <row r="43" spans="2:37" ht="15.75">
      <c r="C43" s="8"/>
      <c r="E43" s="151" t="s">
        <v>0</v>
      </c>
      <c r="F43" s="151"/>
      <c r="G43" s="151"/>
      <c r="K43" s="150"/>
      <c r="L43" s="150"/>
      <c r="N43" s="140"/>
      <c r="P43" s="146"/>
      <c r="Q43" s="146"/>
      <c r="S43" s="8"/>
      <c r="T43" s="8"/>
      <c r="X43" s="8"/>
    </row>
    <row r="44" spans="2:37" ht="15.75">
      <c r="C44" s="8"/>
      <c r="E44" s="151" t="s">
        <v>0</v>
      </c>
      <c r="F44" s="151"/>
      <c r="G44" s="151"/>
      <c r="K44" s="150"/>
      <c r="L44" s="150"/>
      <c r="N44" s="140"/>
      <c r="P44" s="146"/>
      <c r="Q44" s="146"/>
      <c r="S44" s="8"/>
      <c r="T44" s="8"/>
      <c r="X44" s="8"/>
    </row>
    <row r="45" spans="2:37" ht="15.75">
      <c r="C45" s="8"/>
      <c r="E45" s="150" t="s">
        <v>0</v>
      </c>
      <c r="F45" s="150"/>
      <c r="G45" s="150"/>
      <c r="K45" s="150"/>
      <c r="L45" s="150"/>
      <c r="N45" s="140"/>
      <c r="P45" s="146"/>
      <c r="Q45" s="146"/>
      <c r="S45" s="8"/>
      <c r="T45" s="8"/>
      <c r="X45" s="142"/>
    </row>
    <row r="46" spans="2:37" ht="15.75">
      <c r="C46" s="8"/>
      <c r="E46" s="151" t="s">
        <v>0</v>
      </c>
      <c r="F46" s="151"/>
      <c r="G46" s="151"/>
      <c r="K46" s="150"/>
      <c r="L46" s="150"/>
      <c r="N46" s="140"/>
      <c r="P46" s="146"/>
      <c r="Q46" s="146"/>
      <c r="S46" s="8"/>
      <c r="T46" s="8"/>
      <c r="X46" s="8"/>
    </row>
    <row r="47" spans="2:37">
      <c r="E47" s="152"/>
      <c r="F47" s="152"/>
      <c r="G47" s="152"/>
      <c r="I47" s="157"/>
      <c r="K47" s="146"/>
      <c r="L47" s="146"/>
      <c r="N47" s="140"/>
      <c r="P47" s="146"/>
      <c r="Q47" s="146"/>
      <c r="S47" s="8"/>
      <c r="T47" s="8"/>
      <c r="X47" s="8"/>
    </row>
    <row r="48" spans="2:37">
      <c r="C48" s="1"/>
      <c r="E48" s="152"/>
      <c r="F48" s="152"/>
      <c r="G48" s="152"/>
      <c r="I48" s="157"/>
      <c r="K48" s="146"/>
      <c r="L48" s="146"/>
      <c r="N48" s="140"/>
      <c r="P48" s="146"/>
      <c r="Q48" s="146"/>
      <c r="S48" s="8"/>
    </row>
    <row r="49" spans="1:26" ht="15.75">
      <c r="E49" s="152"/>
      <c r="F49" s="152"/>
      <c r="G49" s="152"/>
      <c r="I49" s="158" t="s">
        <v>0</v>
      </c>
      <c r="K49" s="146"/>
      <c r="L49" s="146"/>
      <c r="N49" s="140"/>
      <c r="P49" s="146"/>
      <c r="Q49" s="146"/>
      <c r="S49" s="8"/>
    </row>
    <row r="50" spans="1:26" ht="15.75">
      <c r="C50" s="147"/>
      <c r="D50" s="147"/>
      <c r="E50" s="139" t="s">
        <v>0</v>
      </c>
      <c r="F50"/>
      <c r="G50" s="724">
        <f>DATE(C51,1,1)</f>
        <v>43101</v>
      </c>
      <c r="H50" s="737"/>
      <c r="I50" s="738"/>
      <c r="J50" s="147"/>
      <c r="K50" s="724">
        <f>DATE(C51,C52,1)</f>
        <v>43435</v>
      </c>
      <c r="L50" s="737"/>
      <c r="M50" s="737"/>
      <c r="N50" s="738"/>
      <c r="O50" s="147"/>
      <c r="P50" s="724">
        <f>DATE(C51,C52-1,1)</f>
        <v>43405</v>
      </c>
      <c r="Q50" s="725"/>
      <c r="R50" s="725"/>
      <c r="S50" s="726"/>
      <c r="T50" s="147"/>
      <c r="U50" s="724">
        <f>DATE(C51,C52+1,1)</f>
        <v>43466</v>
      </c>
      <c r="V50" s="759"/>
      <c r="W50" s="760"/>
    </row>
    <row r="51" spans="1:26" ht="15.75">
      <c r="A51" s="1" t="s">
        <v>153</v>
      </c>
      <c r="C51" s="762">
        <f>dates!H1</f>
        <v>2018</v>
      </c>
      <c r="D51" s="762"/>
      <c r="E51" s="138">
        <f>IF(C52=5,"Voir notes",0)</f>
        <v>0</v>
      </c>
      <c r="F51"/>
      <c r="G51" s="751">
        <f>DATE(C51+1,1,1)</f>
        <v>43466</v>
      </c>
      <c r="H51" s="752"/>
      <c r="I51" s="753"/>
      <c r="J51" s="147"/>
      <c r="K51" s="727">
        <f>MOD(K50,7)</f>
        <v>0</v>
      </c>
      <c r="L51" s="752"/>
      <c r="M51" s="752"/>
      <c r="N51" s="753"/>
      <c r="O51" s="147"/>
      <c r="P51" s="727">
        <f>MOD(P50,7)</f>
        <v>5</v>
      </c>
      <c r="Q51" s="728"/>
      <c r="R51" s="728"/>
      <c r="S51" s="729"/>
      <c r="T51" s="147"/>
      <c r="U51" s="727">
        <f>MOD(U50,7)</f>
        <v>3</v>
      </c>
      <c r="V51" s="733"/>
      <c r="W51" s="734"/>
    </row>
    <row r="52" spans="1:26" ht="15.75">
      <c r="A52" s="1" t="s">
        <v>152</v>
      </c>
      <c r="C52" s="168">
        <v>12</v>
      </c>
      <c r="D52" s="169"/>
      <c r="E52" s="139" t="s">
        <v>0</v>
      </c>
      <c r="F52"/>
      <c r="G52" s="754">
        <f>G51-G50</f>
        <v>365</v>
      </c>
      <c r="H52" s="755"/>
      <c r="I52" s="756"/>
      <c r="J52" s="147"/>
      <c r="K52" s="754">
        <f>VLOOKUP(C52,Données,3)</f>
        <v>31</v>
      </c>
      <c r="L52" s="782"/>
      <c r="M52" s="782"/>
      <c r="N52" s="783"/>
      <c r="O52" s="147"/>
      <c r="P52" s="754">
        <f>VLOOKUP(C52-1,Données,3)</f>
        <v>30</v>
      </c>
      <c r="Q52" s="782"/>
      <c r="R52" s="782"/>
      <c r="S52" s="783"/>
      <c r="T52" s="147"/>
      <c r="U52" s="754">
        <f>VLOOKUP(C52+1,Données,3)</f>
        <v>31</v>
      </c>
      <c r="V52" s="784"/>
      <c r="W52" s="785"/>
      <c r="X52" s="159"/>
      <c r="Y52" s="159"/>
    </row>
    <row r="53" spans="1:26">
      <c r="C53" s="739" t="s">
        <v>189</v>
      </c>
      <c r="D53" s="740"/>
      <c r="E53" s="740"/>
      <c r="F53" s="740"/>
      <c r="G53" s="741"/>
      <c r="H53" s="742"/>
      <c r="I53"/>
      <c r="J53" s="147"/>
      <c r="M53" s="147"/>
      <c r="N53" s="147"/>
      <c r="O53" s="147"/>
      <c r="R53" s="147"/>
      <c r="S53" s="147"/>
      <c r="T53" s="147"/>
      <c r="W53" s="147"/>
      <c r="X53" s="147"/>
      <c r="Y53" s="147"/>
    </row>
    <row r="54" spans="1:26">
      <c r="C54" s="743"/>
      <c r="D54" s="744"/>
      <c r="E54" s="744"/>
      <c r="F54" s="744"/>
      <c r="G54" s="744"/>
      <c r="H54" s="742"/>
      <c r="I54"/>
      <c r="J54" s="147"/>
      <c r="M54" s="147"/>
      <c r="N54" s="147"/>
      <c r="O54" s="147"/>
      <c r="R54" s="147"/>
      <c r="S54" s="147"/>
      <c r="T54" s="147"/>
      <c r="W54" s="147"/>
      <c r="X54" s="164"/>
      <c r="Y54" s="164"/>
    </row>
    <row r="55" spans="1:26">
      <c r="C55" s="745"/>
      <c r="D55" s="746"/>
      <c r="E55" s="746"/>
      <c r="F55" s="746"/>
      <c r="G55" s="746"/>
      <c r="H55" s="747"/>
      <c r="I55"/>
      <c r="J55" s="147"/>
      <c r="M55" s="147"/>
      <c r="N55" s="147"/>
      <c r="O55" s="147"/>
      <c r="R55" s="147"/>
      <c r="S55" s="147"/>
      <c r="T55" s="147"/>
      <c r="W55" s="147"/>
      <c r="X55" s="155"/>
      <c r="Y55" s="155"/>
      <c r="Z55" s="147" t="s">
        <v>0</v>
      </c>
    </row>
    <row r="56" spans="1:26" ht="15.75">
      <c r="C56" s="137"/>
      <c r="E56" s="151"/>
      <c r="F56" s="151"/>
      <c r="G56" s="151"/>
      <c r="I56" s="158"/>
      <c r="K56" s="150"/>
      <c r="L56" s="150"/>
    </row>
    <row r="57" spans="1:26" ht="15.75">
      <c r="C57" s="8"/>
      <c r="E57" s="150"/>
      <c r="F57" s="150"/>
      <c r="G57" s="150"/>
      <c r="I57" s="158" t="s">
        <v>0</v>
      </c>
      <c r="K57" s="150"/>
      <c r="L57" s="150"/>
    </row>
    <row r="66" spans="24:35">
      <c r="X66" t="s">
        <v>0</v>
      </c>
      <c r="AI66" t="s">
        <v>0</v>
      </c>
    </row>
    <row r="74" spans="24:35">
      <c r="X74" t="s">
        <v>0</v>
      </c>
      <c r="AI74" t="s">
        <v>0</v>
      </c>
    </row>
  </sheetData>
  <sheetProtection sheet="1" scenarios="1"/>
  <mergeCells count="186">
    <mergeCell ref="C53:H55"/>
    <mergeCell ref="C51:D51"/>
    <mergeCell ref="G51:I51"/>
    <mergeCell ref="K51:N51"/>
    <mergeCell ref="P51:S51"/>
    <mergeCell ref="U51:W51"/>
    <mergeCell ref="G52:I52"/>
    <mergeCell ref="K52:N52"/>
    <mergeCell ref="P52:S52"/>
    <mergeCell ref="U52:W52"/>
    <mergeCell ref="G35:H35"/>
    <mergeCell ref="AC36:AD36"/>
    <mergeCell ref="G50:I50"/>
    <mergeCell ref="K50:N50"/>
    <mergeCell ref="P50:S50"/>
    <mergeCell ref="U50:W50"/>
    <mergeCell ref="G29:H29"/>
    <mergeCell ref="G30:H30"/>
    <mergeCell ref="G31:H31"/>
    <mergeCell ref="G32:H32"/>
    <mergeCell ref="G33:H33"/>
    <mergeCell ref="G34:H34"/>
    <mergeCell ref="C25:E25"/>
    <mergeCell ref="H25:J25"/>
    <mergeCell ref="N25:AI25"/>
    <mergeCell ref="C26:E26"/>
    <mergeCell ref="H26:J26"/>
    <mergeCell ref="C28:H28"/>
    <mergeCell ref="I28:J28"/>
    <mergeCell ref="AC28:AH28"/>
    <mergeCell ref="AI28:AJ28"/>
    <mergeCell ref="AG22:AI22"/>
    <mergeCell ref="C24:D24"/>
    <mergeCell ref="E24:F24"/>
    <mergeCell ref="H24:I24"/>
    <mergeCell ref="J24:K24"/>
    <mergeCell ref="N24:AI24"/>
    <mergeCell ref="C22:E22"/>
    <mergeCell ref="H22:J22"/>
    <mergeCell ref="M22:O22"/>
    <mergeCell ref="R22:T22"/>
    <mergeCell ref="W22:Y22"/>
    <mergeCell ref="AB22:AD22"/>
    <mergeCell ref="AG20:AH20"/>
    <mergeCell ref="AI20:AJ20"/>
    <mergeCell ref="C21:E21"/>
    <mergeCell ref="H21:J21"/>
    <mergeCell ref="M21:O21"/>
    <mergeCell ref="R21:T21"/>
    <mergeCell ref="W21:Y21"/>
    <mergeCell ref="AB21:AD21"/>
    <mergeCell ref="AG21:AI21"/>
    <mergeCell ref="R20:S20"/>
    <mergeCell ref="T20:U20"/>
    <mergeCell ref="W20:X20"/>
    <mergeCell ref="Y20:Z20"/>
    <mergeCell ref="AB20:AC20"/>
    <mergeCell ref="AD20:AE20"/>
    <mergeCell ref="C20:D20"/>
    <mergeCell ref="E20:F20"/>
    <mergeCell ref="H20:I20"/>
    <mergeCell ref="J20:K20"/>
    <mergeCell ref="M20:N20"/>
    <mergeCell ref="O20:P20"/>
    <mergeCell ref="C17:E17"/>
    <mergeCell ref="H17:J17"/>
    <mergeCell ref="M17:O17"/>
    <mergeCell ref="R17:T17"/>
    <mergeCell ref="W17:Y17"/>
    <mergeCell ref="AB17:AD17"/>
    <mergeCell ref="AG17:AI17"/>
    <mergeCell ref="C18:E18"/>
    <mergeCell ref="H18:J18"/>
    <mergeCell ref="M18:O18"/>
    <mergeCell ref="R18:T18"/>
    <mergeCell ref="W18:Y18"/>
    <mergeCell ref="AB18:AD18"/>
    <mergeCell ref="AG18:AI18"/>
    <mergeCell ref="AG14:AI14"/>
    <mergeCell ref="C16:D16"/>
    <mergeCell ref="E16:F16"/>
    <mergeCell ref="H16:I16"/>
    <mergeCell ref="J16:K16"/>
    <mergeCell ref="M16:N16"/>
    <mergeCell ref="O16:P16"/>
    <mergeCell ref="R16:S16"/>
    <mergeCell ref="T16:U16"/>
    <mergeCell ref="W16:X16"/>
    <mergeCell ref="C14:E14"/>
    <mergeCell ref="H14:J14"/>
    <mergeCell ref="M14:O14"/>
    <mergeCell ref="R14:T14"/>
    <mergeCell ref="W14:Y14"/>
    <mergeCell ref="AB14:AD14"/>
    <mergeCell ref="Y16:Z16"/>
    <mergeCell ref="AB16:AC16"/>
    <mergeCell ref="AD16:AE16"/>
    <mergeCell ref="AG16:AH16"/>
    <mergeCell ref="AI16:AJ16"/>
    <mergeCell ref="C13:E13"/>
    <mergeCell ref="H13:J13"/>
    <mergeCell ref="M13:O13"/>
    <mergeCell ref="R13:T13"/>
    <mergeCell ref="W13:Y13"/>
    <mergeCell ref="AB13:AD13"/>
    <mergeCell ref="AG13:AI13"/>
    <mergeCell ref="R12:S12"/>
    <mergeCell ref="T12:U12"/>
    <mergeCell ref="W12:X12"/>
    <mergeCell ref="Y12:Z12"/>
    <mergeCell ref="AB12:AC12"/>
    <mergeCell ref="AD12:AE12"/>
    <mergeCell ref="C12:D12"/>
    <mergeCell ref="E12:F12"/>
    <mergeCell ref="H12:I12"/>
    <mergeCell ref="J12:K12"/>
    <mergeCell ref="M12:N12"/>
    <mergeCell ref="O12:P12"/>
    <mergeCell ref="C10:E10"/>
    <mergeCell ref="H10:J10"/>
    <mergeCell ref="M10:O10"/>
    <mergeCell ref="R10:T10"/>
    <mergeCell ref="W10:Y10"/>
    <mergeCell ref="AB10:AD10"/>
    <mergeCell ref="AG10:AI10"/>
    <mergeCell ref="AG12:AH12"/>
    <mergeCell ref="AI12:AJ12"/>
    <mergeCell ref="AG8:AH8"/>
    <mergeCell ref="AI8:AJ8"/>
    <mergeCell ref="C9:E9"/>
    <mergeCell ref="H9:J9"/>
    <mergeCell ref="M9:O9"/>
    <mergeCell ref="R9:T9"/>
    <mergeCell ref="W9:Y9"/>
    <mergeCell ref="R8:S8"/>
    <mergeCell ref="T8:U8"/>
    <mergeCell ref="W8:X8"/>
    <mergeCell ref="Y8:Z8"/>
    <mergeCell ref="AB8:AC8"/>
    <mergeCell ref="AD8:AE8"/>
    <mergeCell ref="C8:D8"/>
    <mergeCell ref="E8:F8"/>
    <mergeCell ref="H8:I8"/>
    <mergeCell ref="J8:K8"/>
    <mergeCell ref="M8:N8"/>
    <mergeCell ref="O8:P8"/>
    <mergeCell ref="AB9:AD9"/>
    <mergeCell ref="AG9:AI9"/>
    <mergeCell ref="C6:E6"/>
    <mergeCell ref="H6:J6"/>
    <mergeCell ref="M6:O6"/>
    <mergeCell ref="R6:T6"/>
    <mergeCell ref="W6:Y6"/>
    <mergeCell ref="AB6:AD6"/>
    <mergeCell ref="AG6:AI6"/>
    <mergeCell ref="C5:E5"/>
    <mergeCell ref="H5:J5"/>
    <mergeCell ref="M5:O5"/>
    <mergeCell ref="R5:T5"/>
    <mergeCell ref="W5:Y5"/>
    <mergeCell ref="AB5:AD5"/>
    <mergeCell ref="T4:U4"/>
    <mergeCell ref="W4:X4"/>
    <mergeCell ref="Y4:Z4"/>
    <mergeCell ref="AB4:AC4"/>
    <mergeCell ref="AD4:AE4"/>
    <mergeCell ref="AI4:AJ4"/>
    <mergeCell ref="C1:J1"/>
    <mergeCell ref="O4:P4"/>
    <mergeCell ref="AG5:AI5"/>
    <mergeCell ref="R4:S4"/>
    <mergeCell ref="C4:D4"/>
    <mergeCell ref="E4:F4"/>
    <mergeCell ref="H4:I4"/>
    <mergeCell ref="J4:K4"/>
    <mergeCell ref="M4:N4"/>
    <mergeCell ref="AG4:AH4"/>
    <mergeCell ref="AM1:AP1"/>
    <mergeCell ref="C2:E2"/>
    <mergeCell ref="C3:F3"/>
    <mergeCell ref="H3:K3"/>
    <mergeCell ref="M3:P3"/>
    <mergeCell ref="R3:U3"/>
    <mergeCell ref="W3:Z3"/>
    <mergeCell ref="AB3:AE3"/>
    <mergeCell ref="AG3:AJ3"/>
  </mergeCells>
  <conditionalFormatting sqref="C4:AJ5 C7:AJ9 C6 C11:AJ13 C10 C15:AJ17 C14 C19:AJ21 C18 C23:AJ25 C22 C26 F6:AG6 AJ6 AJ10 F10:AG10 F14:AG14 AJ14 AJ18 F18:AG18 F22:AG22 AJ22 F26:AJ26">
    <cfRule type="containsText" dxfId="7" priority="5" stopIfTrue="1" operator="containsText" text="CEPARI">
      <formula>NOT(ISERROR(SEARCH("CEPARI",C4)))</formula>
    </cfRule>
    <cfRule type="containsText" dxfId="6" priority="6" stopIfTrue="1" operator="containsText" text="Formation SP">
      <formula>NOT(ISERROR(SEARCH("Formation SP",C4)))</formula>
    </cfRule>
    <cfRule type="containsText" dxfId="5" priority="7" stopIfTrue="1" operator="containsText" text="Garde">
      <formula>NOT(ISERROR(SEARCH("Garde",C4)))</formula>
    </cfRule>
    <cfRule type="containsText" dxfId="4" priority="8" stopIfTrue="1" operator="containsText" text="Formation">
      <formula>NOT(ISERROR(SEARCH("Formation",C4)))</formula>
    </cfRule>
    <cfRule type="containsText" dxfId="3" priority="9" stopIfTrue="1" operator="containsText" text="Nuit">
      <formula>NOT(ISERROR(SEARCH("Nuit",C4)))</formula>
    </cfRule>
    <cfRule type="containsText" dxfId="2" priority="10" stopIfTrue="1" operator="containsText" text="Jour">
      <formula>NOT(ISERROR(SEARCH("Jour",C4)))</formula>
    </cfRule>
  </conditionalFormatting>
  <conditionalFormatting sqref="C4:AJ26">
    <cfRule type="containsText" dxfId="1" priority="1" stopIfTrue="1" operator="containsText" text="vacances">
      <formula>NOT(ISERROR(SEARCH("vacances",C4)))</formula>
    </cfRule>
    <cfRule type="containsText" dxfId="0" priority="2" stopIfTrue="1" operator="containsText" text="A">
      <formula>NOT(ISERROR(SEARCH("A",C4)))</formula>
    </cfRule>
  </conditionalFormatting>
  <hyperlinks>
    <hyperlink ref="C1:J1" location="dates!H336" display="dates!H336"/>
  </hyperlinks>
  <pageMargins left="0.23622047244094488" right="0.23622047244094488" top="0" bottom="0" header="0.31496062992125984" footer="0.31496062992125984"/>
  <pageSetup paperSize="9" orientation="landscape" r:id="rId1"/>
  <drawing r:id="rId2"/>
  <legacyDrawing r:id="rId3"/>
  <controls>
    <mc:AlternateContent xmlns:mc="http://schemas.openxmlformats.org/markup-compatibility/2006">
      <mc:Choice Requires="x14">
        <control shapeId="80898" r:id="rId4" name="MENU">
          <controlPr defaultSize="0" print="0" autoLine="0" r:id="rId5">
            <anchor moveWithCells="1">
              <from>
                <xdr:col>15</xdr:col>
                <xdr:colOff>38100</xdr:colOff>
                <xdr:row>8</xdr:row>
                <xdr:rowOff>152400</xdr:rowOff>
              </from>
              <to>
                <xdr:col>20</xdr:col>
                <xdr:colOff>304800</xdr:colOff>
                <xdr:row>11</xdr:row>
                <xdr:rowOff>85725</xdr:rowOff>
              </to>
            </anchor>
          </controlPr>
        </control>
      </mc:Choice>
      <mc:Fallback>
        <control shapeId="80898" r:id="rId4" name="MENU"/>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N21"/>
  <sheetViews>
    <sheetView showGridLines="0" workbookViewId="0">
      <selection activeCell="F20" sqref="F20"/>
    </sheetView>
  </sheetViews>
  <sheetFormatPr baseColWidth="10" defaultRowHeight="12.75"/>
  <cols>
    <col min="1" max="1" width="4.7109375" customWidth="1"/>
    <col min="2" max="2" width="12.7109375" customWidth="1"/>
    <col min="3" max="3" width="4.7109375" customWidth="1"/>
    <col min="4" max="4" width="5.7109375" customWidth="1"/>
    <col min="5" max="5" width="30.7109375" customWidth="1"/>
    <col min="6" max="6" width="25.7109375" customWidth="1"/>
    <col min="7" max="10" width="50.7109375" customWidth="1"/>
  </cols>
  <sheetData>
    <row r="1" spans="1:40">
      <c r="A1" s="144"/>
      <c r="B1" s="145" t="s">
        <v>27</v>
      </c>
      <c r="C1" s="172"/>
      <c r="D1" s="173"/>
      <c r="E1" s="174" t="s">
        <v>28</v>
      </c>
      <c r="F1" s="175" t="s">
        <v>29</v>
      </c>
      <c r="G1" s="174" t="s">
        <v>30</v>
      </c>
      <c r="H1" s="173" t="s">
        <v>31</v>
      </c>
      <c r="I1" s="175" t="s">
        <v>32</v>
      </c>
      <c r="J1" s="174" t="s">
        <v>33</v>
      </c>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row>
    <row r="2" spans="1:40">
      <c r="A2" s="14">
        <v>1</v>
      </c>
      <c r="B2" s="6" t="s">
        <v>34</v>
      </c>
      <c r="C2" s="7">
        <v>31</v>
      </c>
      <c r="D2" s="15">
        <v>1</v>
      </c>
      <c r="E2" s="443" t="s">
        <v>35</v>
      </c>
      <c r="F2" s="444" t="s">
        <v>36</v>
      </c>
      <c r="G2" s="445" t="s">
        <v>0</v>
      </c>
      <c r="H2" s="446"/>
      <c r="I2" s="447"/>
      <c r="J2" s="44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row>
    <row r="3" spans="1:40">
      <c r="A3" s="14">
        <v>2</v>
      </c>
      <c r="B3" s="6" t="s">
        <v>37</v>
      </c>
      <c r="C3" s="9">
        <f>IF(total_jours=365,28,29)</f>
        <v>28</v>
      </c>
      <c r="D3" s="16">
        <f>C2+1</f>
        <v>32</v>
      </c>
      <c r="E3" s="443" t="s">
        <v>38</v>
      </c>
      <c r="F3" s="444" t="s">
        <v>39</v>
      </c>
      <c r="G3" s="448"/>
      <c r="H3" s="449"/>
      <c r="I3" s="448"/>
      <c r="J3" s="44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row>
    <row r="4" spans="1:40">
      <c r="A4" s="14">
        <v>3</v>
      </c>
      <c r="B4" s="6" t="s">
        <v>40</v>
      </c>
      <c r="C4" s="7">
        <v>31</v>
      </c>
      <c r="D4" s="16">
        <f>C3+D3</f>
        <v>60</v>
      </c>
      <c r="E4" s="443" t="s">
        <v>41</v>
      </c>
      <c r="F4" s="444" t="s">
        <v>42</v>
      </c>
      <c r="G4" s="448"/>
      <c r="H4" s="450" t="s">
        <v>0</v>
      </c>
      <c r="I4" s="448"/>
      <c r="J4" s="44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row>
    <row r="5" spans="1:40">
      <c r="A5" s="14">
        <v>4</v>
      </c>
      <c r="B5" s="6" t="s">
        <v>43</v>
      </c>
      <c r="C5" s="7">
        <v>30</v>
      </c>
      <c r="D5" s="16">
        <f t="shared" ref="D5:D13" si="0">C4+D4</f>
        <v>91</v>
      </c>
      <c r="E5" s="443" t="s">
        <v>44</v>
      </c>
      <c r="F5" s="444" t="s">
        <v>45</v>
      </c>
      <c r="G5" s="448"/>
      <c r="H5" s="450" t="s">
        <v>0</v>
      </c>
      <c r="I5" s="448"/>
      <c r="J5" s="44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row>
    <row r="6" spans="1:40">
      <c r="A6" s="14">
        <v>5</v>
      </c>
      <c r="B6" s="6" t="s">
        <v>46</v>
      </c>
      <c r="C6" s="7">
        <v>31</v>
      </c>
      <c r="D6" s="16">
        <f t="shared" si="0"/>
        <v>121</v>
      </c>
      <c r="E6" s="443" t="s">
        <v>47</v>
      </c>
      <c r="F6" s="444" t="s">
        <v>48</v>
      </c>
      <c r="G6" s="451"/>
      <c r="H6" s="452"/>
      <c r="I6" s="448"/>
      <c r="J6" s="44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row>
    <row r="7" spans="1:40">
      <c r="A7" s="14">
        <v>6</v>
      </c>
      <c r="B7" s="6" t="s">
        <v>49</v>
      </c>
      <c r="C7" s="7">
        <v>30</v>
      </c>
      <c r="D7" s="16">
        <f t="shared" si="0"/>
        <v>152</v>
      </c>
      <c r="E7" s="443" t="s">
        <v>50</v>
      </c>
      <c r="F7" s="444" t="s">
        <v>51</v>
      </c>
      <c r="G7" s="451"/>
      <c r="H7" s="453"/>
      <c r="I7" s="448"/>
      <c r="J7" s="44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row>
    <row r="8" spans="1:40">
      <c r="A8" s="14">
        <v>7</v>
      </c>
      <c r="B8" s="6" t="s">
        <v>52</v>
      </c>
      <c r="C8" s="7">
        <v>31</v>
      </c>
      <c r="D8" s="16">
        <f t="shared" si="0"/>
        <v>182</v>
      </c>
      <c r="E8" s="443" t="s">
        <v>53</v>
      </c>
      <c r="F8" s="444" t="s">
        <v>54</v>
      </c>
      <c r="G8" s="443"/>
      <c r="H8" s="454"/>
      <c r="I8" s="448"/>
      <c r="J8" s="44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row>
    <row r="9" spans="1:40">
      <c r="A9" s="14">
        <v>8</v>
      </c>
      <c r="B9" s="6" t="s">
        <v>190</v>
      </c>
      <c r="C9" s="7">
        <v>31</v>
      </c>
      <c r="D9" s="16">
        <f t="shared" si="0"/>
        <v>213</v>
      </c>
      <c r="E9" s="443" t="s">
        <v>55</v>
      </c>
      <c r="F9" s="444" t="s">
        <v>56</v>
      </c>
      <c r="G9" s="443"/>
      <c r="H9" s="454"/>
      <c r="I9" s="443"/>
      <c r="J9" s="44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row>
    <row r="10" spans="1:40">
      <c r="A10" s="14">
        <v>9</v>
      </c>
      <c r="B10" s="6" t="s">
        <v>57</v>
      </c>
      <c r="C10" s="7">
        <v>30</v>
      </c>
      <c r="D10" s="16">
        <f t="shared" si="0"/>
        <v>244</v>
      </c>
      <c r="E10" s="443" t="s">
        <v>58</v>
      </c>
      <c r="F10" s="444" t="s">
        <v>59</v>
      </c>
      <c r="G10" s="451"/>
      <c r="H10" s="449"/>
      <c r="I10" s="448"/>
      <c r="J10" s="44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row>
    <row r="11" spans="1:40">
      <c r="A11" s="14">
        <v>10</v>
      </c>
      <c r="B11" s="6" t="s">
        <v>60</v>
      </c>
      <c r="C11" s="7">
        <v>31</v>
      </c>
      <c r="D11" s="16">
        <f t="shared" si="0"/>
        <v>274</v>
      </c>
      <c r="E11" s="443" t="s">
        <v>61</v>
      </c>
      <c r="F11" s="444" t="s">
        <v>62</v>
      </c>
      <c r="G11" s="451"/>
      <c r="H11" s="450"/>
      <c r="I11" s="448"/>
      <c r="J11" s="44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row>
    <row r="12" spans="1:40">
      <c r="A12" s="14">
        <v>11</v>
      </c>
      <c r="B12" s="6" t="s">
        <v>63</v>
      </c>
      <c r="C12" s="7">
        <v>30</v>
      </c>
      <c r="D12" s="16">
        <f t="shared" si="0"/>
        <v>305</v>
      </c>
      <c r="E12" s="443" t="s">
        <v>64</v>
      </c>
      <c r="F12" s="444" t="s">
        <v>65</v>
      </c>
      <c r="G12" s="448"/>
      <c r="H12" s="450"/>
      <c r="I12" s="448"/>
      <c r="J12" s="44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row>
    <row r="13" spans="1:40">
      <c r="A13" s="17">
        <v>12</v>
      </c>
      <c r="B13" s="18" t="s">
        <v>66</v>
      </c>
      <c r="C13" s="19">
        <v>31</v>
      </c>
      <c r="D13" s="20">
        <f t="shared" si="0"/>
        <v>335</v>
      </c>
      <c r="E13" s="455" t="s">
        <v>67</v>
      </c>
      <c r="F13" s="456" t="s">
        <v>68</v>
      </c>
      <c r="G13" s="457"/>
      <c r="H13" s="458"/>
      <c r="I13" s="457"/>
      <c r="J13" s="457"/>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row>
    <row r="20" spans="7:7">
      <c r="G20" s="6" t="s">
        <v>0</v>
      </c>
    </row>
    <row r="21" spans="7:7">
      <c r="G21" s="6" t="s">
        <v>0</v>
      </c>
    </row>
  </sheetData>
  <sheetProtection sheet="1" scenarios="1"/>
  <pageMargins left="0.78740157499999996" right="0.78740157499999996" top="0.984251969" bottom="0.984251969" header="0.4921259845" footer="0.4921259845"/>
  <pageSetup orientation="portrait" horizontalDpi="120" verticalDpi="144" r:id="rId1"/>
  <headerFooter alignWithMargins="0"/>
  <drawing r:id="rId2"/>
  <legacyDrawing r:id="rId3"/>
  <controls>
    <mc:AlternateContent xmlns:mc="http://schemas.openxmlformats.org/markup-compatibility/2006">
      <mc:Choice Requires="x14">
        <control shapeId="102401" r:id="rId4" name="CommandButton1">
          <controlPr defaultSize="0" print="0" autoLine="0" r:id="rId5">
            <anchor moveWithCells="1">
              <from>
                <xdr:col>6</xdr:col>
                <xdr:colOff>1819275</xdr:colOff>
                <xdr:row>14</xdr:row>
                <xdr:rowOff>133350</xdr:rowOff>
              </from>
              <to>
                <xdr:col>6</xdr:col>
                <xdr:colOff>3324225</xdr:colOff>
                <xdr:row>17</xdr:row>
                <xdr:rowOff>28575</xdr:rowOff>
              </to>
            </anchor>
          </controlPr>
        </control>
      </mc:Choice>
      <mc:Fallback>
        <control shapeId="102401" r:id="rId4" name="CommandButton1"/>
      </mc:Fallback>
    </mc:AlternateContent>
  </control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K30"/>
  <sheetViews>
    <sheetView topLeftCell="A7" zoomScale="85" zoomScaleNormal="85" workbookViewId="0">
      <selection activeCell="A4" sqref="A4:I4"/>
    </sheetView>
  </sheetViews>
  <sheetFormatPr baseColWidth="10" defaultRowHeight="12.75"/>
  <cols>
    <col min="1" max="19" width="2.85546875" style="4" customWidth="1"/>
    <col min="20" max="20" width="5.42578125" style="4" customWidth="1"/>
    <col min="21" max="26" width="2.85546875" style="4" customWidth="1"/>
    <col min="27" max="27" width="3.85546875" style="4" customWidth="1"/>
    <col min="28" max="43" width="2.85546875" style="4" customWidth="1"/>
    <col min="44" max="44" width="8.7109375" style="4" customWidth="1"/>
    <col min="45" max="64" width="2.85546875" style="4" customWidth="1"/>
    <col min="65" max="16384" width="11.42578125" style="4"/>
  </cols>
  <sheetData>
    <row r="1" spans="1:63" ht="13.5" thickBot="1"/>
    <row r="2" spans="1:63" ht="15.75" thickBot="1">
      <c r="A2" s="854"/>
      <c r="B2" s="855"/>
      <c r="C2" s="855"/>
      <c r="D2" s="855"/>
      <c r="E2" s="855"/>
      <c r="F2" s="855"/>
      <c r="G2" s="855"/>
      <c r="H2" s="855"/>
      <c r="I2" s="855"/>
      <c r="J2" s="855"/>
      <c r="K2" s="855"/>
      <c r="L2" s="855"/>
      <c r="M2" s="855"/>
      <c r="N2" s="855"/>
      <c r="O2" s="855"/>
      <c r="P2" s="855"/>
      <c r="Q2" s="855"/>
      <c r="R2" s="855"/>
      <c r="S2" s="855"/>
      <c r="T2" s="855"/>
      <c r="U2" s="855"/>
      <c r="V2" s="855"/>
      <c r="W2" s="855"/>
      <c r="X2" s="855"/>
      <c r="Y2" s="855"/>
      <c r="Z2" s="855"/>
      <c r="AA2" s="855"/>
      <c r="AB2" s="855"/>
      <c r="AC2" s="855"/>
      <c r="AD2" s="855"/>
      <c r="AE2" s="856"/>
      <c r="AF2" s="292"/>
      <c r="AG2" s="857"/>
      <c r="AH2" s="858"/>
      <c r="AI2" s="858"/>
      <c r="AJ2" s="858"/>
      <c r="AK2" s="858"/>
      <c r="AL2" s="858"/>
      <c r="AM2" s="858"/>
      <c r="AN2" s="858"/>
      <c r="AO2" s="858"/>
      <c r="AP2" s="858"/>
      <c r="AQ2" s="858"/>
      <c r="AR2" s="858"/>
      <c r="AS2" s="858"/>
      <c r="AT2" s="858"/>
      <c r="AU2" s="858"/>
      <c r="AV2" s="858"/>
      <c r="AW2" s="858"/>
      <c r="AX2" s="858"/>
      <c r="AY2" s="858"/>
      <c r="AZ2" s="858"/>
      <c r="BA2" s="858"/>
      <c r="BB2" s="858"/>
      <c r="BC2" s="858"/>
      <c r="BD2" s="858"/>
      <c r="BE2" s="858"/>
      <c r="BF2" s="858"/>
      <c r="BG2" s="858"/>
      <c r="BH2" s="858"/>
      <c r="BI2" s="858"/>
      <c r="BJ2" s="858"/>
      <c r="BK2" s="859"/>
    </row>
    <row r="3" spans="1:63" ht="16.5" thickBot="1">
      <c r="A3" s="459"/>
      <c r="B3" s="460"/>
      <c r="C3" s="460"/>
      <c r="D3" s="460"/>
      <c r="E3" s="460"/>
      <c r="F3" s="460"/>
      <c r="G3" s="460"/>
      <c r="H3" s="460"/>
      <c r="I3" s="460"/>
      <c r="J3" s="460"/>
      <c r="K3" s="460"/>
      <c r="L3" s="460"/>
      <c r="M3" s="460"/>
      <c r="N3" s="460"/>
      <c r="O3" s="460"/>
      <c r="P3" s="460"/>
      <c r="Q3" s="460"/>
      <c r="R3" s="460"/>
      <c r="S3" s="460"/>
      <c r="T3" s="460"/>
      <c r="U3" s="460"/>
      <c r="V3" s="460"/>
      <c r="W3" s="460"/>
      <c r="X3" s="460"/>
      <c r="Y3" s="460"/>
      <c r="Z3" s="461"/>
      <c r="AA3" s="461"/>
      <c r="AB3" s="461"/>
      <c r="AC3" s="461"/>
      <c r="AD3" s="461"/>
      <c r="AE3" s="462"/>
      <c r="AF3" s="290"/>
      <c r="AG3" s="860" t="s">
        <v>229</v>
      </c>
      <c r="AH3" s="861"/>
      <c r="AI3" s="861"/>
      <c r="AJ3" s="861"/>
      <c r="AK3" s="861"/>
      <c r="AL3" s="861"/>
      <c r="AM3" s="861"/>
      <c r="AN3" s="861"/>
      <c r="AO3" s="861"/>
      <c r="AP3" s="861"/>
      <c r="AQ3" s="861"/>
      <c r="AR3" s="861"/>
      <c r="AS3" s="293"/>
      <c r="AT3" s="293"/>
      <c r="AU3" s="293"/>
      <c r="AV3" s="864" t="s">
        <v>230</v>
      </c>
      <c r="AW3" s="618"/>
      <c r="AX3" s="618"/>
      <c r="AY3" s="618"/>
      <c r="AZ3" s="618"/>
      <c r="BA3" s="618"/>
      <c r="BB3" s="618"/>
      <c r="BC3" s="618"/>
      <c r="BD3" s="865"/>
      <c r="BE3" s="866" t="s">
        <v>231</v>
      </c>
      <c r="BF3" s="864"/>
      <c r="BG3" s="864"/>
      <c r="BH3" s="864"/>
      <c r="BI3" s="864"/>
      <c r="BJ3" s="864"/>
      <c r="BK3" s="865"/>
    </row>
    <row r="4" spans="1:63" ht="15.75" thickBot="1">
      <c r="A4" s="867" t="s">
        <v>232</v>
      </c>
      <c r="B4" s="555"/>
      <c r="C4" s="555"/>
      <c r="D4" s="555"/>
      <c r="E4" s="555"/>
      <c r="F4" s="555"/>
      <c r="G4" s="555"/>
      <c r="H4" s="555"/>
      <c r="I4" s="555"/>
      <c r="J4" s="432"/>
      <c r="K4" s="843">
        <v>151.66999999999999</v>
      </c>
      <c r="L4" s="843"/>
      <c r="M4" s="843"/>
      <c r="N4" s="847">
        <v>12.074</v>
      </c>
      <c r="O4" s="848"/>
      <c r="P4" s="849"/>
      <c r="Q4" s="830">
        <f>K4*N4</f>
        <v>1831.2635799999998</v>
      </c>
      <c r="R4" s="831"/>
      <c r="S4" s="831"/>
      <c r="T4" s="832"/>
      <c r="U4" s="868" t="s">
        <v>233</v>
      </c>
      <c r="V4" s="567"/>
      <c r="W4" s="567"/>
      <c r="X4" s="869"/>
      <c r="Y4" s="870">
        <v>2946</v>
      </c>
      <c r="Z4" s="568"/>
      <c r="AA4" s="568"/>
      <c r="AB4" s="434"/>
      <c r="AC4" s="434"/>
      <c r="AD4" s="434"/>
      <c r="AE4" s="463"/>
      <c r="AF4" s="290"/>
      <c r="AG4" s="862"/>
      <c r="AH4" s="863"/>
      <c r="AI4" s="863"/>
      <c r="AJ4" s="863"/>
      <c r="AK4" s="863"/>
      <c r="AL4" s="863"/>
      <c r="AM4" s="863"/>
      <c r="AN4" s="863"/>
      <c r="AO4" s="863"/>
      <c r="AP4" s="863"/>
      <c r="AQ4" s="863"/>
      <c r="AR4" s="863"/>
      <c r="AS4" s="611" t="s">
        <v>234</v>
      </c>
      <c r="AT4" s="611"/>
      <c r="AU4" s="611"/>
      <c r="AV4" s="612"/>
      <c r="AW4" s="871" t="s">
        <v>235</v>
      </c>
      <c r="AX4" s="872"/>
      <c r="AY4" s="872"/>
      <c r="AZ4" s="873"/>
      <c r="BA4" s="871" t="s">
        <v>236</v>
      </c>
      <c r="BB4" s="872"/>
      <c r="BC4" s="872"/>
      <c r="BD4" s="873"/>
      <c r="BE4" s="871" t="s">
        <v>235</v>
      </c>
      <c r="BF4" s="872"/>
      <c r="BG4" s="873"/>
      <c r="BH4" s="871" t="s">
        <v>236</v>
      </c>
      <c r="BI4" s="872"/>
      <c r="BJ4" s="872"/>
      <c r="BK4" s="873"/>
    </row>
    <row r="5" spans="1:63" ht="15.75" thickBot="1">
      <c r="A5" s="820" t="s">
        <v>237</v>
      </c>
      <c r="B5" s="591"/>
      <c r="C5" s="591"/>
      <c r="D5" s="591"/>
      <c r="E5" s="591"/>
      <c r="F5" s="591"/>
      <c r="G5" s="591"/>
      <c r="H5" s="555"/>
      <c r="I5" s="555"/>
      <c r="J5" s="432"/>
      <c r="K5" s="839"/>
      <c r="L5" s="839"/>
      <c r="M5" s="839"/>
      <c r="N5" s="830">
        <f>N4*125%</f>
        <v>15.092499999999999</v>
      </c>
      <c r="O5" s="831"/>
      <c r="P5" s="832"/>
      <c r="Q5" s="830">
        <f t="shared" ref="Q5:Q13" si="0">K5*N5</f>
        <v>0</v>
      </c>
      <c r="R5" s="831"/>
      <c r="S5" s="831"/>
      <c r="T5" s="832"/>
      <c r="U5" s="294"/>
      <c r="V5" s="294"/>
      <c r="W5" s="294"/>
      <c r="X5" s="295"/>
      <c r="Y5" s="295"/>
      <c r="Z5" s="295"/>
      <c r="AA5" s="295"/>
      <c r="AB5" s="295"/>
      <c r="AC5" s="295"/>
      <c r="AD5" s="295"/>
      <c r="AE5" s="464"/>
      <c r="AF5" s="290"/>
      <c r="AG5" s="820" t="s">
        <v>238</v>
      </c>
      <c r="AH5" s="591"/>
      <c r="AI5" s="591"/>
      <c r="AJ5" s="591"/>
      <c r="AK5" s="591"/>
      <c r="AL5" s="591"/>
      <c r="AM5" s="591"/>
      <c r="AN5" s="591"/>
      <c r="AO5" s="591"/>
      <c r="AP5" s="591"/>
      <c r="AQ5" s="591"/>
      <c r="AR5" s="591"/>
      <c r="AS5" s="590">
        <f>$Q$18</f>
        <v>1887.76235</v>
      </c>
      <c r="AT5" s="590"/>
      <c r="AU5" s="590"/>
      <c r="AV5" s="819"/>
      <c r="AW5" s="851">
        <v>4.0000000000000001E-3</v>
      </c>
      <c r="AX5" s="852"/>
      <c r="AY5" s="852"/>
      <c r="AZ5" s="853"/>
      <c r="BA5" s="808">
        <f>AS5*AW5</f>
        <v>7.5510494000000001</v>
      </c>
      <c r="BB5" s="809"/>
      <c r="BC5" s="809"/>
      <c r="BD5" s="810"/>
      <c r="BE5" s="851">
        <v>0.152</v>
      </c>
      <c r="BF5" s="852"/>
      <c r="BG5" s="853"/>
      <c r="BH5" s="808">
        <f>AS5*BE5</f>
        <v>286.93987720000001</v>
      </c>
      <c r="BI5" s="809"/>
      <c r="BJ5" s="809"/>
      <c r="BK5" s="810"/>
    </row>
    <row r="6" spans="1:63" ht="15.75" thickBot="1">
      <c r="A6" s="820" t="s">
        <v>239</v>
      </c>
      <c r="B6" s="591"/>
      <c r="C6" s="591"/>
      <c r="D6" s="591"/>
      <c r="E6" s="591"/>
      <c r="F6" s="591"/>
      <c r="G6" s="591"/>
      <c r="H6" s="555"/>
      <c r="I6" s="555"/>
      <c r="J6" s="432"/>
      <c r="K6" s="839"/>
      <c r="L6" s="839"/>
      <c r="M6" s="839"/>
      <c r="N6" s="830">
        <f>N4*150%</f>
        <v>18.111000000000001</v>
      </c>
      <c r="O6" s="831"/>
      <c r="P6" s="832"/>
      <c r="Q6" s="830">
        <f t="shared" si="0"/>
        <v>0</v>
      </c>
      <c r="R6" s="831"/>
      <c r="S6" s="831"/>
      <c r="T6" s="832"/>
      <c r="U6" s="294"/>
      <c r="V6" s="294"/>
      <c r="W6" s="294"/>
      <c r="X6" s="295"/>
      <c r="Y6" s="295"/>
      <c r="Z6" s="295"/>
      <c r="AA6" s="295"/>
      <c r="AB6" s="295"/>
      <c r="AC6" s="295"/>
      <c r="AD6" s="295"/>
      <c r="AE6" s="464"/>
      <c r="AF6" s="290"/>
      <c r="AG6" s="820" t="s">
        <v>240</v>
      </c>
      <c r="AH6" s="591"/>
      <c r="AI6" s="591"/>
      <c r="AJ6" s="591"/>
      <c r="AK6" s="591"/>
      <c r="AL6" s="591"/>
      <c r="AM6" s="591"/>
      <c r="AN6" s="591"/>
      <c r="AO6" s="591"/>
      <c r="AP6" s="591"/>
      <c r="AQ6" s="591"/>
      <c r="AR6" s="591"/>
      <c r="AS6" s="590">
        <f t="shared" ref="AS6:AS17" si="1">$Q$18</f>
        <v>1887.76235</v>
      </c>
      <c r="AT6" s="590"/>
      <c r="AU6" s="590"/>
      <c r="AV6" s="819"/>
      <c r="AW6" s="815">
        <v>6.9000000000000006E-2</v>
      </c>
      <c r="AX6" s="594"/>
      <c r="AY6" s="594"/>
      <c r="AZ6" s="816"/>
      <c r="BA6" s="808">
        <f t="shared" ref="BA6:BA25" si="2">AS6*AW6</f>
        <v>130.25560215000002</v>
      </c>
      <c r="BB6" s="809"/>
      <c r="BC6" s="809"/>
      <c r="BD6" s="810"/>
      <c r="BE6" s="815">
        <v>8.5500000000000007E-2</v>
      </c>
      <c r="BF6" s="594"/>
      <c r="BG6" s="816"/>
      <c r="BH6" s="808">
        <f t="shared" ref="BH6:BH25" si="3">AS6*BE6</f>
        <v>161.403680925</v>
      </c>
      <c r="BI6" s="809"/>
      <c r="BJ6" s="809"/>
      <c r="BK6" s="810"/>
    </row>
    <row r="7" spans="1:63" ht="15.75" thickBot="1">
      <c r="A7" s="465" t="s">
        <v>241</v>
      </c>
      <c r="B7" s="466"/>
      <c r="C7" s="466"/>
      <c r="D7" s="466"/>
      <c r="E7" s="466"/>
      <c r="F7" s="466"/>
      <c r="G7" s="466"/>
      <c r="H7" s="432"/>
      <c r="I7" s="432"/>
      <c r="J7" s="432"/>
      <c r="K7" s="850"/>
      <c r="L7" s="843"/>
      <c r="M7" s="843"/>
      <c r="N7" s="830">
        <f>N4*10%</f>
        <v>1.2074</v>
      </c>
      <c r="O7" s="831"/>
      <c r="P7" s="832"/>
      <c r="Q7" s="830">
        <f t="shared" si="0"/>
        <v>0</v>
      </c>
      <c r="R7" s="831"/>
      <c r="S7" s="831"/>
      <c r="T7" s="832"/>
      <c r="U7" s="294"/>
      <c r="V7" s="294"/>
      <c r="W7" s="294"/>
      <c r="X7" s="295"/>
      <c r="Y7" s="295"/>
      <c r="Z7" s="295"/>
      <c r="AA7" s="295"/>
      <c r="AB7" s="295"/>
      <c r="AC7" s="295"/>
      <c r="AD7" s="295"/>
      <c r="AE7" s="464"/>
      <c r="AF7" s="290"/>
      <c r="AG7" s="820" t="s">
        <v>242</v>
      </c>
      <c r="AH7" s="591"/>
      <c r="AI7" s="591"/>
      <c r="AJ7" s="591"/>
      <c r="AK7" s="591"/>
      <c r="AL7" s="591"/>
      <c r="AM7" s="591"/>
      <c r="AN7" s="591"/>
      <c r="AO7" s="591"/>
      <c r="AP7" s="591"/>
      <c r="AQ7" s="591"/>
      <c r="AR7" s="591"/>
      <c r="AS7" s="590">
        <f t="shared" si="1"/>
        <v>1887.76235</v>
      </c>
      <c r="AT7" s="590"/>
      <c r="AU7" s="590"/>
      <c r="AV7" s="819"/>
      <c r="AW7" s="818"/>
      <c r="AX7" s="590"/>
      <c r="AY7" s="590"/>
      <c r="AZ7" s="819"/>
      <c r="BA7" s="808">
        <f t="shared" si="2"/>
        <v>0</v>
      </c>
      <c r="BB7" s="809"/>
      <c r="BC7" s="809"/>
      <c r="BD7" s="810"/>
      <c r="BE7" s="815">
        <v>1E-3</v>
      </c>
      <c r="BF7" s="594"/>
      <c r="BG7" s="816"/>
      <c r="BH7" s="808">
        <f t="shared" si="3"/>
        <v>1.88776235</v>
      </c>
      <c r="BI7" s="809"/>
      <c r="BJ7" s="809"/>
      <c r="BK7" s="810"/>
    </row>
    <row r="8" spans="1:63" ht="15.75" thickBot="1">
      <c r="A8" s="465" t="s">
        <v>243</v>
      </c>
      <c r="B8" s="466"/>
      <c r="C8" s="466"/>
      <c r="D8" s="466"/>
      <c r="E8" s="466"/>
      <c r="F8" s="466"/>
      <c r="G8" s="466"/>
      <c r="H8" s="432"/>
      <c r="I8" s="432"/>
      <c r="J8" s="432"/>
      <c r="K8" s="843"/>
      <c r="L8" s="843"/>
      <c r="M8" s="843"/>
      <c r="N8" s="830">
        <f>N4*10%</f>
        <v>1.2074</v>
      </c>
      <c r="O8" s="831"/>
      <c r="P8" s="832"/>
      <c r="Q8" s="830">
        <f t="shared" si="0"/>
        <v>0</v>
      </c>
      <c r="R8" s="831"/>
      <c r="S8" s="831"/>
      <c r="T8" s="832"/>
      <c r="U8" s="294"/>
      <c r="V8" s="294"/>
      <c r="W8" s="294"/>
      <c r="X8" s="295"/>
      <c r="Y8" s="295"/>
      <c r="Z8" s="295"/>
      <c r="AA8" s="295"/>
      <c r="AB8" s="295"/>
      <c r="AC8" s="295"/>
      <c r="AD8" s="295"/>
      <c r="AE8" s="464"/>
      <c r="AF8" s="290"/>
      <c r="AG8" s="820" t="s">
        <v>244</v>
      </c>
      <c r="AH8" s="591"/>
      <c r="AI8" s="591"/>
      <c r="AJ8" s="591"/>
      <c r="AK8" s="591"/>
      <c r="AL8" s="591"/>
      <c r="AM8" s="591"/>
      <c r="AN8" s="591"/>
      <c r="AO8" s="591"/>
      <c r="AP8" s="591"/>
      <c r="AQ8" s="591"/>
      <c r="AR8" s="591"/>
      <c r="AS8" s="590">
        <f t="shared" si="1"/>
        <v>1887.76235</v>
      </c>
      <c r="AT8" s="590"/>
      <c r="AU8" s="590"/>
      <c r="AV8" s="819"/>
      <c r="AW8" s="818"/>
      <c r="AX8" s="590"/>
      <c r="AY8" s="590"/>
      <c r="AZ8" s="819"/>
      <c r="BA8" s="808">
        <f t="shared" si="2"/>
        <v>0</v>
      </c>
      <c r="BB8" s="809"/>
      <c r="BC8" s="809"/>
      <c r="BD8" s="810"/>
      <c r="BE8" s="815">
        <v>4.0000000000000001E-3</v>
      </c>
      <c r="BF8" s="594"/>
      <c r="BG8" s="816"/>
      <c r="BH8" s="808">
        <f t="shared" si="3"/>
        <v>7.5510494000000001</v>
      </c>
      <c r="BI8" s="809"/>
      <c r="BJ8" s="809"/>
      <c r="BK8" s="810"/>
    </row>
    <row r="9" spans="1:63" ht="15.75" thickBot="1">
      <c r="A9" s="465" t="s">
        <v>245</v>
      </c>
      <c r="B9" s="466"/>
      <c r="C9" s="466"/>
      <c r="D9" s="466"/>
      <c r="E9" s="466"/>
      <c r="F9" s="466"/>
      <c r="G9" s="466"/>
      <c r="H9" s="432"/>
      <c r="I9" s="432"/>
      <c r="J9" s="432"/>
      <c r="K9" s="843"/>
      <c r="L9" s="843"/>
      <c r="M9" s="843"/>
      <c r="N9" s="830">
        <f>N4*100%</f>
        <v>12.074</v>
      </c>
      <c r="O9" s="831"/>
      <c r="P9" s="832"/>
      <c r="Q9" s="830">
        <f t="shared" si="0"/>
        <v>0</v>
      </c>
      <c r="R9" s="831"/>
      <c r="S9" s="831"/>
      <c r="T9" s="832"/>
      <c r="U9" s="294"/>
      <c r="V9" s="294"/>
      <c r="W9" s="294"/>
      <c r="X9" s="295"/>
      <c r="Y9" s="295"/>
      <c r="Z9" s="295"/>
      <c r="AA9" s="295"/>
      <c r="AB9" s="295"/>
      <c r="AC9" s="295"/>
      <c r="AD9" s="295"/>
      <c r="AE9" s="464"/>
      <c r="AF9" s="290"/>
      <c r="AG9" s="820" t="s">
        <v>246</v>
      </c>
      <c r="AH9" s="591"/>
      <c r="AI9" s="591"/>
      <c r="AJ9" s="591"/>
      <c r="AK9" s="591"/>
      <c r="AL9" s="591"/>
      <c r="AM9" s="591"/>
      <c r="AN9" s="591"/>
      <c r="AO9" s="591"/>
      <c r="AP9" s="591"/>
      <c r="AQ9" s="591"/>
      <c r="AR9" s="591"/>
      <c r="AS9" s="590">
        <f t="shared" si="1"/>
        <v>1887.76235</v>
      </c>
      <c r="AT9" s="590"/>
      <c r="AU9" s="590"/>
      <c r="AV9" s="819"/>
      <c r="AW9" s="818"/>
      <c r="AX9" s="590"/>
      <c r="AY9" s="590"/>
      <c r="AZ9" s="819"/>
      <c r="BA9" s="808">
        <f t="shared" si="2"/>
        <v>0</v>
      </c>
      <c r="BB9" s="809"/>
      <c r="BC9" s="809"/>
      <c r="BD9" s="810"/>
      <c r="BE9" s="815">
        <v>1.2999999999999999E-2</v>
      </c>
      <c r="BF9" s="594"/>
      <c r="BG9" s="816"/>
      <c r="BH9" s="808">
        <f t="shared" si="3"/>
        <v>24.54091055</v>
      </c>
      <c r="BI9" s="809"/>
      <c r="BJ9" s="809"/>
      <c r="BK9" s="810"/>
    </row>
    <row r="10" spans="1:63" ht="15.75" thickBot="1">
      <c r="A10" s="465" t="s">
        <v>247</v>
      </c>
      <c r="B10" s="466"/>
      <c r="C10" s="466"/>
      <c r="D10" s="466"/>
      <c r="E10" s="466"/>
      <c r="F10" s="466"/>
      <c r="G10" s="466"/>
      <c r="H10" s="432"/>
      <c r="I10" s="432"/>
      <c r="J10" s="432"/>
      <c r="K10" s="844">
        <v>1</v>
      </c>
      <c r="L10" s="845"/>
      <c r="M10" s="846"/>
      <c r="N10" s="847">
        <v>36.630000000000003</v>
      </c>
      <c r="O10" s="848"/>
      <c r="P10" s="849"/>
      <c r="Q10" s="830">
        <f>K10*N10</f>
        <v>36.630000000000003</v>
      </c>
      <c r="R10" s="831"/>
      <c r="S10" s="831"/>
      <c r="T10" s="832"/>
      <c r="U10" s="294"/>
      <c r="V10" s="294"/>
      <c r="W10" s="294"/>
      <c r="X10" s="295"/>
      <c r="Y10" s="295"/>
      <c r="Z10" s="295"/>
      <c r="AA10" s="295"/>
      <c r="AB10" s="295"/>
      <c r="AC10" s="295"/>
      <c r="AD10" s="295"/>
      <c r="AE10" s="464"/>
      <c r="AF10" s="290"/>
      <c r="AG10" s="820" t="s">
        <v>248</v>
      </c>
      <c r="AH10" s="591"/>
      <c r="AI10" s="591"/>
      <c r="AJ10" s="591"/>
      <c r="AK10" s="591"/>
      <c r="AL10" s="591"/>
      <c r="AM10" s="591"/>
      <c r="AN10" s="591"/>
      <c r="AO10" s="591"/>
      <c r="AP10" s="591"/>
      <c r="AQ10" s="591"/>
      <c r="AR10" s="591"/>
      <c r="AS10" s="590">
        <f t="shared" si="1"/>
        <v>1887.76235</v>
      </c>
      <c r="AT10" s="590"/>
      <c r="AU10" s="590"/>
      <c r="AV10" s="819"/>
      <c r="AW10" s="818"/>
      <c r="AX10" s="590"/>
      <c r="AY10" s="590"/>
      <c r="AZ10" s="819"/>
      <c r="BA10" s="808">
        <f t="shared" si="2"/>
        <v>0</v>
      </c>
      <c r="BB10" s="809"/>
      <c r="BC10" s="809"/>
      <c r="BD10" s="810"/>
      <c r="BE10" s="815">
        <v>1.7600000000000001E-2</v>
      </c>
      <c r="BF10" s="594"/>
      <c r="BG10" s="816"/>
      <c r="BH10" s="808">
        <f t="shared" si="3"/>
        <v>33.224617360000003</v>
      </c>
      <c r="BI10" s="809"/>
      <c r="BJ10" s="809"/>
      <c r="BK10" s="810"/>
    </row>
    <row r="11" spans="1:63" ht="15.75" thickBot="1">
      <c r="A11" s="465" t="s">
        <v>249</v>
      </c>
      <c r="B11" s="466"/>
      <c r="C11" s="466"/>
      <c r="D11" s="466"/>
      <c r="E11" s="466"/>
      <c r="F11" s="466"/>
      <c r="G11" s="466"/>
      <c r="H11" s="432"/>
      <c r="I11" s="432"/>
      <c r="J11" s="432"/>
      <c r="K11" s="843">
        <f>K4</f>
        <v>151.66999999999999</v>
      </c>
      <c r="L11" s="843"/>
      <c r="M11" s="843"/>
      <c r="N11" s="830">
        <v>0.13100000000000001</v>
      </c>
      <c r="O11" s="831"/>
      <c r="P11" s="832"/>
      <c r="Q11" s="830">
        <f>K11*N11</f>
        <v>19.868769999999998</v>
      </c>
      <c r="R11" s="831"/>
      <c r="S11" s="831"/>
      <c r="T11" s="832"/>
      <c r="U11" s="294"/>
      <c r="V11" s="294"/>
      <c r="W11" s="294"/>
      <c r="X11" s="295"/>
      <c r="Y11" s="295"/>
      <c r="Z11" s="295"/>
      <c r="AA11" s="295"/>
      <c r="AB11" s="295"/>
      <c r="AC11" s="295"/>
      <c r="AD11" s="295"/>
      <c r="AE11" s="464"/>
      <c r="AF11" s="290"/>
      <c r="AG11" s="820" t="s">
        <v>250</v>
      </c>
      <c r="AH11" s="591"/>
      <c r="AI11" s="591"/>
      <c r="AJ11" s="591"/>
      <c r="AK11" s="591"/>
      <c r="AL11" s="591"/>
      <c r="AM11" s="591"/>
      <c r="AN11" s="591"/>
      <c r="AO11" s="591"/>
      <c r="AP11" s="591"/>
      <c r="AQ11" s="591"/>
      <c r="AR11" s="591"/>
      <c r="AS11" s="590">
        <f t="shared" si="1"/>
        <v>1887.76235</v>
      </c>
      <c r="AT11" s="590"/>
      <c r="AU11" s="590"/>
      <c r="AV11" s="819"/>
      <c r="AW11" s="818"/>
      <c r="AX11" s="590"/>
      <c r="AY11" s="590"/>
      <c r="AZ11" s="819"/>
      <c r="BA11" s="808">
        <f t="shared" si="2"/>
        <v>0</v>
      </c>
      <c r="BB11" s="809"/>
      <c r="BC11" s="809"/>
      <c r="BD11" s="810"/>
      <c r="BE11" s="815">
        <v>3.4500000000000003E-2</v>
      </c>
      <c r="BF11" s="594"/>
      <c r="BG11" s="816"/>
      <c r="BH11" s="808">
        <f t="shared" si="3"/>
        <v>65.127801075000008</v>
      </c>
      <c r="BI11" s="809"/>
      <c r="BJ11" s="809"/>
      <c r="BK11" s="810"/>
    </row>
    <row r="12" spans="1:63" ht="15.75" thickBot="1">
      <c r="A12" s="465" t="s">
        <v>251</v>
      </c>
      <c r="B12" s="466"/>
      <c r="C12" s="466"/>
      <c r="D12" s="466"/>
      <c r="E12" s="466"/>
      <c r="F12" s="466"/>
      <c r="G12" s="466"/>
      <c r="H12" s="432"/>
      <c r="I12" s="432"/>
      <c r="J12" s="432"/>
      <c r="K12" s="839"/>
      <c r="L12" s="839"/>
      <c r="M12" s="839"/>
      <c r="N12" s="830">
        <v>90</v>
      </c>
      <c r="O12" s="831"/>
      <c r="P12" s="832"/>
      <c r="Q12" s="830">
        <f t="shared" si="0"/>
        <v>0</v>
      </c>
      <c r="R12" s="831"/>
      <c r="S12" s="831"/>
      <c r="T12" s="832"/>
      <c r="U12" s="294"/>
      <c r="V12" s="294"/>
      <c r="W12" s="294"/>
      <c r="X12" s="295"/>
      <c r="Y12" s="295"/>
      <c r="Z12" s="295"/>
      <c r="AA12" s="295"/>
      <c r="AB12" s="295"/>
      <c r="AC12" s="295"/>
      <c r="AD12" s="295"/>
      <c r="AE12" s="464"/>
      <c r="AF12" s="290"/>
      <c r="AG12" s="820" t="s">
        <v>252</v>
      </c>
      <c r="AH12" s="591"/>
      <c r="AI12" s="591"/>
      <c r="AJ12" s="591"/>
      <c r="AK12" s="591"/>
      <c r="AL12" s="591"/>
      <c r="AM12" s="591"/>
      <c r="AN12" s="591"/>
      <c r="AO12" s="591"/>
      <c r="AP12" s="591"/>
      <c r="AQ12" s="591"/>
      <c r="AR12" s="591"/>
      <c r="AS12" s="590">
        <f t="shared" si="1"/>
        <v>1887.76235</v>
      </c>
      <c r="AT12" s="590"/>
      <c r="AU12" s="590"/>
      <c r="AV12" s="819"/>
      <c r="AW12" s="818"/>
      <c r="AX12" s="590"/>
      <c r="AY12" s="590"/>
      <c r="AZ12" s="819"/>
      <c r="BA12" s="808">
        <f t="shared" si="2"/>
        <v>0</v>
      </c>
      <c r="BB12" s="809"/>
      <c r="BC12" s="809"/>
      <c r="BD12" s="810"/>
      <c r="BE12" s="815">
        <v>1.6000000000000001E-4</v>
      </c>
      <c r="BF12" s="594"/>
      <c r="BG12" s="816"/>
      <c r="BH12" s="808">
        <f t="shared" si="3"/>
        <v>0.30204197600000005</v>
      </c>
      <c r="BI12" s="809"/>
      <c r="BJ12" s="809"/>
      <c r="BK12" s="810"/>
    </row>
    <row r="13" spans="1:63" ht="15.75" thickBot="1">
      <c r="A13" s="465" t="s">
        <v>253</v>
      </c>
      <c r="B13" s="466"/>
      <c r="C13" s="466"/>
      <c r="D13" s="466"/>
      <c r="E13" s="466"/>
      <c r="F13" s="466"/>
      <c r="G13" s="466"/>
      <c r="H13" s="432"/>
      <c r="I13" s="432"/>
      <c r="J13" s="432"/>
      <c r="K13" s="839"/>
      <c r="L13" s="839"/>
      <c r="M13" s="839"/>
      <c r="N13" s="840"/>
      <c r="O13" s="841"/>
      <c r="P13" s="842"/>
      <c r="Q13" s="830">
        <f t="shared" si="0"/>
        <v>0</v>
      </c>
      <c r="R13" s="831"/>
      <c r="S13" s="831"/>
      <c r="T13" s="832"/>
      <c r="U13" s="294"/>
      <c r="V13" s="294"/>
      <c r="W13" s="294"/>
      <c r="X13" s="295"/>
      <c r="Y13" s="296"/>
      <c r="Z13" s="296"/>
      <c r="AA13" s="295"/>
      <c r="AB13" s="295"/>
      <c r="AC13" s="295"/>
      <c r="AD13" s="295"/>
      <c r="AE13" s="464"/>
      <c r="AF13" s="290"/>
      <c r="AG13" s="820" t="s">
        <v>254</v>
      </c>
      <c r="AH13" s="591"/>
      <c r="AI13" s="591"/>
      <c r="AJ13" s="591"/>
      <c r="AK13" s="591"/>
      <c r="AL13" s="591"/>
      <c r="AM13" s="591"/>
      <c r="AN13" s="591"/>
      <c r="AO13" s="591"/>
      <c r="AP13" s="591"/>
      <c r="AQ13" s="591"/>
      <c r="AR13" s="591"/>
      <c r="AS13" s="590">
        <f t="shared" si="1"/>
        <v>1887.76235</v>
      </c>
      <c r="AT13" s="590"/>
      <c r="AU13" s="590"/>
      <c r="AV13" s="819"/>
      <c r="AW13" s="815">
        <v>9.4999999999999998E-3</v>
      </c>
      <c r="AX13" s="594"/>
      <c r="AY13" s="594"/>
      <c r="AZ13" s="816"/>
      <c r="BA13" s="808">
        <f t="shared" si="2"/>
        <v>17.933742325000001</v>
      </c>
      <c r="BB13" s="809"/>
      <c r="BC13" s="809"/>
      <c r="BD13" s="810"/>
      <c r="BE13" s="815">
        <v>4.0500000000000001E-2</v>
      </c>
      <c r="BF13" s="594"/>
      <c r="BG13" s="816"/>
      <c r="BH13" s="808">
        <f t="shared" si="3"/>
        <v>76.454375174999996</v>
      </c>
      <c r="BI13" s="809"/>
      <c r="BJ13" s="809"/>
      <c r="BK13" s="810"/>
    </row>
    <row r="14" spans="1:63" ht="15.75" thickBot="1">
      <c r="A14" s="467" t="s">
        <v>255</v>
      </c>
      <c r="B14" s="433"/>
      <c r="C14" s="433"/>
      <c r="D14" s="433"/>
      <c r="E14" s="433"/>
      <c r="F14" s="433"/>
      <c r="G14" s="433"/>
      <c r="H14" s="432"/>
      <c r="I14" s="432"/>
      <c r="J14" s="432"/>
      <c r="K14" s="838"/>
      <c r="L14" s="838"/>
      <c r="M14" s="838"/>
      <c r="N14" s="830">
        <f>N4</f>
        <v>12.074</v>
      </c>
      <c r="O14" s="831"/>
      <c r="P14" s="832"/>
      <c r="Q14" s="830"/>
      <c r="R14" s="831"/>
      <c r="S14" s="831"/>
      <c r="T14" s="831"/>
      <c r="U14" s="559">
        <f>K14*N14</f>
        <v>0</v>
      </c>
      <c r="V14" s="559"/>
      <c r="W14" s="559"/>
      <c r="X14" s="559"/>
      <c r="Y14" s="294"/>
      <c r="Z14" s="296"/>
      <c r="AA14" s="295"/>
      <c r="AB14" s="295"/>
      <c r="AC14" s="295"/>
      <c r="AD14" s="295"/>
      <c r="AE14" s="464"/>
      <c r="AF14" s="290"/>
      <c r="AG14" s="820" t="s">
        <v>256</v>
      </c>
      <c r="AH14" s="591"/>
      <c r="AI14" s="591"/>
      <c r="AJ14" s="591"/>
      <c r="AK14" s="591"/>
      <c r="AL14" s="591"/>
      <c r="AM14" s="591"/>
      <c r="AN14" s="591"/>
      <c r="AO14" s="591"/>
      <c r="AP14" s="591"/>
      <c r="AQ14" s="591"/>
      <c r="AR14" s="591"/>
      <c r="AS14" s="590">
        <f t="shared" si="1"/>
        <v>1887.76235</v>
      </c>
      <c r="AT14" s="590"/>
      <c r="AU14" s="590"/>
      <c r="AV14" s="819"/>
      <c r="AW14" s="818"/>
      <c r="AX14" s="590"/>
      <c r="AY14" s="590"/>
      <c r="AZ14" s="819"/>
      <c r="BA14" s="808">
        <f t="shared" si="2"/>
        <v>0</v>
      </c>
      <c r="BB14" s="809"/>
      <c r="BC14" s="809"/>
      <c r="BD14" s="810"/>
      <c r="BE14" s="815">
        <v>1.5E-3</v>
      </c>
      <c r="BF14" s="594"/>
      <c r="BG14" s="816"/>
      <c r="BH14" s="808">
        <f t="shared" si="3"/>
        <v>2.8316435250000001</v>
      </c>
      <c r="BI14" s="809"/>
      <c r="BJ14" s="809"/>
      <c r="BK14" s="810"/>
    </row>
    <row r="15" spans="1:63" ht="15.75" thickBot="1">
      <c r="A15" s="467" t="s">
        <v>257</v>
      </c>
      <c r="B15" s="433"/>
      <c r="C15" s="433"/>
      <c r="D15" s="433"/>
      <c r="E15" s="433"/>
      <c r="F15" s="433"/>
      <c r="G15" s="433"/>
      <c r="H15" s="432"/>
      <c r="I15" s="432"/>
      <c r="J15" s="432"/>
      <c r="K15" s="834"/>
      <c r="L15" s="834"/>
      <c r="M15" s="834"/>
      <c r="N15" s="830"/>
      <c r="O15" s="831"/>
      <c r="P15" s="832"/>
      <c r="Q15" s="835"/>
      <c r="R15" s="836"/>
      <c r="S15" s="836"/>
      <c r="T15" s="837"/>
      <c r="U15" s="297"/>
      <c r="V15" s="297"/>
      <c r="W15" s="297"/>
      <c r="X15" s="298"/>
      <c r="Y15" s="299"/>
      <c r="Z15" s="296"/>
      <c r="AA15" s="295"/>
      <c r="AB15" s="295"/>
      <c r="AC15" s="295"/>
      <c r="AD15" s="295"/>
      <c r="AE15" s="464"/>
      <c r="AF15" s="290"/>
      <c r="AG15" s="820" t="s">
        <v>258</v>
      </c>
      <c r="AH15" s="591"/>
      <c r="AI15" s="591"/>
      <c r="AJ15" s="591"/>
      <c r="AK15" s="591"/>
      <c r="AL15" s="591"/>
      <c r="AM15" s="591"/>
      <c r="AN15" s="591"/>
      <c r="AO15" s="591"/>
      <c r="AP15" s="591"/>
      <c r="AQ15" s="591"/>
      <c r="AR15" s="591"/>
      <c r="AS15" s="590">
        <f t="shared" si="1"/>
        <v>1887.76235</v>
      </c>
      <c r="AT15" s="590"/>
      <c r="AU15" s="590"/>
      <c r="AV15" s="819"/>
      <c r="AW15" s="815">
        <v>3.1E-2</v>
      </c>
      <c r="AX15" s="594"/>
      <c r="AY15" s="594"/>
      <c r="AZ15" s="816"/>
      <c r="BA15" s="808">
        <f t="shared" si="2"/>
        <v>58.520632849999998</v>
      </c>
      <c r="BB15" s="809"/>
      <c r="BC15" s="809"/>
      <c r="BD15" s="810"/>
      <c r="BE15" s="815">
        <v>4.65E-2</v>
      </c>
      <c r="BF15" s="594"/>
      <c r="BG15" s="816"/>
      <c r="BH15" s="808">
        <f t="shared" si="3"/>
        <v>87.780949274999998</v>
      </c>
      <c r="BI15" s="809"/>
      <c r="BJ15" s="809"/>
      <c r="BK15" s="810"/>
    </row>
    <row r="16" spans="1:63" ht="15.75" thickBot="1">
      <c r="A16" s="467" t="s">
        <v>259</v>
      </c>
      <c r="B16" s="433"/>
      <c r="C16" s="433"/>
      <c r="D16" s="433"/>
      <c r="E16" s="433"/>
      <c r="F16" s="433"/>
      <c r="G16" s="433"/>
      <c r="H16" s="432"/>
      <c r="I16" s="432"/>
      <c r="J16" s="432"/>
      <c r="K16" s="826"/>
      <c r="L16" s="826"/>
      <c r="M16" s="826"/>
      <c r="N16" s="830"/>
      <c r="O16" s="831"/>
      <c r="P16" s="832"/>
      <c r="Q16" s="830"/>
      <c r="R16" s="831"/>
      <c r="S16" s="831"/>
      <c r="T16" s="831"/>
      <c r="U16" s="833"/>
      <c r="V16" s="833"/>
      <c r="W16" s="833"/>
      <c r="X16" s="833"/>
      <c r="Y16" s="294"/>
      <c r="Z16" s="296"/>
      <c r="AA16" s="295"/>
      <c r="AB16" s="295"/>
      <c r="AC16" s="295"/>
      <c r="AD16" s="295"/>
      <c r="AE16" s="464"/>
      <c r="AF16" s="290"/>
      <c r="AG16" s="820" t="s">
        <v>260</v>
      </c>
      <c r="AH16" s="591"/>
      <c r="AI16" s="591"/>
      <c r="AJ16" s="591"/>
      <c r="AK16" s="591"/>
      <c r="AL16" s="591"/>
      <c r="AM16" s="591"/>
      <c r="AN16" s="591"/>
      <c r="AO16" s="591"/>
      <c r="AP16" s="591"/>
      <c r="AQ16" s="591"/>
      <c r="AR16" s="591"/>
      <c r="AS16" s="590">
        <f t="shared" si="1"/>
        <v>1887.76235</v>
      </c>
      <c r="AT16" s="590"/>
      <c r="AU16" s="590"/>
      <c r="AV16" s="819"/>
      <c r="AW16" s="815">
        <v>8.0000000000000002E-3</v>
      </c>
      <c r="AX16" s="594"/>
      <c r="AY16" s="594"/>
      <c r="AZ16" s="816"/>
      <c r="BA16" s="808">
        <f t="shared" si="2"/>
        <v>15.1020988</v>
      </c>
      <c r="BB16" s="809"/>
      <c r="BC16" s="809"/>
      <c r="BD16" s="810"/>
      <c r="BE16" s="815">
        <v>1.2E-2</v>
      </c>
      <c r="BF16" s="594"/>
      <c r="BG16" s="816"/>
      <c r="BH16" s="808">
        <f t="shared" si="3"/>
        <v>22.6531482</v>
      </c>
      <c r="BI16" s="809"/>
      <c r="BJ16" s="809"/>
      <c r="BK16" s="810"/>
    </row>
    <row r="17" spans="1:63" ht="15.75" thickBot="1">
      <c r="A17" s="467"/>
      <c r="B17" s="433"/>
      <c r="C17" s="433"/>
      <c r="D17" s="433"/>
      <c r="E17" s="433"/>
      <c r="F17" s="433"/>
      <c r="G17" s="433"/>
      <c r="H17" s="432"/>
      <c r="I17" s="432"/>
      <c r="J17" s="432"/>
      <c r="K17" s="826"/>
      <c r="L17" s="826"/>
      <c r="M17" s="826"/>
      <c r="N17" s="827"/>
      <c r="O17" s="828"/>
      <c r="P17" s="829"/>
      <c r="Q17" s="830"/>
      <c r="R17" s="831"/>
      <c r="S17" s="831"/>
      <c r="T17" s="832"/>
      <c r="U17" s="297"/>
      <c r="V17" s="297"/>
      <c r="W17" s="297"/>
      <c r="X17" s="298"/>
      <c r="Y17" s="299"/>
      <c r="Z17" s="296"/>
      <c r="AA17" s="295"/>
      <c r="AB17" s="295"/>
      <c r="AC17" s="295"/>
      <c r="AD17" s="295"/>
      <c r="AE17" s="464"/>
      <c r="AF17" s="290"/>
      <c r="AG17" s="467" t="s">
        <v>261</v>
      </c>
      <c r="AH17" s="433"/>
      <c r="AI17" s="433"/>
      <c r="AJ17" s="433"/>
      <c r="AK17" s="433"/>
      <c r="AL17" s="433"/>
      <c r="AM17" s="433"/>
      <c r="AN17" s="433"/>
      <c r="AO17" s="433"/>
      <c r="AP17" s="433"/>
      <c r="AQ17" s="433"/>
      <c r="AR17" s="433"/>
      <c r="AS17" s="590">
        <f t="shared" si="1"/>
        <v>1887.76235</v>
      </c>
      <c r="AT17" s="590"/>
      <c r="AU17" s="590"/>
      <c r="AV17" s="819"/>
      <c r="AW17" s="815">
        <v>5.4000000000000003E-3</v>
      </c>
      <c r="AX17" s="594"/>
      <c r="AY17" s="594"/>
      <c r="AZ17" s="816"/>
      <c r="BA17" s="808">
        <f t="shared" si="2"/>
        <v>10.19391669</v>
      </c>
      <c r="BB17" s="809"/>
      <c r="BC17" s="809"/>
      <c r="BD17" s="810"/>
      <c r="BE17" s="815">
        <v>5.4000000000000003E-3</v>
      </c>
      <c r="BF17" s="594"/>
      <c r="BG17" s="816"/>
      <c r="BH17" s="808">
        <f t="shared" si="3"/>
        <v>10.19391669</v>
      </c>
      <c r="BI17" s="809"/>
      <c r="BJ17" s="809"/>
      <c r="BK17" s="810"/>
    </row>
    <row r="18" spans="1:63" ht="16.5" thickBot="1">
      <c r="A18" s="821" t="s">
        <v>262</v>
      </c>
      <c r="B18" s="562"/>
      <c r="C18" s="562"/>
      <c r="D18" s="562"/>
      <c r="E18" s="562"/>
      <c r="F18" s="562"/>
      <c r="G18" s="562"/>
      <c r="H18" s="563"/>
      <c r="I18" s="563"/>
      <c r="J18" s="563"/>
      <c r="K18" s="563"/>
      <c r="L18" s="563"/>
      <c r="M18" s="563"/>
      <c r="N18" s="563"/>
      <c r="O18" s="563"/>
      <c r="P18" s="563"/>
      <c r="Q18" s="822">
        <f>SUM(Q4:T13)+Q15-U14-U16</f>
        <v>1887.76235</v>
      </c>
      <c r="R18" s="822"/>
      <c r="S18" s="822"/>
      <c r="T18" s="823"/>
      <c r="U18" s="300"/>
      <c r="V18" s="300"/>
      <c r="W18" s="300"/>
      <c r="X18" s="295"/>
      <c r="Y18" s="565">
        <f>Q18-Y4</f>
        <v>-1058.23765</v>
      </c>
      <c r="Z18" s="565"/>
      <c r="AA18" s="565"/>
      <c r="AB18" s="435"/>
      <c r="AC18" s="435"/>
      <c r="AD18" s="435"/>
      <c r="AE18" s="464"/>
      <c r="AF18" s="301"/>
      <c r="AG18" s="820" t="s">
        <v>263</v>
      </c>
      <c r="AH18" s="591"/>
      <c r="AI18" s="591"/>
      <c r="AJ18" s="591"/>
      <c r="AK18" s="591"/>
      <c r="AL18" s="591"/>
      <c r="AM18" s="591"/>
      <c r="AN18" s="591"/>
      <c r="AO18" s="591"/>
      <c r="AP18" s="591"/>
      <c r="AQ18" s="591"/>
      <c r="AR18" s="591"/>
      <c r="AS18" s="824">
        <v>16.329999999999998</v>
      </c>
      <c r="AT18" s="824"/>
      <c r="AU18" s="824"/>
      <c r="AV18" s="825"/>
      <c r="AW18" s="818"/>
      <c r="AX18" s="590"/>
      <c r="AY18" s="590"/>
      <c r="AZ18" s="819"/>
      <c r="BA18" s="808">
        <f>AS18*AW18</f>
        <v>0</v>
      </c>
      <c r="BB18" s="809"/>
      <c r="BC18" s="809"/>
      <c r="BD18" s="810"/>
      <c r="BE18" s="815">
        <v>0.08</v>
      </c>
      <c r="BF18" s="594"/>
      <c r="BG18" s="816"/>
      <c r="BH18" s="808">
        <f t="shared" si="3"/>
        <v>1.3063999999999998</v>
      </c>
      <c r="BI18" s="809"/>
      <c r="BJ18" s="809"/>
      <c r="BK18" s="810"/>
    </row>
    <row r="19" spans="1:63" ht="16.5" thickBot="1">
      <c r="A19" s="468"/>
      <c r="B19" s="469"/>
      <c r="C19" s="469"/>
      <c r="D19" s="469"/>
      <c r="E19" s="469"/>
      <c r="F19" s="469"/>
      <c r="G19" s="469"/>
      <c r="H19" s="469"/>
      <c r="I19" s="469"/>
      <c r="J19" s="469"/>
      <c r="K19" s="469"/>
      <c r="L19" s="469"/>
      <c r="M19" s="469"/>
      <c r="N19" s="469"/>
      <c r="O19" s="469"/>
      <c r="P19" s="469"/>
      <c r="Q19" s="469"/>
      <c r="R19" s="469"/>
      <c r="S19" s="469"/>
      <c r="T19" s="470"/>
      <c r="U19" s="470"/>
      <c r="V19" s="470"/>
      <c r="W19" s="470"/>
      <c r="X19" s="471"/>
      <c r="Y19" s="471"/>
      <c r="Z19" s="471"/>
      <c r="AA19" s="471"/>
      <c r="AB19" s="471"/>
      <c r="AC19" s="471"/>
      <c r="AD19" s="471"/>
      <c r="AE19" s="472"/>
      <c r="AF19" s="302"/>
      <c r="AG19" s="820" t="s">
        <v>264</v>
      </c>
      <c r="AH19" s="591"/>
      <c r="AI19" s="591"/>
      <c r="AJ19" s="591"/>
      <c r="AK19" s="591"/>
      <c r="AL19" s="591"/>
      <c r="AM19" s="591"/>
      <c r="AN19" s="591"/>
      <c r="AO19" s="591"/>
      <c r="AP19" s="591"/>
      <c r="AQ19" s="591"/>
      <c r="AR19" s="591"/>
      <c r="AS19" s="590">
        <f>$Q$18*98.25%</f>
        <v>1854.726508875</v>
      </c>
      <c r="AT19" s="590"/>
      <c r="AU19" s="590"/>
      <c r="AV19" s="819"/>
      <c r="AW19" s="815">
        <v>6.8000000000000005E-2</v>
      </c>
      <c r="AX19" s="594"/>
      <c r="AY19" s="594"/>
      <c r="AZ19" s="816"/>
      <c r="BA19" s="808">
        <f t="shared" si="2"/>
        <v>126.12140260350002</v>
      </c>
      <c r="BB19" s="809"/>
      <c r="BC19" s="809"/>
      <c r="BD19" s="810"/>
      <c r="BE19" s="811"/>
      <c r="BF19" s="595"/>
      <c r="BG19" s="812"/>
      <c r="BH19" s="808">
        <f t="shared" si="3"/>
        <v>0</v>
      </c>
      <c r="BI19" s="809"/>
      <c r="BJ19" s="809"/>
      <c r="BK19" s="810"/>
    </row>
    <row r="20" spans="1:63" ht="13.5" thickBot="1">
      <c r="A20" s="473"/>
      <c r="B20" s="474"/>
      <c r="C20" s="474"/>
      <c r="D20" s="474"/>
      <c r="E20" s="474"/>
      <c r="F20" s="474"/>
      <c r="G20" s="474"/>
      <c r="H20" s="474"/>
      <c r="I20" s="474"/>
      <c r="J20" s="474"/>
      <c r="K20" s="474"/>
      <c r="L20" s="474"/>
      <c r="M20" s="474"/>
      <c r="N20" s="474"/>
      <c r="O20" s="474"/>
      <c r="P20" s="474"/>
      <c r="Q20" s="474"/>
      <c r="R20" s="474"/>
      <c r="S20" s="474"/>
      <c r="T20" s="475"/>
      <c r="U20" s="476"/>
      <c r="V20" s="476"/>
      <c r="W20" s="476"/>
      <c r="X20" s="477"/>
      <c r="Y20" s="477"/>
      <c r="Z20" s="477"/>
      <c r="AA20" s="477"/>
      <c r="AB20" s="477"/>
      <c r="AC20" s="477"/>
      <c r="AD20" s="477"/>
      <c r="AE20" s="478"/>
      <c r="AF20" s="303"/>
      <c r="AG20" s="820" t="s">
        <v>265</v>
      </c>
      <c r="AH20" s="591"/>
      <c r="AI20" s="591"/>
      <c r="AJ20" s="591"/>
      <c r="AK20" s="591"/>
      <c r="AL20" s="591"/>
      <c r="AM20" s="591"/>
      <c r="AN20" s="591"/>
      <c r="AO20" s="591"/>
      <c r="AP20" s="591"/>
      <c r="AQ20" s="591"/>
      <c r="AR20" s="591"/>
      <c r="AS20" s="590">
        <f>$Q$18*98.25%</f>
        <v>1854.726508875</v>
      </c>
      <c r="AT20" s="590"/>
      <c r="AU20" s="590"/>
      <c r="AV20" s="819"/>
      <c r="AW20" s="815">
        <v>2.4E-2</v>
      </c>
      <c r="AX20" s="594"/>
      <c r="AY20" s="594"/>
      <c r="AZ20" s="816"/>
      <c r="BA20" s="808">
        <f t="shared" si="2"/>
        <v>44.513436212999999</v>
      </c>
      <c r="BB20" s="809"/>
      <c r="BC20" s="809"/>
      <c r="BD20" s="810"/>
      <c r="BE20" s="811"/>
      <c r="BF20" s="595"/>
      <c r="BG20" s="812"/>
      <c r="BH20" s="808">
        <f t="shared" si="3"/>
        <v>0</v>
      </c>
      <c r="BI20" s="809"/>
      <c r="BJ20" s="809"/>
      <c r="BK20" s="810"/>
    </row>
    <row r="21" spans="1:63" ht="16.5" thickBot="1">
      <c r="A21" s="479"/>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c r="AA21" s="304"/>
      <c r="AB21" s="304"/>
      <c r="AC21" s="304"/>
      <c r="AD21" s="304"/>
      <c r="AE21" s="304"/>
      <c r="AF21" s="304"/>
      <c r="AG21" s="467" t="s">
        <v>266</v>
      </c>
      <c r="AH21" s="433"/>
      <c r="AI21" s="433"/>
      <c r="AJ21" s="433"/>
      <c r="AK21" s="433"/>
      <c r="AL21" s="433"/>
      <c r="AM21" s="433"/>
      <c r="AN21" s="433"/>
      <c r="AO21" s="433"/>
      <c r="AP21" s="433"/>
      <c r="AQ21" s="433"/>
      <c r="AR21" s="433"/>
      <c r="AS21" s="590">
        <f>$Q$18*98.25%</f>
        <v>1854.726508875</v>
      </c>
      <c r="AT21" s="590"/>
      <c r="AU21" s="590"/>
      <c r="AV21" s="819"/>
      <c r="AW21" s="815">
        <v>5.0000000000000001E-3</v>
      </c>
      <c r="AX21" s="594"/>
      <c r="AY21" s="594"/>
      <c r="AZ21" s="816"/>
      <c r="BA21" s="808">
        <f t="shared" si="2"/>
        <v>9.2736325443750012</v>
      </c>
      <c r="BB21" s="809"/>
      <c r="BC21" s="809"/>
      <c r="BD21" s="810"/>
      <c r="BE21" s="811"/>
      <c r="BF21" s="595"/>
      <c r="BG21" s="812"/>
      <c r="BH21" s="808">
        <f t="shared" si="3"/>
        <v>0</v>
      </c>
      <c r="BI21" s="809"/>
      <c r="BJ21" s="809"/>
      <c r="BK21" s="810"/>
    </row>
    <row r="22" spans="1:63" ht="15.75" thickBot="1">
      <c r="A22" s="480"/>
      <c r="B22" s="307"/>
      <c r="C22" s="307"/>
      <c r="D22" s="307"/>
      <c r="E22" s="307"/>
      <c r="F22" s="307"/>
      <c r="G22" s="307"/>
      <c r="H22" s="307"/>
      <c r="I22" s="307"/>
      <c r="J22" s="307"/>
      <c r="K22" s="307"/>
      <c r="L22" s="307"/>
      <c r="M22" s="307"/>
      <c r="N22" s="307"/>
      <c r="O22" s="307"/>
      <c r="P22" s="307"/>
      <c r="Q22" s="307"/>
      <c r="R22" s="307"/>
      <c r="S22" s="307"/>
      <c r="T22" s="307"/>
      <c r="U22" s="307"/>
      <c r="V22" s="307"/>
      <c r="W22" s="307"/>
      <c r="X22" s="307"/>
      <c r="Y22" s="307"/>
      <c r="Z22" s="307"/>
      <c r="AA22" s="307"/>
      <c r="AB22" s="307"/>
      <c r="AC22" s="307"/>
      <c r="AD22" s="307"/>
      <c r="AE22" s="307"/>
      <c r="AF22" s="307"/>
      <c r="AG22" s="467" t="s">
        <v>267</v>
      </c>
      <c r="AH22" s="433"/>
      <c r="AI22" s="433"/>
      <c r="AJ22" s="433"/>
      <c r="AK22" s="433"/>
      <c r="AL22" s="433"/>
      <c r="AM22" s="433"/>
      <c r="AN22" s="433"/>
      <c r="AO22" s="433"/>
      <c r="AP22" s="433"/>
      <c r="AQ22" s="433"/>
      <c r="AR22" s="433"/>
      <c r="AS22" s="813">
        <f>AS18</f>
        <v>16.329999999999998</v>
      </c>
      <c r="AT22" s="813"/>
      <c r="AU22" s="813"/>
      <c r="AV22" s="814"/>
      <c r="AW22" s="815">
        <v>6.8000000000000005E-2</v>
      </c>
      <c r="AX22" s="594"/>
      <c r="AY22" s="594"/>
      <c r="AZ22" s="816"/>
      <c r="BA22" s="808">
        <f t="shared" si="2"/>
        <v>1.1104399999999999</v>
      </c>
      <c r="BB22" s="809"/>
      <c r="BC22" s="809"/>
      <c r="BD22" s="810"/>
      <c r="BE22" s="811"/>
      <c r="BF22" s="595"/>
      <c r="BG22" s="812"/>
      <c r="BH22" s="808">
        <f t="shared" si="3"/>
        <v>0</v>
      </c>
      <c r="BI22" s="809"/>
      <c r="BJ22" s="809"/>
      <c r="BK22" s="810"/>
    </row>
    <row r="23" spans="1:63" ht="15.75" thickBot="1">
      <c r="A23" s="481"/>
      <c r="B23" s="290"/>
      <c r="C23" s="290"/>
      <c r="D23" s="290"/>
      <c r="E23" s="290"/>
      <c r="F23" s="290"/>
      <c r="G23" s="290"/>
      <c r="H23" s="290"/>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467" t="s">
        <v>268</v>
      </c>
      <c r="AH23" s="433"/>
      <c r="AI23" s="433"/>
      <c r="AJ23" s="433"/>
      <c r="AK23" s="433"/>
      <c r="AL23" s="433"/>
      <c r="AM23" s="433"/>
      <c r="AN23" s="433"/>
      <c r="AO23" s="433"/>
      <c r="AP23" s="433"/>
      <c r="AQ23" s="433"/>
      <c r="AR23" s="433"/>
      <c r="AS23" s="813">
        <f>AS18</f>
        <v>16.329999999999998</v>
      </c>
      <c r="AT23" s="813"/>
      <c r="AU23" s="813"/>
      <c r="AV23" s="814"/>
      <c r="AW23" s="815">
        <v>2.9000000000000001E-2</v>
      </c>
      <c r="AX23" s="594"/>
      <c r="AY23" s="594"/>
      <c r="AZ23" s="816"/>
      <c r="BA23" s="808">
        <f t="shared" si="2"/>
        <v>0.47356999999999999</v>
      </c>
      <c r="BB23" s="809"/>
      <c r="BC23" s="809"/>
      <c r="BD23" s="810"/>
      <c r="BE23" s="811"/>
      <c r="BF23" s="595"/>
      <c r="BG23" s="812"/>
      <c r="BH23" s="808">
        <f t="shared" si="3"/>
        <v>0</v>
      </c>
      <c r="BI23" s="809"/>
      <c r="BJ23" s="809"/>
      <c r="BK23" s="810"/>
    </row>
    <row r="24" spans="1:63" ht="16.5" thickBot="1">
      <c r="A24" s="479"/>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c r="AA24" s="304"/>
      <c r="AB24" s="304"/>
      <c r="AC24" s="304"/>
      <c r="AD24" s="304"/>
      <c r="AE24" s="304"/>
      <c r="AF24" s="304"/>
      <c r="AG24" s="467" t="s">
        <v>269</v>
      </c>
      <c r="AH24" s="433"/>
      <c r="AI24" s="433"/>
      <c r="AJ24" s="433"/>
      <c r="AK24" s="433"/>
      <c r="AL24" s="433"/>
      <c r="AM24" s="433"/>
      <c r="AN24" s="433"/>
      <c r="AO24" s="433"/>
      <c r="AP24" s="433"/>
      <c r="AQ24" s="433"/>
      <c r="AR24" s="433"/>
      <c r="AS24" s="567"/>
      <c r="AT24" s="567"/>
      <c r="AU24" s="567"/>
      <c r="AV24" s="817"/>
      <c r="AW24" s="818"/>
      <c r="AX24" s="590"/>
      <c r="AY24" s="590"/>
      <c r="AZ24" s="819"/>
      <c r="BA24" s="808">
        <v>9.52</v>
      </c>
      <c r="BB24" s="809"/>
      <c r="BC24" s="809"/>
      <c r="BD24" s="810"/>
      <c r="BE24" s="811"/>
      <c r="BF24" s="595"/>
      <c r="BG24" s="812"/>
      <c r="BH24" s="808">
        <f t="shared" si="3"/>
        <v>0</v>
      </c>
      <c r="BI24" s="809"/>
      <c r="BJ24" s="809"/>
      <c r="BK24" s="810"/>
    </row>
    <row r="25" spans="1:63" ht="15.75" thickBot="1">
      <c r="A25" s="480"/>
      <c r="B25" s="307"/>
      <c r="C25" s="307"/>
      <c r="D25" s="307"/>
      <c r="E25" s="307"/>
      <c r="F25" s="307"/>
      <c r="G25" s="307"/>
      <c r="H25" s="307"/>
      <c r="I25" s="307"/>
      <c r="J25" s="307"/>
      <c r="K25" s="307"/>
      <c r="L25" s="307"/>
      <c r="M25" s="307"/>
      <c r="N25" s="307"/>
      <c r="O25" s="307"/>
      <c r="P25" s="307"/>
      <c r="Q25" s="307"/>
      <c r="R25" s="307"/>
      <c r="S25" s="307"/>
      <c r="T25" s="307"/>
      <c r="U25" s="307"/>
      <c r="V25" s="307"/>
      <c r="W25" s="307"/>
      <c r="X25" s="307"/>
      <c r="Y25" s="307"/>
      <c r="Z25" s="307"/>
      <c r="AA25" s="307"/>
      <c r="AB25" s="307"/>
      <c r="AC25" s="307"/>
      <c r="AD25" s="307"/>
      <c r="AE25" s="307"/>
      <c r="AF25" s="307"/>
      <c r="AG25" s="804"/>
      <c r="AH25" s="805"/>
      <c r="AI25" s="805"/>
      <c r="AJ25" s="805"/>
      <c r="AK25" s="805"/>
      <c r="AL25" s="805"/>
      <c r="AM25" s="805"/>
      <c r="AN25" s="805"/>
      <c r="AO25" s="805"/>
      <c r="AP25" s="805"/>
      <c r="AQ25" s="805"/>
      <c r="AR25" s="805"/>
      <c r="AS25" s="791">
        <f>$X$27</f>
        <v>0</v>
      </c>
      <c r="AT25" s="791"/>
      <c r="AU25" s="791"/>
      <c r="AV25" s="806"/>
      <c r="AW25" s="807"/>
      <c r="AX25" s="791"/>
      <c r="AY25" s="791"/>
      <c r="AZ25" s="806"/>
      <c r="BA25" s="808">
        <f t="shared" si="2"/>
        <v>0</v>
      </c>
      <c r="BB25" s="809"/>
      <c r="BC25" s="809"/>
      <c r="BD25" s="810"/>
      <c r="BE25" s="811"/>
      <c r="BF25" s="595"/>
      <c r="BG25" s="812"/>
      <c r="BH25" s="808">
        <f t="shared" si="3"/>
        <v>0</v>
      </c>
      <c r="BI25" s="809"/>
      <c r="BJ25" s="809"/>
      <c r="BK25" s="810"/>
    </row>
    <row r="26" spans="1:63" ht="16.5" thickBot="1">
      <c r="A26" s="481"/>
      <c r="B26" s="290"/>
      <c r="C26" s="290"/>
      <c r="D26" s="290"/>
      <c r="E26" s="290"/>
      <c r="F26" s="290"/>
      <c r="G26" s="290"/>
      <c r="H26" s="290"/>
      <c r="I26" s="290"/>
      <c r="J26" s="290"/>
      <c r="K26" s="290"/>
      <c r="L26" s="290"/>
      <c r="M26" s="290"/>
      <c r="N26" s="290"/>
      <c r="O26" s="290"/>
      <c r="P26" s="290"/>
      <c r="Q26" s="290"/>
      <c r="R26" s="290"/>
      <c r="S26" s="290"/>
      <c r="T26" s="290"/>
      <c r="U26" s="290"/>
      <c r="V26" s="290"/>
      <c r="W26" s="290"/>
      <c r="X26" s="290"/>
      <c r="Y26" s="290"/>
      <c r="Z26" s="290"/>
      <c r="AA26" s="290"/>
      <c r="AB26" s="290"/>
      <c r="AC26" s="290"/>
      <c r="AD26" s="290"/>
      <c r="AE26" s="290"/>
      <c r="AF26" s="290"/>
      <c r="AG26" s="798" t="s">
        <v>270</v>
      </c>
      <c r="AH26" s="799"/>
      <c r="AI26" s="799"/>
      <c r="AJ26" s="799"/>
      <c r="AK26" s="799"/>
      <c r="AL26" s="799"/>
      <c r="AM26" s="799"/>
      <c r="AN26" s="799"/>
      <c r="AO26" s="799"/>
      <c r="AP26" s="799"/>
      <c r="AQ26" s="799"/>
      <c r="AR26" s="800"/>
      <c r="AS26" s="801"/>
      <c r="AT26" s="802"/>
      <c r="AU26" s="802"/>
      <c r="AV26" s="802"/>
      <c r="AW26" s="803">
        <f>SUM(AW5:AZ25)</f>
        <v>0.32090000000000002</v>
      </c>
      <c r="AX26" s="803"/>
      <c r="AY26" s="803"/>
      <c r="AZ26" s="803"/>
      <c r="BA26" s="586">
        <f>SUM(BA5:BD25)</f>
        <v>430.569523575875</v>
      </c>
      <c r="BB26" s="586"/>
      <c r="BC26" s="586"/>
      <c r="BD26" s="589"/>
      <c r="BE26" s="311"/>
      <c r="BF26" s="7"/>
      <c r="BG26" s="7"/>
      <c r="BH26" s="586">
        <f>SUM(BH5:BK25)</f>
        <v>782.1981737010002</v>
      </c>
      <c r="BI26" s="586"/>
      <c r="BJ26" s="586"/>
      <c r="BK26" s="589"/>
    </row>
    <row r="27" spans="1:63" ht="15.75" thickBot="1">
      <c r="A27" s="480"/>
      <c r="B27" s="307"/>
      <c r="C27" s="307"/>
      <c r="D27" s="307"/>
      <c r="E27" s="307"/>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482" t="s">
        <v>271</v>
      </c>
      <c r="AH27" s="312"/>
      <c r="AI27" s="312"/>
      <c r="AJ27" s="312"/>
      <c r="AK27" s="312"/>
      <c r="AL27" s="312"/>
      <c r="AM27" s="312"/>
      <c r="AN27" s="313"/>
      <c r="AO27" s="313"/>
      <c r="AP27" s="313"/>
      <c r="AQ27" s="313"/>
      <c r="AR27" s="313"/>
      <c r="AS27" s="790"/>
      <c r="AT27" s="790"/>
      <c r="AU27" s="790"/>
      <c r="AV27" s="790"/>
      <c r="AW27" s="791">
        <v>3.5259999999999998</v>
      </c>
      <c r="AX27" s="791"/>
      <c r="AY27" s="791"/>
      <c r="AZ27" s="791"/>
      <c r="BA27" s="792">
        <f>AS27*AW27</f>
        <v>0</v>
      </c>
      <c r="BB27" s="792"/>
      <c r="BC27" s="792"/>
      <c r="BD27" s="792"/>
      <c r="BE27" s="314"/>
      <c r="BF27" s="7"/>
      <c r="BG27" s="7"/>
      <c r="BH27" s="7"/>
      <c r="BI27" s="7"/>
      <c r="BJ27" s="7"/>
      <c r="BK27" s="315"/>
    </row>
    <row r="28" spans="1:63" ht="15.75" thickBot="1">
      <c r="A28" s="481"/>
      <c r="B28" s="290"/>
      <c r="C28" s="290"/>
      <c r="D28" s="290"/>
      <c r="E28" s="290"/>
      <c r="F28" s="290"/>
      <c r="G28" s="290"/>
      <c r="H28" s="290"/>
      <c r="I28" s="290"/>
      <c r="J28" s="290"/>
      <c r="K28" s="290"/>
      <c r="L28" s="290"/>
      <c r="M28" s="290"/>
      <c r="N28" s="290"/>
      <c r="O28" s="290"/>
      <c r="P28" s="290"/>
      <c r="Q28" s="290"/>
      <c r="R28" s="290"/>
      <c r="S28" s="290"/>
      <c r="T28" s="290"/>
      <c r="U28" s="290"/>
      <c r="V28" s="290"/>
      <c r="W28" s="290"/>
      <c r="X28" s="290"/>
      <c r="Y28" s="290"/>
      <c r="Z28" s="290"/>
      <c r="AA28" s="290"/>
      <c r="AB28" s="290"/>
      <c r="AC28" s="290"/>
      <c r="AD28" s="290"/>
      <c r="AE28" s="290"/>
      <c r="AF28" s="290"/>
      <c r="AG28" s="793"/>
      <c r="AH28" s="794"/>
      <c r="AI28" s="794"/>
      <c r="AJ28" s="794"/>
      <c r="AK28" s="794"/>
      <c r="AL28" s="794"/>
      <c r="AM28" s="794"/>
      <c r="AN28" s="794"/>
      <c r="AO28" s="794"/>
      <c r="AP28" s="794"/>
      <c r="AQ28" s="794"/>
      <c r="AR28" s="794"/>
      <c r="AS28" s="483"/>
      <c r="AT28" s="483"/>
      <c r="AU28" s="483"/>
      <c r="AV28" s="484"/>
      <c r="AW28" s="484"/>
      <c r="AX28" s="484"/>
      <c r="AY28" s="484"/>
      <c r="AZ28" s="484"/>
      <c r="BA28" s="484"/>
      <c r="BB28" s="484"/>
      <c r="BC28" s="484"/>
      <c r="BD28" s="484"/>
      <c r="BE28" s="484"/>
      <c r="BF28" s="484"/>
      <c r="BG28" s="484"/>
      <c r="BH28" s="484"/>
      <c r="BI28" s="484"/>
      <c r="BJ28" s="484"/>
      <c r="BK28" s="485"/>
    </row>
    <row r="29" spans="1:63" ht="21" thickBot="1">
      <c r="A29" s="479"/>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486"/>
      <c r="AH29" s="313"/>
      <c r="AI29" s="313"/>
      <c r="AJ29" s="313"/>
      <c r="AK29" s="313"/>
      <c r="AL29" s="313"/>
      <c r="AM29" s="313"/>
      <c r="AN29" s="313"/>
      <c r="AO29" s="313"/>
      <c r="AP29" s="313"/>
      <c r="AQ29" s="313"/>
      <c r="AR29" s="313"/>
      <c r="AS29" s="313"/>
      <c r="AT29" s="313"/>
      <c r="AU29" s="313"/>
      <c r="AV29" s="316"/>
      <c r="AW29" s="316"/>
      <c r="AX29" s="316"/>
      <c r="AY29" s="316"/>
      <c r="AZ29" s="316"/>
      <c r="BA29" s="795" t="s">
        <v>272</v>
      </c>
      <c r="BB29" s="587"/>
      <c r="BC29" s="587"/>
      <c r="BD29" s="587"/>
      <c r="BE29" s="587"/>
      <c r="BF29" s="796">
        <f>Q18-BA26+BA27</f>
        <v>1457.1928264241251</v>
      </c>
      <c r="BG29" s="796"/>
      <c r="BH29" s="796"/>
      <c r="BI29" s="796"/>
      <c r="BJ29" s="796"/>
      <c r="BK29" s="797"/>
    </row>
    <row r="30" spans="1:63" ht="20.25">
      <c r="A30" s="480"/>
      <c r="B30" s="307"/>
      <c r="C30" s="307"/>
      <c r="D30" s="307"/>
      <c r="E30" s="307"/>
      <c r="F30" s="307"/>
      <c r="G30" s="307"/>
      <c r="H30" s="307"/>
      <c r="I30" s="307"/>
      <c r="J30" s="307"/>
      <c r="K30" s="307"/>
      <c r="L30" s="307"/>
      <c r="M30" s="307"/>
      <c r="N30" s="307"/>
      <c r="O30" s="307"/>
      <c r="P30" s="307"/>
      <c r="Q30" s="307"/>
      <c r="R30" s="307"/>
      <c r="S30" s="307"/>
      <c r="T30" s="307"/>
      <c r="U30" s="307"/>
      <c r="V30" s="307"/>
      <c r="W30" s="307"/>
      <c r="X30" s="307"/>
      <c r="Y30" s="307"/>
      <c r="Z30" s="307"/>
      <c r="AA30" s="307"/>
      <c r="AB30" s="307"/>
      <c r="AC30" s="307"/>
      <c r="AD30" s="307"/>
      <c r="AE30" s="307"/>
      <c r="AF30" s="307"/>
      <c r="AG30" s="487"/>
      <c r="AH30" s="317"/>
      <c r="AI30" s="317"/>
      <c r="AJ30" s="317"/>
      <c r="AK30" s="317"/>
      <c r="AL30" s="317"/>
      <c r="AM30" s="317"/>
      <c r="AN30" s="317"/>
      <c r="AO30" s="317"/>
      <c r="AP30" s="317"/>
      <c r="AQ30" s="317"/>
      <c r="AR30" s="317"/>
      <c r="AS30" s="317"/>
      <c r="AT30" s="317"/>
      <c r="AU30" s="317"/>
      <c r="AV30" s="316"/>
      <c r="AW30" s="316"/>
      <c r="AX30" s="585" t="s">
        <v>273</v>
      </c>
      <c r="AY30" s="585"/>
      <c r="AZ30" s="585"/>
      <c r="BA30" s="585"/>
      <c r="BB30" s="585"/>
      <c r="BC30" s="585"/>
      <c r="BD30" s="585"/>
      <c r="BE30" s="586">
        <f>BF29-BA26+BA27</f>
        <v>1026.6233028482502</v>
      </c>
      <c r="BF30" s="586"/>
      <c r="BG30" s="586"/>
      <c r="BH30" s="586"/>
      <c r="BI30" s="586"/>
      <c r="BJ30" s="589"/>
      <c r="BK30" s="488"/>
    </row>
  </sheetData>
  <sheetProtection sheet="1" scenarios="1"/>
  <mergeCells count="196">
    <mergeCell ref="A2:AE2"/>
    <mergeCell ref="AG2:BK2"/>
    <mergeCell ref="AG3:AR4"/>
    <mergeCell ref="AV3:BD3"/>
    <mergeCell ref="BE3:BK3"/>
    <mergeCell ref="A4:I4"/>
    <mergeCell ref="K4:M4"/>
    <mergeCell ref="N4:P4"/>
    <mergeCell ref="Q4:T4"/>
    <mergeCell ref="U4:X4"/>
    <mergeCell ref="Y4:AA4"/>
    <mergeCell ref="AS4:AV4"/>
    <mergeCell ref="AW4:AZ4"/>
    <mergeCell ref="BA4:BD4"/>
    <mergeCell ref="BE4:BG4"/>
    <mergeCell ref="BH4:BK4"/>
    <mergeCell ref="BH5:BK5"/>
    <mergeCell ref="A6:I6"/>
    <mergeCell ref="K6:M6"/>
    <mergeCell ref="N6:P6"/>
    <mergeCell ref="Q6:T6"/>
    <mergeCell ref="AG6:AR6"/>
    <mergeCell ref="AS6:AV6"/>
    <mergeCell ref="AW6:AZ6"/>
    <mergeCell ref="BA6:BD6"/>
    <mergeCell ref="BE6:BG6"/>
    <mergeCell ref="BH6:BK6"/>
    <mergeCell ref="A5:I5"/>
    <mergeCell ref="K5:M5"/>
    <mergeCell ref="N5:P5"/>
    <mergeCell ref="Q5:T5"/>
    <mergeCell ref="AG5:AR5"/>
    <mergeCell ref="AS5:AV5"/>
    <mergeCell ref="AW5:AZ5"/>
    <mergeCell ref="BA5:BD5"/>
    <mergeCell ref="BE5:BG5"/>
    <mergeCell ref="K7:M7"/>
    <mergeCell ref="N7:P7"/>
    <mergeCell ref="Q7:T7"/>
    <mergeCell ref="AG7:AR7"/>
    <mergeCell ref="AS7:AV7"/>
    <mergeCell ref="AW7:AZ7"/>
    <mergeCell ref="BA7:BD7"/>
    <mergeCell ref="BE7:BG7"/>
    <mergeCell ref="BH7:BK7"/>
    <mergeCell ref="K8:M8"/>
    <mergeCell ref="N8:P8"/>
    <mergeCell ref="Q8:T8"/>
    <mergeCell ref="AG8:AR8"/>
    <mergeCell ref="AS8:AV8"/>
    <mergeCell ref="AW8:AZ8"/>
    <mergeCell ref="BA8:BD8"/>
    <mergeCell ref="BE8:BG8"/>
    <mergeCell ref="BH8:BK8"/>
    <mergeCell ref="K9:M9"/>
    <mergeCell ref="N9:P9"/>
    <mergeCell ref="Q9:T9"/>
    <mergeCell ref="AG9:AR9"/>
    <mergeCell ref="AS9:AV9"/>
    <mergeCell ref="AW9:AZ9"/>
    <mergeCell ref="BA9:BD9"/>
    <mergeCell ref="BE9:BG9"/>
    <mergeCell ref="BH9:BK9"/>
    <mergeCell ref="K10:M10"/>
    <mergeCell ref="N10:P10"/>
    <mergeCell ref="Q10:T10"/>
    <mergeCell ref="AG10:AR10"/>
    <mergeCell ref="AS10:AV10"/>
    <mergeCell ref="AW10:AZ10"/>
    <mergeCell ref="BA10:BD10"/>
    <mergeCell ref="BE10:BG10"/>
    <mergeCell ref="BH10:BK10"/>
    <mergeCell ref="K11:M11"/>
    <mergeCell ref="N11:P11"/>
    <mergeCell ref="Q11:T11"/>
    <mergeCell ref="AG11:AR11"/>
    <mergeCell ref="AS11:AV11"/>
    <mergeCell ref="AW11:AZ11"/>
    <mergeCell ref="BA11:BD11"/>
    <mergeCell ref="BE11:BG11"/>
    <mergeCell ref="BH11:BK11"/>
    <mergeCell ref="K12:M12"/>
    <mergeCell ref="N12:P12"/>
    <mergeCell ref="Q12:T12"/>
    <mergeCell ref="AG12:AR12"/>
    <mergeCell ref="AS12:AV12"/>
    <mergeCell ref="AW12:AZ12"/>
    <mergeCell ref="BA12:BD12"/>
    <mergeCell ref="BE12:BG12"/>
    <mergeCell ref="BH12:BK12"/>
    <mergeCell ref="K13:M13"/>
    <mergeCell ref="N13:P13"/>
    <mergeCell ref="Q13:T13"/>
    <mergeCell ref="AG13:AR13"/>
    <mergeCell ref="AS13:AV13"/>
    <mergeCell ref="AW13:AZ13"/>
    <mergeCell ref="BA13:BD13"/>
    <mergeCell ref="BE13:BG13"/>
    <mergeCell ref="BH13:BK13"/>
    <mergeCell ref="BH14:BK14"/>
    <mergeCell ref="K15:M15"/>
    <mergeCell ref="N15:P15"/>
    <mergeCell ref="Q15:T15"/>
    <mergeCell ref="AG15:AR15"/>
    <mergeCell ref="AS15:AV15"/>
    <mergeCell ref="AW15:AZ15"/>
    <mergeCell ref="BA15:BD15"/>
    <mergeCell ref="BE15:BG15"/>
    <mergeCell ref="BH15:BK15"/>
    <mergeCell ref="K14:M14"/>
    <mergeCell ref="N14:P14"/>
    <mergeCell ref="Q14:T14"/>
    <mergeCell ref="U14:X14"/>
    <mergeCell ref="AG14:AR14"/>
    <mergeCell ref="AS14:AV14"/>
    <mergeCell ref="AW14:AZ14"/>
    <mergeCell ref="BA14:BD14"/>
    <mergeCell ref="BE14:BG14"/>
    <mergeCell ref="BH16:BK16"/>
    <mergeCell ref="K17:M17"/>
    <mergeCell ref="N17:P17"/>
    <mergeCell ref="Q17:T17"/>
    <mergeCell ref="AS17:AV17"/>
    <mergeCell ref="AW17:AZ17"/>
    <mergeCell ref="BA17:BD17"/>
    <mergeCell ref="BE17:BG17"/>
    <mergeCell ref="BH17:BK17"/>
    <mergeCell ref="K16:M16"/>
    <mergeCell ref="N16:P16"/>
    <mergeCell ref="Q16:T16"/>
    <mergeCell ref="U16:X16"/>
    <mergeCell ref="AG16:AR16"/>
    <mergeCell ref="AS16:AV16"/>
    <mergeCell ref="AW16:AZ16"/>
    <mergeCell ref="BA16:BD16"/>
    <mergeCell ref="BE16:BG16"/>
    <mergeCell ref="A18:P18"/>
    <mergeCell ref="Q18:T18"/>
    <mergeCell ref="Y18:AA18"/>
    <mergeCell ref="AG18:AR18"/>
    <mergeCell ref="AS18:AV18"/>
    <mergeCell ref="AW18:AZ18"/>
    <mergeCell ref="BA18:BD18"/>
    <mergeCell ref="BE18:BG18"/>
    <mergeCell ref="BH18:BK18"/>
    <mergeCell ref="AG19:AR19"/>
    <mergeCell ref="AS19:AV19"/>
    <mergeCell ref="AW19:AZ19"/>
    <mergeCell ref="BA19:BD19"/>
    <mergeCell ref="BE19:BG19"/>
    <mergeCell ref="BH19:BK19"/>
    <mergeCell ref="BH22:BK22"/>
    <mergeCell ref="AG20:AR20"/>
    <mergeCell ref="AS20:AV20"/>
    <mergeCell ref="AW20:AZ20"/>
    <mergeCell ref="BA20:BD20"/>
    <mergeCell ref="BE20:BG20"/>
    <mergeCell ref="BH20:BK20"/>
    <mergeCell ref="AS21:AV21"/>
    <mergeCell ref="AW21:AZ21"/>
    <mergeCell ref="BA21:BD21"/>
    <mergeCell ref="BE21:BG21"/>
    <mergeCell ref="BH21:BK21"/>
    <mergeCell ref="AS22:AV22"/>
    <mergeCell ref="AW22:AZ22"/>
    <mergeCell ref="BA22:BD22"/>
    <mergeCell ref="BE22:BG22"/>
    <mergeCell ref="AG25:AR25"/>
    <mergeCell ref="AS25:AV25"/>
    <mergeCell ref="AW25:AZ25"/>
    <mergeCell ref="BA25:BD25"/>
    <mergeCell ref="BE25:BG25"/>
    <mergeCell ref="BH25:BK25"/>
    <mergeCell ref="AS23:AV23"/>
    <mergeCell ref="AW23:AZ23"/>
    <mergeCell ref="BA23:BD23"/>
    <mergeCell ref="BE23:BG23"/>
    <mergeCell ref="BH23:BK23"/>
    <mergeCell ref="AS24:AV24"/>
    <mergeCell ref="AW24:AZ24"/>
    <mergeCell ref="BA24:BD24"/>
    <mergeCell ref="BE24:BG24"/>
    <mergeCell ref="BH24:BK24"/>
    <mergeCell ref="AX30:BD30"/>
    <mergeCell ref="BE30:BJ30"/>
    <mergeCell ref="AS27:AV27"/>
    <mergeCell ref="AW27:AZ27"/>
    <mergeCell ref="BA27:BD27"/>
    <mergeCell ref="AG28:AR28"/>
    <mergeCell ref="BA29:BE29"/>
    <mergeCell ref="BF29:BK29"/>
    <mergeCell ref="AG26:AR26"/>
    <mergeCell ref="AS26:AV26"/>
    <mergeCell ref="AW26:AZ26"/>
    <mergeCell ref="BA26:BD26"/>
    <mergeCell ref="BH26:BK2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F15"/>
  <sheetViews>
    <sheetView workbookViewId="0">
      <selection activeCell="H17" sqref="H17"/>
    </sheetView>
  </sheetViews>
  <sheetFormatPr baseColWidth="10" defaultRowHeight="12.75"/>
  <cols>
    <col min="1" max="1" width="19.5703125" customWidth="1"/>
    <col min="2" max="2" width="30.5703125" customWidth="1"/>
    <col min="3" max="3" width="24.5703125" customWidth="1"/>
    <col min="5" max="5" width="16.7109375" bestFit="1" customWidth="1"/>
    <col min="6" max="6" width="22.7109375" customWidth="1"/>
  </cols>
  <sheetData>
    <row r="1" spans="1:6">
      <c r="A1" s="254"/>
      <c r="B1" s="254"/>
      <c r="C1" s="254"/>
    </row>
    <row r="2" spans="1:6" ht="15.75">
      <c r="A2" s="255" t="s">
        <v>282</v>
      </c>
      <c r="B2" s="255" t="s">
        <v>283</v>
      </c>
      <c r="C2" s="255" t="s">
        <v>284</v>
      </c>
      <c r="E2" s="255" t="s">
        <v>347</v>
      </c>
      <c r="F2" s="255" t="s">
        <v>348</v>
      </c>
    </row>
    <row r="3" spans="1:6" ht="15.75">
      <c r="A3" s="254" t="s">
        <v>285</v>
      </c>
      <c r="B3" s="256">
        <f>DATE(annee,1,1)</f>
        <v>43101</v>
      </c>
      <c r="C3" s="257" t="s">
        <v>286</v>
      </c>
      <c r="E3" t="s">
        <v>349</v>
      </c>
      <c r="F3" s="288">
        <f>DATE(annee,1,30)</f>
        <v>43130</v>
      </c>
    </row>
    <row r="4" spans="1:6" ht="15.75">
      <c r="A4" s="254" t="s">
        <v>287</v>
      </c>
      <c r="B4" s="256">
        <f>IF(MOD(19*MOD(annee,19)+24,30)+MOD(2*MOD(annee,4)+4*MOD(annee,7)+6*
MOD(19*MOD(annee,19)+24,30)+5,7)-9&lt;=0,DATE(annee,3,22+MOD(19*MOD(annee,
19)+24,30)+MOD(2*MOD(annee,4)+4*MOD(annee,7)+6*MOD(19*MOD(annee,19)+24,
30)+5,7)),DATE(annee,4,MOD(19*MOD(annee,19)+24,30)+MOD(2*MOD(annee,4)+4*
MOD(annee,7)+6*MOD(19*MOD(annee,19)+24,30)+5,7)-9))</f>
        <v>43191</v>
      </c>
      <c r="C4" s="257" t="s">
        <v>288</v>
      </c>
      <c r="E4" t="s">
        <v>350</v>
      </c>
      <c r="F4" s="288">
        <f>DATE(annee,1,31)</f>
        <v>43131</v>
      </c>
    </row>
    <row r="5" spans="1:6" ht="15.75">
      <c r="A5" s="254" t="s">
        <v>289</v>
      </c>
      <c r="B5" s="256">
        <f>+B4+1</f>
        <v>43192</v>
      </c>
      <c r="C5" s="257" t="s">
        <v>290</v>
      </c>
      <c r="E5" t="s">
        <v>351</v>
      </c>
      <c r="F5" s="288">
        <f>DATE(annee,2,1)</f>
        <v>43132</v>
      </c>
    </row>
    <row r="6" spans="1:6" ht="15.75">
      <c r="A6" s="254" t="s">
        <v>291</v>
      </c>
      <c r="B6" s="256">
        <f>DATE(annee,5,1)</f>
        <v>43221</v>
      </c>
      <c r="C6" s="257" t="s">
        <v>292</v>
      </c>
      <c r="E6" t="s">
        <v>353</v>
      </c>
      <c r="F6" s="288">
        <f>DATE(annee,6,4)</f>
        <v>43255</v>
      </c>
    </row>
    <row r="7" spans="1:6" ht="15.75">
      <c r="A7" s="254" t="s">
        <v>293</v>
      </c>
      <c r="B7" s="256">
        <f>+B6+7</f>
        <v>43228</v>
      </c>
      <c r="C7" s="257" t="s">
        <v>294</v>
      </c>
      <c r="E7" t="s">
        <v>354</v>
      </c>
      <c r="F7" s="288">
        <f>DATE(annee,6,6)</f>
        <v>43257</v>
      </c>
    </row>
    <row r="8" spans="1:6" ht="15.75">
      <c r="A8" s="254" t="s">
        <v>295</v>
      </c>
      <c r="B8" s="256">
        <f>39+B4</f>
        <v>43230</v>
      </c>
      <c r="C8" s="257" t="s">
        <v>296</v>
      </c>
      <c r="E8" t="s">
        <v>355</v>
      </c>
      <c r="F8" s="288">
        <f>DATE(annee,6,11)</f>
        <v>43262</v>
      </c>
    </row>
    <row r="9" spans="1:6" ht="15.75">
      <c r="A9" s="254" t="s">
        <v>297</v>
      </c>
      <c r="B9" s="256">
        <f>+B8+10</f>
        <v>43240</v>
      </c>
      <c r="C9" s="257" t="s">
        <v>298</v>
      </c>
      <c r="E9" t="s">
        <v>358</v>
      </c>
      <c r="F9" s="288">
        <f>DATE(annee,7,12)</f>
        <v>43293</v>
      </c>
    </row>
    <row r="10" spans="1:6" ht="15.75">
      <c r="A10" s="254" t="s">
        <v>299</v>
      </c>
      <c r="B10" s="256">
        <f>+B9+1</f>
        <v>43241</v>
      </c>
      <c r="C10" s="257" t="s">
        <v>300</v>
      </c>
      <c r="E10" t="s">
        <v>356</v>
      </c>
      <c r="F10" s="288">
        <f>DATE(annee,9,27)</f>
        <v>43370</v>
      </c>
    </row>
    <row r="11" spans="1:6" ht="15.75">
      <c r="A11" s="254" t="s">
        <v>301</v>
      </c>
      <c r="B11" s="256">
        <f>DATE(annee,7,14)</f>
        <v>43295</v>
      </c>
      <c r="C11" s="257" t="s">
        <v>302</v>
      </c>
    </row>
    <row r="12" spans="1:6" ht="15.75">
      <c r="A12" s="254" t="s">
        <v>303</v>
      </c>
      <c r="B12" s="256">
        <f>DATE(annee,8,15)</f>
        <v>43327</v>
      </c>
      <c r="C12" s="257" t="s">
        <v>304</v>
      </c>
    </row>
    <row r="13" spans="1:6" ht="15.75">
      <c r="A13" s="254" t="s">
        <v>305</v>
      </c>
      <c r="B13" s="256">
        <f>DATE(annee,11,1)</f>
        <v>43405</v>
      </c>
      <c r="C13" s="257" t="s">
        <v>306</v>
      </c>
      <c r="E13" t="s">
        <v>5</v>
      </c>
      <c r="F13" s="288">
        <f>DATE(annee,2,20)</f>
        <v>43151</v>
      </c>
    </row>
    <row r="14" spans="1:6" ht="15.75">
      <c r="A14" s="254" t="s">
        <v>307</v>
      </c>
      <c r="B14" s="256">
        <f>+B13+10</f>
        <v>43415</v>
      </c>
      <c r="C14" s="257" t="s">
        <v>308</v>
      </c>
      <c r="E14" t="s">
        <v>352</v>
      </c>
      <c r="F14" s="288">
        <f>DATE(annee,3,15)</f>
        <v>43174</v>
      </c>
    </row>
    <row r="15" spans="1:6" ht="15.75">
      <c r="A15" s="254" t="s">
        <v>309</v>
      </c>
      <c r="B15" s="256">
        <f>+DATE(annee,12,25)</f>
        <v>43459</v>
      </c>
      <c r="C15" s="257" t="s">
        <v>310</v>
      </c>
      <c r="E15" t="s">
        <v>357</v>
      </c>
      <c r="F15" s="288">
        <f>DATE(annee,3,19)</f>
        <v>43178</v>
      </c>
    </row>
  </sheetData>
  <sheetProtection sheet="1" scenarios="1"/>
  <hyperlinks>
    <hyperlink ref="A5" r:id="rId1"/>
    <hyperlink ref="A6" r:id="rId2"/>
    <hyperlink ref="A8" r:id="rId3"/>
    <hyperlink ref="A10" r:id="rId4"/>
    <hyperlink ref="A12" r:id="rId5"/>
    <hyperlink ref="A13" r:id="rId6"/>
    <hyperlink ref="A14" r:id="rId7" display="Armistice"/>
    <hyperlink ref="A15" r:id="rId8"/>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ID202"/>
  <sheetViews>
    <sheetView workbookViewId="0">
      <selection activeCell="A3" sqref="A3"/>
    </sheetView>
  </sheetViews>
  <sheetFormatPr baseColWidth="10" defaultRowHeight="12.75"/>
  <cols>
    <col min="1" max="1" width="16.5703125" style="504" customWidth="1"/>
    <col min="2" max="2" width="23.28515625" style="504" bestFit="1" customWidth="1"/>
    <col min="3" max="3" width="17.28515625" style="505" customWidth="1"/>
    <col min="4" max="237" width="11.42578125" style="504" customWidth="1"/>
  </cols>
  <sheetData>
    <row r="1" spans="1:238" s="518" customFormat="1" ht="89.25">
      <c r="A1" s="517" t="s">
        <v>359</v>
      </c>
      <c r="B1" s="516"/>
      <c r="C1" s="517"/>
      <c r="D1" s="516"/>
      <c r="E1" s="516"/>
      <c r="F1" s="516"/>
      <c r="G1" s="516"/>
      <c r="H1" s="516"/>
      <c r="I1" s="516"/>
      <c r="J1" s="516"/>
      <c r="K1" s="516"/>
      <c r="L1" s="516"/>
      <c r="M1" s="516"/>
      <c r="N1" s="516"/>
      <c r="O1" s="516"/>
      <c r="P1" s="516"/>
      <c r="Q1" s="516"/>
      <c r="R1" s="516"/>
      <c r="S1" s="516"/>
      <c r="T1" s="516"/>
      <c r="U1" s="516"/>
      <c r="V1" s="516"/>
      <c r="W1" s="516"/>
      <c r="X1" s="516"/>
      <c r="Y1" s="516"/>
      <c r="Z1" s="516"/>
      <c r="AA1" s="516"/>
      <c r="AB1" s="516"/>
      <c r="AC1" s="516"/>
      <c r="AD1" s="516"/>
      <c r="AE1" s="516"/>
      <c r="AF1" s="516"/>
      <c r="AG1" s="516"/>
      <c r="AH1" s="516"/>
      <c r="AI1" s="516"/>
      <c r="AJ1" s="516"/>
      <c r="AK1" s="516"/>
      <c r="AL1" s="516"/>
      <c r="AM1" s="516"/>
      <c r="AN1" s="516"/>
      <c r="AO1" s="516"/>
      <c r="AP1" s="516"/>
      <c r="AQ1" s="516"/>
      <c r="AR1" s="516"/>
      <c r="AS1" s="516"/>
      <c r="AT1" s="516"/>
      <c r="AU1" s="516"/>
      <c r="AV1" s="516"/>
      <c r="AW1" s="516"/>
      <c r="AX1" s="516"/>
      <c r="AY1" s="516"/>
      <c r="AZ1" s="516"/>
      <c r="BA1" s="516"/>
      <c r="BB1" s="516"/>
      <c r="BC1" s="516"/>
      <c r="BD1" s="516"/>
      <c r="BE1" s="516"/>
      <c r="BF1" s="516"/>
      <c r="BG1" s="516"/>
      <c r="BH1" s="516"/>
      <c r="BI1" s="516"/>
      <c r="BJ1" s="516"/>
      <c r="BK1" s="516"/>
      <c r="BL1" s="516"/>
      <c r="BM1" s="516"/>
      <c r="BN1" s="516"/>
      <c r="BO1" s="516"/>
      <c r="BP1" s="516"/>
      <c r="BQ1" s="516"/>
      <c r="BR1" s="516"/>
      <c r="BS1" s="516"/>
      <c r="BT1" s="516"/>
      <c r="BU1" s="516"/>
      <c r="BV1" s="516"/>
      <c r="BW1" s="516"/>
      <c r="BX1" s="516"/>
      <c r="BY1" s="516"/>
      <c r="BZ1" s="516"/>
      <c r="CA1" s="516"/>
      <c r="CB1" s="516"/>
      <c r="CC1" s="516"/>
      <c r="CD1" s="516"/>
      <c r="CE1" s="516"/>
      <c r="CF1" s="516"/>
      <c r="CG1" s="516"/>
      <c r="CH1" s="516"/>
      <c r="CI1" s="516"/>
      <c r="CJ1" s="516"/>
      <c r="CK1" s="516"/>
      <c r="CL1" s="516"/>
      <c r="CM1" s="516"/>
      <c r="CN1" s="516"/>
      <c r="CO1" s="516"/>
      <c r="CP1" s="516"/>
      <c r="CQ1" s="516"/>
      <c r="CR1" s="516"/>
      <c r="CS1" s="516"/>
      <c r="CT1" s="516"/>
      <c r="CU1" s="516"/>
      <c r="CV1" s="516"/>
      <c r="CW1" s="516"/>
      <c r="CX1" s="516"/>
      <c r="CY1" s="516"/>
      <c r="CZ1" s="516"/>
      <c r="DA1" s="516"/>
      <c r="DB1" s="516"/>
      <c r="DC1" s="516"/>
      <c r="DD1" s="516"/>
      <c r="DE1" s="516"/>
      <c r="DF1" s="516"/>
      <c r="DG1" s="516"/>
      <c r="DH1" s="516"/>
      <c r="DI1" s="516"/>
      <c r="DJ1" s="516"/>
      <c r="DK1" s="516"/>
      <c r="DL1" s="516"/>
      <c r="DM1" s="516"/>
      <c r="DN1" s="516"/>
      <c r="DO1" s="516"/>
      <c r="DP1" s="516"/>
      <c r="DQ1" s="516"/>
      <c r="DR1" s="516"/>
      <c r="DS1" s="516"/>
      <c r="DT1" s="516"/>
      <c r="DU1" s="516"/>
      <c r="DV1" s="516"/>
      <c r="DW1" s="516"/>
      <c r="DX1" s="516"/>
      <c r="DY1" s="516"/>
      <c r="DZ1" s="516"/>
      <c r="EA1" s="516"/>
      <c r="EB1" s="516"/>
      <c r="EC1" s="516"/>
      <c r="ED1" s="516"/>
      <c r="EE1" s="516"/>
      <c r="EF1" s="516"/>
      <c r="EG1" s="516"/>
      <c r="EH1" s="516"/>
      <c r="EI1" s="516"/>
      <c r="EJ1" s="516"/>
      <c r="EK1" s="516"/>
      <c r="EL1" s="516"/>
      <c r="EM1" s="516"/>
      <c r="EN1" s="516"/>
      <c r="EO1" s="516"/>
      <c r="EP1" s="516"/>
      <c r="EQ1" s="516"/>
      <c r="ER1" s="516"/>
      <c r="ES1" s="516"/>
      <c r="ET1" s="516"/>
      <c r="EU1" s="516"/>
      <c r="EV1" s="516"/>
      <c r="EW1" s="516"/>
      <c r="EX1" s="516"/>
      <c r="EY1" s="516"/>
      <c r="EZ1" s="516"/>
      <c r="FA1" s="516"/>
      <c r="FB1" s="516"/>
      <c r="FC1" s="516"/>
      <c r="FD1" s="516"/>
      <c r="FE1" s="516"/>
      <c r="FF1" s="516"/>
      <c r="FG1" s="516"/>
      <c r="FH1" s="516"/>
      <c r="FI1" s="516"/>
      <c r="FJ1" s="516"/>
      <c r="FK1" s="516"/>
      <c r="FL1" s="516"/>
      <c r="FM1" s="516"/>
      <c r="FN1" s="516"/>
      <c r="FO1" s="516"/>
      <c r="FP1" s="516"/>
      <c r="FQ1" s="516"/>
      <c r="FR1" s="516"/>
      <c r="FS1" s="516"/>
      <c r="FT1" s="516"/>
      <c r="FU1" s="516"/>
      <c r="FV1" s="516"/>
      <c r="FW1" s="516"/>
      <c r="FX1" s="516"/>
      <c r="FY1" s="516"/>
      <c r="FZ1" s="516"/>
      <c r="GA1" s="516"/>
      <c r="GB1" s="516"/>
      <c r="GC1" s="516"/>
      <c r="GD1" s="516"/>
      <c r="GE1" s="516"/>
      <c r="GF1" s="516"/>
      <c r="GG1" s="516"/>
      <c r="GH1" s="516"/>
      <c r="GI1" s="516"/>
      <c r="GJ1" s="516"/>
      <c r="GK1" s="516"/>
      <c r="GL1" s="516"/>
      <c r="GM1" s="516"/>
      <c r="GN1" s="516"/>
      <c r="GO1" s="516"/>
      <c r="GP1" s="516"/>
      <c r="GQ1" s="516"/>
      <c r="GR1" s="516"/>
      <c r="GS1" s="516"/>
      <c r="GT1" s="516"/>
      <c r="GU1" s="516"/>
      <c r="GV1" s="516"/>
      <c r="GW1" s="516"/>
      <c r="GX1" s="516"/>
      <c r="GY1" s="516"/>
      <c r="GZ1" s="516"/>
      <c r="HA1" s="516"/>
      <c r="HB1" s="516"/>
      <c r="HC1" s="516"/>
      <c r="HD1" s="516"/>
      <c r="HE1" s="516"/>
      <c r="HF1" s="516"/>
      <c r="HG1" s="516"/>
      <c r="HH1" s="516"/>
      <c r="HI1" s="516"/>
      <c r="HJ1" s="516"/>
      <c r="HK1" s="516"/>
      <c r="HL1" s="516"/>
      <c r="HM1" s="516"/>
      <c r="HN1" s="516"/>
      <c r="HO1" s="516"/>
      <c r="HP1" s="516"/>
      <c r="HQ1" s="516"/>
      <c r="HR1" s="516"/>
      <c r="HS1" s="516"/>
      <c r="HT1" s="516"/>
      <c r="HU1" s="516"/>
      <c r="HV1" s="516"/>
      <c r="HW1" s="516"/>
      <c r="HX1" s="516"/>
      <c r="HY1" s="516"/>
      <c r="HZ1" s="516"/>
      <c r="IA1" s="516"/>
      <c r="IB1" s="516"/>
      <c r="IC1" s="516"/>
    </row>
    <row r="2" spans="1:238">
      <c r="A2" s="504" t="s">
        <v>368</v>
      </c>
      <c r="B2" s="504" t="s">
        <v>360</v>
      </c>
      <c r="C2" s="505" t="s">
        <v>361</v>
      </c>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row>
    <row r="3" spans="1:238" s="507" customFormat="1">
      <c r="A3" s="507">
        <v>43288</v>
      </c>
      <c r="B3" s="508" t="s">
        <v>367</v>
      </c>
      <c r="C3" s="509"/>
      <c r="D3" s="508"/>
      <c r="E3" s="508"/>
      <c r="F3" s="508"/>
      <c r="G3" s="508"/>
      <c r="H3" s="508"/>
      <c r="I3" s="508"/>
      <c r="J3" s="508"/>
      <c r="K3" s="508"/>
      <c r="L3" s="508"/>
      <c r="M3" s="508"/>
      <c r="N3" s="508"/>
      <c r="O3" s="508"/>
      <c r="P3" s="508"/>
      <c r="Q3" s="508"/>
      <c r="R3" s="508"/>
      <c r="S3" s="508"/>
      <c r="T3" s="508"/>
      <c r="U3" s="508"/>
      <c r="V3" s="508"/>
      <c r="W3" s="508"/>
      <c r="X3" s="508"/>
      <c r="Y3" s="508"/>
      <c r="Z3" s="508"/>
      <c r="AA3" s="508"/>
      <c r="AB3" s="508"/>
      <c r="AC3" s="508"/>
      <c r="AD3" s="508"/>
      <c r="AE3" s="508"/>
      <c r="AF3" s="508"/>
      <c r="AG3" s="508"/>
      <c r="AH3" s="508"/>
      <c r="ID3" s="510"/>
    </row>
    <row r="4" spans="1:238" s="511" customFormat="1">
      <c r="A4" s="511">
        <v>43345</v>
      </c>
      <c r="B4" s="512" t="s">
        <v>362</v>
      </c>
      <c r="C4" s="513">
        <v>29221</v>
      </c>
      <c r="D4" s="512"/>
      <c r="E4" s="512"/>
      <c r="F4" s="512"/>
      <c r="G4" s="512"/>
      <c r="H4" s="512"/>
      <c r="I4" s="512"/>
      <c r="J4" s="512"/>
      <c r="K4" s="512"/>
      <c r="L4" s="512"/>
      <c r="M4" s="512"/>
      <c r="N4" s="512"/>
      <c r="O4" s="512"/>
      <c r="P4" s="512"/>
      <c r="Q4" s="512"/>
      <c r="R4" s="512"/>
      <c r="S4" s="512"/>
      <c r="T4" s="512"/>
      <c r="U4" s="512"/>
      <c r="V4" s="512"/>
      <c r="W4" s="512"/>
      <c r="X4" s="512"/>
      <c r="Y4" s="512"/>
      <c r="Z4" s="512"/>
      <c r="AA4" s="512"/>
      <c r="AB4" s="512"/>
      <c r="AC4" s="512"/>
      <c r="AD4" s="512"/>
      <c r="AE4" s="512"/>
      <c r="AF4" s="512"/>
      <c r="AG4" s="512"/>
      <c r="AH4" s="512"/>
      <c r="ID4" s="514"/>
    </row>
    <row r="5" spans="1:238" s="507" customFormat="1">
      <c r="A5" s="507">
        <v>43393</v>
      </c>
      <c r="B5" s="508" t="s">
        <v>363</v>
      </c>
      <c r="C5" s="509"/>
      <c r="D5" s="508"/>
      <c r="E5" s="508"/>
      <c r="F5" s="508"/>
      <c r="G5" s="508"/>
      <c r="H5" s="508"/>
      <c r="I5" s="508"/>
      <c r="J5" s="508"/>
      <c r="K5" s="508"/>
      <c r="L5" s="508"/>
      <c r="M5" s="508"/>
      <c r="N5" s="508"/>
      <c r="O5" s="508"/>
      <c r="P5" s="508"/>
      <c r="Q5" s="508"/>
      <c r="R5" s="508"/>
      <c r="S5" s="508"/>
      <c r="T5" s="508"/>
      <c r="U5" s="508"/>
      <c r="V5" s="508"/>
      <c r="W5" s="508"/>
      <c r="X5" s="508"/>
      <c r="Y5" s="508"/>
      <c r="Z5" s="508"/>
      <c r="AA5" s="508"/>
      <c r="AB5" s="508"/>
      <c r="AC5" s="508"/>
      <c r="AD5" s="508"/>
      <c r="AE5" s="508"/>
      <c r="AF5" s="508"/>
      <c r="AG5" s="508"/>
      <c r="AH5" s="508"/>
      <c r="ID5" s="510"/>
    </row>
    <row r="6" spans="1:238" s="511" customFormat="1">
      <c r="A6" s="511">
        <v>43408</v>
      </c>
      <c r="B6" s="512" t="s">
        <v>362</v>
      </c>
      <c r="C6" s="513"/>
      <c r="D6" s="512"/>
      <c r="E6" s="512"/>
      <c r="F6" s="512"/>
      <c r="G6" s="512"/>
      <c r="H6" s="512"/>
      <c r="I6" s="512"/>
      <c r="J6" s="512"/>
      <c r="K6" s="512"/>
      <c r="L6" s="512"/>
      <c r="M6" s="512"/>
      <c r="N6" s="512"/>
      <c r="O6" s="512"/>
      <c r="P6" s="512"/>
      <c r="Q6" s="512"/>
      <c r="R6" s="512"/>
      <c r="S6" s="512"/>
      <c r="T6" s="512"/>
      <c r="U6" s="512"/>
      <c r="V6" s="512"/>
      <c r="W6" s="512"/>
      <c r="X6" s="512"/>
      <c r="Y6" s="512"/>
      <c r="Z6" s="512"/>
      <c r="AA6" s="512"/>
      <c r="AB6" s="512"/>
      <c r="AC6" s="512"/>
      <c r="AD6" s="512"/>
      <c r="AE6" s="512"/>
      <c r="AF6" s="512"/>
      <c r="AG6" s="512"/>
      <c r="AH6" s="512"/>
      <c r="ID6" s="514"/>
    </row>
    <row r="7" spans="1:238">
      <c r="A7" s="515">
        <v>43456</v>
      </c>
      <c r="B7" s="506" t="s">
        <v>364</v>
      </c>
      <c r="D7" s="506"/>
      <c r="E7" s="506"/>
      <c r="F7" s="506"/>
      <c r="G7" s="506"/>
      <c r="H7" s="506"/>
      <c r="I7" s="506"/>
      <c r="J7" s="506"/>
      <c r="K7" s="506"/>
      <c r="L7" s="506"/>
      <c r="M7" s="506"/>
      <c r="N7" s="506"/>
      <c r="O7" s="506"/>
      <c r="P7" s="506"/>
      <c r="Q7" s="506"/>
      <c r="R7" s="506"/>
      <c r="S7" s="506"/>
      <c r="T7" s="506"/>
      <c r="U7" s="506"/>
      <c r="V7" s="506"/>
      <c r="W7" s="506"/>
      <c r="X7" s="506"/>
      <c r="Y7" s="506"/>
      <c r="Z7" s="506"/>
      <c r="AA7" s="506"/>
      <c r="AB7" s="506"/>
      <c r="AC7" s="506"/>
      <c r="AD7" s="506"/>
      <c r="AE7" s="506"/>
      <c r="AF7" s="506"/>
      <c r="AG7" s="506"/>
      <c r="AH7" s="506"/>
    </row>
    <row r="8" spans="1:238">
      <c r="A8" s="515">
        <v>43471</v>
      </c>
      <c r="B8" s="506" t="s">
        <v>362</v>
      </c>
      <c r="D8" s="506"/>
      <c r="E8" s="506"/>
      <c r="F8" s="506"/>
      <c r="G8" s="506"/>
      <c r="H8" s="506"/>
      <c r="I8" s="506"/>
      <c r="J8" s="506"/>
      <c r="K8" s="506"/>
      <c r="L8" s="506"/>
      <c r="M8" s="506"/>
      <c r="N8" s="506"/>
      <c r="O8" s="506"/>
      <c r="P8" s="506"/>
      <c r="Q8" s="506"/>
      <c r="R8" s="506"/>
      <c r="S8" s="506"/>
      <c r="T8" s="506"/>
      <c r="U8" s="506"/>
      <c r="V8" s="506"/>
      <c r="W8" s="506"/>
      <c r="X8" s="506"/>
      <c r="Y8" s="506"/>
      <c r="Z8" s="506"/>
      <c r="AA8" s="506"/>
      <c r="AB8" s="506"/>
      <c r="AC8" s="506"/>
      <c r="AD8" s="506"/>
      <c r="AE8" s="506"/>
      <c r="AF8" s="506"/>
      <c r="AG8" s="506"/>
      <c r="AH8" s="506"/>
    </row>
    <row r="9" spans="1:238" s="507" customFormat="1">
      <c r="A9" s="507">
        <v>43512</v>
      </c>
      <c r="B9" s="508" t="s">
        <v>365</v>
      </c>
      <c r="C9" s="509"/>
      <c r="D9" s="508"/>
      <c r="E9" s="508"/>
      <c r="F9" s="508"/>
      <c r="G9" s="508"/>
      <c r="H9" s="508"/>
      <c r="I9" s="508"/>
      <c r="J9" s="508"/>
      <c r="K9" s="508"/>
      <c r="L9" s="508"/>
      <c r="M9" s="508"/>
      <c r="N9" s="508"/>
      <c r="O9" s="508"/>
      <c r="P9" s="508"/>
      <c r="Q9" s="508"/>
      <c r="R9" s="508"/>
      <c r="S9" s="508"/>
      <c r="T9" s="508"/>
      <c r="U9" s="508"/>
      <c r="V9" s="508"/>
      <c r="W9" s="508"/>
      <c r="X9" s="508"/>
      <c r="Y9" s="508"/>
      <c r="Z9" s="508"/>
      <c r="AA9" s="508"/>
      <c r="AB9" s="508"/>
      <c r="AC9" s="508"/>
      <c r="AD9" s="508"/>
      <c r="AE9" s="508"/>
      <c r="AF9" s="508"/>
      <c r="AG9" s="508"/>
      <c r="AH9" s="508"/>
      <c r="ID9" s="510"/>
    </row>
    <row r="10" spans="1:238" s="511" customFormat="1">
      <c r="A10" s="511">
        <v>43527</v>
      </c>
      <c r="B10" s="512" t="s">
        <v>362</v>
      </c>
      <c r="C10" s="513"/>
      <c r="D10" s="512"/>
      <c r="E10" s="512"/>
      <c r="F10" s="512"/>
      <c r="G10" s="512"/>
      <c r="H10" s="512"/>
      <c r="I10" s="512"/>
      <c r="J10" s="512"/>
      <c r="K10" s="512"/>
      <c r="L10" s="512"/>
      <c r="M10" s="512"/>
      <c r="N10" s="512"/>
      <c r="O10" s="512"/>
      <c r="P10" s="512"/>
      <c r="Q10" s="512"/>
      <c r="R10" s="512"/>
      <c r="S10" s="512"/>
      <c r="T10" s="512"/>
      <c r="U10" s="512"/>
      <c r="V10" s="512"/>
      <c r="W10" s="512"/>
      <c r="X10" s="512"/>
      <c r="Y10" s="512"/>
      <c r="Z10" s="512"/>
      <c r="AA10" s="512"/>
      <c r="AB10" s="512"/>
      <c r="AC10" s="512"/>
      <c r="AD10" s="512"/>
      <c r="AE10" s="512"/>
      <c r="AF10" s="512"/>
      <c r="AG10" s="512"/>
      <c r="AH10" s="512"/>
      <c r="ID10" s="514"/>
    </row>
    <row r="11" spans="1:238">
      <c r="A11" s="515">
        <v>43568</v>
      </c>
      <c r="B11" s="506" t="s">
        <v>366</v>
      </c>
      <c r="D11" s="506"/>
      <c r="E11" s="506"/>
      <c r="F11" s="506"/>
      <c r="G11" s="506"/>
      <c r="H11" s="506"/>
      <c r="I11" s="506"/>
      <c r="J11" s="506"/>
      <c r="K11" s="506"/>
      <c r="L11" s="506"/>
      <c r="M11" s="506"/>
      <c r="N11" s="506"/>
      <c r="O11" s="506"/>
      <c r="P11" s="506"/>
      <c r="Q11" s="506"/>
      <c r="R11" s="506"/>
      <c r="S11" s="506"/>
      <c r="T11" s="506"/>
      <c r="U11" s="506"/>
      <c r="V11" s="506"/>
      <c r="W11" s="506"/>
      <c r="X11" s="506"/>
      <c r="Y11" s="506"/>
      <c r="Z11" s="506"/>
      <c r="AA11" s="506"/>
      <c r="AB11" s="506"/>
      <c r="AC11" s="506"/>
      <c r="AD11" s="506"/>
      <c r="AE11" s="506"/>
      <c r="AF11" s="506"/>
      <c r="AG11" s="506"/>
      <c r="AH11" s="506"/>
    </row>
    <row r="12" spans="1:238">
      <c r="A12" s="515">
        <v>43584</v>
      </c>
      <c r="B12" s="506" t="s">
        <v>362</v>
      </c>
      <c r="D12" s="506"/>
      <c r="E12" s="506"/>
      <c r="F12" s="506"/>
      <c r="G12" s="506"/>
      <c r="H12" s="506"/>
      <c r="I12" s="506"/>
      <c r="J12" s="506"/>
      <c r="K12" s="506"/>
      <c r="L12" s="506"/>
      <c r="M12" s="506"/>
      <c r="N12" s="506"/>
      <c r="O12" s="506"/>
      <c r="P12" s="506"/>
      <c r="Q12" s="506"/>
      <c r="R12" s="506"/>
      <c r="S12" s="506"/>
      <c r="T12" s="506"/>
      <c r="U12" s="506"/>
      <c r="V12" s="506"/>
      <c r="W12" s="506"/>
      <c r="X12" s="506"/>
      <c r="Y12" s="506"/>
      <c r="Z12" s="506"/>
      <c r="AA12" s="506"/>
      <c r="AB12" s="506"/>
      <c r="AC12" s="506"/>
      <c r="AD12" s="506"/>
      <c r="AE12" s="506"/>
      <c r="AF12" s="506"/>
      <c r="AG12" s="506"/>
      <c r="AH12" s="506"/>
    </row>
    <row r="13" spans="1:238" s="507" customFormat="1">
      <c r="A13" s="507">
        <v>43652</v>
      </c>
      <c r="B13" s="508" t="s">
        <v>367</v>
      </c>
      <c r="C13" s="509"/>
      <c r="D13" s="508"/>
      <c r="E13" s="508"/>
      <c r="F13" s="508"/>
      <c r="G13" s="508"/>
      <c r="H13" s="508"/>
      <c r="I13" s="508"/>
      <c r="J13" s="508"/>
      <c r="K13" s="508"/>
      <c r="L13" s="508"/>
      <c r="M13" s="508"/>
      <c r="N13" s="508"/>
      <c r="O13" s="508"/>
      <c r="P13" s="508"/>
      <c r="Q13" s="508"/>
      <c r="R13" s="508"/>
      <c r="S13" s="508"/>
      <c r="T13" s="508"/>
      <c r="U13" s="508"/>
      <c r="V13" s="508"/>
      <c r="W13" s="508"/>
      <c r="X13" s="508"/>
      <c r="Y13" s="508"/>
      <c r="Z13" s="508"/>
      <c r="AA13" s="508"/>
      <c r="AB13" s="508"/>
      <c r="AC13" s="508"/>
      <c r="AD13" s="508"/>
      <c r="AE13" s="508"/>
      <c r="AF13" s="508"/>
      <c r="AG13" s="508"/>
      <c r="AH13" s="508"/>
      <c r="ID13" s="510"/>
    </row>
    <row r="14" spans="1:238" s="511" customFormat="1">
      <c r="A14" s="511">
        <v>43710</v>
      </c>
      <c r="B14" s="512" t="s">
        <v>362</v>
      </c>
      <c r="C14" s="513"/>
      <c r="D14" s="512"/>
      <c r="E14" s="512"/>
      <c r="F14" s="512"/>
      <c r="G14" s="512"/>
      <c r="H14" s="512"/>
      <c r="I14" s="512"/>
      <c r="J14" s="512"/>
      <c r="K14" s="512"/>
      <c r="L14" s="512"/>
      <c r="M14" s="512"/>
      <c r="N14" s="512"/>
      <c r="O14" s="512"/>
      <c r="P14" s="512"/>
      <c r="Q14" s="512"/>
      <c r="R14" s="512"/>
      <c r="S14" s="512"/>
      <c r="T14" s="512"/>
      <c r="U14" s="512"/>
      <c r="V14" s="512"/>
      <c r="W14" s="512"/>
      <c r="X14" s="512"/>
      <c r="Y14" s="512"/>
      <c r="Z14" s="512"/>
      <c r="AA14" s="512"/>
      <c r="AB14" s="512"/>
      <c r="AC14" s="512"/>
      <c r="AD14" s="512"/>
      <c r="AE14" s="512"/>
      <c r="AF14" s="512"/>
      <c r="AG14" s="512"/>
      <c r="AH14" s="512"/>
      <c r="ID14" s="514"/>
    </row>
    <row r="15" spans="1:238">
      <c r="A15" s="515">
        <v>43757</v>
      </c>
      <c r="B15" s="506" t="s">
        <v>363</v>
      </c>
      <c r="D15" s="506"/>
      <c r="E15" s="506"/>
      <c r="F15" s="506"/>
      <c r="G15" s="506"/>
      <c r="H15" s="506"/>
      <c r="I15" s="506"/>
      <c r="J15" s="506"/>
      <c r="K15" s="506"/>
      <c r="L15" s="506"/>
      <c r="M15" s="506"/>
      <c r="N15" s="506"/>
      <c r="O15" s="506"/>
      <c r="P15" s="506"/>
      <c r="Q15" s="506"/>
      <c r="R15" s="506"/>
      <c r="S15" s="506"/>
      <c r="T15" s="506"/>
      <c r="U15" s="506"/>
      <c r="V15" s="506"/>
      <c r="W15" s="506"/>
      <c r="X15" s="506"/>
      <c r="Y15" s="506"/>
      <c r="Z15" s="506"/>
      <c r="AA15" s="506"/>
      <c r="AB15" s="506"/>
      <c r="AC15" s="506"/>
      <c r="AD15" s="506"/>
      <c r="AE15" s="506"/>
      <c r="AF15" s="506"/>
      <c r="AG15" s="506"/>
      <c r="AH15" s="506"/>
    </row>
    <row r="16" spans="1:238">
      <c r="A16" s="515">
        <v>43772</v>
      </c>
      <c r="B16" s="506" t="s">
        <v>362</v>
      </c>
      <c r="D16" s="506"/>
      <c r="E16" s="506"/>
      <c r="F16" s="506"/>
      <c r="G16" s="506"/>
      <c r="H16" s="506"/>
      <c r="I16" s="506"/>
      <c r="J16" s="506"/>
      <c r="K16" s="506"/>
      <c r="L16" s="506"/>
      <c r="M16" s="506"/>
      <c r="N16" s="506"/>
      <c r="O16" s="506"/>
      <c r="P16" s="506"/>
      <c r="Q16" s="506"/>
      <c r="R16" s="506"/>
      <c r="S16" s="506"/>
      <c r="T16" s="506"/>
      <c r="U16" s="506"/>
      <c r="V16" s="506"/>
      <c r="W16" s="506"/>
      <c r="X16" s="506"/>
      <c r="Y16" s="506"/>
      <c r="Z16" s="506"/>
      <c r="AA16" s="506"/>
      <c r="AB16" s="506"/>
      <c r="AC16" s="506"/>
      <c r="AD16" s="506"/>
      <c r="AE16" s="506"/>
      <c r="AF16" s="506"/>
      <c r="AG16" s="506"/>
      <c r="AH16" s="506"/>
    </row>
    <row r="17" spans="1:238" s="507" customFormat="1">
      <c r="A17" s="507">
        <v>43820</v>
      </c>
      <c r="B17" s="508" t="s">
        <v>364</v>
      </c>
      <c r="C17" s="509"/>
      <c r="D17" s="508"/>
      <c r="E17" s="508"/>
      <c r="F17" s="508"/>
      <c r="G17" s="508"/>
      <c r="H17" s="508"/>
      <c r="I17" s="508"/>
      <c r="J17" s="508"/>
      <c r="K17" s="508"/>
      <c r="L17" s="508"/>
      <c r="M17" s="508"/>
      <c r="N17" s="508"/>
      <c r="O17" s="508"/>
      <c r="P17" s="508"/>
      <c r="Q17" s="508"/>
      <c r="R17" s="508"/>
      <c r="S17" s="508"/>
      <c r="T17" s="508"/>
      <c r="U17" s="508"/>
      <c r="V17" s="508"/>
      <c r="W17" s="508"/>
      <c r="X17" s="508"/>
      <c r="Y17" s="508"/>
      <c r="Z17" s="508"/>
      <c r="AA17" s="508"/>
      <c r="AB17" s="508"/>
      <c r="AC17" s="508"/>
      <c r="AD17" s="508"/>
      <c r="AE17" s="508"/>
      <c r="AF17" s="508"/>
      <c r="AG17" s="508"/>
      <c r="AH17" s="508"/>
      <c r="ID17" s="510"/>
    </row>
    <row r="18" spans="1:238" s="511" customFormat="1">
      <c r="A18" s="511">
        <v>43835</v>
      </c>
      <c r="B18" s="512" t="s">
        <v>362</v>
      </c>
      <c r="C18" s="513"/>
      <c r="D18" s="512"/>
      <c r="E18" s="512"/>
      <c r="F18" s="512"/>
      <c r="G18" s="512"/>
      <c r="H18" s="512"/>
      <c r="I18" s="512"/>
      <c r="J18" s="512"/>
      <c r="K18" s="512"/>
      <c r="L18" s="512"/>
      <c r="M18" s="512"/>
      <c r="N18" s="512"/>
      <c r="O18" s="512"/>
      <c r="P18" s="512"/>
      <c r="Q18" s="512"/>
      <c r="R18" s="512"/>
      <c r="S18" s="512"/>
      <c r="T18" s="512"/>
      <c r="U18" s="512"/>
      <c r="V18" s="512"/>
      <c r="W18" s="512"/>
      <c r="X18" s="512"/>
      <c r="Y18" s="512"/>
      <c r="Z18" s="512"/>
      <c r="AA18" s="512"/>
      <c r="AB18" s="512"/>
      <c r="AC18" s="512"/>
      <c r="AD18" s="512"/>
      <c r="AE18" s="512"/>
      <c r="AF18" s="512"/>
      <c r="AG18" s="512"/>
      <c r="AH18" s="512"/>
      <c r="ID18" s="514"/>
    </row>
    <row r="19" spans="1:238">
      <c r="A19" s="515">
        <v>43883</v>
      </c>
      <c r="B19" s="506" t="s">
        <v>365</v>
      </c>
      <c r="D19" s="506"/>
      <c r="E19" s="506"/>
      <c r="F19" s="506"/>
      <c r="G19" s="506"/>
      <c r="H19" s="506"/>
      <c r="I19" s="506"/>
      <c r="J19" s="506"/>
      <c r="K19" s="506"/>
      <c r="L19" s="506"/>
      <c r="M19" s="506"/>
      <c r="N19" s="506"/>
      <c r="O19" s="506"/>
      <c r="P19" s="506"/>
      <c r="Q19" s="506"/>
      <c r="R19" s="506"/>
      <c r="S19" s="506"/>
      <c r="T19" s="506"/>
      <c r="U19" s="506"/>
      <c r="V19" s="506"/>
      <c r="W19" s="506"/>
      <c r="X19" s="506"/>
      <c r="Y19" s="506"/>
      <c r="Z19" s="506"/>
      <c r="AA19" s="506"/>
      <c r="AB19" s="506"/>
      <c r="AC19" s="506"/>
      <c r="AD19" s="506"/>
      <c r="AE19" s="506"/>
      <c r="AF19" s="506"/>
      <c r="AG19" s="506"/>
      <c r="AH19" s="506"/>
    </row>
    <row r="20" spans="1:238">
      <c r="A20" s="515">
        <v>43899</v>
      </c>
      <c r="B20" s="506" t="s">
        <v>362</v>
      </c>
      <c r="D20" s="506"/>
      <c r="E20" s="506"/>
      <c r="F20" s="506"/>
      <c r="G20" s="506"/>
      <c r="H20" s="506"/>
      <c r="I20" s="506"/>
      <c r="J20" s="506"/>
      <c r="K20" s="506"/>
      <c r="L20" s="506"/>
      <c r="M20" s="506"/>
      <c r="N20" s="506"/>
      <c r="O20" s="506"/>
      <c r="P20" s="506"/>
      <c r="Q20" s="506"/>
      <c r="R20" s="506"/>
      <c r="S20" s="506"/>
      <c r="T20" s="506"/>
      <c r="U20" s="506"/>
      <c r="V20" s="506"/>
      <c r="W20" s="506"/>
      <c r="X20" s="506"/>
      <c r="Y20" s="506"/>
      <c r="Z20" s="506"/>
      <c r="AA20" s="506"/>
      <c r="AB20" s="506"/>
      <c r="AC20" s="506"/>
      <c r="AD20" s="506"/>
      <c r="AE20" s="506"/>
      <c r="AF20" s="506"/>
      <c r="AG20" s="506"/>
      <c r="AH20" s="506"/>
    </row>
    <row r="21" spans="1:238" s="507" customFormat="1">
      <c r="A21" s="507">
        <v>43939</v>
      </c>
      <c r="B21" s="508" t="s">
        <v>366</v>
      </c>
      <c r="C21" s="509"/>
      <c r="D21" s="508"/>
      <c r="E21" s="508"/>
      <c r="F21" s="508"/>
      <c r="G21" s="508"/>
      <c r="H21" s="508"/>
      <c r="I21" s="508"/>
      <c r="J21" s="508"/>
      <c r="K21" s="508"/>
      <c r="L21" s="508"/>
      <c r="M21" s="508"/>
      <c r="N21" s="508"/>
      <c r="O21" s="508"/>
      <c r="P21" s="508"/>
      <c r="Q21" s="508"/>
      <c r="R21" s="508"/>
      <c r="S21" s="508"/>
      <c r="T21" s="508"/>
      <c r="U21" s="508"/>
      <c r="V21" s="508"/>
      <c r="W21" s="508"/>
      <c r="X21" s="508"/>
      <c r="Y21" s="508"/>
      <c r="Z21" s="508"/>
      <c r="AA21" s="508"/>
      <c r="AB21" s="508"/>
      <c r="AC21" s="508"/>
      <c r="AD21" s="508"/>
      <c r="AE21" s="508"/>
      <c r="AF21" s="508"/>
      <c r="AG21" s="508"/>
      <c r="AH21" s="508"/>
      <c r="ID21" s="510"/>
    </row>
    <row r="22" spans="1:238" s="511" customFormat="1">
      <c r="A22" s="511">
        <v>43954</v>
      </c>
      <c r="B22" s="512" t="s">
        <v>362</v>
      </c>
      <c r="C22" s="513"/>
      <c r="D22" s="512"/>
      <c r="E22" s="512"/>
      <c r="F22" s="512"/>
      <c r="G22" s="512"/>
      <c r="H22" s="512"/>
      <c r="I22" s="512"/>
      <c r="J22" s="512"/>
      <c r="K22" s="512"/>
      <c r="L22" s="512"/>
      <c r="M22" s="512"/>
      <c r="N22" s="512"/>
      <c r="O22" s="512"/>
      <c r="P22" s="512"/>
      <c r="Q22" s="512"/>
      <c r="R22" s="512"/>
      <c r="S22" s="512"/>
      <c r="T22" s="512"/>
      <c r="U22" s="512"/>
      <c r="V22" s="512"/>
      <c r="W22" s="512"/>
      <c r="X22" s="512"/>
      <c r="Y22" s="512"/>
      <c r="Z22" s="512"/>
      <c r="AA22" s="512"/>
      <c r="AB22" s="512"/>
      <c r="AC22" s="512"/>
      <c r="AD22" s="512"/>
      <c r="AE22" s="512"/>
      <c r="AF22" s="512"/>
      <c r="AG22" s="512"/>
      <c r="AH22" s="512"/>
      <c r="ID22" s="514"/>
    </row>
    <row r="23" spans="1:238">
      <c r="A23" s="515">
        <v>44016</v>
      </c>
      <c r="B23" s="506" t="s">
        <v>367</v>
      </c>
      <c r="D23" s="506"/>
      <c r="E23" s="506"/>
      <c r="F23" s="506"/>
      <c r="G23" s="506"/>
      <c r="H23" s="506"/>
      <c r="I23" s="506"/>
      <c r="J23" s="506"/>
      <c r="K23" s="506"/>
      <c r="L23" s="506"/>
      <c r="M23" s="506"/>
      <c r="N23" s="506"/>
      <c r="O23" s="506"/>
      <c r="P23" s="506"/>
      <c r="Q23" s="506"/>
      <c r="R23" s="506"/>
      <c r="S23" s="506"/>
      <c r="T23" s="506"/>
      <c r="U23" s="506"/>
      <c r="V23" s="506"/>
      <c r="W23" s="506"/>
      <c r="X23" s="506"/>
      <c r="Y23" s="506"/>
      <c r="Z23" s="506"/>
      <c r="AA23" s="506"/>
      <c r="AB23" s="506"/>
      <c r="AC23" s="506"/>
      <c r="AD23" s="506"/>
      <c r="AE23" s="506"/>
      <c r="AF23" s="506"/>
      <c r="AG23" s="506"/>
      <c r="AH23" s="506"/>
    </row>
    <row r="24" spans="1:238">
      <c r="A24" s="515">
        <v>44080</v>
      </c>
      <c r="B24" s="512" t="s">
        <v>362</v>
      </c>
      <c r="D24" s="506"/>
      <c r="E24" s="506"/>
      <c r="F24" s="506"/>
      <c r="G24" s="506"/>
      <c r="H24" s="506"/>
      <c r="I24" s="506"/>
      <c r="J24" s="506"/>
      <c r="K24" s="506"/>
      <c r="L24" s="506"/>
      <c r="M24" s="506"/>
      <c r="N24" s="506"/>
      <c r="O24" s="506"/>
      <c r="P24" s="506"/>
      <c r="Q24" s="506"/>
      <c r="R24" s="506"/>
      <c r="S24" s="506"/>
      <c r="T24" s="506"/>
      <c r="U24" s="506"/>
      <c r="V24" s="506"/>
      <c r="W24" s="506"/>
      <c r="X24" s="506"/>
      <c r="Y24" s="506"/>
      <c r="Z24" s="506"/>
      <c r="AA24" s="506"/>
      <c r="AB24" s="506"/>
      <c r="AC24" s="506"/>
      <c r="AD24" s="506"/>
      <c r="AE24" s="506"/>
      <c r="AF24" s="506"/>
      <c r="AG24" s="506"/>
      <c r="AH24" s="506"/>
    </row>
    <row r="25" spans="1:238" s="507" customFormat="1">
      <c r="B25" s="506" t="s">
        <v>363</v>
      </c>
      <c r="C25" s="509"/>
      <c r="D25" s="508"/>
      <c r="E25" s="508"/>
      <c r="F25" s="508"/>
      <c r="G25" s="508"/>
      <c r="H25" s="508"/>
      <c r="I25" s="508"/>
      <c r="J25" s="508"/>
      <c r="K25" s="508"/>
      <c r="L25" s="508"/>
      <c r="M25" s="508"/>
      <c r="N25" s="508"/>
      <c r="O25" s="508"/>
      <c r="P25" s="508"/>
      <c r="Q25" s="508"/>
      <c r="R25" s="508"/>
      <c r="S25" s="508"/>
      <c r="T25" s="508"/>
      <c r="U25" s="508"/>
      <c r="V25" s="508"/>
      <c r="W25" s="508"/>
      <c r="X25" s="508"/>
      <c r="Y25" s="508"/>
      <c r="Z25" s="508"/>
      <c r="AA25" s="508"/>
      <c r="AB25" s="508"/>
      <c r="AC25" s="508"/>
      <c r="AD25" s="508"/>
      <c r="AE25" s="508"/>
      <c r="AF25" s="508"/>
      <c r="AG25" s="508"/>
      <c r="AH25" s="508"/>
      <c r="ID25" s="510"/>
    </row>
    <row r="26" spans="1:238" s="511" customFormat="1">
      <c r="B26" s="506" t="s">
        <v>362</v>
      </c>
      <c r="C26" s="513"/>
      <c r="D26" s="512"/>
      <c r="E26" s="512"/>
      <c r="F26" s="512"/>
      <c r="G26" s="512"/>
      <c r="H26" s="512"/>
      <c r="I26" s="512"/>
      <c r="J26" s="512"/>
      <c r="K26" s="512"/>
      <c r="L26" s="512"/>
      <c r="M26" s="512"/>
      <c r="N26" s="512"/>
      <c r="O26" s="512"/>
      <c r="P26" s="512"/>
      <c r="Q26" s="512"/>
      <c r="R26" s="512"/>
      <c r="S26" s="512"/>
      <c r="T26" s="512"/>
      <c r="U26" s="512"/>
      <c r="V26" s="512"/>
      <c r="W26" s="512"/>
      <c r="X26" s="512"/>
      <c r="Y26" s="512"/>
      <c r="Z26" s="512"/>
      <c r="AA26" s="512"/>
      <c r="AB26" s="512"/>
      <c r="AC26" s="512"/>
      <c r="AD26" s="512"/>
      <c r="AE26" s="512"/>
      <c r="AF26" s="512"/>
      <c r="AG26" s="512"/>
      <c r="AH26" s="512"/>
      <c r="ID26" s="514"/>
    </row>
    <row r="27" spans="1:238">
      <c r="A27" s="515"/>
      <c r="B27" s="508" t="s">
        <v>364</v>
      </c>
      <c r="D27" s="506"/>
      <c r="E27" s="506"/>
      <c r="F27" s="506"/>
      <c r="G27" s="506"/>
      <c r="H27" s="506"/>
      <c r="I27" s="506"/>
      <c r="J27" s="506"/>
      <c r="K27" s="506"/>
      <c r="L27" s="506"/>
      <c r="M27" s="506"/>
      <c r="N27" s="506"/>
      <c r="O27" s="506"/>
      <c r="P27" s="506"/>
      <c r="Q27" s="506"/>
      <c r="R27" s="506"/>
      <c r="S27" s="506"/>
      <c r="T27" s="506"/>
      <c r="U27" s="506"/>
      <c r="V27" s="506"/>
      <c r="W27" s="506"/>
      <c r="X27" s="506"/>
      <c r="Y27" s="506"/>
      <c r="Z27" s="506"/>
      <c r="AA27" s="506"/>
      <c r="AB27" s="506"/>
      <c r="AC27" s="506"/>
      <c r="AD27" s="506"/>
      <c r="AE27" s="506"/>
      <c r="AF27" s="506"/>
      <c r="AG27" s="506"/>
      <c r="AH27" s="506"/>
    </row>
    <row r="28" spans="1:238">
      <c r="A28" s="515"/>
      <c r="B28" s="512" t="s">
        <v>362</v>
      </c>
      <c r="D28" s="506"/>
      <c r="E28" s="506"/>
      <c r="F28" s="506"/>
      <c r="G28" s="506"/>
      <c r="H28" s="506"/>
      <c r="I28" s="506"/>
      <c r="J28" s="506"/>
      <c r="K28" s="506"/>
      <c r="L28" s="506"/>
      <c r="M28" s="506"/>
      <c r="N28" s="506"/>
      <c r="O28" s="506"/>
      <c r="P28" s="506"/>
      <c r="Q28" s="506"/>
      <c r="R28" s="506"/>
      <c r="S28" s="506"/>
      <c r="T28" s="506"/>
      <c r="U28" s="506"/>
      <c r="V28" s="506"/>
      <c r="W28" s="506"/>
      <c r="X28" s="506"/>
      <c r="Y28" s="506"/>
      <c r="Z28" s="506"/>
      <c r="AA28" s="506"/>
      <c r="AB28" s="506"/>
      <c r="AC28" s="506"/>
      <c r="AD28" s="506"/>
      <c r="AE28" s="506"/>
      <c r="AF28" s="506"/>
      <c r="AG28" s="506"/>
      <c r="AH28" s="506"/>
    </row>
    <row r="29" spans="1:238" s="507" customFormat="1">
      <c r="B29" s="506" t="s">
        <v>365</v>
      </c>
      <c r="C29" s="509"/>
      <c r="D29" s="508"/>
      <c r="E29" s="508"/>
      <c r="F29" s="508"/>
      <c r="G29" s="508"/>
      <c r="H29" s="508"/>
      <c r="I29" s="508"/>
      <c r="J29" s="508"/>
      <c r="K29" s="508"/>
      <c r="L29" s="508"/>
      <c r="M29" s="508"/>
      <c r="N29" s="508"/>
      <c r="O29" s="508"/>
      <c r="P29" s="508"/>
      <c r="Q29" s="508"/>
      <c r="R29" s="508"/>
      <c r="S29" s="508"/>
      <c r="T29" s="508"/>
      <c r="U29" s="508"/>
      <c r="V29" s="508"/>
      <c r="W29" s="508"/>
      <c r="X29" s="508"/>
      <c r="Y29" s="508"/>
      <c r="Z29" s="508"/>
      <c r="AA29" s="508"/>
      <c r="AB29" s="508"/>
      <c r="AC29" s="508"/>
      <c r="AD29" s="508"/>
      <c r="AE29" s="508"/>
      <c r="AF29" s="508"/>
      <c r="AG29" s="508"/>
      <c r="AH29" s="508"/>
      <c r="ID29" s="510"/>
    </row>
    <row r="30" spans="1:238" s="511" customFormat="1">
      <c r="B30" s="506" t="s">
        <v>362</v>
      </c>
      <c r="C30" s="513"/>
      <c r="D30" s="512"/>
      <c r="E30" s="512"/>
      <c r="F30" s="512"/>
      <c r="G30" s="512"/>
      <c r="H30" s="512"/>
      <c r="I30" s="512"/>
      <c r="J30" s="512"/>
      <c r="K30" s="512"/>
      <c r="L30" s="512"/>
      <c r="M30" s="512"/>
      <c r="N30" s="512"/>
      <c r="O30" s="512"/>
      <c r="P30" s="512"/>
      <c r="Q30" s="512"/>
      <c r="R30" s="512"/>
      <c r="S30" s="512"/>
      <c r="T30" s="512"/>
      <c r="U30" s="512"/>
      <c r="V30" s="512"/>
      <c r="W30" s="512"/>
      <c r="X30" s="512"/>
      <c r="Y30" s="512"/>
      <c r="Z30" s="512"/>
      <c r="AA30" s="512"/>
      <c r="AB30" s="512"/>
      <c r="AC30" s="512"/>
      <c r="AD30" s="512"/>
      <c r="AE30" s="512"/>
      <c r="AF30" s="512"/>
      <c r="AG30" s="512"/>
      <c r="AH30" s="512"/>
      <c r="ID30" s="514"/>
    </row>
    <row r="31" spans="1:238">
      <c r="A31" s="515"/>
      <c r="B31" s="508" t="s">
        <v>366</v>
      </c>
      <c r="D31" s="506"/>
      <c r="E31" s="506"/>
      <c r="F31" s="506"/>
      <c r="G31" s="506"/>
      <c r="H31" s="506"/>
      <c r="I31" s="506"/>
      <c r="J31" s="506"/>
      <c r="K31" s="506"/>
      <c r="L31" s="506"/>
      <c r="M31" s="506"/>
      <c r="N31" s="506"/>
      <c r="O31" s="506"/>
      <c r="P31" s="506"/>
      <c r="Q31" s="506"/>
      <c r="R31" s="506"/>
      <c r="S31" s="506"/>
      <c r="T31" s="506"/>
      <c r="U31" s="506"/>
      <c r="V31" s="506"/>
      <c r="W31" s="506"/>
      <c r="X31" s="506"/>
      <c r="Y31" s="506"/>
      <c r="Z31" s="506"/>
      <c r="AA31" s="506"/>
      <c r="AB31" s="506"/>
      <c r="AC31" s="506"/>
      <c r="AD31" s="506"/>
      <c r="AE31" s="506"/>
      <c r="AF31" s="506"/>
      <c r="AG31" s="506"/>
      <c r="AH31" s="506"/>
    </row>
    <row r="32" spans="1:238">
      <c r="A32" s="515"/>
      <c r="B32" s="512" t="s">
        <v>362</v>
      </c>
      <c r="D32" s="506"/>
      <c r="E32" s="506"/>
      <c r="F32" s="506"/>
      <c r="G32" s="506"/>
      <c r="H32" s="506"/>
      <c r="I32" s="506"/>
      <c r="J32" s="506"/>
      <c r="K32" s="506"/>
      <c r="L32" s="506"/>
      <c r="M32" s="506"/>
      <c r="N32" s="506"/>
      <c r="O32" s="506"/>
      <c r="P32" s="506"/>
      <c r="Q32" s="506"/>
      <c r="R32" s="506"/>
      <c r="S32" s="506"/>
      <c r="T32" s="506"/>
      <c r="U32" s="506"/>
      <c r="V32" s="506"/>
      <c r="W32" s="506"/>
      <c r="X32" s="506"/>
      <c r="Y32" s="506"/>
      <c r="Z32" s="506"/>
      <c r="AA32" s="506"/>
      <c r="AB32" s="506"/>
      <c r="AC32" s="506"/>
      <c r="AD32" s="506"/>
      <c r="AE32" s="506"/>
      <c r="AF32" s="506"/>
      <c r="AG32" s="506"/>
      <c r="AH32" s="506"/>
    </row>
    <row r="33" spans="1:238" s="507" customFormat="1">
      <c r="B33" s="506" t="s">
        <v>367</v>
      </c>
      <c r="C33" s="509"/>
      <c r="D33" s="508"/>
      <c r="E33" s="508"/>
      <c r="F33" s="508"/>
      <c r="G33" s="508"/>
      <c r="H33" s="508"/>
      <c r="I33" s="508"/>
      <c r="J33" s="508"/>
      <c r="K33" s="508"/>
      <c r="L33" s="508"/>
      <c r="M33" s="508"/>
      <c r="N33" s="508"/>
      <c r="O33" s="508"/>
      <c r="P33" s="508"/>
      <c r="Q33" s="508"/>
      <c r="R33" s="508"/>
      <c r="S33" s="508"/>
      <c r="T33" s="508"/>
      <c r="U33" s="508"/>
      <c r="V33" s="508"/>
      <c r="W33" s="508"/>
      <c r="X33" s="508"/>
      <c r="Y33" s="508"/>
      <c r="Z33" s="508"/>
      <c r="AA33" s="508"/>
      <c r="AB33" s="508"/>
      <c r="AC33" s="508"/>
      <c r="AD33" s="508"/>
      <c r="AE33" s="508"/>
      <c r="AF33" s="508"/>
      <c r="AG33" s="508"/>
      <c r="AH33" s="508"/>
      <c r="ID33" s="510"/>
    </row>
    <row r="34" spans="1:238" s="511" customFormat="1">
      <c r="B34" s="512" t="s">
        <v>362</v>
      </c>
      <c r="C34" s="513"/>
      <c r="D34" s="512"/>
      <c r="E34" s="512"/>
      <c r="F34" s="512"/>
      <c r="G34" s="512"/>
      <c r="H34" s="512"/>
      <c r="I34" s="512"/>
      <c r="J34" s="512"/>
      <c r="K34" s="512"/>
      <c r="L34" s="512"/>
      <c r="M34" s="512"/>
      <c r="N34" s="512"/>
      <c r="O34" s="512"/>
      <c r="P34" s="512"/>
      <c r="Q34" s="512"/>
      <c r="R34" s="512"/>
      <c r="S34" s="512"/>
      <c r="T34" s="512"/>
      <c r="U34" s="512"/>
      <c r="V34" s="512"/>
      <c r="W34" s="512"/>
      <c r="X34" s="512"/>
      <c r="Y34" s="512"/>
      <c r="Z34" s="512"/>
      <c r="AA34" s="512"/>
      <c r="AB34" s="512"/>
      <c r="AC34" s="512"/>
      <c r="AD34" s="512"/>
      <c r="AE34" s="512"/>
      <c r="AF34" s="512"/>
      <c r="AG34" s="512"/>
      <c r="AH34" s="512"/>
      <c r="ID34" s="514"/>
    </row>
    <row r="35" spans="1:238" s="507" customFormat="1">
      <c r="B35" s="506" t="s">
        <v>363</v>
      </c>
      <c r="C35" s="509"/>
      <c r="D35" s="508"/>
      <c r="E35" s="508"/>
      <c r="F35" s="508"/>
      <c r="G35" s="508"/>
      <c r="H35" s="508"/>
      <c r="I35" s="508"/>
      <c r="J35" s="508"/>
      <c r="K35" s="508"/>
      <c r="L35" s="508"/>
      <c r="M35" s="508"/>
      <c r="N35" s="508"/>
      <c r="O35" s="508"/>
      <c r="P35" s="508"/>
      <c r="Q35" s="508"/>
      <c r="R35" s="508"/>
      <c r="S35" s="508"/>
      <c r="T35" s="508"/>
      <c r="U35" s="508"/>
      <c r="V35" s="508"/>
      <c r="W35" s="508"/>
      <c r="X35" s="508"/>
      <c r="Y35" s="508"/>
      <c r="Z35" s="508"/>
      <c r="AA35" s="508"/>
      <c r="AB35" s="508"/>
      <c r="AC35" s="508"/>
      <c r="AD35" s="508"/>
      <c r="AE35" s="508"/>
      <c r="AF35" s="508"/>
      <c r="AG35" s="508"/>
      <c r="AH35" s="508"/>
      <c r="ID35" s="510"/>
    </row>
    <row r="36" spans="1:238" s="511" customFormat="1">
      <c r="B36" s="506" t="s">
        <v>362</v>
      </c>
      <c r="C36" s="513"/>
      <c r="D36" s="512"/>
      <c r="E36" s="512"/>
      <c r="F36" s="512"/>
      <c r="G36" s="512"/>
      <c r="H36" s="512"/>
      <c r="I36" s="512"/>
      <c r="J36" s="512"/>
      <c r="K36" s="512"/>
      <c r="L36" s="512"/>
      <c r="M36" s="512"/>
      <c r="N36" s="512"/>
      <c r="O36" s="512"/>
      <c r="P36" s="512"/>
      <c r="Q36" s="512"/>
      <c r="R36" s="512"/>
      <c r="S36" s="512"/>
      <c r="T36" s="512"/>
      <c r="U36" s="512"/>
      <c r="V36" s="512"/>
      <c r="W36" s="512"/>
      <c r="X36" s="512"/>
      <c r="Y36" s="512"/>
      <c r="Z36" s="512"/>
      <c r="AA36" s="512"/>
      <c r="AB36" s="512"/>
      <c r="AC36" s="512"/>
      <c r="AD36" s="512"/>
      <c r="AE36" s="512"/>
      <c r="AF36" s="512"/>
      <c r="AG36" s="512"/>
      <c r="AH36" s="512"/>
      <c r="ID36" s="514"/>
    </row>
    <row r="37" spans="1:238">
      <c r="A37" s="515"/>
      <c r="B37" s="508" t="s">
        <v>364</v>
      </c>
      <c r="D37" s="506"/>
      <c r="E37" s="506"/>
      <c r="F37" s="506"/>
      <c r="G37" s="506"/>
      <c r="H37" s="506"/>
      <c r="I37" s="506"/>
      <c r="J37" s="506"/>
      <c r="K37" s="506"/>
      <c r="L37" s="506"/>
      <c r="M37" s="506"/>
      <c r="N37" s="506"/>
      <c r="O37" s="506"/>
      <c r="P37" s="506"/>
      <c r="Q37" s="506"/>
      <c r="R37" s="506"/>
      <c r="S37" s="506"/>
      <c r="T37" s="506"/>
      <c r="U37" s="506"/>
      <c r="V37" s="506"/>
      <c r="W37" s="506"/>
      <c r="X37" s="506"/>
      <c r="Y37" s="506"/>
      <c r="Z37" s="506"/>
      <c r="AA37" s="506"/>
      <c r="AB37" s="506"/>
      <c r="AC37" s="506"/>
      <c r="AD37" s="506"/>
      <c r="AE37" s="506"/>
      <c r="AF37" s="506"/>
      <c r="AG37" s="506"/>
      <c r="AH37" s="506"/>
    </row>
    <row r="38" spans="1:238">
      <c r="A38" s="515"/>
      <c r="B38" s="512" t="s">
        <v>362</v>
      </c>
      <c r="D38" s="506"/>
      <c r="E38" s="506"/>
      <c r="F38" s="506"/>
      <c r="G38" s="506"/>
      <c r="H38" s="506"/>
      <c r="I38" s="506"/>
      <c r="J38" s="506"/>
      <c r="K38" s="506"/>
      <c r="L38" s="506"/>
      <c r="M38" s="506"/>
      <c r="N38" s="506"/>
      <c r="O38" s="506"/>
      <c r="P38" s="506"/>
      <c r="Q38" s="506"/>
      <c r="R38" s="506"/>
      <c r="S38" s="506"/>
      <c r="T38" s="506"/>
      <c r="U38" s="506"/>
      <c r="V38" s="506"/>
      <c r="W38" s="506"/>
      <c r="X38" s="506"/>
      <c r="Y38" s="506"/>
      <c r="Z38" s="506"/>
      <c r="AA38" s="506"/>
      <c r="AB38" s="506"/>
      <c r="AC38" s="506"/>
      <c r="AD38" s="506"/>
      <c r="AE38" s="506"/>
      <c r="AF38" s="506"/>
      <c r="AG38" s="506"/>
      <c r="AH38" s="506"/>
    </row>
    <row r="39" spans="1:238" s="507" customFormat="1">
      <c r="B39" s="506" t="s">
        <v>365</v>
      </c>
      <c r="C39" s="509"/>
      <c r="D39" s="508"/>
      <c r="E39" s="508"/>
      <c r="F39" s="508"/>
      <c r="G39" s="508"/>
      <c r="H39" s="508"/>
      <c r="I39" s="508"/>
      <c r="J39" s="508"/>
      <c r="K39" s="508"/>
      <c r="L39" s="508"/>
      <c r="M39" s="508"/>
      <c r="N39" s="508"/>
      <c r="O39" s="508"/>
      <c r="P39" s="508"/>
      <c r="Q39" s="508"/>
      <c r="R39" s="508"/>
      <c r="S39" s="508"/>
      <c r="T39" s="508"/>
      <c r="U39" s="508"/>
      <c r="V39" s="508"/>
      <c r="W39" s="508"/>
      <c r="X39" s="508"/>
      <c r="Y39" s="508"/>
      <c r="Z39" s="508"/>
      <c r="AA39" s="508"/>
      <c r="AB39" s="508"/>
      <c r="AC39" s="508"/>
      <c r="AD39" s="508"/>
      <c r="AE39" s="508"/>
      <c r="AF39" s="508"/>
      <c r="AG39" s="508"/>
      <c r="AH39" s="508"/>
      <c r="ID39" s="510"/>
    </row>
    <row r="40" spans="1:238" s="511" customFormat="1">
      <c r="B40" s="506" t="s">
        <v>362</v>
      </c>
      <c r="C40" s="513"/>
      <c r="D40" s="512"/>
      <c r="E40" s="512"/>
      <c r="F40" s="512"/>
      <c r="G40" s="512"/>
      <c r="H40" s="512"/>
      <c r="I40" s="512"/>
      <c r="J40" s="512"/>
      <c r="K40" s="512"/>
      <c r="L40" s="512"/>
      <c r="M40" s="512"/>
      <c r="N40" s="512"/>
      <c r="O40" s="512"/>
      <c r="P40" s="512"/>
      <c r="Q40" s="512"/>
      <c r="R40" s="512"/>
      <c r="S40" s="512"/>
      <c r="T40" s="512"/>
      <c r="U40" s="512"/>
      <c r="V40" s="512"/>
      <c r="W40" s="512"/>
      <c r="X40" s="512"/>
      <c r="Y40" s="512"/>
      <c r="Z40" s="512"/>
      <c r="AA40" s="512"/>
      <c r="AB40" s="512"/>
      <c r="AC40" s="512"/>
      <c r="AD40" s="512"/>
      <c r="AE40" s="512"/>
      <c r="AF40" s="512"/>
      <c r="AG40" s="512"/>
      <c r="AH40" s="512"/>
      <c r="ID40" s="514"/>
    </row>
    <row r="41" spans="1:238">
      <c r="A41" s="515"/>
      <c r="B41" s="508" t="s">
        <v>366</v>
      </c>
      <c r="D41" s="506"/>
      <c r="E41" s="506"/>
      <c r="F41" s="506"/>
      <c r="G41" s="506"/>
      <c r="H41" s="506"/>
      <c r="I41" s="506"/>
      <c r="J41" s="506"/>
      <c r="K41" s="506"/>
      <c r="L41" s="506"/>
      <c r="M41" s="506"/>
      <c r="N41" s="506"/>
      <c r="O41" s="506"/>
      <c r="P41" s="506"/>
      <c r="Q41" s="506"/>
      <c r="R41" s="506"/>
      <c r="S41" s="506"/>
      <c r="T41" s="506"/>
      <c r="U41" s="506"/>
      <c r="V41" s="506"/>
      <c r="W41" s="506"/>
      <c r="X41" s="506"/>
      <c r="Y41" s="506"/>
      <c r="Z41" s="506"/>
      <c r="AA41" s="506"/>
      <c r="AB41" s="506"/>
      <c r="AC41" s="506"/>
      <c r="AD41" s="506"/>
      <c r="AE41" s="506"/>
      <c r="AF41" s="506"/>
      <c r="AG41" s="506"/>
      <c r="AH41" s="506"/>
    </row>
    <row r="42" spans="1:238">
      <c r="A42" s="515"/>
      <c r="B42" s="512" t="s">
        <v>362</v>
      </c>
      <c r="D42" s="506"/>
      <c r="E42" s="506"/>
      <c r="F42" s="506"/>
      <c r="G42" s="506"/>
      <c r="H42" s="506"/>
      <c r="I42" s="506"/>
      <c r="J42" s="506"/>
      <c r="K42" s="506"/>
      <c r="L42" s="506"/>
      <c r="M42" s="506"/>
      <c r="N42" s="506"/>
      <c r="O42" s="506"/>
      <c r="P42" s="506"/>
      <c r="Q42" s="506"/>
      <c r="R42" s="506"/>
      <c r="S42" s="506"/>
      <c r="T42" s="506"/>
      <c r="U42" s="506"/>
      <c r="V42" s="506"/>
      <c r="W42" s="506"/>
      <c r="X42" s="506"/>
      <c r="Y42" s="506"/>
      <c r="Z42" s="506"/>
      <c r="AA42" s="506"/>
      <c r="AB42" s="506"/>
      <c r="AC42" s="506"/>
      <c r="AD42" s="506"/>
      <c r="AE42" s="506"/>
      <c r="AF42" s="506"/>
      <c r="AG42" s="506"/>
      <c r="AH42" s="506"/>
    </row>
    <row r="43" spans="1:238" s="507" customFormat="1">
      <c r="B43" s="506" t="s">
        <v>367</v>
      </c>
      <c r="C43" s="509"/>
      <c r="D43" s="508"/>
      <c r="E43" s="508"/>
      <c r="F43" s="508"/>
      <c r="G43" s="508"/>
      <c r="H43" s="508"/>
      <c r="I43" s="508"/>
      <c r="J43" s="508"/>
      <c r="K43" s="508"/>
      <c r="L43" s="508"/>
      <c r="M43" s="508"/>
      <c r="N43" s="508"/>
      <c r="O43" s="508"/>
      <c r="P43" s="508"/>
      <c r="Q43" s="508"/>
      <c r="R43" s="508"/>
      <c r="S43" s="508"/>
      <c r="T43" s="508"/>
      <c r="U43" s="508"/>
      <c r="V43" s="508"/>
      <c r="W43" s="508"/>
      <c r="X43" s="508"/>
      <c r="Y43" s="508"/>
      <c r="Z43" s="508"/>
      <c r="AA43" s="508"/>
      <c r="AB43" s="508"/>
      <c r="AC43" s="508"/>
      <c r="AD43" s="508"/>
      <c r="AE43" s="508"/>
      <c r="AF43" s="508"/>
      <c r="AG43" s="508"/>
      <c r="AH43" s="508"/>
      <c r="ID43" s="510"/>
    </row>
    <row r="44" spans="1:238" s="511" customFormat="1">
      <c r="B44" s="512" t="s">
        <v>362</v>
      </c>
      <c r="C44" s="513"/>
      <c r="D44" s="512"/>
      <c r="E44" s="512"/>
      <c r="F44" s="512"/>
      <c r="G44" s="512"/>
      <c r="H44" s="512"/>
      <c r="I44" s="512"/>
      <c r="J44" s="512"/>
      <c r="K44" s="512"/>
      <c r="L44" s="512"/>
      <c r="M44" s="512"/>
      <c r="N44" s="512"/>
      <c r="O44" s="512"/>
      <c r="P44" s="512"/>
      <c r="Q44" s="512"/>
      <c r="R44" s="512"/>
      <c r="S44" s="512"/>
      <c r="T44" s="512"/>
      <c r="U44" s="512"/>
      <c r="V44" s="512"/>
      <c r="W44" s="512"/>
      <c r="X44" s="512"/>
      <c r="Y44" s="512"/>
      <c r="Z44" s="512"/>
      <c r="AA44" s="512"/>
      <c r="AB44" s="512"/>
      <c r="AC44" s="512"/>
      <c r="AD44" s="512"/>
      <c r="AE44" s="512"/>
      <c r="AF44" s="512"/>
      <c r="AG44" s="512"/>
      <c r="AH44" s="512"/>
      <c r="ID44" s="514"/>
    </row>
    <row r="45" spans="1:238">
      <c r="A45" s="515"/>
      <c r="B45" s="506" t="s">
        <v>363</v>
      </c>
      <c r="D45" s="506"/>
      <c r="E45" s="506"/>
      <c r="F45" s="506"/>
      <c r="G45" s="506"/>
      <c r="H45" s="506"/>
      <c r="I45" s="506"/>
      <c r="J45" s="506"/>
      <c r="K45" s="506"/>
      <c r="L45" s="506"/>
      <c r="M45" s="506"/>
      <c r="N45" s="506"/>
      <c r="O45" s="506"/>
      <c r="P45" s="506"/>
      <c r="Q45" s="506"/>
      <c r="R45" s="506"/>
      <c r="S45" s="506"/>
      <c r="T45" s="506"/>
      <c r="U45" s="506"/>
      <c r="V45" s="506"/>
      <c r="W45" s="506"/>
      <c r="X45" s="506"/>
      <c r="Y45" s="506"/>
      <c r="Z45" s="506"/>
      <c r="AA45" s="506"/>
      <c r="AB45" s="506"/>
      <c r="AC45" s="506"/>
      <c r="AD45" s="506"/>
      <c r="AE45" s="506"/>
      <c r="AF45" s="506"/>
      <c r="AG45" s="506"/>
      <c r="AH45" s="506"/>
    </row>
    <row r="46" spans="1:238">
      <c r="A46" s="515"/>
      <c r="B46" s="506" t="s">
        <v>362</v>
      </c>
      <c r="D46" s="506"/>
      <c r="E46" s="506"/>
      <c r="F46" s="506"/>
      <c r="G46" s="506"/>
      <c r="H46" s="506"/>
      <c r="I46" s="506"/>
      <c r="J46" s="506"/>
      <c r="K46" s="506"/>
      <c r="L46" s="506"/>
      <c r="M46" s="506"/>
      <c r="N46" s="506"/>
      <c r="O46" s="506"/>
      <c r="P46" s="506"/>
      <c r="Q46" s="506"/>
      <c r="R46" s="506"/>
      <c r="S46" s="506"/>
      <c r="T46" s="506"/>
      <c r="U46" s="506"/>
      <c r="V46" s="506"/>
      <c r="W46" s="506"/>
      <c r="X46" s="506"/>
      <c r="Y46" s="506"/>
      <c r="Z46" s="506"/>
      <c r="AA46" s="506"/>
      <c r="AB46" s="506"/>
      <c r="AC46" s="506"/>
      <c r="AD46" s="506"/>
      <c r="AE46" s="506"/>
      <c r="AF46" s="506"/>
      <c r="AG46" s="506"/>
      <c r="AH46" s="506"/>
    </row>
    <row r="47" spans="1:238" s="507" customFormat="1">
      <c r="B47" s="508" t="s">
        <v>364</v>
      </c>
      <c r="C47" s="509"/>
      <c r="D47" s="508"/>
      <c r="E47" s="508"/>
      <c r="F47" s="508"/>
      <c r="G47" s="508"/>
      <c r="H47" s="508"/>
      <c r="I47" s="508"/>
      <c r="J47" s="508"/>
      <c r="K47" s="508"/>
      <c r="L47" s="508"/>
      <c r="M47" s="508"/>
      <c r="N47" s="508"/>
      <c r="O47" s="508"/>
      <c r="P47" s="508"/>
      <c r="Q47" s="508"/>
      <c r="R47" s="508"/>
      <c r="S47" s="508"/>
      <c r="T47" s="508"/>
      <c r="U47" s="508"/>
      <c r="V47" s="508"/>
      <c r="W47" s="508"/>
      <c r="X47" s="508"/>
      <c r="Y47" s="508"/>
      <c r="Z47" s="508"/>
      <c r="AA47" s="508"/>
      <c r="AB47" s="508"/>
      <c r="AC47" s="508"/>
      <c r="AD47" s="508"/>
      <c r="AE47" s="508"/>
      <c r="AF47" s="508"/>
      <c r="AG47" s="508"/>
      <c r="AH47" s="508"/>
      <c r="ID47" s="510"/>
    </row>
    <row r="48" spans="1:238" s="511" customFormat="1">
      <c r="B48" s="512" t="s">
        <v>362</v>
      </c>
      <c r="C48" s="513"/>
      <c r="D48" s="512"/>
      <c r="E48" s="512"/>
      <c r="F48" s="512"/>
      <c r="G48" s="512"/>
      <c r="H48" s="512"/>
      <c r="I48" s="512"/>
      <c r="J48" s="512"/>
      <c r="K48" s="512"/>
      <c r="L48" s="512"/>
      <c r="M48" s="512"/>
      <c r="N48" s="512"/>
      <c r="O48" s="512"/>
      <c r="P48" s="512"/>
      <c r="Q48" s="512"/>
      <c r="R48" s="512"/>
      <c r="S48" s="512"/>
      <c r="T48" s="512"/>
      <c r="U48" s="512"/>
      <c r="V48" s="512"/>
      <c r="W48" s="512"/>
      <c r="X48" s="512"/>
      <c r="Y48" s="512"/>
      <c r="Z48" s="512"/>
      <c r="AA48" s="512"/>
      <c r="AB48" s="512"/>
      <c r="AC48" s="512"/>
      <c r="AD48" s="512"/>
      <c r="AE48" s="512"/>
      <c r="AF48" s="512"/>
      <c r="AG48" s="512"/>
      <c r="AH48" s="512"/>
      <c r="ID48" s="514"/>
    </row>
    <row r="49" spans="1:238">
      <c r="A49" s="515"/>
      <c r="B49" s="506" t="s">
        <v>365</v>
      </c>
      <c r="D49" s="506"/>
      <c r="E49" s="506"/>
      <c r="F49" s="506"/>
      <c r="G49" s="506"/>
      <c r="H49" s="506"/>
      <c r="I49" s="506"/>
      <c r="J49" s="506"/>
      <c r="K49" s="506"/>
      <c r="L49" s="506"/>
      <c r="M49" s="506"/>
      <c r="N49" s="506"/>
      <c r="O49" s="506"/>
      <c r="P49" s="506"/>
      <c r="Q49" s="506"/>
      <c r="R49" s="506"/>
      <c r="S49" s="506"/>
      <c r="T49" s="506"/>
      <c r="U49" s="506"/>
      <c r="V49" s="506"/>
      <c r="W49" s="506"/>
      <c r="X49" s="506"/>
      <c r="Y49" s="506"/>
      <c r="Z49" s="506"/>
      <c r="AA49" s="506"/>
      <c r="AB49" s="506"/>
      <c r="AC49" s="506"/>
      <c r="AD49" s="506"/>
      <c r="AE49" s="506"/>
      <c r="AF49" s="506"/>
      <c r="AG49" s="506"/>
      <c r="AH49" s="506"/>
    </row>
    <row r="50" spans="1:238">
      <c r="A50" s="515"/>
      <c r="B50" s="506" t="s">
        <v>362</v>
      </c>
      <c r="D50" s="506"/>
      <c r="E50" s="506"/>
      <c r="F50" s="506"/>
      <c r="G50" s="506"/>
      <c r="H50" s="506"/>
      <c r="I50" s="506"/>
      <c r="J50" s="506"/>
      <c r="K50" s="506"/>
      <c r="L50" s="506"/>
      <c r="M50" s="506"/>
      <c r="N50" s="506"/>
      <c r="O50" s="506"/>
      <c r="P50" s="506"/>
      <c r="Q50" s="506"/>
      <c r="R50" s="506"/>
      <c r="S50" s="506"/>
      <c r="T50" s="506"/>
      <c r="U50" s="506"/>
      <c r="V50" s="506"/>
      <c r="W50" s="506"/>
      <c r="X50" s="506"/>
      <c r="Y50" s="506"/>
      <c r="Z50" s="506"/>
      <c r="AA50" s="506"/>
      <c r="AB50" s="506"/>
      <c r="AC50" s="506"/>
      <c r="AD50" s="506"/>
      <c r="AE50" s="506"/>
      <c r="AF50" s="506"/>
      <c r="AG50" s="506"/>
      <c r="AH50" s="506"/>
    </row>
    <row r="51" spans="1:238" s="507" customFormat="1">
      <c r="B51" s="508" t="s">
        <v>366</v>
      </c>
      <c r="C51" s="509"/>
      <c r="D51" s="508"/>
      <c r="E51" s="508"/>
      <c r="F51" s="508"/>
      <c r="G51" s="508"/>
      <c r="H51" s="508"/>
      <c r="I51" s="508"/>
      <c r="J51" s="508"/>
      <c r="K51" s="508"/>
      <c r="L51" s="508"/>
      <c r="M51" s="508"/>
      <c r="N51" s="508"/>
      <c r="O51" s="508"/>
      <c r="P51" s="508"/>
      <c r="Q51" s="508"/>
      <c r="R51" s="508"/>
      <c r="S51" s="508"/>
      <c r="T51" s="508"/>
      <c r="U51" s="508"/>
      <c r="V51" s="508"/>
      <c r="W51" s="508"/>
      <c r="X51" s="508"/>
      <c r="Y51" s="508"/>
      <c r="Z51" s="508"/>
      <c r="AA51" s="508"/>
      <c r="AB51" s="508"/>
      <c r="AC51" s="508"/>
      <c r="AD51" s="508"/>
      <c r="AE51" s="508"/>
      <c r="AF51" s="508"/>
      <c r="AG51" s="508"/>
      <c r="AH51" s="508"/>
      <c r="ID51" s="510"/>
    </row>
    <row r="52" spans="1:238" s="511" customFormat="1">
      <c r="B52" s="512" t="s">
        <v>362</v>
      </c>
      <c r="C52" s="513"/>
      <c r="D52" s="512"/>
      <c r="E52" s="512"/>
      <c r="F52" s="512"/>
      <c r="G52" s="512"/>
      <c r="H52" s="512"/>
      <c r="I52" s="512"/>
      <c r="J52" s="512"/>
      <c r="K52" s="512"/>
      <c r="L52" s="512"/>
      <c r="M52" s="512"/>
      <c r="N52" s="512"/>
      <c r="O52" s="512"/>
      <c r="P52" s="512"/>
      <c r="Q52" s="512"/>
      <c r="R52" s="512"/>
      <c r="S52" s="512"/>
      <c r="T52" s="512"/>
      <c r="U52" s="512"/>
      <c r="V52" s="512"/>
      <c r="W52" s="512"/>
      <c r="X52" s="512"/>
      <c r="Y52" s="512"/>
      <c r="Z52" s="512"/>
      <c r="AA52" s="512"/>
      <c r="AB52" s="512"/>
      <c r="AC52" s="512"/>
      <c r="AD52" s="512"/>
      <c r="AE52" s="512"/>
      <c r="AF52" s="512"/>
      <c r="AG52" s="512"/>
      <c r="AH52" s="512"/>
      <c r="ID52" s="514"/>
    </row>
    <row r="53" spans="1:238">
      <c r="A53" s="515"/>
      <c r="B53" s="506" t="s">
        <v>367</v>
      </c>
      <c r="D53" s="506"/>
      <c r="E53" s="506"/>
      <c r="F53" s="506"/>
      <c r="G53" s="506"/>
      <c r="H53" s="506"/>
      <c r="I53" s="506"/>
      <c r="J53" s="506"/>
      <c r="K53" s="506"/>
      <c r="L53" s="506"/>
      <c r="M53" s="506"/>
      <c r="N53" s="506"/>
      <c r="O53" s="506"/>
      <c r="P53" s="506"/>
      <c r="Q53" s="506"/>
      <c r="R53" s="506"/>
      <c r="S53" s="506"/>
      <c r="T53" s="506"/>
      <c r="U53" s="506"/>
      <c r="V53" s="506"/>
      <c r="W53" s="506"/>
      <c r="X53" s="506"/>
      <c r="Y53" s="506"/>
      <c r="Z53" s="506"/>
      <c r="AA53" s="506"/>
      <c r="AB53" s="506"/>
      <c r="AC53" s="506"/>
      <c r="AD53" s="506"/>
      <c r="AE53" s="506"/>
      <c r="AF53" s="506"/>
      <c r="AG53" s="506"/>
      <c r="AH53" s="506"/>
    </row>
    <row r="54" spans="1:238">
      <c r="A54" s="515"/>
      <c r="B54" s="506" t="s">
        <v>362</v>
      </c>
      <c r="D54" s="506"/>
      <c r="E54" s="506"/>
      <c r="F54" s="506"/>
      <c r="G54" s="506"/>
      <c r="H54" s="506"/>
      <c r="I54" s="506"/>
      <c r="J54" s="506"/>
      <c r="K54" s="506"/>
      <c r="L54" s="506"/>
      <c r="M54" s="506"/>
      <c r="N54" s="506"/>
      <c r="O54" s="506"/>
      <c r="P54" s="506"/>
      <c r="Q54" s="506"/>
      <c r="R54" s="506"/>
      <c r="S54" s="506"/>
      <c r="T54" s="506"/>
      <c r="U54" s="506"/>
      <c r="V54" s="506"/>
      <c r="W54" s="506"/>
      <c r="X54" s="506"/>
      <c r="Y54" s="506"/>
      <c r="Z54" s="506"/>
      <c r="AA54" s="506"/>
      <c r="AB54" s="506"/>
      <c r="AC54" s="506"/>
      <c r="AD54" s="506"/>
      <c r="AE54" s="506"/>
      <c r="AF54" s="506"/>
      <c r="AG54" s="506"/>
      <c r="AH54" s="506"/>
    </row>
    <row r="55" spans="1:238" s="507" customFormat="1">
      <c r="B55" s="508" t="s">
        <v>363</v>
      </c>
      <c r="C55" s="509"/>
      <c r="D55" s="508"/>
      <c r="E55" s="508"/>
      <c r="F55" s="508"/>
      <c r="G55" s="508"/>
      <c r="H55" s="508"/>
      <c r="I55" s="508"/>
      <c r="J55" s="508"/>
      <c r="K55" s="508"/>
      <c r="L55" s="508"/>
      <c r="M55" s="508"/>
      <c r="N55" s="508"/>
      <c r="O55" s="508"/>
      <c r="P55" s="508"/>
      <c r="Q55" s="508"/>
      <c r="R55" s="508"/>
      <c r="S55" s="508"/>
      <c r="T55" s="508"/>
      <c r="U55" s="508"/>
      <c r="V55" s="508"/>
      <c r="W55" s="508"/>
      <c r="X55" s="508"/>
      <c r="Y55" s="508"/>
      <c r="Z55" s="508"/>
      <c r="AA55" s="508"/>
      <c r="AB55" s="508"/>
      <c r="AC55" s="508"/>
      <c r="AD55" s="508"/>
      <c r="AE55" s="508"/>
      <c r="AF55" s="508"/>
      <c r="AG55" s="508"/>
      <c r="AH55" s="508"/>
      <c r="ID55" s="510"/>
    </row>
    <row r="56" spans="1:238" s="511" customFormat="1">
      <c r="B56" s="512" t="s">
        <v>362</v>
      </c>
      <c r="C56" s="513"/>
      <c r="D56" s="512"/>
      <c r="E56" s="512"/>
      <c r="F56" s="512"/>
      <c r="G56" s="512"/>
      <c r="H56" s="512"/>
      <c r="I56" s="512"/>
      <c r="J56" s="512"/>
      <c r="K56" s="512"/>
      <c r="L56" s="512"/>
      <c r="M56" s="512"/>
      <c r="N56" s="512"/>
      <c r="O56" s="512"/>
      <c r="P56" s="512"/>
      <c r="Q56" s="512"/>
      <c r="R56" s="512"/>
      <c r="S56" s="512"/>
      <c r="T56" s="512"/>
      <c r="U56" s="512"/>
      <c r="V56" s="512"/>
      <c r="W56" s="512"/>
      <c r="X56" s="512"/>
      <c r="Y56" s="512"/>
      <c r="Z56" s="512"/>
      <c r="AA56" s="512"/>
      <c r="AB56" s="512"/>
      <c r="AC56" s="512"/>
      <c r="AD56" s="512"/>
      <c r="AE56" s="512"/>
      <c r="AF56" s="512"/>
      <c r="AG56" s="512"/>
      <c r="AH56" s="512"/>
      <c r="ID56" s="514"/>
    </row>
    <row r="57" spans="1:238">
      <c r="A57" s="515"/>
      <c r="B57" s="506" t="s">
        <v>364</v>
      </c>
      <c r="D57" s="506"/>
      <c r="E57" s="506"/>
      <c r="F57" s="506"/>
      <c r="G57" s="506"/>
      <c r="H57" s="506"/>
      <c r="I57" s="506"/>
      <c r="J57" s="506"/>
      <c r="K57" s="506"/>
      <c r="L57" s="506"/>
      <c r="M57" s="506"/>
      <c r="N57" s="506"/>
      <c r="O57" s="506"/>
      <c r="P57" s="506"/>
      <c r="Q57" s="506"/>
      <c r="R57" s="506"/>
      <c r="S57" s="506"/>
      <c r="T57" s="506"/>
      <c r="U57" s="506"/>
      <c r="V57" s="506"/>
      <c r="W57" s="506"/>
      <c r="X57" s="506"/>
      <c r="Y57" s="506"/>
      <c r="Z57" s="506"/>
      <c r="AA57" s="506"/>
      <c r="AB57" s="506"/>
      <c r="AC57" s="506"/>
      <c r="AD57" s="506"/>
      <c r="AE57" s="506"/>
      <c r="AF57" s="506"/>
      <c r="AG57" s="506"/>
      <c r="AH57" s="506"/>
    </row>
    <row r="58" spans="1:238">
      <c r="A58" s="515"/>
      <c r="B58" s="506" t="s">
        <v>362</v>
      </c>
      <c r="D58" s="506"/>
      <c r="E58" s="506"/>
      <c r="F58" s="506"/>
      <c r="G58" s="506"/>
      <c r="H58" s="506"/>
      <c r="I58" s="506"/>
      <c r="J58" s="506"/>
      <c r="K58" s="506"/>
      <c r="L58" s="506"/>
      <c r="M58" s="506"/>
      <c r="N58" s="506"/>
      <c r="O58" s="506"/>
      <c r="P58" s="506"/>
      <c r="Q58" s="506"/>
      <c r="R58" s="506"/>
      <c r="S58" s="506"/>
      <c r="T58" s="506"/>
      <c r="U58" s="506"/>
      <c r="V58" s="506"/>
      <c r="W58" s="506"/>
      <c r="X58" s="506"/>
      <c r="Y58" s="506"/>
      <c r="Z58" s="506"/>
      <c r="AA58" s="506"/>
      <c r="AB58" s="506"/>
      <c r="AC58" s="506"/>
      <c r="AD58" s="506"/>
      <c r="AE58" s="506"/>
      <c r="AF58" s="506"/>
      <c r="AG58" s="506"/>
      <c r="AH58" s="506"/>
    </row>
    <row r="59" spans="1:238" s="507" customFormat="1">
      <c r="B59" s="508" t="s">
        <v>365</v>
      </c>
      <c r="C59" s="509"/>
      <c r="D59" s="508"/>
      <c r="E59" s="508"/>
      <c r="F59" s="508"/>
      <c r="G59" s="508"/>
      <c r="H59" s="508"/>
      <c r="I59" s="508"/>
      <c r="J59" s="508"/>
      <c r="K59" s="508"/>
      <c r="L59" s="508"/>
      <c r="M59" s="508"/>
      <c r="N59" s="508"/>
      <c r="O59" s="508"/>
      <c r="P59" s="508"/>
      <c r="Q59" s="508"/>
      <c r="R59" s="508"/>
      <c r="S59" s="508"/>
      <c r="T59" s="508"/>
      <c r="U59" s="508"/>
      <c r="V59" s="508"/>
      <c r="W59" s="508"/>
      <c r="X59" s="508"/>
      <c r="Y59" s="508"/>
      <c r="Z59" s="508"/>
      <c r="AA59" s="508"/>
      <c r="AB59" s="508"/>
      <c r="AC59" s="508"/>
      <c r="AD59" s="508"/>
      <c r="AE59" s="508"/>
      <c r="AF59" s="508"/>
      <c r="AG59" s="508"/>
      <c r="AH59" s="508"/>
      <c r="ID59" s="510"/>
    </row>
    <row r="60" spans="1:238" s="511" customFormat="1">
      <c r="B60" s="512" t="s">
        <v>362</v>
      </c>
      <c r="C60" s="513"/>
      <c r="D60" s="512"/>
      <c r="E60" s="512"/>
      <c r="F60" s="512"/>
      <c r="G60" s="512"/>
      <c r="H60" s="512"/>
      <c r="I60" s="512"/>
      <c r="J60" s="512"/>
      <c r="K60" s="512"/>
      <c r="L60" s="512"/>
      <c r="M60" s="512"/>
      <c r="N60" s="512"/>
      <c r="O60" s="512"/>
      <c r="P60" s="512"/>
      <c r="Q60" s="512"/>
      <c r="R60" s="512"/>
      <c r="S60" s="512"/>
      <c r="T60" s="512"/>
      <c r="U60" s="512"/>
      <c r="V60" s="512"/>
      <c r="W60" s="512"/>
      <c r="X60" s="512"/>
      <c r="Y60" s="512"/>
      <c r="Z60" s="512"/>
      <c r="AA60" s="512"/>
      <c r="AB60" s="512"/>
      <c r="AC60" s="512"/>
      <c r="AD60" s="512"/>
      <c r="AE60" s="512"/>
      <c r="AF60" s="512"/>
      <c r="AG60" s="512"/>
      <c r="AH60" s="512"/>
      <c r="ID60" s="514"/>
    </row>
    <row r="61" spans="1:238">
      <c r="A61" s="515"/>
      <c r="B61" s="506" t="s">
        <v>366</v>
      </c>
      <c r="D61" s="506"/>
      <c r="E61" s="506"/>
      <c r="F61" s="506"/>
      <c r="G61" s="506"/>
      <c r="H61" s="506"/>
      <c r="I61" s="506"/>
      <c r="J61" s="506"/>
      <c r="K61" s="506"/>
      <c r="L61" s="506"/>
      <c r="M61" s="506"/>
      <c r="N61" s="506"/>
      <c r="O61" s="506"/>
      <c r="P61" s="506"/>
      <c r="Q61" s="506"/>
      <c r="R61" s="506"/>
      <c r="S61" s="506"/>
      <c r="T61" s="506"/>
      <c r="U61" s="506"/>
      <c r="V61" s="506"/>
      <c r="W61" s="506"/>
      <c r="X61" s="506"/>
      <c r="Y61" s="506"/>
      <c r="Z61" s="506"/>
      <c r="AA61" s="506"/>
      <c r="AB61" s="506"/>
      <c r="AC61" s="506"/>
      <c r="AD61" s="506"/>
      <c r="AE61" s="506"/>
      <c r="AF61" s="506"/>
      <c r="AG61" s="506"/>
      <c r="AH61" s="506"/>
    </row>
    <row r="62" spans="1:238">
      <c r="A62" s="515"/>
      <c r="B62" s="506" t="s">
        <v>362</v>
      </c>
      <c r="D62" s="506"/>
      <c r="E62" s="506"/>
      <c r="F62" s="506"/>
      <c r="G62" s="506"/>
      <c r="H62" s="506"/>
      <c r="I62" s="506"/>
      <c r="J62" s="506"/>
      <c r="K62" s="506"/>
      <c r="L62" s="506"/>
      <c r="M62" s="506"/>
      <c r="N62" s="506"/>
      <c r="O62" s="506"/>
      <c r="P62" s="506"/>
      <c r="Q62" s="506"/>
      <c r="R62" s="506"/>
      <c r="S62" s="506"/>
      <c r="T62" s="506"/>
      <c r="U62" s="506"/>
      <c r="V62" s="506"/>
      <c r="W62" s="506"/>
      <c r="X62" s="506"/>
      <c r="Y62" s="506"/>
      <c r="Z62" s="506"/>
      <c r="AA62" s="506"/>
      <c r="AB62" s="506"/>
      <c r="AC62" s="506"/>
      <c r="AD62" s="506"/>
      <c r="AE62" s="506"/>
      <c r="AF62" s="506"/>
      <c r="AG62" s="506"/>
      <c r="AH62" s="506"/>
    </row>
    <row r="63" spans="1:238" s="507" customFormat="1">
      <c r="B63" s="508" t="s">
        <v>367</v>
      </c>
      <c r="C63" s="509"/>
      <c r="D63" s="508"/>
      <c r="E63" s="508"/>
      <c r="F63" s="508"/>
      <c r="G63" s="508"/>
      <c r="H63" s="508"/>
      <c r="I63" s="508"/>
      <c r="J63" s="508"/>
      <c r="K63" s="508"/>
      <c r="L63" s="508"/>
      <c r="M63" s="508"/>
      <c r="N63" s="508"/>
      <c r="O63" s="508"/>
      <c r="P63" s="508"/>
      <c r="Q63" s="508"/>
      <c r="R63" s="508"/>
      <c r="S63" s="508"/>
      <c r="T63" s="508"/>
      <c r="U63" s="508"/>
      <c r="V63" s="508"/>
      <c r="W63" s="508"/>
      <c r="X63" s="508"/>
      <c r="Y63" s="508"/>
      <c r="Z63" s="508"/>
      <c r="AA63" s="508"/>
      <c r="AB63" s="508"/>
      <c r="AC63" s="508"/>
      <c r="AD63" s="508"/>
      <c r="AE63" s="508"/>
      <c r="AF63" s="508"/>
      <c r="AG63" s="508"/>
      <c r="AH63" s="508"/>
      <c r="ID63" s="510"/>
    </row>
    <row r="64" spans="1:238" s="511" customFormat="1">
      <c r="B64" s="512" t="s">
        <v>362</v>
      </c>
      <c r="C64" s="513"/>
      <c r="D64" s="512"/>
      <c r="E64" s="512"/>
      <c r="F64" s="512"/>
      <c r="G64" s="512"/>
      <c r="H64" s="512"/>
      <c r="I64" s="512"/>
      <c r="J64" s="512"/>
      <c r="K64" s="512"/>
      <c r="L64" s="512"/>
      <c r="M64" s="512"/>
      <c r="N64" s="512"/>
      <c r="O64" s="512"/>
      <c r="P64" s="512"/>
      <c r="Q64" s="512"/>
      <c r="R64" s="512"/>
      <c r="S64" s="512"/>
      <c r="T64" s="512"/>
      <c r="U64" s="512"/>
      <c r="V64" s="512"/>
      <c r="W64" s="512"/>
      <c r="X64" s="512"/>
      <c r="Y64" s="512"/>
      <c r="Z64" s="512"/>
      <c r="AA64" s="512"/>
      <c r="AB64" s="512"/>
      <c r="AC64" s="512"/>
      <c r="AD64" s="512"/>
      <c r="AE64" s="512"/>
      <c r="AF64" s="512"/>
      <c r="AG64" s="512"/>
      <c r="AH64" s="512"/>
      <c r="ID64" s="514"/>
    </row>
    <row r="65" spans="1:238" s="507" customFormat="1">
      <c r="B65" s="508" t="s">
        <v>363</v>
      </c>
      <c r="C65" s="509"/>
      <c r="D65" s="508"/>
      <c r="E65" s="508"/>
      <c r="F65" s="508"/>
      <c r="G65" s="508"/>
      <c r="H65" s="508"/>
      <c r="I65" s="508"/>
      <c r="J65" s="508"/>
      <c r="K65" s="508"/>
      <c r="L65" s="508"/>
      <c r="M65" s="508"/>
      <c r="N65" s="508"/>
      <c r="O65" s="508"/>
      <c r="P65" s="508"/>
      <c r="Q65" s="508"/>
      <c r="R65" s="508"/>
      <c r="S65" s="508"/>
      <c r="T65" s="508"/>
      <c r="U65" s="508"/>
      <c r="V65" s="508"/>
      <c r="W65" s="508"/>
      <c r="X65" s="508"/>
      <c r="Y65" s="508"/>
      <c r="Z65" s="508"/>
      <c r="AA65" s="508"/>
      <c r="AB65" s="508"/>
      <c r="AC65" s="508"/>
      <c r="AD65" s="508"/>
      <c r="AE65" s="508"/>
      <c r="AF65" s="508"/>
      <c r="AG65" s="508"/>
      <c r="AH65" s="508"/>
      <c r="ID65" s="510"/>
    </row>
    <row r="66" spans="1:238" s="511" customFormat="1">
      <c r="B66" s="512" t="s">
        <v>362</v>
      </c>
      <c r="C66" s="513"/>
      <c r="D66" s="512"/>
      <c r="E66" s="512"/>
      <c r="F66" s="512"/>
      <c r="G66" s="512"/>
      <c r="H66" s="512"/>
      <c r="I66" s="512"/>
      <c r="J66" s="512"/>
      <c r="K66" s="512"/>
      <c r="L66" s="512"/>
      <c r="M66" s="512"/>
      <c r="N66" s="512"/>
      <c r="O66" s="512"/>
      <c r="P66" s="512"/>
      <c r="Q66" s="512"/>
      <c r="R66" s="512"/>
      <c r="S66" s="512"/>
      <c r="T66" s="512"/>
      <c r="U66" s="512"/>
      <c r="V66" s="512"/>
      <c r="W66" s="512"/>
      <c r="X66" s="512"/>
      <c r="Y66" s="512"/>
      <c r="Z66" s="512"/>
      <c r="AA66" s="512"/>
      <c r="AB66" s="512"/>
      <c r="AC66" s="512"/>
      <c r="AD66" s="512"/>
      <c r="AE66" s="512"/>
      <c r="AF66" s="512"/>
      <c r="AG66" s="512"/>
      <c r="AH66" s="512"/>
      <c r="ID66" s="514"/>
    </row>
    <row r="67" spans="1:238">
      <c r="A67" s="515"/>
      <c r="B67" s="506" t="s">
        <v>364</v>
      </c>
      <c r="D67" s="506"/>
      <c r="E67" s="506"/>
      <c r="F67" s="506"/>
      <c r="G67" s="506"/>
      <c r="H67" s="506"/>
      <c r="I67" s="506"/>
      <c r="J67" s="506"/>
      <c r="K67" s="506"/>
      <c r="L67" s="506"/>
      <c r="M67" s="506"/>
      <c r="N67" s="506"/>
      <c r="O67" s="506"/>
      <c r="P67" s="506"/>
      <c r="Q67" s="506"/>
      <c r="R67" s="506"/>
      <c r="S67" s="506"/>
      <c r="T67" s="506"/>
      <c r="U67" s="506"/>
      <c r="V67" s="506"/>
      <c r="W67" s="506"/>
      <c r="X67" s="506"/>
      <c r="Y67" s="506"/>
      <c r="Z67" s="506"/>
      <c r="AA67" s="506"/>
      <c r="AB67" s="506"/>
      <c r="AC67" s="506"/>
      <c r="AD67" s="506"/>
      <c r="AE67" s="506"/>
      <c r="AF67" s="506"/>
      <c r="AG67" s="506"/>
      <c r="AH67" s="506"/>
    </row>
    <row r="68" spans="1:238">
      <c r="A68" s="515"/>
      <c r="B68" s="506" t="s">
        <v>362</v>
      </c>
      <c r="D68" s="506"/>
      <c r="E68" s="506"/>
      <c r="F68" s="506"/>
      <c r="G68" s="506"/>
      <c r="H68" s="506"/>
      <c r="I68" s="506"/>
      <c r="J68" s="506"/>
      <c r="K68" s="506"/>
      <c r="L68" s="506"/>
      <c r="M68" s="506"/>
      <c r="N68" s="506"/>
      <c r="O68" s="506"/>
      <c r="P68" s="506"/>
      <c r="Q68" s="506"/>
      <c r="R68" s="506"/>
      <c r="S68" s="506"/>
      <c r="T68" s="506"/>
      <c r="U68" s="506"/>
      <c r="V68" s="506"/>
      <c r="W68" s="506"/>
      <c r="X68" s="506"/>
      <c r="Y68" s="506"/>
      <c r="Z68" s="506"/>
      <c r="AA68" s="506"/>
      <c r="AB68" s="506"/>
      <c r="AC68" s="506"/>
      <c r="AD68" s="506"/>
      <c r="AE68" s="506"/>
      <c r="AF68" s="506"/>
      <c r="AG68" s="506"/>
      <c r="AH68" s="506"/>
    </row>
    <row r="69" spans="1:238" s="507" customFormat="1">
      <c r="B69" s="508" t="s">
        <v>365</v>
      </c>
      <c r="C69" s="509"/>
      <c r="D69" s="508"/>
      <c r="E69" s="508"/>
      <c r="F69" s="508"/>
      <c r="G69" s="508"/>
      <c r="H69" s="508"/>
      <c r="I69" s="508"/>
      <c r="J69" s="508"/>
      <c r="K69" s="508"/>
      <c r="L69" s="508"/>
      <c r="M69" s="508"/>
      <c r="N69" s="508"/>
      <c r="O69" s="508"/>
      <c r="P69" s="508"/>
      <c r="Q69" s="508"/>
      <c r="R69" s="508"/>
      <c r="S69" s="508"/>
      <c r="T69" s="508"/>
      <c r="U69" s="508"/>
      <c r="V69" s="508"/>
      <c r="W69" s="508"/>
      <c r="X69" s="508"/>
      <c r="Y69" s="508"/>
      <c r="Z69" s="508"/>
      <c r="AA69" s="508"/>
      <c r="AB69" s="508"/>
      <c r="AC69" s="508"/>
      <c r="AD69" s="508"/>
      <c r="AE69" s="508"/>
      <c r="AF69" s="508"/>
      <c r="AG69" s="508"/>
      <c r="AH69" s="508"/>
      <c r="ID69" s="510"/>
    </row>
    <row r="70" spans="1:238" s="511" customFormat="1">
      <c r="B70" s="512" t="s">
        <v>362</v>
      </c>
      <c r="C70" s="513"/>
      <c r="D70" s="512"/>
      <c r="E70" s="512"/>
      <c r="F70" s="512"/>
      <c r="G70" s="512"/>
      <c r="H70" s="512"/>
      <c r="I70" s="512"/>
      <c r="J70" s="512"/>
      <c r="K70" s="512"/>
      <c r="L70" s="512"/>
      <c r="M70" s="512"/>
      <c r="N70" s="512"/>
      <c r="O70" s="512"/>
      <c r="P70" s="512"/>
      <c r="Q70" s="512"/>
      <c r="R70" s="512"/>
      <c r="S70" s="512"/>
      <c r="T70" s="512"/>
      <c r="U70" s="512"/>
      <c r="V70" s="512"/>
      <c r="W70" s="512"/>
      <c r="X70" s="512"/>
      <c r="Y70" s="512"/>
      <c r="Z70" s="512"/>
      <c r="AA70" s="512"/>
      <c r="AB70" s="512"/>
      <c r="AC70" s="512"/>
      <c r="AD70" s="512"/>
      <c r="AE70" s="512"/>
      <c r="AF70" s="512"/>
      <c r="AG70" s="512"/>
      <c r="AH70" s="512"/>
      <c r="ID70" s="514"/>
    </row>
    <row r="71" spans="1:238">
      <c r="A71" s="515"/>
      <c r="B71" s="506" t="s">
        <v>366</v>
      </c>
      <c r="D71" s="506"/>
      <c r="E71" s="506"/>
      <c r="F71" s="506"/>
      <c r="G71" s="506"/>
      <c r="H71" s="506"/>
      <c r="I71" s="506"/>
      <c r="J71" s="506"/>
      <c r="K71" s="506"/>
      <c r="L71" s="506"/>
      <c r="M71" s="506"/>
      <c r="N71" s="506"/>
      <c r="O71" s="506"/>
      <c r="P71" s="506"/>
      <c r="Q71" s="506"/>
      <c r="R71" s="506"/>
      <c r="S71" s="506"/>
      <c r="T71" s="506"/>
      <c r="U71" s="506"/>
      <c r="V71" s="506"/>
      <c r="W71" s="506"/>
      <c r="X71" s="506"/>
      <c r="Y71" s="506"/>
      <c r="Z71" s="506"/>
      <c r="AA71" s="506"/>
      <c r="AB71" s="506"/>
      <c r="AC71" s="506"/>
      <c r="AD71" s="506"/>
      <c r="AE71" s="506"/>
      <c r="AF71" s="506"/>
      <c r="AG71" s="506"/>
      <c r="AH71" s="506"/>
    </row>
    <row r="72" spans="1:238">
      <c r="A72" s="515"/>
      <c r="B72" s="506" t="s">
        <v>362</v>
      </c>
      <c r="D72" s="506"/>
      <c r="E72" s="506"/>
      <c r="F72" s="506"/>
      <c r="G72" s="506"/>
      <c r="H72" s="506"/>
      <c r="I72" s="506"/>
      <c r="J72" s="506"/>
      <c r="K72" s="506"/>
      <c r="L72" s="506"/>
      <c r="M72" s="506"/>
      <c r="N72" s="506"/>
      <c r="O72" s="506"/>
      <c r="P72" s="506"/>
      <c r="Q72" s="506"/>
      <c r="R72" s="506"/>
      <c r="S72" s="506"/>
      <c r="T72" s="506"/>
      <c r="U72" s="506"/>
      <c r="V72" s="506"/>
      <c r="W72" s="506"/>
      <c r="X72" s="506"/>
      <c r="Y72" s="506"/>
      <c r="Z72" s="506"/>
      <c r="AA72" s="506"/>
      <c r="AB72" s="506"/>
      <c r="AC72" s="506"/>
      <c r="AD72" s="506"/>
      <c r="AE72" s="506"/>
      <c r="AF72" s="506"/>
      <c r="AG72" s="506"/>
      <c r="AH72" s="506"/>
    </row>
    <row r="73" spans="1:238" s="507" customFormat="1">
      <c r="B73" s="508" t="s">
        <v>367</v>
      </c>
      <c r="C73" s="509"/>
      <c r="D73" s="508"/>
      <c r="E73" s="508"/>
      <c r="F73" s="508"/>
      <c r="G73" s="508"/>
      <c r="H73" s="508"/>
      <c r="I73" s="508"/>
      <c r="J73" s="508"/>
      <c r="K73" s="508"/>
      <c r="L73" s="508"/>
      <c r="M73" s="508"/>
      <c r="N73" s="508"/>
      <c r="O73" s="508"/>
      <c r="P73" s="508"/>
      <c r="Q73" s="508"/>
      <c r="R73" s="508"/>
      <c r="S73" s="508"/>
      <c r="T73" s="508"/>
      <c r="U73" s="508"/>
      <c r="V73" s="508"/>
      <c r="W73" s="508"/>
      <c r="X73" s="508"/>
      <c r="Y73" s="508"/>
      <c r="Z73" s="508"/>
      <c r="AA73" s="508"/>
      <c r="AB73" s="508"/>
      <c r="AC73" s="508"/>
      <c r="AD73" s="508"/>
      <c r="AE73" s="508"/>
      <c r="AF73" s="508"/>
      <c r="AG73" s="508"/>
      <c r="AH73" s="508"/>
      <c r="ID73" s="510"/>
    </row>
    <row r="74" spans="1:238" s="511" customFormat="1">
      <c r="B74" s="512" t="s">
        <v>362</v>
      </c>
      <c r="C74" s="513"/>
      <c r="D74" s="512"/>
      <c r="E74" s="512"/>
      <c r="F74" s="512"/>
      <c r="G74" s="512"/>
      <c r="H74" s="512"/>
      <c r="I74" s="512"/>
      <c r="J74" s="512"/>
      <c r="K74" s="512"/>
      <c r="L74" s="512"/>
      <c r="M74" s="512"/>
      <c r="N74" s="512"/>
      <c r="O74" s="512"/>
      <c r="P74" s="512"/>
      <c r="Q74" s="512"/>
      <c r="R74" s="512"/>
      <c r="S74" s="512"/>
      <c r="T74" s="512"/>
      <c r="U74" s="512"/>
      <c r="V74" s="512"/>
      <c r="W74" s="512"/>
      <c r="X74" s="512"/>
      <c r="Y74" s="512"/>
      <c r="Z74" s="512"/>
      <c r="AA74" s="512"/>
      <c r="AB74" s="512"/>
      <c r="AC74" s="512"/>
      <c r="AD74" s="512"/>
      <c r="AE74" s="512"/>
      <c r="AF74" s="512"/>
      <c r="AG74" s="512"/>
      <c r="AH74" s="512"/>
      <c r="ID74" s="514"/>
    </row>
    <row r="75" spans="1:238">
      <c r="A75" s="515"/>
      <c r="B75" s="506" t="s">
        <v>363</v>
      </c>
      <c r="D75" s="506"/>
      <c r="E75" s="506"/>
      <c r="F75" s="506"/>
      <c r="G75" s="506"/>
      <c r="H75" s="506"/>
      <c r="I75" s="506"/>
      <c r="J75" s="506"/>
      <c r="K75" s="506"/>
      <c r="L75" s="506"/>
      <c r="M75" s="506"/>
      <c r="N75" s="506"/>
      <c r="O75" s="506"/>
      <c r="P75" s="506"/>
      <c r="Q75" s="506"/>
      <c r="R75" s="506"/>
      <c r="S75" s="506"/>
      <c r="T75" s="506"/>
      <c r="U75" s="506"/>
      <c r="V75" s="506"/>
      <c r="W75" s="506"/>
      <c r="X75" s="506"/>
      <c r="Y75" s="506"/>
      <c r="Z75" s="506"/>
      <c r="AA75" s="506"/>
      <c r="AB75" s="506"/>
      <c r="AC75" s="506"/>
      <c r="AD75" s="506"/>
      <c r="AE75" s="506"/>
      <c r="AF75" s="506"/>
      <c r="AG75" s="506"/>
      <c r="AH75" s="506"/>
    </row>
    <row r="76" spans="1:238">
      <c r="A76" s="515"/>
      <c r="B76" s="506"/>
      <c r="D76" s="506"/>
      <c r="E76" s="506"/>
      <c r="F76" s="506"/>
      <c r="G76" s="506"/>
      <c r="H76" s="506"/>
      <c r="I76" s="506"/>
      <c r="J76" s="506"/>
      <c r="K76" s="506"/>
      <c r="L76" s="506"/>
      <c r="M76" s="506"/>
      <c r="N76" s="506"/>
      <c r="O76" s="506"/>
      <c r="P76" s="506"/>
      <c r="Q76" s="506"/>
      <c r="R76" s="506"/>
      <c r="S76" s="506"/>
      <c r="T76" s="506"/>
      <c r="U76" s="506"/>
      <c r="V76" s="506"/>
      <c r="W76" s="506"/>
      <c r="X76" s="506"/>
      <c r="Y76" s="506"/>
      <c r="Z76" s="506"/>
      <c r="AA76" s="506"/>
      <c r="AB76" s="506"/>
      <c r="AC76" s="506"/>
      <c r="AD76" s="506"/>
      <c r="AE76" s="506"/>
      <c r="AF76" s="506"/>
      <c r="AG76" s="506"/>
      <c r="AH76" s="506"/>
    </row>
    <row r="77" spans="1:238" s="507" customFormat="1">
      <c r="B77" s="508"/>
      <c r="C77" s="509"/>
      <c r="D77" s="508"/>
      <c r="E77" s="508"/>
      <c r="F77" s="508"/>
      <c r="G77" s="508"/>
      <c r="H77" s="508"/>
      <c r="I77" s="508"/>
      <c r="J77" s="508"/>
      <c r="K77" s="508"/>
      <c r="L77" s="508"/>
      <c r="M77" s="508"/>
      <c r="N77" s="508"/>
      <c r="O77" s="508"/>
      <c r="P77" s="508"/>
      <c r="Q77" s="508"/>
      <c r="R77" s="508"/>
      <c r="S77" s="508"/>
      <c r="T77" s="508"/>
      <c r="U77" s="508"/>
      <c r="V77" s="508"/>
      <c r="W77" s="508"/>
      <c r="X77" s="508"/>
      <c r="Y77" s="508"/>
      <c r="Z77" s="508"/>
      <c r="AA77" s="508"/>
      <c r="AB77" s="508"/>
      <c r="AC77" s="508"/>
      <c r="AD77" s="508"/>
      <c r="AE77" s="508"/>
      <c r="AF77" s="508"/>
      <c r="AG77" s="508"/>
      <c r="AH77" s="508"/>
      <c r="ID77" s="510"/>
    </row>
    <row r="78" spans="1:238" s="511" customFormat="1">
      <c r="B78" s="512"/>
      <c r="C78" s="513"/>
      <c r="D78" s="512"/>
      <c r="E78" s="512"/>
      <c r="F78" s="512"/>
      <c r="G78" s="512"/>
      <c r="H78" s="512"/>
      <c r="I78" s="512"/>
      <c r="J78" s="512"/>
      <c r="K78" s="512"/>
      <c r="L78" s="512"/>
      <c r="M78" s="512"/>
      <c r="N78" s="512"/>
      <c r="O78" s="512"/>
      <c r="P78" s="512"/>
      <c r="Q78" s="512"/>
      <c r="R78" s="512"/>
      <c r="S78" s="512"/>
      <c r="T78" s="512"/>
      <c r="U78" s="512"/>
      <c r="V78" s="512"/>
      <c r="W78" s="512"/>
      <c r="X78" s="512"/>
      <c r="Y78" s="512"/>
      <c r="Z78" s="512"/>
      <c r="AA78" s="512"/>
      <c r="AB78" s="512"/>
      <c r="AC78" s="512"/>
      <c r="AD78" s="512"/>
      <c r="AE78" s="512"/>
      <c r="AF78" s="512"/>
      <c r="AG78" s="512"/>
      <c r="AH78" s="512"/>
      <c r="ID78" s="514"/>
    </row>
    <row r="79" spans="1:238">
      <c r="A79" s="515"/>
      <c r="B79" s="506"/>
      <c r="D79" s="506"/>
      <c r="E79" s="506"/>
      <c r="F79" s="506"/>
      <c r="G79" s="506"/>
      <c r="H79" s="506"/>
      <c r="I79" s="506"/>
      <c r="J79" s="506"/>
      <c r="K79" s="506"/>
      <c r="L79" s="506"/>
      <c r="M79" s="506"/>
      <c r="N79" s="506"/>
      <c r="O79" s="506"/>
      <c r="P79" s="506"/>
      <c r="Q79" s="506"/>
      <c r="R79" s="506"/>
      <c r="S79" s="506"/>
      <c r="T79" s="506"/>
      <c r="U79" s="506"/>
      <c r="V79" s="506"/>
      <c r="W79" s="506"/>
      <c r="X79" s="506"/>
      <c r="Y79" s="506"/>
      <c r="Z79" s="506"/>
      <c r="AA79" s="506"/>
      <c r="AB79" s="506"/>
      <c r="AC79" s="506"/>
      <c r="AD79" s="506"/>
      <c r="AE79" s="506"/>
      <c r="AF79" s="506"/>
      <c r="AG79" s="506"/>
      <c r="AH79" s="506"/>
    </row>
    <row r="80" spans="1:238">
      <c r="A80" s="515"/>
      <c r="B80" s="506"/>
      <c r="D80" s="506"/>
      <c r="E80" s="506"/>
      <c r="F80" s="506"/>
      <c r="G80" s="506"/>
      <c r="H80" s="506"/>
      <c r="I80" s="506"/>
      <c r="J80" s="506"/>
      <c r="K80" s="506"/>
      <c r="L80" s="506"/>
      <c r="M80" s="506"/>
      <c r="N80" s="506"/>
      <c r="O80" s="506"/>
      <c r="P80" s="506"/>
      <c r="Q80" s="506"/>
      <c r="R80" s="506"/>
      <c r="S80" s="506"/>
      <c r="T80" s="506"/>
      <c r="U80" s="506"/>
      <c r="V80" s="506"/>
      <c r="W80" s="506"/>
      <c r="X80" s="506"/>
      <c r="Y80" s="506"/>
      <c r="Z80" s="506"/>
      <c r="AA80" s="506"/>
      <c r="AB80" s="506"/>
      <c r="AC80" s="506"/>
      <c r="AD80" s="506"/>
      <c r="AE80" s="506"/>
      <c r="AF80" s="506"/>
      <c r="AG80" s="506"/>
      <c r="AH80" s="506"/>
    </row>
    <row r="81" spans="1:238" s="507" customFormat="1">
      <c r="B81" s="508"/>
      <c r="C81" s="509"/>
      <c r="D81" s="508"/>
      <c r="E81" s="508"/>
      <c r="F81" s="508"/>
      <c r="G81" s="508"/>
      <c r="H81" s="508"/>
      <c r="I81" s="508"/>
      <c r="J81" s="508"/>
      <c r="K81" s="508"/>
      <c r="L81" s="508"/>
      <c r="M81" s="508"/>
      <c r="N81" s="508"/>
      <c r="O81" s="508"/>
      <c r="P81" s="508"/>
      <c r="Q81" s="508"/>
      <c r="R81" s="508"/>
      <c r="S81" s="508"/>
      <c r="T81" s="508"/>
      <c r="U81" s="508"/>
      <c r="V81" s="508"/>
      <c r="W81" s="508"/>
      <c r="X81" s="508"/>
      <c r="Y81" s="508"/>
      <c r="Z81" s="508"/>
      <c r="AA81" s="508"/>
      <c r="AB81" s="508"/>
      <c r="AC81" s="508"/>
      <c r="AD81" s="508"/>
      <c r="AE81" s="508"/>
      <c r="AF81" s="508"/>
      <c r="AG81" s="508"/>
      <c r="AH81" s="508"/>
      <c r="ID81" s="510"/>
    </row>
    <row r="82" spans="1:238" s="511" customFormat="1">
      <c r="B82" s="512"/>
      <c r="C82" s="513"/>
      <c r="D82" s="512"/>
      <c r="E82" s="512"/>
      <c r="F82" s="512"/>
      <c r="G82" s="512"/>
      <c r="H82" s="512"/>
      <c r="I82" s="512"/>
      <c r="J82" s="512"/>
      <c r="K82" s="512"/>
      <c r="L82" s="512"/>
      <c r="M82" s="512"/>
      <c r="N82" s="512"/>
      <c r="O82" s="512"/>
      <c r="P82" s="512"/>
      <c r="Q82" s="512"/>
      <c r="R82" s="512"/>
      <c r="S82" s="512"/>
      <c r="T82" s="512"/>
      <c r="U82" s="512"/>
      <c r="V82" s="512"/>
      <c r="W82" s="512"/>
      <c r="X82" s="512"/>
      <c r="Y82" s="512"/>
      <c r="Z82" s="512"/>
      <c r="AA82" s="512"/>
      <c r="AB82" s="512"/>
      <c r="AC82" s="512"/>
      <c r="AD82" s="512"/>
      <c r="AE82" s="512"/>
      <c r="AF82" s="512"/>
      <c r="AG82" s="512"/>
      <c r="AH82" s="512"/>
      <c r="ID82" s="514"/>
    </row>
    <row r="83" spans="1:238">
      <c r="A83" s="515"/>
      <c r="B83" s="506"/>
      <c r="D83" s="506"/>
      <c r="E83" s="506"/>
      <c r="F83" s="506"/>
      <c r="G83" s="506"/>
      <c r="H83" s="506"/>
      <c r="I83" s="506"/>
      <c r="J83" s="506"/>
      <c r="K83" s="506"/>
      <c r="L83" s="506"/>
      <c r="M83" s="506"/>
      <c r="N83" s="506"/>
      <c r="O83" s="506"/>
      <c r="P83" s="506"/>
      <c r="Q83" s="506"/>
      <c r="R83" s="506"/>
      <c r="S83" s="506"/>
      <c r="T83" s="506"/>
      <c r="U83" s="506"/>
      <c r="V83" s="506"/>
      <c r="W83" s="506"/>
      <c r="X83" s="506"/>
      <c r="Y83" s="506"/>
      <c r="Z83" s="506"/>
      <c r="AA83" s="506"/>
      <c r="AB83" s="506"/>
      <c r="AC83" s="506"/>
      <c r="AD83" s="506"/>
      <c r="AE83" s="506"/>
      <c r="AF83" s="506"/>
      <c r="AG83" s="506"/>
      <c r="AH83" s="506"/>
    </row>
    <row r="84" spans="1:238">
      <c r="A84" s="515"/>
      <c r="B84" s="506"/>
      <c r="D84" s="506"/>
      <c r="E84" s="506"/>
      <c r="F84" s="506"/>
      <c r="G84" s="506"/>
      <c r="H84" s="506"/>
      <c r="I84" s="506"/>
      <c r="J84" s="506"/>
      <c r="K84" s="506"/>
      <c r="L84" s="506"/>
      <c r="M84" s="506"/>
      <c r="N84" s="506"/>
      <c r="O84" s="506"/>
      <c r="P84" s="506"/>
      <c r="Q84" s="506"/>
      <c r="R84" s="506"/>
      <c r="S84" s="506"/>
      <c r="T84" s="506"/>
      <c r="U84" s="506"/>
      <c r="V84" s="506"/>
      <c r="W84" s="506"/>
      <c r="X84" s="506"/>
      <c r="Y84" s="506"/>
      <c r="Z84" s="506"/>
      <c r="AA84" s="506"/>
      <c r="AB84" s="506"/>
      <c r="AC84" s="506"/>
      <c r="AD84" s="506"/>
      <c r="AE84" s="506"/>
      <c r="AF84" s="506"/>
      <c r="AG84" s="506"/>
      <c r="AH84" s="506"/>
    </row>
    <row r="85" spans="1:238" s="507" customFormat="1">
      <c r="B85" s="508"/>
      <c r="C85" s="509"/>
      <c r="D85" s="508"/>
      <c r="E85" s="508"/>
      <c r="F85" s="508"/>
      <c r="G85" s="508"/>
      <c r="H85" s="508"/>
      <c r="I85" s="508"/>
      <c r="J85" s="508"/>
      <c r="K85" s="508"/>
      <c r="L85" s="508"/>
      <c r="M85" s="508"/>
      <c r="N85" s="508"/>
      <c r="O85" s="508"/>
      <c r="P85" s="508"/>
      <c r="Q85" s="508"/>
      <c r="R85" s="508"/>
      <c r="S85" s="508"/>
      <c r="T85" s="508"/>
      <c r="U85" s="508"/>
      <c r="V85" s="508"/>
      <c r="W85" s="508"/>
      <c r="X85" s="508"/>
      <c r="Y85" s="508"/>
      <c r="Z85" s="508"/>
      <c r="AA85" s="508"/>
      <c r="AB85" s="508"/>
      <c r="AC85" s="508"/>
      <c r="AD85" s="508"/>
      <c r="AE85" s="508"/>
      <c r="AF85" s="508"/>
      <c r="AG85" s="508"/>
      <c r="AH85" s="508"/>
      <c r="ID85" s="510"/>
    </row>
    <row r="86" spans="1:238" s="511" customFormat="1">
      <c r="B86" s="512"/>
      <c r="C86" s="513"/>
      <c r="D86" s="512"/>
      <c r="E86" s="512"/>
      <c r="F86" s="512"/>
      <c r="G86" s="512"/>
      <c r="H86" s="512"/>
      <c r="I86" s="512"/>
      <c r="J86" s="512"/>
      <c r="K86" s="512"/>
      <c r="L86" s="512"/>
      <c r="M86" s="512"/>
      <c r="N86" s="512"/>
      <c r="O86" s="512"/>
      <c r="P86" s="512"/>
      <c r="Q86" s="512"/>
      <c r="R86" s="512"/>
      <c r="S86" s="512"/>
      <c r="T86" s="512"/>
      <c r="U86" s="512"/>
      <c r="V86" s="512"/>
      <c r="W86" s="512"/>
      <c r="X86" s="512"/>
      <c r="Y86" s="512"/>
      <c r="Z86" s="512"/>
      <c r="AA86" s="512"/>
      <c r="AB86" s="512"/>
      <c r="AC86" s="512"/>
      <c r="AD86" s="512"/>
      <c r="AE86" s="512"/>
      <c r="AF86" s="512"/>
      <c r="AG86" s="512"/>
      <c r="AH86" s="512"/>
      <c r="ID86" s="514"/>
    </row>
    <row r="87" spans="1:238">
      <c r="A87" s="515"/>
      <c r="B87" s="506"/>
      <c r="D87" s="506"/>
      <c r="E87" s="506"/>
      <c r="F87" s="506"/>
      <c r="G87" s="506"/>
      <c r="H87" s="506"/>
      <c r="I87" s="506"/>
      <c r="J87" s="506"/>
      <c r="K87" s="506"/>
      <c r="L87" s="506"/>
      <c r="M87" s="506"/>
      <c r="N87" s="506"/>
      <c r="O87" s="506"/>
      <c r="P87" s="506"/>
      <c r="Q87" s="506"/>
      <c r="R87" s="506"/>
      <c r="S87" s="506"/>
      <c r="T87" s="506"/>
      <c r="U87" s="506"/>
      <c r="V87" s="506"/>
      <c r="W87" s="506"/>
      <c r="X87" s="506"/>
      <c r="Y87" s="506"/>
      <c r="Z87" s="506"/>
      <c r="AA87" s="506"/>
      <c r="AB87" s="506"/>
      <c r="AC87" s="506"/>
      <c r="AD87" s="506"/>
      <c r="AE87" s="506"/>
      <c r="AF87" s="506"/>
      <c r="AG87" s="506"/>
      <c r="AH87" s="506"/>
    </row>
    <row r="88" spans="1:238">
      <c r="A88" s="515"/>
      <c r="B88" s="506"/>
      <c r="D88" s="506"/>
      <c r="E88" s="506"/>
      <c r="F88" s="506"/>
      <c r="G88" s="506"/>
      <c r="H88" s="506"/>
      <c r="I88" s="506"/>
      <c r="J88" s="506"/>
      <c r="K88" s="506"/>
      <c r="L88" s="506"/>
      <c r="M88" s="506"/>
      <c r="N88" s="506"/>
      <c r="O88" s="506"/>
      <c r="P88" s="506"/>
      <c r="Q88" s="506"/>
      <c r="R88" s="506"/>
      <c r="S88" s="506"/>
      <c r="T88" s="506"/>
      <c r="U88" s="506"/>
      <c r="V88" s="506"/>
      <c r="W88" s="506"/>
      <c r="X88" s="506"/>
      <c r="Y88" s="506"/>
      <c r="Z88" s="506"/>
      <c r="AA88" s="506"/>
      <c r="AB88" s="506"/>
      <c r="AC88" s="506"/>
      <c r="AD88" s="506"/>
      <c r="AE88" s="506"/>
      <c r="AF88" s="506"/>
      <c r="AG88" s="506"/>
      <c r="AH88" s="506"/>
    </row>
    <row r="89" spans="1:238" s="507" customFormat="1">
      <c r="B89" s="508"/>
      <c r="C89" s="509"/>
      <c r="D89" s="508"/>
      <c r="E89" s="508"/>
      <c r="F89" s="508"/>
      <c r="G89" s="508"/>
      <c r="H89" s="508"/>
      <c r="I89" s="508"/>
      <c r="J89" s="508"/>
      <c r="K89" s="508"/>
      <c r="L89" s="508"/>
      <c r="M89" s="508"/>
      <c r="N89" s="508"/>
      <c r="O89" s="508"/>
      <c r="P89" s="508"/>
      <c r="Q89" s="508"/>
      <c r="R89" s="508"/>
      <c r="S89" s="508"/>
      <c r="T89" s="508"/>
      <c r="U89" s="508"/>
      <c r="V89" s="508"/>
      <c r="W89" s="508"/>
      <c r="X89" s="508"/>
      <c r="Y89" s="508"/>
      <c r="Z89" s="508"/>
      <c r="AA89" s="508"/>
      <c r="AB89" s="508"/>
      <c r="AC89" s="508"/>
      <c r="AD89" s="508"/>
      <c r="AE89" s="508"/>
      <c r="AF89" s="508"/>
      <c r="AG89" s="508"/>
      <c r="AH89" s="508"/>
      <c r="ID89" s="510"/>
    </row>
    <row r="90" spans="1:238" s="511" customFormat="1">
      <c r="B90" s="512"/>
      <c r="C90" s="513"/>
      <c r="D90" s="512"/>
      <c r="E90" s="512"/>
      <c r="F90" s="512"/>
      <c r="G90" s="512"/>
      <c r="H90" s="512"/>
      <c r="I90" s="512"/>
      <c r="J90" s="512"/>
      <c r="K90" s="512"/>
      <c r="L90" s="512"/>
      <c r="M90" s="512"/>
      <c r="N90" s="512"/>
      <c r="O90" s="512"/>
      <c r="P90" s="512"/>
      <c r="Q90" s="512"/>
      <c r="R90" s="512"/>
      <c r="S90" s="512"/>
      <c r="T90" s="512"/>
      <c r="U90" s="512"/>
      <c r="V90" s="512"/>
      <c r="W90" s="512"/>
      <c r="X90" s="512"/>
      <c r="Y90" s="512"/>
      <c r="Z90" s="512"/>
      <c r="AA90" s="512"/>
      <c r="AB90" s="512"/>
      <c r="AC90" s="512"/>
      <c r="AD90" s="512"/>
      <c r="AE90" s="512"/>
      <c r="AF90" s="512"/>
      <c r="AG90" s="512"/>
      <c r="AH90" s="512"/>
      <c r="ID90" s="514"/>
    </row>
    <row r="91" spans="1:238">
      <c r="A91" s="515"/>
      <c r="B91" s="506"/>
      <c r="D91" s="506"/>
      <c r="E91" s="506"/>
      <c r="F91" s="506"/>
      <c r="G91" s="506"/>
      <c r="H91" s="506"/>
      <c r="I91" s="506"/>
      <c r="J91" s="506"/>
      <c r="K91" s="506"/>
      <c r="L91" s="506"/>
      <c r="M91" s="506"/>
      <c r="N91" s="506"/>
      <c r="O91" s="506"/>
      <c r="P91" s="506"/>
      <c r="Q91" s="506"/>
      <c r="R91" s="506"/>
      <c r="S91" s="506"/>
      <c r="T91" s="506"/>
      <c r="U91" s="506"/>
      <c r="V91" s="506"/>
      <c r="W91" s="506"/>
      <c r="X91" s="506"/>
      <c r="Y91" s="506"/>
      <c r="Z91" s="506"/>
      <c r="AA91" s="506"/>
      <c r="AB91" s="506"/>
      <c r="AC91" s="506"/>
      <c r="AD91" s="506"/>
      <c r="AE91" s="506"/>
      <c r="AF91" s="506"/>
      <c r="AG91" s="506"/>
      <c r="AH91" s="506"/>
    </row>
    <row r="92" spans="1:238">
      <c r="A92" s="515"/>
      <c r="B92" s="506"/>
      <c r="D92" s="506"/>
      <c r="E92" s="506"/>
      <c r="F92" s="506"/>
      <c r="G92" s="506"/>
      <c r="H92" s="506"/>
      <c r="I92" s="506"/>
      <c r="J92" s="506"/>
      <c r="K92" s="506"/>
      <c r="L92" s="506"/>
      <c r="M92" s="506"/>
      <c r="N92" s="506"/>
      <c r="O92" s="506"/>
      <c r="P92" s="506"/>
      <c r="Q92" s="506"/>
      <c r="R92" s="506"/>
      <c r="S92" s="506"/>
      <c r="T92" s="506"/>
      <c r="U92" s="506"/>
      <c r="V92" s="506"/>
      <c r="W92" s="506"/>
      <c r="X92" s="506"/>
      <c r="Y92" s="506"/>
      <c r="Z92" s="506"/>
      <c r="AA92" s="506"/>
      <c r="AB92" s="506"/>
      <c r="AC92" s="506"/>
      <c r="AD92" s="506"/>
      <c r="AE92" s="506"/>
      <c r="AF92" s="506"/>
      <c r="AG92" s="506"/>
      <c r="AH92" s="506"/>
    </row>
    <row r="93" spans="1:238" s="507" customFormat="1">
      <c r="B93" s="508"/>
      <c r="C93" s="509"/>
      <c r="D93" s="508"/>
      <c r="E93" s="508"/>
      <c r="F93" s="508"/>
      <c r="G93" s="508"/>
      <c r="H93" s="508"/>
      <c r="I93" s="508"/>
      <c r="J93" s="508"/>
      <c r="K93" s="508"/>
      <c r="L93" s="508"/>
      <c r="M93" s="508"/>
      <c r="N93" s="508"/>
      <c r="O93" s="508"/>
      <c r="P93" s="508"/>
      <c r="Q93" s="508"/>
      <c r="R93" s="508"/>
      <c r="S93" s="508"/>
      <c r="T93" s="508"/>
      <c r="U93" s="508"/>
      <c r="V93" s="508"/>
      <c r="W93" s="508"/>
      <c r="X93" s="508"/>
      <c r="Y93" s="508"/>
      <c r="Z93" s="508"/>
      <c r="AA93" s="508"/>
      <c r="AB93" s="508"/>
      <c r="AC93" s="508"/>
      <c r="AD93" s="508"/>
      <c r="AE93" s="508"/>
      <c r="AF93" s="508"/>
      <c r="AG93" s="508"/>
      <c r="AH93" s="508"/>
      <c r="ID93" s="510"/>
    </row>
    <row r="94" spans="1:238" s="511" customFormat="1">
      <c r="B94" s="512"/>
      <c r="C94" s="513"/>
      <c r="D94" s="512"/>
      <c r="E94" s="512"/>
      <c r="F94" s="512"/>
      <c r="G94" s="512"/>
      <c r="H94" s="512"/>
      <c r="I94" s="512"/>
      <c r="J94" s="512"/>
      <c r="K94" s="512"/>
      <c r="L94" s="512"/>
      <c r="M94" s="512"/>
      <c r="N94" s="512"/>
      <c r="O94" s="512"/>
      <c r="P94" s="512"/>
      <c r="Q94" s="512"/>
      <c r="R94" s="512"/>
      <c r="S94" s="512"/>
      <c r="T94" s="512"/>
      <c r="U94" s="512"/>
      <c r="V94" s="512"/>
      <c r="W94" s="512"/>
      <c r="X94" s="512"/>
      <c r="Y94" s="512"/>
      <c r="Z94" s="512"/>
      <c r="AA94" s="512"/>
      <c r="AB94" s="512"/>
      <c r="AC94" s="512"/>
      <c r="AD94" s="512"/>
      <c r="AE94" s="512"/>
      <c r="AF94" s="512"/>
      <c r="AG94" s="512"/>
      <c r="AH94" s="512"/>
      <c r="ID94" s="514"/>
    </row>
    <row r="95" spans="1:238" s="507" customFormat="1">
      <c r="B95" s="508"/>
      <c r="C95" s="509"/>
      <c r="D95" s="508"/>
      <c r="E95" s="508"/>
      <c r="F95" s="508"/>
      <c r="G95" s="508"/>
      <c r="H95" s="508"/>
      <c r="I95" s="508"/>
      <c r="J95" s="508"/>
      <c r="K95" s="508"/>
      <c r="L95" s="508"/>
      <c r="M95" s="508"/>
      <c r="N95" s="508"/>
      <c r="O95" s="508"/>
      <c r="P95" s="508"/>
      <c r="Q95" s="508"/>
      <c r="R95" s="508"/>
      <c r="S95" s="508"/>
      <c r="T95" s="508"/>
      <c r="U95" s="508"/>
      <c r="V95" s="508"/>
      <c r="W95" s="508"/>
      <c r="X95" s="508"/>
      <c r="Y95" s="508"/>
      <c r="Z95" s="508"/>
      <c r="AA95" s="508"/>
      <c r="AB95" s="508"/>
      <c r="AC95" s="508"/>
      <c r="AD95" s="508"/>
      <c r="AE95" s="508"/>
      <c r="AF95" s="508"/>
      <c r="AG95" s="508"/>
      <c r="AH95" s="508"/>
      <c r="ID95" s="510"/>
    </row>
    <row r="96" spans="1:238" s="511" customFormat="1">
      <c r="B96" s="512"/>
      <c r="C96" s="513"/>
      <c r="D96" s="512"/>
      <c r="E96" s="512"/>
      <c r="F96" s="512"/>
      <c r="G96" s="512"/>
      <c r="H96" s="512"/>
      <c r="I96" s="512"/>
      <c r="J96" s="512"/>
      <c r="K96" s="512"/>
      <c r="L96" s="512"/>
      <c r="M96" s="512"/>
      <c r="N96" s="512"/>
      <c r="O96" s="512"/>
      <c r="P96" s="512"/>
      <c r="Q96" s="512"/>
      <c r="R96" s="512"/>
      <c r="S96" s="512"/>
      <c r="T96" s="512"/>
      <c r="U96" s="512"/>
      <c r="V96" s="512"/>
      <c r="W96" s="512"/>
      <c r="X96" s="512"/>
      <c r="Y96" s="512"/>
      <c r="Z96" s="512"/>
      <c r="AA96" s="512"/>
      <c r="AB96" s="512"/>
      <c r="AC96" s="512"/>
      <c r="AD96" s="512"/>
      <c r="AE96" s="512"/>
      <c r="AF96" s="512"/>
      <c r="AG96" s="512"/>
      <c r="AH96" s="512"/>
      <c r="ID96" s="514"/>
    </row>
    <row r="97" spans="1:238">
      <c r="A97" s="515"/>
      <c r="B97" s="506"/>
      <c r="D97" s="506"/>
      <c r="E97" s="506"/>
      <c r="F97" s="506"/>
      <c r="G97" s="506"/>
      <c r="H97" s="506"/>
      <c r="I97" s="506"/>
      <c r="J97" s="506"/>
      <c r="K97" s="506"/>
      <c r="L97" s="506"/>
      <c r="M97" s="506"/>
      <c r="N97" s="506"/>
      <c r="O97" s="506"/>
      <c r="P97" s="506"/>
      <c r="Q97" s="506"/>
      <c r="R97" s="506"/>
      <c r="S97" s="506"/>
      <c r="T97" s="506"/>
      <c r="U97" s="506"/>
      <c r="V97" s="506"/>
      <c r="W97" s="506"/>
      <c r="X97" s="506"/>
      <c r="Y97" s="506"/>
      <c r="Z97" s="506"/>
      <c r="AA97" s="506"/>
      <c r="AB97" s="506"/>
      <c r="AC97" s="506"/>
      <c r="AD97" s="506"/>
      <c r="AE97" s="506"/>
      <c r="AF97" s="506"/>
      <c r="AG97" s="506"/>
      <c r="AH97" s="506"/>
    </row>
    <row r="98" spans="1:238">
      <c r="A98" s="515"/>
      <c r="B98" s="506"/>
      <c r="D98" s="506"/>
      <c r="E98" s="506"/>
      <c r="F98" s="506"/>
      <c r="G98" s="506"/>
      <c r="H98" s="506"/>
      <c r="I98" s="506"/>
      <c r="J98" s="506"/>
      <c r="K98" s="506"/>
      <c r="L98" s="506"/>
      <c r="M98" s="506"/>
      <c r="N98" s="506"/>
      <c r="O98" s="506"/>
      <c r="P98" s="506"/>
      <c r="Q98" s="506"/>
      <c r="R98" s="506"/>
      <c r="S98" s="506"/>
      <c r="T98" s="506"/>
      <c r="U98" s="506"/>
      <c r="V98" s="506"/>
      <c r="W98" s="506"/>
      <c r="X98" s="506"/>
      <c r="Y98" s="506"/>
      <c r="Z98" s="506"/>
      <c r="AA98" s="506"/>
      <c r="AB98" s="506"/>
      <c r="AC98" s="506"/>
      <c r="AD98" s="506"/>
      <c r="AE98" s="506"/>
      <c r="AF98" s="506"/>
      <c r="AG98" s="506"/>
      <c r="AH98" s="506"/>
    </row>
    <row r="99" spans="1:238" s="507" customFormat="1">
      <c r="B99" s="508"/>
      <c r="C99" s="509"/>
      <c r="D99" s="508"/>
      <c r="E99" s="508"/>
      <c r="F99" s="508"/>
      <c r="G99" s="508"/>
      <c r="H99" s="508"/>
      <c r="I99" s="508"/>
      <c r="J99" s="508"/>
      <c r="K99" s="508"/>
      <c r="L99" s="508"/>
      <c r="M99" s="508"/>
      <c r="N99" s="508"/>
      <c r="O99" s="508"/>
      <c r="P99" s="508"/>
      <c r="Q99" s="508"/>
      <c r="R99" s="508"/>
      <c r="S99" s="508"/>
      <c r="T99" s="508"/>
      <c r="U99" s="508"/>
      <c r="V99" s="508"/>
      <c r="W99" s="508"/>
      <c r="X99" s="508"/>
      <c r="Y99" s="508"/>
      <c r="Z99" s="508"/>
      <c r="AA99" s="508"/>
      <c r="AB99" s="508"/>
      <c r="AC99" s="508"/>
      <c r="AD99" s="508"/>
      <c r="AE99" s="508"/>
      <c r="AF99" s="508"/>
      <c r="AG99" s="508"/>
      <c r="AH99" s="508"/>
      <c r="ID99" s="510"/>
    </row>
    <row r="100" spans="1:238" s="511" customFormat="1">
      <c r="B100" s="512"/>
      <c r="C100" s="513"/>
      <c r="D100" s="512"/>
      <c r="E100" s="512"/>
      <c r="F100" s="512"/>
      <c r="G100" s="512"/>
      <c r="H100" s="512"/>
      <c r="I100" s="512"/>
      <c r="J100" s="512"/>
      <c r="K100" s="512"/>
      <c r="L100" s="512"/>
      <c r="M100" s="512"/>
      <c r="N100" s="512"/>
      <c r="O100" s="512"/>
      <c r="P100" s="512"/>
      <c r="Q100" s="512"/>
      <c r="R100" s="512"/>
      <c r="S100" s="512"/>
      <c r="T100" s="512"/>
      <c r="U100" s="512"/>
      <c r="V100" s="512"/>
      <c r="W100" s="512"/>
      <c r="X100" s="512"/>
      <c r="Y100" s="512"/>
      <c r="Z100" s="512"/>
      <c r="AA100" s="512"/>
      <c r="AB100" s="512"/>
      <c r="AC100" s="512"/>
      <c r="AD100" s="512"/>
      <c r="AE100" s="512"/>
      <c r="AF100" s="512"/>
      <c r="AG100" s="512"/>
      <c r="AH100" s="512"/>
      <c r="ID100" s="514"/>
    </row>
    <row r="101" spans="1:238">
      <c r="A101" s="515"/>
      <c r="B101" s="506"/>
      <c r="D101" s="506"/>
      <c r="E101" s="506"/>
      <c r="F101" s="506"/>
      <c r="G101" s="506"/>
      <c r="H101" s="506"/>
      <c r="I101" s="506"/>
      <c r="J101" s="506"/>
      <c r="K101" s="506"/>
      <c r="L101" s="506"/>
      <c r="M101" s="506"/>
      <c r="N101" s="506"/>
      <c r="O101" s="506"/>
      <c r="P101" s="506"/>
      <c r="Q101" s="506"/>
      <c r="R101" s="506"/>
      <c r="S101" s="506"/>
      <c r="T101" s="506"/>
      <c r="U101" s="506"/>
      <c r="V101" s="506"/>
      <c r="W101" s="506"/>
      <c r="X101" s="506"/>
      <c r="Y101" s="506"/>
      <c r="Z101" s="506"/>
      <c r="AA101" s="506"/>
      <c r="AB101" s="506"/>
      <c r="AC101" s="506"/>
      <c r="AD101" s="506"/>
      <c r="AE101" s="506"/>
      <c r="AF101" s="506"/>
      <c r="AG101" s="506"/>
      <c r="AH101" s="506"/>
    </row>
    <row r="102" spans="1:238">
      <c r="A102" s="515"/>
      <c r="B102" s="506"/>
      <c r="D102" s="506"/>
      <c r="E102" s="506"/>
      <c r="F102" s="506"/>
      <c r="G102" s="506"/>
      <c r="H102" s="506"/>
      <c r="I102" s="506"/>
      <c r="J102" s="506"/>
      <c r="K102" s="506"/>
      <c r="L102" s="506"/>
      <c r="M102" s="506"/>
      <c r="N102" s="506"/>
      <c r="O102" s="506"/>
      <c r="P102" s="506"/>
      <c r="Q102" s="506"/>
      <c r="R102" s="506"/>
      <c r="S102" s="506"/>
      <c r="T102" s="506"/>
      <c r="U102" s="506"/>
      <c r="V102" s="506"/>
      <c r="W102" s="506"/>
      <c r="X102" s="506"/>
      <c r="Y102" s="506"/>
      <c r="Z102" s="506"/>
      <c r="AA102" s="506"/>
      <c r="AB102" s="506"/>
      <c r="AC102" s="506"/>
      <c r="AD102" s="506"/>
      <c r="AE102" s="506"/>
      <c r="AF102" s="506"/>
      <c r="AG102" s="506"/>
      <c r="AH102" s="506"/>
    </row>
    <row r="103" spans="1:238" s="507" customFormat="1">
      <c r="B103" s="508"/>
      <c r="C103" s="509"/>
      <c r="D103" s="508"/>
      <c r="E103" s="508"/>
      <c r="F103" s="508"/>
      <c r="G103" s="508"/>
      <c r="H103" s="508"/>
      <c r="I103" s="508"/>
      <c r="J103" s="508"/>
      <c r="K103" s="508"/>
      <c r="L103" s="508"/>
      <c r="M103" s="508"/>
      <c r="N103" s="508"/>
      <c r="O103" s="508"/>
      <c r="P103" s="508"/>
      <c r="Q103" s="508"/>
      <c r="R103" s="508"/>
      <c r="S103" s="508"/>
      <c r="T103" s="508"/>
      <c r="U103" s="508"/>
      <c r="V103" s="508"/>
      <c r="W103" s="508"/>
      <c r="X103" s="508"/>
      <c r="Y103" s="508"/>
      <c r="Z103" s="508"/>
      <c r="AA103" s="508"/>
      <c r="AB103" s="508"/>
      <c r="AC103" s="508"/>
      <c r="AD103" s="508"/>
      <c r="AE103" s="508"/>
      <c r="AF103" s="508"/>
      <c r="AG103" s="508"/>
      <c r="AH103" s="508"/>
      <c r="ID103" s="510"/>
    </row>
    <row r="104" spans="1:238" s="511" customFormat="1">
      <c r="B104" s="512"/>
      <c r="C104" s="513"/>
      <c r="D104" s="512"/>
      <c r="E104" s="512"/>
      <c r="F104" s="512"/>
      <c r="G104" s="512"/>
      <c r="H104" s="512"/>
      <c r="I104" s="512"/>
      <c r="J104" s="512"/>
      <c r="K104" s="512"/>
      <c r="L104" s="512"/>
      <c r="M104" s="512"/>
      <c r="N104" s="512"/>
      <c r="O104" s="512"/>
      <c r="P104" s="512"/>
      <c r="Q104" s="512"/>
      <c r="R104" s="512"/>
      <c r="S104" s="512"/>
      <c r="T104" s="512"/>
      <c r="U104" s="512"/>
      <c r="V104" s="512"/>
      <c r="W104" s="512"/>
      <c r="X104" s="512"/>
      <c r="Y104" s="512"/>
      <c r="Z104" s="512"/>
      <c r="AA104" s="512"/>
      <c r="AB104" s="512"/>
      <c r="AC104" s="512"/>
      <c r="AD104" s="512"/>
      <c r="AE104" s="512"/>
      <c r="AF104" s="512"/>
      <c r="AG104" s="512"/>
      <c r="AH104" s="512"/>
      <c r="ID104" s="514"/>
    </row>
    <row r="105" spans="1:238">
      <c r="A105" s="515"/>
      <c r="B105" s="506"/>
      <c r="D105" s="506"/>
      <c r="E105" s="506"/>
      <c r="F105" s="506"/>
      <c r="G105" s="506"/>
      <c r="H105" s="506"/>
      <c r="I105" s="506"/>
      <c r="J105" s="506"/>
      <c r="K105" s="506"/>
      <c r="L105" s="506"/>
      <c r="M105" s="506"/>
      <c r="N105" s="506"/>
      <c r="O105" s="506"/>
      <c r="P105" s="506"/>
      <c r="Q105" s="506"/>
      <c r="R105" s="506"/>
      <c r="S105" s="506"/>
      <c r="T105" s="506"/>
      <c r="U105" s="506"/>
      <c r="V105" s="506"/>
      <c r="W105" s="506"/>
      <c r="X105" s="506"/>
      <c r="Y105" s="506"/>
      <c r="Z105" s="506"/>
      <c r="AA105" s="506"/>
      <c r="AB105" s="506"/>
      <c r="AC105" s="506"/>
      <c r="AD105" s="506"/>
      <c r="AE105" s="506"/>
      <c r="AF105" s="506"/>
      <c r="AG105" s="506"/>
      <c r="AH105" s="506"/>
    </row>
    <row r="106" spans="1:238">
      <c r="A106" s="515"/>
      <c r="B106" s="506"/>
      <c r="D106" s="506"/>
      <c r="E106" s="506"/>
      <c r="F106" s="506"/>
      <c r="G106" s="506"/>
      <c r="H106" s="506"/>
      <c r="I106" s="506"/>
      <c r="J106" s="506"/>
      <c r="K106" s="506"/>
      <c r="L106" s="506"/>
      <c r="M106" s="506"/>
      <c r="N106" s="506"/>
      <c r="O106" s="506"/>
      <c r="P106" s="506"/>
      <c r="Q106" s="506"/>
      <c r="R106" s="506"/>
      <c r="S106" s="506"/>
      <c r="T106" s="506"/>
      <c r="U106" s="506"/>
      <c r="V106" s="506"/>
      <c r="W106" s="506"/>
      <c r="X106" s="506"/>
      <c r="Y106" s="506"/>
      <c r="Z106" s="506"/>
      <c r="AA106" s="506"/>
      <c r="AB106" s="506"/>
      <c r="AC106" s="506"/>
      <c r="AD106" s="506"/>
      <c r="AE106" s="506"/>
      <c r="AF106" s="506"/>
      <c r="AG106" s="506"/>
      <c r="AH106" s="506"/>
    </row>
    <row r="107" spans="1:238" s="507" customFormat="1">
      <c r="B107" s="508"/>
      <c r="C107" s="509"/>
      <c r="D107" s="508"/>
      <c r="E107" s="508"/>
      <c r="F107" s="508"/>
      <c r="G107" s="508"/>
      <c r="H107" s="508"/>
      <c r="I107" s="508"/>
      <c r="J107" s="508"/>
      <c r="K107" s="508"/>
      <c r="L107" s="508"/>
      <c r="M107" s="508"/>
      <c r="N107" s="508"/>
      <c r="O107" s="508"/>
      <c r="P107" s="508"/>
      <c r="Q107" s="508"/>
      <c r="R107" s="508"/>
      <c r="S107" s="508"/>
      <c r="T107" s="508"/>
      <c r="U107" s="508"/>
      <c r="V107" s="508"/>
      <c r="W107" s="508"/>
      <c r="X107" s="508"/>
      <c r="Y107" s="508"/>
      <c r="Z107" s="508"/>
      <c r="AA107" s="508"/>
      <c r="AB107" s="508"/>
      <c r="AC107" s="508"/>
      <c r="AD107" s="508"/>
      <c r="AE107" s="508"/>
      <c r="AF107" s="508"/>
      <c r="AG107" s="508"/>
      <c r="AH107" s="508"/>
      <c r="ID107" s="510"/>
    </row>
    <row r="108" spans="1:238" s="511" customFormat="1">
      <c r="B108" s="512"/>
      <c r="C108" s="513"/>
      <c r="D108" s="512"/>
      <c r="E108" s="512"/>
      <c r="F108" s="512"/>
      <c r="G108" s="512"/>
      <c r="H108" s="512"/>
      <c r="I108" s="512"/>
      <c r="J108" s="512"/>
      <c r="K108" s="512"/>
      <c r="L108" s="512"/>
      <c r="M108" s="512"/>
      <c r="N108" s="512"/>
      <c r="O108" s="512"/>
      <c r="P108" s="512"/>
      <c r="Q108" s="512"/>
      <c r="R108" s="512"/>
      <c r="S108" s="512"/>
      <c r="T108" s="512"/>
      <c r="U108" s="512"/>
      <c r="V108" s="512"/>
      <c r="W108" s="512"/>
      <c r="X108" s="512"/>
      <c r="Y108" s="512"/>
      <c r="Z108" s="512"/>
      <c r="AA108" s="512"/>
      <c r="AB108" s="512"/>
      <c r="AC108" s="512"/>
      <c r="AD108" s="512"/>
      <c r="AE108" s="512"/>
      <c r="AF108" s="512"/>
      <c r="AG108" s="512"/>
      <c r="AH108" s="512"/>
      <c r="ID108" s="514"/>
    </row>
    <row r="109" spans="1:238">
      <c r="A109" s="515"/>
      <c r="B109" s="506"/>
      <c r="D109" s="506"/>
      <c r="E109" s="506"/>
      <c r="F109" s="506"/>
      <c r="G109" s="506"/>
      <c r="H109" s="506"/>
      <c r="I109" s="506"/>
      <c r="J109" s="506"/>
      <c r="K109" s="506"/>
      <c r="L109" s="506"/>
      <c r="M109" s="506"/>
      <c r="N109" s="506"/>
      <c r="O109" s="506"/>
      <c r="P109" s="506"/>
      <c r="Q109" s="506"/>
      <c r="R109" s="506"/>
      <c r="S109" s="506"/>
      <c r="T109" s="506"/>
      <c r="U109" s="506"/>
      <c r="V109" s="506"/>
      <c r="W109" s="506"/>
      <c r="X109" s="506"/>
      <c r="Y109" s="506"/>
      <c r="Z109" s="506"/>
      <c r="AA109" s="506"/>
      <c r="AB109" s="506"/>
      <c r="AC109" s="506"/>
      <c r="AD109" s="506"/>
      <c r="AE109" s="506"/>
      <c r="AF109" s="506"/>
      <c r="AG109" s="506"/>
      <c r="AH109" s="506"/>
    </row>
    <row r="110" spans="1:238">
      <c r="A110" s="515"/>
      <c r="B110" s="506"/>
      <c r="D110" s="506"/>
      <c r="E110" s="506"/>
      <c r="F110" s="506"/>
      <c r="G110" s="506"/>
      <c r="H110" s="506"/>
      <c r="I110" s="506"/>
      <c r="J110" s="506"/>
      <c r="K110" s="506"/>
      <c r="L110" s="506"/>
      <c r="M110" s="506"/>
      <c r="N110" s="506"/>
      <c r="O110" s="506"/>
      <c r="P110" s="506"/>
      <c r="Q110" s="506"/>
      <c r="R110" s="506"/>
      <c r="S110" s="506"/>
      <c r="T110" s="506"/>
      <c r="U110" s="506"/>
      <c r="V110" s="506"/>
      <c r="W110" s="506"/>
      <c r="X110" s="506"/>
      <c r="Y110" s="506"/>
      <c r="Z110" s="506"/>
      <c r="AA110" s="506"/>
      <c r="AB110" s="506"/>
      <c r="AC110" s="506"/>
      <c r="AD110" s="506"/>
      <c r="AE110" s="506"/>
      <c r="AF110" s="506"/>
      <c r="AG110" s="506"/>
      <c r="AH110" s="506"/>
    </row>
    <row r="111" spans="1:238" s="507" customFormat="1">
      <c r="B111" s="508"/>
      <c r="C111" s="509"/>
      <c r="D111" s="508"/>
      <c r="E111" s="508"/>
      <c r="F111" s="508"/>
      <c r="G111" s="508"/>
      <c r="H111" s="508"/>
      <c r="I111" s="508"/>
      <c r="J111" s="508"/>
      <c r="K111" s="508"/>
      <c r="L111" s="508"/>
      <c r="M111" s="508"/>
      <c r="N111" s="508"/>
      <c r="O111" s="508"/>
      <c r="P111" s="508"/>
      <c r="Q111" s="508"/>
      <c r="R111" s="508"/>
      <c r="S111" s="508"/>
      <c r="T111" s="508"/>
      <c r="U111" s="508"/>
      <c r="V111" s="508"/>
      <c r="W111" s="508"/>
      <c r="X111" s="508"/>
      <c r="Y111" s="508"/>
      <c r="Z111" s="508"/>
      <c r="AA111" s="508"/>
      <c r="AB111" s="508"/>
      <c r="AC111" s="508"/>
      <c r="AD111" s="508"/>
      <c r="AE111" s="508"/>
      <c r="AF111" s="508"/>
      <c r="AG111" s="508"/>
      <c r="AH111" s="508"/>
      <c r="ID111" s="510"/>
    </row>
    <row r="112" spans="1:238" s="511" customFormat="1">
      <c r="B112" s="512"/>
      <c r="C112" s="513"/>
      <c r="D112" s="512"/>
      <c r="E112" s="512"/>
      <c r="F112" s="512"/>
      <c r="G112" s="512"/>
      <c r="H112" s="512"/>
      <c r="I112" s="512"/>
      <c r="J112" s="512"/>
      <c r="K112" s="512"/>
      <c r="L112" s="512"/>
      <c r="M112" s="512"/>
      <c r="N112" s="512"/>
      <c r="O112" s="512"/>
      <c r="P112" s="512"/>
      <c r="Q112" s="512"/>
      <c r="R112" s="512"/>
      <c r="S112" s="512"/>
      <c r="T112" s="512"/>
      <c r="U112" s="512"/>
      <c r="V112" s="512"/>
      <c r="W112" s="512"/>
      <c r="X112" s="512"/>
      <c r="Y112" s="512"/>
      <c r="Z112" s="512"/>
      <c r="AA112" s="512"/>
      <c r="AB112" s="512"/>
      <c r="AC112" s="512"/>
      <c r="AD112" s="512"/>
      <c r="AE112" s="512"/>
      <c r="AF112" s="512"/>
      <c r="AG112" s="512"/>
      <c r="AH112" s="512"/>
      <c r="ID112" s="514"/>
    </row>
    <row r="113" spans="1:238">
      <c r="A113" s="515"/>
      <c r="B113" s="506"/>
      <c r="D113" s="506"/>
      <c r="E113" s="506"/>
      <c r="F113" s="506"/>
      <c r="G113" s="506"/>
      <c r="H113" s="506"/>
      <c r="I113" s="506"/>
      <c r="J113" s="506"/>
      <c r="K113" s="506"/>
      <c r="L113" s="506"/>
      <c r="M113" s="506"/>
      <c r="N113" s="506"/>
      <c r="O113" s="506"/>
      <c r="P113" s="506"/>
      <c r="Q113" s="506"/>
      <c r="R113" s="506"/>
      <c r="S113" s="506"/>
      <c r="T113" s="506"/>
      <c r="U113" s="506"/>
      <c r="V113" s="506"/>
      <c r="W113" s="506"/>
      <c r="X113" s="506"/>
      <c r="Y113" s="506"/>
      <c r="Z113" s="506"/>
      <c r="AA113" s="506"/>
      <c r="AB113" s="506"/>
      <c r="AC113" s="506"/>
      <c r="AD113" s="506"/>
      <c r="AE113" s="506"/>
      <c r="AF113" s="506"/>
      <c r="AG113" s="506"/>
      <c r="AH113" s="506"/>
    </row>
    <row r="114" spans="1:238">
      <c r="A114" s="515"/>
      <c r="B114" s="506"/>
      <c r="D114" s="506"/>
      <c r="E114" s="506"/>
      <c r="F114" s="506"/>
      <c r="G114" s="506"/>
      <c r="H114" s="506"/>
      <c r="I114" s="506"/>
      <c r="J114" s="506"/>
      <c r="K114" s="506"/>
      <c r="L114" s="506"/>
      <c r="M114" s="506"/>
      <c r="N114" s="506"/>
      <c r="O114" s="506"/>
      <c r="P114" s="506"/>
      <c r="Q114" s="506"/>
      <c r="R114" s="506"/>
      <c r="S114" s="506"/>
      <c r="T114" s="506"/>
      <c r="U114" s="506"/>
      <c r="V114" s="506"/>
      <c r="W114" s="506"/>
      <c r="X114" s="506"/>
      <c r="Y114" s="506"/>
      <c r="Z114" s="506"/>
      <c r="AA114" s="506"/>
      <c r="AB114" s="506"/>
      <c r="AC114" s="506"/>
      <c r="AD114" s="506"/>
      <c r="AE114" s="506"/>
      <c r="AF114" s="506"/>
      <c r="AG114" s="506"/>
      <c r="AH114" s="506"/>
    </row>
    <row r="115" spans="1:238" s="507" customFormat="1">
      <c r="B115" s="508"/>
      <c r="C115" s="509"/>
      <c r="D115" s="508"/>
      <c r="E115" s="508"/>
      <c r="F115" s="508"/>
      <c r="G115" s="508"/>
      <c r="H115" s="508"/>
      <c r="I115" s="508"/>
      <c r="J115" s="508"/>
      <c r="K115" s="508"/>
      <c r="L115" s="508"/>
      <c r="M115" s="508"/>
      <c r="N115" s="508"/>
      <c r="O115" s="508"/>
      <c r="P115" s="508"/>
      <c r="Q115" s="508"/>
      <c r="R115" s="508"/>
      <c r="S115" s="508"/>
      <c r="T115" s="508"/>
      <c r="U115" s="508"/>
      <c r="V115" s="508"/>
      <c r="W115" s="508"/>
      <c r="X115" s="508"/>
      <c r="Y115" s="508"/>
      <c r="Z115" s="508"/>
      <c r="AA115" s="508"/>
      <c r="AB115" s="508"/>
      <c r="AC115" s="508"/>
      <c r="AD115" s="508"/>
      <c r="AE115" s="508"/>
      <c r="AF115" s="508"/>
      <c r="AG115" s="508"/>
      <c r="AH115" s="508"/>
      <c r="ID115" s="510"/>
    </row>
    <row r="116" spans="1:238" s="511" customFormat="1">
      <c r="B116" s="512"/>
      <c r="C116" s="513"/>
      <c r="D116" s="512"/>
      <c r="E116" s="512"/>
      <c r="F116" s="512"/>
      <c r="G116" s="512"/>
      <c r="H116" s="512"/>
      <c r="I116" s="512"/>
      <c r="J116" s="512"/>
      <c r="K116" s="512"/>
      <c r="L116" s="512"/>
      <c r="M116" s="512"/>
      <c r="N116" s="512"/>
      <c r="O116" s="512"/>
      <c r="P116" s="512"/>
      <c r="Q116" s="512"/>
      <c r="R116" s="512"/>
      <c r="S116" s="512"/>
      <c r="T116" s="512"/>
      <c r="U116" s="512"/>
      <c r="V116" s="512"/>
      <c r="W116" s="512"/>
      <c r="X116" s="512"/>
      <c r="Y116" s="512"/>
      <c r="Z116" s="512"/>
      <c r="AA116" s="512"/>
      <c r="AB116" s="512"/>
      <c r="AC116" s="512"/>
      <c r="AD116" s="512"/>
      <c r="AE116" s="512"/>
      <c r="AF116" s="512"/>
      <c r="AG116" s="512"/>
      <c r="AH116" s="512"/>
      <c r="ID116" s="514"/>
    </row>
    <row r="117" spans="1:238">
      <c r="A117" s="515"/>
      <c r="B117" s="506"/>
      <c r="D117" s="506"/>
      <c r="E117" s="506"/>
      <c r="F117" s="506"/>
      <c r="G117" s="506"/>
      <c r="H117" s="506"/>
      <c r="I117" s="506"/>
      <c r="J117" s="506"/>
      <c r="K117" s="506"/>
      <c r="L117" s="506"/>
      <c r="M117" s="506"/>
      <c r="N117" s="506"/>
      <c r="O117" s="506"/>
      <c r="P117" s="506"/>
      <c r="Q117" s="506"/>
      <c r="R117" s="506"/>
      <c r="S117" s="506"/>
      <c r="T117" s="506"/>
      <c r="U117" s="506"/>
      <c r="V117" s="506"/>
      <c r="W117" s="506"/>
      <c r="X117" s="506"/>
      <c r="Y117" s="506"/>
      <c r="Z117" s="506"/>
      <c r="AA117" s="506"/>
      <c r="AB117" s="506"/>
      <c r="AC117" s="506"/>
      <c r="AD117" s="506"/>
      <c r="AE117" s="506"/>
      <c r="AF117" s="506"/>
      <c r="AG117" s="506"/>
      <c r="AH117" s="506"/>
    </row>
    <row r="118" spans="1:238">
      <c r="A118" s="515"/>
      <c r="B118" s="506"/>
      <c r="D118" s="506"/>
      <c r="E118" s="506"/>
      <c r="F118" s="506"/>
      <c r="G118" s="506"/>
      <c r="H118" s="506"/>
      <c r="I118" s="506"/>
      <c r="J118" s="506"/>
      <c r="K118" s="506"/>
      <c r="L118" s="506"/>
      <c r="M118" s="506"/>
      <c r="N118" s="506"/>
      <c r="O118" s="506"/>
      <c r="P118" s="506"/>
      <c r="Q118" s="506"/>
      <c r="R118" s="506"/>
      <c r="S118" s="506"/>
      <c r="T118" s="506"/>
      <c r="U118" s="506"/>
      <c r="V118" s="506"/>
      <c r="W118" s="506"/>
      <c r="X118" s="506"/>
      <c r="Y118" s="506"/>
      <c r="Z118" s="506"/>
      <c r="AA118" s="506"/>
      <c r="AB118" s="506"/>
      <c r="AC118" s="506"/>
      <c r="AD118" s="506"/>
      <c r="AE118" s="506"/>
      <c r="AF118" s="506"/>
      <c r="AG118" s="506"/>
      <c r="AH118" s="506"/>
    </row>
    <row r="119" spans="1:238" s="507" customFormat="1">
      <c r="B119" s="508"/>
      <c r="C119" s="509"/>
      <c r="D119" s="508"/>
      <c r="E119" s="508"/>
      <c r="F119" s="508"/>
      <c r="G119" s="508"/>
      <c r="H119" s="508"/>
      <c r="I119" s="508"/>
      <c r="J119" s="508"/>
      <c r="K119" s="508"/>
      <c r="L119" s="508"/>
      <c r="M119" s="508"/>
      <c r="N119" s="508"/>
      <c r="O119" s="508"/>
      <c r="P119" s="508"/>
      <c r="Q119" s="508"/>
      <c r="R119" s="508"/>
      <c r="S119" s="508"/>
      <c r="T119" s="508"/>
      <c r="U119" s="508"/>
      <c r="V119" s="508"/>
      <c r="W119" s="508"/>
      <c r="X119" s="508"/>
      <c r="Y119" s="508"/>
      <c r="Z119" s="508"/>
      <c r="AA119" s="508"/>
      <c r="AB119" s="508"/>
      <c r="AC119" s="508"/>
      <c r="AD119" s="508"/>
      <c r="AE119" s="508"/>
      <c r="AF119" s="508"/>
      <c r="AG119" s="508"/>
      <c r="AH119" s="508"/>
      <c r="ID119" s="510"/>
    </row>
    <row r="120" spans="1:238" s="511" customFormat="1">
      <c r="B120" s="512"/>
      <c r="C120" s="513"/>
      <c r="D120" s="512"/>
      <c r="E120" s="512"/>
      <c r="F120" s="512"/>
      <c r="G120" s="512"/>
      <c r="H120" s="512"/>
      <c r="I120" s="512"/>
      <c r="J120" s="512"/>
      <c r="K120" s="512"/>
      <c r="L120" s="512"/>
      <c r="M120" s="512"/>
      <c r="N120" s="512"/>
      <c r="O120" s="512"/>
      <c r="P120" s="512"/>
      <c r="Q120" s="512"/>
      <c r="R120" s="512"/>
      <c r="S120" s="512"/>
      <c r="T120" s="512"/>
      <c r="U120" s="512"/>
      <c r="V120" s="512"/>
      <c r="W120" s="512"/>
      <c r="X120" s="512"/>
      <c r="Y120" s="512"/>
      <c r="Z120" s="512"/>
      <c r="AA120" s="512"/>
      <c r="AB120" s="512"/>
      <c r="AC120" s="512"/>
      <c r="AD120" s="512"/>
      <c r="AE120" s="512"/>
      <c r="AF120" s="512"/>
      <c r="AG120" s="512"/>
      <c r="AH120" s="512"/>
      <c r="ID120" s="514"/>
    </row>
    <row r="121" spans="1:238">
      <c r="A121" s="515"/>
      <c r="B121" s="506"/>
      <c r="D121" s="506"/>
      <c r="E121" s="506"/>
      <c r="F121" s="506"/>
      <c r="G121" s="506"/>
      <c r="H121" s="506"/>
      <c r="I121" s="506"/>
      <c r="J121" s="506"/>
      <c r="K121" s="506"/>
      <c r="L121" s="506"/>
      <c r="M121" s="506"/>
      <c r="N121" s="506"/>
      <c r="O121" s="506"/>
      <c r="P121" s="506"/>
      <c r="Q121" s="506"/>
      <c r="R121" s="506"/>
      <c r="S121" s="506"/>
      <c r="T121" s="506"/>
      <c r="U121" s="506"/>
      <c r="V121" s="506"/>
      <c r="W121" s="506"/>
      <c r="X121" s="506"/>
      <c r="Y121" s="506"/>
      <c r="Z121" s="506"/>
      <c r="AA121" s="506"/>
      <c r="AB121" s="506"/>
      <c r="AC121" s="506"/>
      <c r="AD121" s="506"/>
      <c r="AE121" s="506"/>
      <c r="AF121" s="506"/>
      <c r="AG121" s="506"/>
      <c r="AH121" s="506"/>
    </row>
    <row r="122" spans="1:238">
      <c r="A122" s="515"/>
      <c r="B122" s="506"/>
      <c r="D122" s="506"/>
      <c r="E122" s="506"/>
      <c r="F122" s="506"/>
      <c r="G122" s="506"/>
      <c r="H122" s="506"/>
      <c r="I122" s="506"/>
      <c r="J122" s="506"/>
      <c r="K122" s="506"/>
      <c r="L122" s="506"/>
      <c r="M122" s="506"/>
      <c r="N122" s="506"/>
      <c r="O122" s="506"/>
      <c r="P122" s="506"/>
      <c r="Q122" s="506"/>
      <c r="R122" s="506"/>
      <c r="S122" s="506"/>
      <c r="T122" s="506"/>
      <c r="U122" s="506"/>
      <c r="V122" s="506"/>
      <c r="W122" s="506"/>
      <c r="X122" s="506"/>
      <c r="Y122" s="506"/>
      <c r="Z122" s="506"/>
      <c r="AA122" s="506"/>
      <c r="AB122" s="506"/>
      <c r="AC122" s="506"/>
      <c r="AD122" s="506"/>
      <c r="AE122" s="506"/>
      <c r="AF122" s="506"/>
      <c r="AG122" s="506"/>
      <c r="AH122" s="506"/>
    </row>
    <row r="123" spans="1:238" s="507" customFormat="1">
      <c r="B123" s="508"/>
      <c r="C123" s="509"/>
      <c r="D123" s="508"/>
      <c r="E123" s="508"/>
      <c r="F123" s="508"/>
      <c r="G123" s="508"/>
      <c r="H123" s="508"/>
      <c r="I123" s="508"/>
      <c r="J123" s="508"/>
      <c r="K123" s="508"/>
      <c r="L123" s="508"/>
      <c r="M123" s="508"/>
      <c r="N123" s="508"/>
      <c r="O123" s="508"/>
      <c r="P123" s="508"/>
      <c r="Q123" s="508"/>
      <c r="R123" s="508"/>
      <c r="S123" s="508"/>
      <c r="T123" s="508"/>
      <c r="U123" s="508"/>
      <c r="V123" s="508"/>
      <c r="W123" s="508"/>
      <c r="X123" s="508"/>
      <c r="Y123" s="508"/>
      <c r="Z123" s="508"/>
      <c r="AA123" s="508"/>
      <c r="AB123" s="508"/>
      <c r="AC123" s="508"/>
      <c r="AD123" s="508"/>
      <c r="AE123" s="508"/>
      <c r="AF123" s="508"/>
      <c r="AG123" s="508"/>
      <c r="AH123" s="508"/>
      <c r="ID123" s="510"/>
    </row>
    <row r="124" spans="1:238" s="511" customFormat="1">
      <c r="B124" s="512"/>
      <c r="C124" s="513"/>
      <c r="D124" s="512"/>
      <c r="E124" s="512"/>
      <c r="F124" s="512"/>
      <c r="G124" s="512"/>
      <c r="H124" s="512"/>
      <c r="I124" s="512"/>
      <c r="J124" s="512"/>
      <c r="K124" s="512"/>
      <c r="L124" s="512"/>
      <c r="M124" s="512"/>
      <c r="N124" s="512"/>
      <c r="O124" s="512"/>
      <c r="P124" s="512"/>
      <c r="Q124" s="512"/>
      <c r="R124" s="512"/>
      <c r="S124" s="512"/>
      <c r="T124" s="512"/>
      <c r="U124" s="512"/>
      <c r="V124" s="512"/>
      <c r="W124" s="512"/>
      <c r="X124" s="512"/>
      <c r="Y124" s="512"/>
      <c r="Z124" s="512"/>
      <c r="AA124" s="512"/>
      <c r="AB124" s="512"/>
      <c r="AC124" s="512"/>
      <c r="AD124" s="512"/>
      <c r="AE124" s="512"/>
      <c r="AF124" s="512"/>
      <c r="AG124" s="512"/>
      <c r="AH124" s="512"/>
      <c r="ID124" s="514"/>
    </row>
    <row r="125" spans="1:238" s="507" customFormat="1">
      <c r="B125" s="508"/>
      <c r="C125" s="509"/>
      <c r="D125" s="508"/>
      <c r="E125" s="508"/>
      <c r="F125" s="508"/>
      <c r="G125" s="508"/>
      <c r="H125" s="508"/>
      <c r="I125" s="508"/>
      <c r="J125" s="508"/>
      <c r="K125" s="508"/>
      <c r="L125" s="508"/>
      <c r="M125" s="508"/>
      <c r="N125" s="508"/>
      <c r="O125" s="508"/>
      <c r="P125" s="508"/>
      <c r="Q125" s="508"/>
      <c r="R125" s="508"/>
      <c r="S125" s="508"/>
      <c r="T125" s="508"/>
      <c r="U125" s="508"/>
      <c r="V125" s="508"/>
      <c r="W125" s="508"/>
      <c r="X125" s="508"/>
      <c r="Y125" s="508"/>
      <c r="Z125" s="508"/>
      <c r="AA125" s="508"/>
      <c r="AB125" s="508"/>
      <c r="AC125" s="508"/>
      <c r="AD125" s="508"/>
      <c r="AE125" s="508"/>
      <c r="AF125" s="508"/>
      <c r="AG125" s="508"/>
      <c r="AH125" s="508"/>
      <c r="ID125" s="510"/>
    </row>
    <row r="126" spans="1:238" s="511" customFormat="1">
      <c r="B126" s="512"/>
      <c r="C126" s="513"/>
      <c r="D126" s="512"/>
      <c r="E126" s="512"/>
      <c r="F126" s="512"/>
      <c r="G126" s="512"/>
      <c r="H126" s="512"/>
      <c r="I126" s="512"/>
      <c r="J126" s="512"/>
      <c r="K126" s="512"/>
      <c r="L126" s="512"/>
      <c r="M126" s="512"/>
      <c r="N126" s="512"/>
      <c r="O126" s="512"/>
      <c r="P126" s="512"/>
      <c r="Q126" s="512"/>
      <c r="R126" s="512"/>
      <c r="S126" s="512"/>
      <c r="T126" s="512"/>
      <c r="U126" s="512"/>
      <c r="V126" s="512"/>
      <c r="W126" s="512"/>
      <c r="X126" s="512"/>
      <c r="Y126" s="512"/>
      <c r="Z126" s="512"/>
      <c r="AA126" s="512"/>
      <c r="AB126" s="512"/>
      <c r="AC126" s="512"/>
      <c r="AD126" s="512"/>
      <c r="AE126" s="512"/>
      <c r="AF126" s="512"/>
      <c r="AG126" s="512"/>
      <c r="AH126" s="512"/>
      <c r="ID126" s="514"/>
    </row>
    <row r="127" spans="1:238">
      <c r="A127" s="515"/>
      <c r="B127" s="506"/>
      <c r="D127" s="506"/>
      <c r="E127" s="506"/>
      <c r="F127" s="506"/>
      <c r="G127" s="506"/>
      <c r="H127" s="506"/>
      <c r="I127" s="506"/>
      <c r="J127" s="506"/>
      <c r="K127" s="506"/>
      <c r="L127" s="506"/>
      <c r="M127" s="506"/>
      <c r="N127" s="506"/>
      <c r="O127" s="506"/>
      <c r="P127" s="506"/>
      <c r="Q127" s="506"/>
      <c r="R127" s="506"/>
      <c r="S127" s="506"/>
      <c r="T127" s="506"/>
      <c r="U127" s="506"/>
      <c r="V127" s="506"/>
      <c r="W127" s="506"/>
      <c r="X127" s="506"/>
      <c r="Y127" s="506"/>
      <c r="Z127" s="506"/>
      <c r="AA127" s="506"/>
      <c r="AB127" s="506"/>
      <c r="AC127" s="506"/>
      <c r="AD127" s="506"/>
      <c r="AE127" s="506"/>
      <c r="AF127" s="506"/>
      <c r="AG127" s="506"/>
      <c r="AH127" s="506"/>
    </row>
    <row r="128" spans="1:238">
      <c r="A128" s="515"/>
      <c r="B128" s="506"/>
      <c r="D128" s="506"/>
      <c r="E128" s="506"/>
      <c r="F128" s="506"/>
      <c r="G128" s="506"/>
      <c r="H128" s="506"/>
      <c r="I128" s="506"/>
      <c r="J128" s="506"/>
      <c r="K128" s="506"/>
      <c r="L128" s="506"/>
      <c r="M128" s="506"/>
      <c r="N128" s="506"/>
      <c r="O128" s="506"/>
      <c r="P128" s="506"/>
      <c r="Q128" s="506"/>
      <c r="R128" s="506"/>
      <c r="S128" s="506"/>
      <c r="T128" s="506"/>
      <c r="U128" s="506"/>
      <c r="V128" s="506"/>
      <c r="W128" s="506"/>
      <c r="X128" s="506"/>
      <c r="Y128" s="506"/>
      <c r="Z128" s="506"/>
      <c r="AA128" s="506"/>
      <c r="AB128" s="506"/>
      <c r="AC128" s="506"/>
      <c r="AD128" s="506"/>
      <c r="AE128" s="506"/>
      <c r="AF128" s="506"/>
      <c r="AG128" s="506"/>
      <c r="AH128" s="506"/>
    </row>
    <row r="129" spans="1:238" s="507" customFormat="1">
      <c r="B129" s="508"/>
      <c r="C129" s="509"/>
      <c r="D129" s="508"/>
      <c r="E129" s="508"/>
      <c r="F129" s="508"/>
      <c r="G129" s="508"/>
      <c r="H129" s="508"/>
      <c r="I129" s="508"/>
      <c r="J129" s="508"/>
      <c r="K129" s="508"/>
      <c r="L129" s="508"/>
      <c r="M129" s="508"/>
      <c r="N129" s="508"/>
      <c r="O129" s="508"/>
      <c r="P129" s="508"/>
      <c r="Q129" s="508"/>
      <c r="R129" s="508"/>
      <c r="S129" s="508"/>
      <c r="T129" s="508"/>
      <c r="U129" s="508"/>
      <c r="V129" s="508"/>
      <c r="W129" s="508"/>
      <c r="X129" s="508"/>
      <c r="Y129" s="508"/>
      <c r="Z129" s="508"/>
      <c r="AA129" s="508"/>
      <c r="AB129" s="508"/>
      <c r="AC129" s="508"/>
      <c r="AD129" s="508"/>
      <c r="AE129" s="508"/>
      <c r="AF129" s="508"/>
      <c r="AG129" s="508"/>
      <c r="AH129" s="508"/>
      <c r="ID129" s="510"/>
    </row>
    <row r="130" spans="1:238" s="511" customFormat="1">
      <c r="B130" s="512"/>
      <c r="C130" s="513"/>
      <c r="D130" s="512"/>
      <c r="E130" s="512"/>
      <c r="F130" s="512"/>
      <c r="G130" s="512"/>
      <c r="H130" s="512"/>
      <c r="I130" s="512"/>
      <c r="J130" s="512"/>
      <c r="K130" s="512"/>
      <c r="L130" s="512"/>
      <c r="M130" s="512"/>
      <c r="N130" s="512"/>
      <c r="O130" s="512"/>
      <c r="P130" s="512"/>
      <c r="Q130" s="512"/>
      <c r="R130" s="512"/>
      <c r="S130" s="512"/>
      <c r="T130" s="512"/>
      <c r="U130" s="512"/>
      <c r="V130" s="512"/>
      <c r="W130" s="512"/>
      <c r="X130" s="512"/>
      <c r="Y130" s="512"/>
      <c r="Z130" s="512"/>
      <c r="AA130" s="512"/>
      <c r="AB130" s="512"/>
      <c r="AC130" s="512"/>
      <c r="AD130" s="512"/>
      <c r="AE130" s="512"/>
      <c r="AF130" s="512"/>
      <c r="AG130" s="512"/>
      <c r="AH130" s="512"/>
      <c r="ID130" s="514"/>
    </row>
    <row r="131" spans="1:238">
      <c r="A131" s="515"/>
      <c r="B131" s="506"/>
      <c r="D131" s="506"/>
      <c r="E131" s="506"/>
      <c r="F131" s="506"/>
      <c r="G131" s="506"/>
      <c r="H131" s="506"/>
      <c r="I131" s="506"/>
      <c r="J131" s="506"/>
      <c r="K131" s="506"/>
      <c r="L131" s="506"/>
      <c r="M131" s="506"/>
      <c r="N131" s="506"/>
      <c r="O131" s="506"/>
      <c r="P131" s="506"/>
      <c r="Q131" s="506"/>
      <c r="R131" s="506"/>
      <c r="S131" s="506"/>
      <c r="T131" s="506"/>
      <c r="U131" s="506"/>
      <c r="V131" s="506"/>
      <c r="W131" s="506"/>
      <c r="X131" s="506"/>
      <c r="Y131" s="506"/>
      <c r="Z131" s="506"/>
      <c r="AA131" s="506"/>
      <c r="AB131" s="506"/>
      <c r="AC131" s="506"/>
      <c r="AD131" s="506"/>
      <c r="AE131" s="506"/>
      <c r="AF131" s="506"/>
      <c r="AG131" s="506"/>
      <c r="AH131" s="506"/>
    </row>
    <row r="132" spans="1:238">
      <c r="A132" s="515"/>
      <c r="B132" s="506"/>
      <c r="D132" s="506"/>
      <c r="E132" s="506"/>
      <c r="F132" s="506"/>
      <c r="G132" s="506"/>
      <c r="H132" s="506"/>
      <c r="I132" s="506"/>
      <c r="J132" s="506"/>
      <c r="K132" s="506"/>
      <c r="L132" s="506"/>
      <c r="M132" s="506"/>
      <c r="N132" s="506"/>
      <c r="O132" s="506"/>
      <c r="P132" s="506"/>
      <c r="Q132" s="506"/>
      <c r="R132" s="506"/>
      <c r="S132" s="506"/>
      <c r="T132" s="506"/>
      <c r="U132" s="506"/>
      <c r="V132" s="506"/>
      <c r="W132" s="506"/>
      <c r="X132" s="506"/>
      <c r="Y132" s="506"/>
      <c r="Z132" s="506"/>
      <c r="AA132" s="506"/>
      <c r="AB132" s="506"/>
      <c r="AC132" s="506"/>
      <c r="AD132" s="506"/>
      <c r="AE132" s="506"/>
      <c r="AF132" s="506"/>
      <c r="AG132" s="506"/>
      <c r="AH132" s="506"/>
    </row>
    <row r="133" spans="1:238" s="507" customFormat="1">
      <c r="B133" s="508"/>
      <c r="C133" s="509"/>
      <c r="D133" s="508"/>
      <c r="E133" s="508"/>
      <c r="F133" s="508"/>
      <c r="G133" s="508"/>
      <c r="H133" s="508"/>
      <c r="I133" s="508"/>
      <c r="J133" s="508"/>
      <c r="K133" s="508"/>
      <c r="L133" s="508"/>
      <c r="M133" s="508"/>
      <c r="N133" s="508"/>
      <c r="O133" s="508"/>
      <c r="P133" s="508"/>
      <c r="Q133" s="508"/>
      <c r="R133" s="508"/>
      <c r="S133" s="508"/>
      <c r="T133" s="508"/>
      <c r="U133" s="508"/>
      <c r="V133" s="508"/>
      <c r="W133" s="508"/>
      <c r="X133" s="508"/>
      <c r="Y133" s="508"/>
      <c r="Z133" s="508"/>
      <c r="AA133" s="508"/>
      <c r="AB133" s="508"/>
      <c r="AC133" s="508"/>
      <c r="AD133" s="508"/>
      <c r="AE133" s="508"/>
      <c r="AF133" s="508"/>
      <c r="AG133" s="508"/>
      <c r="AH133" s="508"/>
      <c r="ID133" s="510"/>
    </row>
    <row r="134" spans="1:238" s="511" customFormat="1">
      <c r="B134" s="512"/>
      <c r="C134" s="513"/>
      <c r="D134" s="512"/>
      <c r="E134" s="512"/>
      <c r="F134" s="512"/>
      <c r="G134" s="512"/>
      <c r="H134" s="512"/>
      <c r="I134" s="512"/>
      <c r="J134" s="512"/>
      <c r="K134" s="512"/>
      <c r="L134" s="512"/>
      <c r="M134" s="512"/>
      <c r="N134" s="512"/>
      <c r="O134" s="512"/>
      <c r="P134" s="512"/>
      <c r="Q134" s="512"/>
      <c r="R134" s="512"/>
      <c r="S134" s="512"/>
      <c r="T134" s="512"/>
      <c r="U134" s="512"/>
      <c r="V134" s="512"/>
      <c r="W134" s="512"/>
      <c r="X134" s="512"/>
      <c r="Y134" s="512"/>
      <c r="Z134" s="512"/>
      <c r="AA134" s="512"/>
      <c r="AB134" s="512"/>
      <c r="AC134" s="512"/>
      <c r="AD134" s="512"/>
      <c r="AE134" s="512"/>
      <c r="AF134" s="512"/>
      <c r="AG134" s="512"/>
      <c r="AH134" s="512"/>
      <c r="ID134" s="514"/>
    </row>
    <row r="135" spans="1:238">
      <c r="A135" s="515"/>
      <c r="B135" s="506"/>
      <c r="D135" s="506"/>
      <c r="E135" s="506"/>
      <c r="F135" s="506"/>
      <c r="G135" s="506"/>
      <c r="H135" s="506"/>
      <c r="I135" s="506"/>
      <c r="J135" s="506"/>
      <c r="K135" s="506"/>
      <c r="L135" s="506"/>
      <c r="M135" s="506"/>
      <c r="N135" s="506"/>
      <c r="O135" s="506"/>
      <c r="P135" s="506"/>
      <c r="Q135" s="506"/>
      <c r="R135" s="506"/>
      <c r="S135" s="506"/>
      <c r="T135" s="506"/>
      <c r="U135" s="506"/>
      <c r="V135" s="506"/>
      <c r="W135" s="506"/>
      <c r="X135" s="506"/>
      <c r="Y135" s="506"/>
      <c r="Z135" s="506"/>
      <c r="AA135" s="506"/>
      <c r="AB135" s="506"/>
      <c r="AC135" s="506"/>
      <c r="AD135" s="506"/>
      <c r="AE135" s="506"/>
      <c r="AF135" s="506"/>
      <c r="AG135" s="506"/>
      <c r="AH135" s="506"/>
    </row>
    <row r="136" spans="1:238">
      <c r="A136" s="515"/>
      <c r="B136" s="506"/>
      <c r="D136" s="506"/>
      <c r="E136" s="506"/>
      <c r="F136" s="506"/>
      <c r="G136" s="506"/>
      <c r="H136" s="506"/>
      <c r="I136" s="506"/>
      <c r="J136" s="506"/>
      <c r="K136" s="506"/>
      <c r="L136" s="506"/>
      <c r="M136" s="506"/>
      <c r="N136" s="506"/>
      <c r="O136" s="506"/>
      <c r="P136" s="506"/>
      <c r="Q136" s="506"/>
      <c r="R136" s="506"/>
      <c r="S136" s="506"/>
      <c r="T136" s="506"/>
      <c r="U136" s="506"/>
      <c r="V136" s="506"/>
      <c r="W136" s="506"/>
      <c r="X136" s="506"/>
      <c r="Y136" s="506"/>
      <c r="Z136" s="506"/>
      <c r="AA136" s="506"/>
      <c r="AB136" s="506"/>
      <c r="AC136" s="506"/>
      <c r="AD136" s="506"/>
      <c r="AE136" s="506"/>
      <c r="AF136" s="506"/>
      <c r="AG136" s="506"/>
      <c r="AH136" s="506"/>
    </row>
    <row r="137" spans="1:238" s="507" customFormat="1">
      <c r="B137" s="508"/>
      <c r="C137" s="509"/>
      <c r="D137" s="508"/>
      <c r="E137" s="508"/>
      <c r="F137" s="508"/>
      <c r="G137" s="508"/>
      <c r="H137" s="508"/>
      <c r="I137" s="508"/>
      <c r="J137" s="508"/>
      <c r="K137" s="508"/>
      <c r="L137" s="508"/>
      <c r="M137" s="508"/>
      <c r="N137" s="508"/>
      <c r="O137" s="508"/>
      <c r="P137" s="508"/>
      <c r="Q137" s="508"/>
      <c r="R137" s="508"/>
      <c r="S137" s="508"/>
      <c r="T137" s="508"/>
      <c r="U137" s="508"/>
      <c r="V137" s="508"/>
      <c r="W137" s="508"/>
      <c r="X137" s="508"/>
      <c r="Y137" s="508"/>
      <c r="Z137" s="508"/>
      <c r="AA137" s="508"/>
      <c r="AB137" s="508"/>
      <c r="AC137" s="508"/>
      <c r="AD137" s="508"/>
      <c r="AE137" s="508"/>
      <c r="AF137" s="508"/>
      <c r="AG137" s="508"/>
      <c r="AH137" s="508"/>
      <c r="ID137" s="510"/>
    </row>
    <row r="138" spans="1:238" s="511" customFormat="1">
      <c r="B138" s="512"/>
      <c r="C138" s="513"/>
      <c r="D138" s="512"/>
      <c r="E138" s="512"/>
      <c r="F138" s="512"/>
      <c r="G138" s="512"/>
      <c r="H138" s="512"/>
      <c r="I138" s="512"/>
      <c r="J138" s="512"/>
      <c r="K138" s="512"/>
      <c r="L138" s="512"/>
      <c r="M138" s="512"/>
      <c r="N138" s="512"/>
      <c r="O138" s="512"/>
      <c r="P138" s="512"/>
      <c r="Q138" s="512"/>
      <c r="R138" s="512"/>
      <c r="S138" s="512"/>
      <c r="T138" s="512"/>
      <c r="U138" s="512"/>
      <c r="V138" s="512"/>
      <c r="W138" s="512"/>
      <c r="X138" s="512"/>
      <c r="Y138" s="512"/>
      <c r="Z138" s="512"/>
      <c r="AA138" s="512"/>
      <c r="AB138" s="512"/>
      <c r="AC138" s="512"/>
      <c r="AD138" s="512"/>
      <c r="AE138" s="512"/>
      <c r="AF138" s="512"/>
      <c r="AG138" s="512"/>
      <c r="AH138" s="512"/>
      <c r="ID138" s="514"/>
    </row>
    <row r="139" spans="1:238">
      <c r="A139" s="515"/>
      <c r="B139" s="506"/>
      <c r="D139" s="506"/>
      <c r="E139" s="506"/>
      <c r="F139" s="506"/>
      <c r="G139" s="506"/>
      <c r="H139" s="506"/>
      <c r="I139" s="506"/>
      <c r="J139" s="506"/>
      <c r="K139" s="506"/>
      <c r="L139" s="506"/>
      <c r="M139" s="506"/>
      <c r="N139" s="506"/>
      <c r="O139" s="506"/>
      <c r="P139" s="506"/>
      <c r="Q139" s="506"/>
      <c r="R139" s="506"/>
      <c r="S139" s="506"/>
      <c r="T139" s="506"/>
      <c r="U139" s="506"/>
      <c r="V139" s="506"/>
      <c r="W139" s="506"/>
      <c r="X139" s="506"/>
      <c r="Y139" s="506"/>
      <c r="Z139" s="506"/>
      <c r="AA139" s="506"/>
      <c r="AB139" s="506"/>
      <c r="AC139" s="506"/>
      <c r="AD139" s="506"/>
      <c r="AE139" s="506"/>
      <c r="AF139" s="506"/>
      <c r="AG139" s="506"/>
      <c r="AH139" s="506"/>
    </row>
    <row r="140" spans="1:238">
      <c r="A140" s="515"/>
      <c r="B140" s="506"/>
      <c r="D140" s="506"/>
      <c r="E140" s="506"/>
      <c r="F140" s="506"/>
      <c r="G140" s="506"/>
      <c r="H140" s="506"/>
      <c r="I140" s="506"/>
      <c r="J140" s="506"/>
      <c r="K140" s="506"/>
      <c r="L140" s="506"/>
      <c r="M140" s="506"/>
      <c r="N140" s="506"/>
      <c r="O140" s="506"/>
      <c r="P140" s="506"/>
      <c r="Q140" s="506"/>
      <c r="R140" s="506"/>
      <c r="S140" s="506"/>
      <c r="T140" s="506"/>
      <c r="U140" s="506"/>
      <c r="V140" s="506"/>
      <c r="W140" s="506"/>
      <c r="X140" s="506"/>
      <c r="Y140" s="506"/>
      <c r="Z140" s="506"/>
      <c r="AA140" s="506"/>
      <c r="AB140" s="506"/>
      <c r="AC140" s="506"/>
      <c r="AD140" s="506"/>
      <c r="AE140" s="506"/>
      <c r="AF140" s="506"/>
      <c r="AG140" s="506"/>
      <c r="AH140" s="506"/>
    </row>
    <row r="141" spans="1:238" s="507" customFormat="1">
      <c r="B141" s="508"/>
      <c r="C141" s="509"/>
      <c r="D141" s="508"/>
      <c r="E141" s="508"/>
      <c r="F141" s="508"/>
      <c r="G141" s="508"/>
      <c r="H141" s="508"/>
      <c r="I141" s="508"/>
      <c r="J141" s="508"/>
      <c r="K141" s="508"/>
      <c r="L141" s="508"/>
      <c r="M141" s="508"/>
      <c r="N141" s="508"/>
      <c r="O141" s="508"/>
      <c r="P141" s="508"/>
      <c r="Q141" s="508"/>
      <c r="R141" s="508"/>
      <c r="S141" s="508"/>
      <c r="T141" s="508"/>
      <c r="U141" s="508"/>
      <c r="V141" s="508"/>
      <c r="W141" s="508"/>
      <c r="X141" s="508"/>
      <c r="Y141" s="508"/>
      <c r="Z141" s="508"/>
      <c r="AA141" s="508"/>
      <c r="AB141" s="508"/>
      <c r="AC141" s="508"/>
      <c r="AD141" s="508"/>
      <c r="AE141" s="508"/>
      <c r="AF141" s="508"/>
      <c r="AG141" s="508"/>
      <c r="AH141" s="508"/>
      <c r="ID141" s="510"/>
    </row>
    <row r="142" spans="1:238" s="511" customFormat="1">
      <c r="B142" s="512"/>
      <c r="C142" s="513"/>
      <c r="D142" s="512"/>
      <c r="E142" s="512"/>
      <c r="F142" s="512"/>
      <c r="G142" s="512"/>
      <c r="H142" s="512"/>
      <c r="I142" s="512"/>
      <c r="J142" s="512"/>
      <c r="K142" s="512"/>
      <c r="L142" s="512"/>
      <c r="M142" s="512"/>
      <c r="N142" s="512"/>
      <c r="O142" s="512"/>
      <c r="P142" s="512"/>
      <c r="Q142" s="512"/>
      <c r="R142" s="512"/>
      <c r="S142" s="512"/>
      <c r="T142" s="512"/>
      <c r="U142" s="512"/>
      <c r="V142" s="512"/>
      <c r="W142" s="512"/>
      <c r="X142" s="512"/>
      <c r="Y142" s="512"/>
      <c r="Z142" s="512"/>
      <c r="AA142" s="512"/>
      <c r="AB142" s="512"/>
      <c r="AC142" s="512"/>
      <c r="AD142" s="512"/>
      <c r="AE142" s="512"/>
      <c r="AF142" s="512"/>
      <c r="AG142" s="512"/>
      <c r="AH142" s="512"/>
      <c r="ID142" s="514"/>
    </row>
    <row r="143" spans="1:238">
      <c r="A143" s="515"/>
      <c r="B143" s="506"/>
      <c r="D143" s="506"/>
      <c r="E143" s="506"/>
      <c r="F143" s="506"/>
      <c r="G143" s="506"/>
      <c r="H143" s="506"/>
      <c r="I143" s="506"/>
      <c r="J143" s="506"/>
      <c r="K143" s="506"/>
      <c r="L143" s="506"/>
      <c r="M143" s="506"/>
      <c r="N143" s="506"/>
      <c r="O143" s="506"/>
      <c r="P143" s="506"/>
      <c r="Q143" s="506"/>
      <c r="R143" s="506"/>
      <c r="S143" s="506"/>
      <c r="T143" s="506"/>
      <c r="U143" s="506"/>
      <c r="V143" s="506"/>
      <c r="W143" s="506"/>
      <c r="X143" s="506"/>
      <c r="Y143" s="506"/>
      <c r="Z143" s="506"/>
      <c r="AA143" s="506"/>
      <c r="AB143" s="506"/>
      <c r="AC143" s="506"/>
      <c r="AD143" s="506"/>
      <c r="AE143" s="506"/>
      <c r="AF143" s="506"/>
      <c r="AG143" s="506"/>
      <c r="AH143" s="506"/>
    </row>
    <row r="144" spans="1:238">
      <c r="A144" s="515"/>
      <c r="B144" s="506"/>
      <c r="D144" s="506"/>
      <c r="E144" s="506"/>
      <c r="F144" s="506"/>
      <c r="G144" s="506"/>
      <c r="H144" s="506"/>
      <c r="I144" s="506"/>
      <c r="J144" s="506"/>
      <c r="K144" s="506"/>
      <c r="L144" s="506"/>
      <c r="M144" s="506"/>
      <c r="N144" s="506"/>
      <c r="O144" s="506"/>
      <c r="P144" s="506"/>
      <c r="Q144" s="506"/>
      <c r="R144" s="506"/>
      <c r="S144" s="506"/>
      <c r="T144" s="506"/>
      <c r="U144" s="506"/>
      <c r="V144" s="506"/>
      <c r="W144" s="506"/>
      <c r="X144" s="506"/>
      <c r="Y144" s="506"/>
      <c r="Z144" s="506"/>
      <c r="AA144" s="506"/>
      <c r="AB144" s="506"/>
      <c r="AC144" s="506"/>
      <c r="AD144" s="506"/>
      <c r="AE144" s="506"/>
      <c r="AF144" s="506"/>
      <c r="AG144" s="506"/>
      <c r="AH144" s="506"/>
    </row>
    <row r="145" spans="1:238" s="507" customFormat="1">
      <c r="B145" s="508"/>
      <c r="C145" s="509"/>
      <c r="D145" s="508"/>
      <c r="E145" s="508"/>
      <c r="F145" s="508"/>
      <c r="G145" s="508"/>
      <c r="H145" s="508"/>
      <c r="I145" s="508"/>
      <c r="J145" s="508"/>
      <c r="K145" s="508"/>
      <c r="L145" s="508"/>
      <c r="M145" s="508"/>
      <c r="N145" s="508"/>
      <c r="O145" s="508"/>
      <c r="P145" s="508"/>
      <c r="Q145" s="508"/>
      <c r="R145" s="508"/>
      <c r="S145" s="508"/>
      <c r="T145" s="508"/>
      <c r="U145" s="508"/>
      <c r="V145" s="508"/>
      <c r="W145" s="508"/>
      <c r="X145" s="508"/>
      <c r="Y145" s="508"/>
      <c r="Z145" s="508"/>
      <c r="AA145" s="508"/>
      <c r="AB145" s="508"/>
      <c r="AC145" s="508"/>
      <c r="AD145" s="508"/>
      <c r="AE145" s="508"/>
      <c r="AF145" s="508"/>
      <c r="AG145" s="508"/>
      <c r="AH145" s="508"/>
      <c r="ID145" s="510"/>
    </row>
    <row r="146" spans="1:238" s="511" customFormat="1">
      <c r="B146" s="512"/>
      <c r="C146" s="513"/>
      <c r="D146" s="512"/>
      <c r="E146" s="512"/>
      <c r="F146" s="512"/>
      <c r="G146" s="512"/>
      <c r="H146" s="512"/>
      <c r="I146" s="512"/>
      <c r="J146" s="512"/>
      <c r="K146" s="512"/>
      <c r="L146" s="512"/>
      <c r="M146" s="512"/>
      <c r="N146" s="512"/>
      <c r="O146" s="512"/>
      <c r="P146" s="512"/>
      <c r="Q146" s="512"/>
      <c r="R146" s="512"/>
      <c r="S146" s="512"/>
      <c r="T146" s="512"/>
      <c r="U146" s="512"/>
      <c r="V146" s="512"/>
      <c r="W146" s="512"/>
      <c r="X146" s="512"/>
      <c r="Y146" s="512"/>
      <c r="Z146" s="512"/>
      <c r="AA146" s="512"/>
      <c r="AB146" s="512"/>
      <c r="AC146" s="512"/>
      <c r="AD146" s="512"/>
      <c r="AE146" s="512"/>
      <c r="AF146" s="512"/>
      <c r="AG146" s="512"/>
      <c r="AH146" s="512"/>
      <c r="ID146" s="514"/>
    </row>
    <row r="147" spans="1:238">
      <c r="A147" s="515"/>
      <c r="B147" s="506"/>
      <c r="D147" s="506"/>
      <c r="E147" s="506"/>
      <c r="F147" s="506"/>
      <c r="G147" s="506"/>
      <c r="H147" s="506"/>
      <c r="I147" s="506"/>
      <c r="J147" s="506"/>
      <c r="K147" s="506"/>
      <c r="L147" s="506"/>
      <c r="M147" s="506"/>
      <c r="N147" s="506"/>
      <c r="O147" s="506"/>
      <c r="P147" s="506"/>
      <c r="Q147" s="506"/>
      <c r="R147" s="506"/>
      <c r="S147" s="506"/>
      <c r="T147" s="506"/>
      <c r="U147" s="506"/>
      <c r="V147" s="506"/>
      <c r="W147" s="506"/>
      <c r="X147" s="506"/>
      <c r="Y147" s="506"/>
      <c r="Z147" s="506"/>
      <c r="AA147" s="506"/>
      <c r="AB147" s="506"/>
      <c r="AC147" s="506"/>
      <c r="AD147" s="506"/>
      <c r="AE147" s="506"/>
      <c r="AF147" s="506"/>
      <c r="AG147" s="506"/>
      <c r="AH147" s="506"/>
    </row>
    <row r="148" spans="1:238">
      <c r="A148" s="515"/>
      <c r="B148" s="506"/>
      <c r="D148" s="506"/>
      <c r="E148" s="506"/>
      <c r="F148" s="506"/>
      <c r="G148" s="506"/>
      <c r="H148" s="506"/>
      <c r="I148" s="506"/>
      <c r="J148" s="506"/>
      <c r="K148" s="506"/>
      <c r="L148" s="506"/>
      <c r="M148" s="506"/>
      <c r="N148" s="506"/>
      <c r="O148" s="506"/>
      <c r="P148" s="506"/>
      <c r="Q148" s="506"/>
      <c r="R148" s="506"/>
      <c r="S148" s="506"/>
      <c r="T148" s="506"/>
      <c r="U148" s="506"/>
      <c r="V148" s="506"/>
      <c r="W148" s="506"/>
      <c r="X148" s="506"/>
      <c r="Y148" s="506"/>
      <c r="Z148" s="506"/>
      <c r="AA148" s="506"/>
      <c r="AB148" s="506"/>
      <c r="AC148" s="506"/>
      <c r="AD148" s="506"/>
      <c r="AE148" s="506"/>
      <c r="AF148" s="506"/>
      <c r="AG148" s="506"/>
      <c r="AH148" s="506"/>
    </row>
    <row r="149" spans="1:238" s="507" customFormat="1">
      <c r="B149" s="508"/>
      <c r="C149" s="509"/>
      <c r="D149" s="508"/>
      <c r="E149" s="508"/>
      <c r="F149" s="508"/>
      <c r="G149" s="508"/>
      <c r="H149" s="508"/>
      <c r="I149" s="508"/>
      <c r="J149" s="508"/>
      <c r="K149" s="508"/>
      <c r="L149" s="508"/>
      <c r="M149" s="508"/>
      <c r="N149" s="508"/>
      <c r="O149" s="508"/>
      <c r="P149" s="508"/>
      <c r="Q149" s="508"/>
      <c r="R149" s="508"/>
      <c r="S149" s="508"/>
      <c r="T149" s="508"/>
      <c r="U149" s="508"/>
      <c r="V149" s="508"/>
      <c r="W149" s="508"/>
      <c r="X149" s="508"/>
      <c r="Y149" s="508"/>
      <c r="Z149" s="508"/>
      <c r="AA149" s="508"/>
      <c r="AB149" s="508"/>
      <c r="AC149" s="508"/>
      <c r="AD149" s="508"/>
      <c r="AE149" s="508"/>
      <c r="AF149" s="508"/>
      <c r="AG149" s="508"/>
      <c r="AH149" s="508"/>
      <c r="ID149" s="510"/>
    </row>
    <row r="150" spans="1:238" s="511" customFormat="1">
      <c r="B150" s="512"/>
      <c r="C150" s="513"/>
      <c r="D150" s="512"/>
      <c r="E150" s="512"/>
      <c r="F150" s="512"/>
      <c r="G150" s="512"/>
      <c r="H150" s="512"/>
      <c r="I150" s="512"/>
      <c r="J150" s="512"/>
      <c r="K150" s="512"/>
      <c r="L150" s="512"/>
      <c r="M150" s="512"/>
      <c r="N150" s="512"/>
      <c r="O150" s="512"/>
      <c r="P150" s="512"/>
      <c r="Q150" s="512"/>
      <c r="R150" s="512"/>
      <c r="S150" s="512"/>
      <c r="T150" s="512"/>
      <c r="U150" s="512"/>
      <c r="V150" s="512"/>
      <c r="W150" s="512"/>
      <c r="X150" s="512"/>
      <c r="Y150" s="512"/>
      <c r="Z150" s="512"/>
      <c r="AA150" s="512"/>
      <c r="AB150" s="512"/>
      <c r="AC150" s="512"/>
      <c r="AD150" s="512"/>
      <c r="AE150" s="512"/>
      <c r="AF150" s="512"/>
      <c r="AG150" s="512"/>
      <c r="AH150" s="512"/>
      <c r="ID150" s="514"/>
    </row>
    <row r="151" spans="1:238">
      <c r="A151" s="515"/>
      <c r="B151" s="506"/>
      <c r="D151" s="506"/>
      <c r="E151" s="506"/>
      <c r="F151" s="506"/>
      <c r="G151" s="506"/>
      <c r="H151" s="506"/>
      <c r="I151" s="506"/>
      <c r="J151" s="506"/>
      <c r="K151" s="506"/>
      <c r="L151" s="506"/>
      <c r="M151" s="506"/>
      <c r="N151" s="506"/>
      <c r="O151" s="506"/>
      <c r="P151" s="506"/>
      <c r="Q151" s="506"/>
      <c r="R151" s="506"/>
      <c r="S151" s="506"/>
      <c r="T151" s="506"/>
      <c r="U151" s="506"/>
      <c r="V151" s="506"/>
      <c r="W151" s="506"/>
      <c r="X151" s="506"/>
      <c r="Y151" s="506"/>
      <c r="Z151" s="506"/>
      <c r="AA151" s="506"/>
      <c r="AB151" s="506"/>
      <c r="AC151" s="506"/>
      <c r="AD151" s="506"/>
      <c r="AE151" s="506"/>
      <c r="AF151" s="506"/>
      <c r="AG151" s="506"/>
      <c r="AH151" s="506"/>
    </row>
    <row r="152" spans="1:238">
      <c r="A152" s="515"/>
      <c r="B152" s="506"/>
      <c r="D152" s="506"/>
      <c r="E152" s="506"/>
      <c r="F152" s="506"/>
      <c r="G152" s="506"/>
      <c r="H152" s="506"/>
      <c r="I152" s="506"/>
      <c r="J152" s="506"/>
      <c r="K152" s="506"/>
      <c r="L152" s="506"/>
      <c r="M152" s="506"/>
      <c r="N152" s="506"/>
      <c r="O152" s="506"/>
      <c r="P152" s="506"/>
      <c r="Q152" s="506"/>
      <c r="R152" s="506"/>
      <c r="S152" s="506"/>
      <c r="T152" s="506"/>
      <c r="U152" s="506"/>
      <c r="V152" s="506"/>
      <c r="W152" s="506"/>
      <c r="X152" s="506"/>
      <c r="Y152" s="506"/>
      <c r="Z152" s="506"/>
      <c r="AA152" s="506"/>
      <c r="AB152" s="506"/>
      <c r="AC152" s="506"/>
      <c r="AD152" s="506"/>
      <c r="AE152" s="506"/>
      <c r="AF152" s="506"/>
      <c r="AG152" s="506"/>
      <c r="AH152" s="506"/>
    </row>
    <row r="153" spans="1:238" s="507" customFormat="1">
      <c r="B153" s="508"/>
      <c r="C153" s="509"/>
      <c r="D153" s="508"/>
      <c r="E153" s="508"/>
      <c r="F153" s="508"/>
      <c r="G153" s="508"/>
      <c r="H153" s="508"/>
      <c r="I153" s="508"/>
      <c r="J153" s="508"/>
      <c r="K153" s="508"/>
      <c r="L153" s="508"/>
      <c r="M153" s="508"/>
      <c r="N153" s="508"/>
      <c r="O153" s="508"/>
      <c r="P153" s="508"/>
      <c r="Q153" s="508"/>
      <c r="R153" s="508"/>
      <c r="S153" s="508"/>
      <c r="T153" s="508"/>
      <c r="U153" s="508"/>
      <c r="V153" s="508"/>
      <c r="W153" s="508"/>
      <c r="X153" s="508"/>
      <c r="Y153" s="508"/>
      <c r="Z153" s="508"/>
      <c r="AA153" s="508"/>
      <c r="AB153" s="508"/>
      <c r="AC153" s="508"/>
      <c r="AD153" s="508"/>
      <c r="AE153" s="508"/>
      <c r="AF153" s="508"/>
      <c r="AG153" s="508"/>
      <c r="AH153" s="508"/>
      <c r="ID153" s="510"/>
    </row>
    <row r="154" spans="1:238" s="511" customFormat="1">
      <c r="B154" s="512"/>
      <c r="C154" s="513"/>
      <c r="D154" s="512"/>
      <c r="E154" s="512"/>
      <c r="F154" s="512"/>
      <c r="G154" s="512"/>
      <c r="H154" s="512"/>
      <c r="I154" s="512"/>
      <c r="J154" s="512"/>
      <c r="K154" s="512"/>
      <c r="L154" s="512"/>
      <c r="M154" s="512"/>
      <c r="N154" s="512"/>
      <c r="O154" s="512"/>
      <c r="P154" s="512"/>
      <c r="Q154" s="512"/>
      <c r="R154" s="512"/>
      <c r="S154" s="512"/>
      <c r="T154" s="512"/>
      <c r="U154" s="512"/>
      <c r="V154" s="512"/>
      <c r="W154" s="512"/>
      <c r="X154" s="512"/>
      <c r="Y154" s="512"/>
      <c r="Z154" s="512"/>
      <c r="AA154" s="512"/>
      <c r="AB154" s="512"/>
      <c r="AC154" s="512"/>
      <c r="AD154" s="512"/>
      <c r="AE154" s="512"/>
      <c r="AF154" s="512"/>
      <c r="AG154" s="512"/>
      <c r="AH154" s="512"/>
      <c r="ID154" s="514"/>
    </row>
    <row r="155" spans="1:238" s="507" customFormat="1">
      <c r="B155" s="508"/>
      <c r="C155" s="509"/>
      <c r="D155" s="508"/>
      <c r="E155" s="508"/>
      <c r="F155" s="508"/>
      <c r="G155" s="508"/>
      <c r="H155" s="508"/>
      <c r="I155" s="508"/>
      <c r="J155" s="508"/>
      <c r="K155" s="508"/>
      <c r="L155" s="508"/>
      <c r="M155" s="508"/>
      <c r="N155" s="508"/>
      <c r="O155" s="508"/>
      <c r="P155" s="508"/>
      <c r="Q155" s="508"/>
      <c r="R155" s="508"/>
      <c r="S155" s="508"/>
      <c r="T155" s="508"/>
      <c r="U155" s="508"/>
      <c r="V155" s="508"/>
      <c r="W155" s="508"/>
      <c r="X155" s="508"/>
      <c r="Y155" s="508"/>
      <c r="Z155" s="508"/>
      <c r="AA155" s="508"/>
      <c r="AB155" s="508"/>
      <c r="AC155" s="508"/>
      <c r="AD155" s="508"/>
      <c r="AE155" s="508"/>
      <c r="AF155" s="508"/>
      <c r="AG155" s="508"/>
      <c r="AH155" s="508"/>
      <c r="ID155" s="510"/>
    </row>
    <row r="156" spans="1:238" s="511" customFormat="1">
      <c r="B156" s="512"/>
      <c r="C156" s="513"/>
      <c r="D156" s="512"/>
      <c r="E156" s="512"/>
      <c r="F156" s="512"/>
      <c r="G156" s="512"/>
      <c r="H156" s="512"/>
      <c r="I156" s="512"/>
      <c r="J156" s="512"/>
      <c r="K156" s="512"/>
      <c r="L156" s="512"/>
      <c r="M156" s="512"/>
      <c r="N156" s="512"/>
      <c r="O156" s="512"/>
      <c r="P156" s="512"/>
      <c r="Q156" s="512"/>
      <c r="R156" s="512"/>
      <c r="S156" s="512"/>
      <c r="T156" s="512"/>
      <c r="U156" s="512"/>
      <c r="V156" s="512"/>
      <c r="W156" s="512"/>
      <c r="X156" s="512"/>
      <c r="Y156" s="512"/>
      <c r="Z156" s="512"/>
      <c r="AA156" s="512"/>
      <c r="AB156" s="512"/>
      <c r="AC156" s="512"/>
      <c r="AD156" s="512"/>
      <c r="AE156" s="512"/>
      <c r="AF156" s="512"/>
      <c r="AG156" s="512"/>
      <c r="AH156" s="512"/>
      <c r="ID156" s="514"/>
    </row>
    <row r="157" spans="1:238">
      <c r="A157" s="515"/>
      <c r="B157" s="506"/>
      <c r="D157" s="506"/>
      <c r="E157" s="506"/>
      <c r="F157" s="506"/>
      <c r="G157" s="506"/>
      <c r="H157" s="506"/>
      <c r="I157" s="506"/>
      <c r="J157" s="506"/>
      <c r="K157" s="506"/>
      <c r="L157" s="506"/>
      <c r="M157" s="506"/>
      <c r="N157" s="506"/>
      <c r="O157" s="506"/>
      <c r="P157" s="506"/>
      <c r="Q157" s="506"/>
      <c r="R157" s="506"/>
      <c r="S157" s="506"/>
      <c r="T157" s="506"/>
      <c r="U157" s="506"/>
      <c r="V157" s="506"/>
      <c r="W157" s="506"/>
      <c r="X157" s="506"/>
      <c r="Y157" s="506"/>
      <c r="Z157" s="506"/>
      <c r="AA157" s="506"/>
      <c r="AB157" s="506"/>
      <c r="AC157" s="506"/>
      <c r="AD157" s="506"/>
      <c r="AE157" s="506"/>
      <c r="AF157" s="506"/>
      <c r="AG157" s="506"/>
      <c r="AH157" s="506"/>
    </row>
    <row r="158" spans="1:238">
      <c r="A158" s="515"/>
      <c r="B158" s="506"/>
      <c r="D158" s="506"/>
      <c r="E158" s="506"/>
      <c r="F158" s="506"/>
      <c r="G158" s="506"/>
      <c r="H158" s="506"/>
      <c r="I158" s="506"/>
      <c r="J158" s="506"/>
      <c r="K158" s="506"/>
      <c r="L158" s="506"/>
      <c r="M158" s="506"/>
      <c r="N158" s="506"/>
      <c r="O158" s="506"/>
      <c r="P158" s="506"/>
      <c r="Q158" s="506"/>
      <c r="R158" s="506"/>
      <c r="S158" s="506"/>
      <c r="T158" s="506"/>
      <c r="U158" s="506"/>
      <c r="V158" s="506"/>
      <c r="W158" s="506"/>
      <c r="X158" s="506"/>
      <c r="Y158" s="506"/>
      <c r="Z158" s="506"/>
      <c r="AA158" s="506"/>
      <c r="AB158" s="506"/>
      <c r="AC158" s="506"/>
      <c r="AD158" s="506"/>
      <c r="AE158" s="506"/>
      <c r="AF158" s="506"/>
      <c r="AG158" s="506"/>
      <c r="AH158" s="506"/>
    </row>
    <row r="159" spans="1:238" s="507" customFormat="1">
      <c r="B159" s="508"/>
      <c r="C159" s="509"/>
      <c r="D159" s="508"/>
      <c r="E159" s="508"/>
      <c r="F159" s="508"/>
      <c r="G159" s="508"/>
      <c r="H159" s="508"/>
      <c r="I159" s="508"/>
      <c r="J159" s="508"/>
      <c r="K159" s="508"/>
      <c r="L159" s="508"/>
      <c r="M159" s="508"/>
      <c r="N159" s="508"/>
      <c r="O159" s="508"/>
      <c r="P159" s="508"/>
      <c r="Q159" s="508"/>
      <c r="R159" s="508"/>
      <c r="S159" s="508"/>
      <c r="T159" s="508"/>
      <c r="U159" s="508"/>
      <c r="V159" s="508"/>
      <c r="W159" s="508"/>
      <c r="X159" s="508"/>
      <c r="Y159" s="508"/>
      <c r="Z159" s="508"/>
      <c r="AA159" s="508"/>
      <c r="AB159" s="508"/>
      <c r="AC159" s="508"/>
      <c r="AD159" s="508"/>
      <c r="AE159" s="508"/>
      <c r="AF159" s="508"/>
      <c r="AG159" s="508"/>
      <c r="AH159" s="508"/>
      <c r="ID159" s="510"/>
    </row>
    <row r="160" spans="1:238" s="511" customFormat="1">
      <c r="B160" s="512"/>
      <c r="C160" s="513"/>
      <c r="D160" s="512"/>
      <c r="E160" s="512"/>
      <c r="F160" s="512"/>
      <c r="G160" s="512"/>
      <c r="H160" s="512"/>
      <c r="I160" s="512"/>
      <c r="J160" s="512"/>
      <c r="K160" s="512"/>
      <c r="L160" s="512"/>
      <c r="M160" s="512"/>
      <c r="N160" s="512"/>
      <c r="O160" s="512"/>
      <c r="P160" s="512"/>
      <c r="Q160" s="512"/>
      <c r="R160" s="512"/>
      <c r="S160" s="512"/>
      <c r="T160" s="512"/>
      <c r="U160" s="512"/>
      <c r="V160" s="512"/>
      <c r="W160" s="512"/>
      <c r="X160" s="512"/>
      <c r="Y160" s="512"/>
      <c r="Z160" s="512"/>
      <c r="AA160" s="512"/>
      <c r="AB160" s="512"/>
      <c r="AC160" s="512"/>
      <c r="AD160" s="512"/>
      <c r="AE160" s="512"/>
      <c r="AF160" s="512"/>
      <c r="AG160" s="512"/>
      <c r="AH160" s="512"/>
      <c r="ID160" s="514"/>
    </row>
    <row r="161" spans="1:238">
      <c r="A161" s="515"/>
      <c r="B161" s="506"/>
      <c r="D161" s="506"/>
      <c r="E161" s="506"/>
      <c r="F161" s="506"/>
      <c r="G161" s="506"/>
      <c r="H161" s="506"/>
      <c r="I161" s="506"/>
      <c r="J161" s="506"/>
      <c r="K161" s="506"/>
      <c r="L161" s="506"/>
      <c r="M161" s="506"/>
      <c r="N161" s="506"/>
      <c r="O161" s="506"/>
      <c r="P161" s="506"/>
      <c r="Q161" s="506"/>
      <c r="R161" s="506"/>
      <c r="S161" s="506"/>
      <c r="T161" s="506"/>
      <c r="U161" s="506"/>
      <c r="V161" s="506"/>
      <c r="W161" s="506"/>
      <c r="X161" s="506"/>
      <c r="Y161" s="506"/>
      <c r="Z161" s="506"/>
      <c r="AA161" s="506"/>
      <c r="AB161" s="506"/>
      <c r="AC161" s="506"/>
      <c r="AD161" s="506"/>
      <c r="AE161" s="506"/>
      <c r="AF161" s="506"/>
      <c r="AG161" s="506"/>
      <c r="AH161" s="506"/>
    </row>
    <row r="162" spans="1:238">
      <c r="A162" s="515"/>
      <c r="B162" s="506"/>
      <c r="D162" s="506"/>
      <c r="E162" s="506"/>
      <c r="F162" s="506"/>
      <c r="G162" s="506"/>
      <c r="H162" s="506"/>
      <c r="I162" s="506"/>
      <c r="J162" s="506"/>
      <c r="K162" s="506"/>
      <c r="L162" s="506"/>
      <c r="M162" s="506"/>
      <c r="N162" s="506"/>
      <c r="O162" s="506"/>
      <c r="P162" s="506"/>
      <c r="Q162" s="506"/>
      <c r="R162" s="506"/>
      <c r="S162" s="506"/>
      <c r="T162" s="506"/>
      <c r="U162" s="506"/>
      <c r="V162" s="506"/>
      <c r="W162" s="506"/>
      <c r="X162" s="506"/>
      <c r="Y162" s="506"/>
      <c r="Z162" s="506"/>
      <c r="AA162" s="506"/>
      <c r="AB162" s="506"/>
      <c r="AC162" s="506"/>
      <c r="AD162" s="506"/>
      <c r="AE162" s="506"/>
      <c r="AF162" s="506"/>
      <c r="AG162" s="506"/>
      <c r="AH162" s="506"/>
    </row>
    <row r="163" spans="1:238" s="507" customFormat="1">
      <c r="B163" s="508"/>
      <c r="C163" s="509"/>
      <c r="D163" s="508"/>
      <c r="E163" s="508"/>
      <c r="F163" s="508"/>
      <c r="G163" s="508"/>
      <c r="H163" s="508"/>
      <c r="I163" s="508"/>
      <c r="J163" s="508"/>
      <c r="K163" s="508"/>
      <c r="L163" s="508"/>
      <c r="M163" s="508"/>
      <c r="N163" s="508"/>
      <c r="O163" s="508"/>
      <c r="P163" s="508"/>
      <c r="Q163" s="508"/>
      <c r="R163" s="508"/>
      <c r="S163" s="508"/>
      <c r="T163" s="508"/>
      <c r="U163" s="508"/>
      <c r="V163" s="508"/>
      <c r="W163" s="508"/>
      <c r="X163" s="508"/>
      <c r="Y163" s="508"/>
      <c r="Z163" s="508"/>
      <c r="AA163" s="508"/>
      <c r="AB163" s="508"/>
      <c r="AC163" s="508"/>
      <c r="AD163" s="508"/>
      <c r="AE163" s="508"/>
      <c r="AF163" s="508"/>
      <c r="AG163" s="508"/>
      <c r="AH163" s="508"/>
      <c r="ID163" s="510"/>
    </row>
    <row r="164" spans="1:238" s="511" customFormat="1">
      <c r="B164" s="512"/>
      <c r="C164" s="513"/>
      <c r="D164" s="512"/>
      <c r="E164" s="512"/>
      <c r="F164" s="512"/>
      <c r="G164" s="512"/>
      <c r="H164" s="512"/>
      <c r="I164" s="512"/>
      <c r="J164" s="512"/>
      <c r="K164" s="512"/>
      <c r="L164" s="512"/>
      <c r="M164" s="512"/>
      <c r="N164" s="512"/>
      <c r="O164" s="512"/>
      <c r="P164" s="512"/>
      <c r="Q164" s="512"/>
      <c r="R164" s="512"/>
      <c r="S164" s="512"/>
      <c r="T164" s="512"/>
      <c r="U164" s="512"/>
      <c r="V164" s="512"/>
      <c r="W164" s="512"/>
      <c r="X164" s="512"/>
      <c r="Y164" s="512"/>
      <c r="Z164" s="512"/>
      <c r="AA164" s="512"/>
      <c r="AB164" s="512"/>
      <c r="AC164" s="512"/>
      <c r="AD164" s="512"/>
      <c r="AE164" s="512"/>
      <c r="AF164" s="512"/>
      <c r="AG164" s="512"/>
      <c r="AH164" s="512"/>
      <c r="ID164" s="514"/>
    </row>
    <row r="165" spans="1:238">
      <c r="A165" s="515"/>
      <c r="B165" s="506"/>
      <c r="D165" s="506"/>
      <c r="E165" s="506"/>
      <c r="F165" s="506"/>
      <c r="G165" s="506"/>
      <c r="H165" s="506"/>
      <c r="I165" s="506"/>
      <c r="J165" s="506"/>
      <c r="K165" s="506"/>
      <c r="L165" s="506"/>
      <c r="M165" s="506"/>
      <c r="N165" s="506"/>
      <c r="O165" s="506"/>
      <c r="P165" s="506"/>
      <c r="Q165" s="506"/>
      <c r="R165" s="506"/>
      <c r="S165" s="506"/>
      <c r="T165" s="506"/>
      <c r="U165" s="506"/>
      <c r="V165" s="506"/>
      <c r="W165" s="506"/>
      <c r="X165" s="506"/>
      <c r="Y165" s="506"/>
      <c r="Z165" s="506"/>
      <c r="AA165" s="506"/>
      <c r="AB165" s="506"/>
      <c r="AC165" s="506"/>
      <c r="AD165" s="506"/>
      <c r="AE165" s="506"/>
      <c r="AF165" s="506"/>
      <c r="AG165" s="506"/>
      <c r="AH165" s="506"/>
    </row>
    <row r="166" spans="1:238">
      <c r="A166" s="515"/>
      <c r="B166" s="506"/>
      <c r="D166" s="506"/>
      <c r="E166" s="506"/>
      <c r="F166" s="506"/>
      <c r="G166" s="506"/>
      <c r="H166" s="506"/>
      <c r="I166" s="506"/>
      <c r="J166" s="506"/>
      <c r="K166" s="506"/>
      <c r="L166" s="506"/>
      <c r="M166" s="506"/>
      <c r="N166" s="506"/>
      <c r="O166" s="506"/>
      <c r="P166" s="506"/>
      <c r="Q166" s="506"/>
      <c r="R166" s="506"/>
      <c r="S166" s="506"/>
      <c r="T166" s="506"/>
      <c r="U166" s="506"/>
      <c r="V166" s="506"/>
      <c r="W166" s="506"/>
      <c r="X166" s="506"/>
      <c r="Y166" s="506"/>
      <c r="Z166" s="506"/>
      <c r="AA166" s="506"/>
      <c r="AB166" s="506"/>
      <c r="AC166" s="506"/>
      <c r="AD166" s="506"/>
      <c r="AE166" s="506"/>
      <c r="AF166" s="506"/>
      <c r="AG166" s="506"/>
      <c r="AH166" s="506"/>
    </row>
    <row r="167" spans="1:238" s="507" customFormat="1">
      <c r="B167" s="508"/>
      <c r="C167" s="509"/>
      <c r="D167" s="508"/>
      <c r="E167" s="508"/>
      <c r="F167" s="508"/>
      <c r="G167" s="508"/>
      <c r="H167" s="508"/>
      <c r="I167" s="508"/>
      <c r="J167" s="508"/>
      <c r="K167" s="508"/>
      <c r="L167" s="508"/>
      <c r="M167" s="508"/>
      <c r="N167" s="508"/>
      <c r="O167" s="508"/>
      <c r="P167" s="508"/>
      <c r="Q167" s="508"/>
      <c r="R167" s="508"/>
      <c r="S167" s="508"/>
      <c r="T167" s="508"/>
      <c r="U167" s="508"/>
      <c r="V167" s="508"/>
      <c r="W167" s="508"/>
      <c r="X167" s="508"/>
      <c r="Y167" s="508"/>
      <c r="Z167" s="508"/>
      <c r="AA167" s="508"/>
      <c r="AB167" s="508"/>
      <c r="AC167" s="508"/>
      <c r="AD167" s="508"/>
      <c r="AE167" s="508"/>
      <c r="AF167" s="508"/>
      <c r="AG167" s="508"/>
      <c r="AH167" s="508"/>
      <c r="ID167" s="510"/>
    </row>
    <row r="168" spans="1:238" s="511" customFormat="1">
      <c r="B168" s="512"/>
      <c r="C168" s="513"/>
      <c r="D168" s="512"/>
      <c r="E168" s="512"/>
      <c r="F168" s="512"/>
      <c r="G168" s="512"/>
      <c r="H168" s="512"/>
      <c r="I168" s="512"/>
      <c r="J168" s="512"/>
      <c r="K168" s="512"/>
      <c r="L168" s="512"/>
      <c r="M168" s="512"/>
      <c r="N168" s="512"/>
      <c r="O168" s="512"/>
      <c r="P168" s="512"/>
      <c r="Q168" s="512"/>
      <c r="R168" s="512"/>
      <c r="S168" s="512"/>
      <c r="T168" s="512"/>
      <c r="U168" s="512"/>
      <c r="V168" s="512"/>
      <c r="W168" s="512"/>
      <c r="X168" s="512"/>
      <c r="Y168" s="512"/>
      <c r="Z168" s="512"/>
      <c r="AA168" s="512"/>
      <c r="AB168" s="512"/>
      <c r="AC168" s="512"/>
      <c r="AD168" s="512"/>
      <c r="AE168" s="512"/>
      <c r="AF168" s="512"/>
      <c r="AG168" s="512"/>
      <c r="AH168" s="512"/>
      <c r="ID168" s="514"/>
    </row>
    <row r="169" spans="1:238">
      <c r="A169" s="515"/>
      <c r="B169" s="506"/>
      <c r="D169" s="506"/>
      <c r="E169" s="506"/>
      <c r="F169" s="506"/>
      <c r="G169" s="506"/>
      <c r="H169" s="506"/>
      <c r="I169" s="506"/>
      <c r="J169" s="506"/>
      <c r="K169" s="506"/>
      <c r="L169" s="506"/>
      <c r="M169" s="506"/>
      <c r="N169" s="506"/>
      <c r="O169" s="506"/>
      <c r="P169" s="506"/>
      <c r="Q169" s="506"/>
      <c r="R169" s="506"/>
      <c r="S169" s="506"/>
      <c r="T169" s="506"/>
      <c r="U169" s="506"/>
      <c r="V169" s="506"/>
      <c r="W169" s="506"/>
      <c r="X169" s="506"/>
      <c r="Y169" s="506"/>
      <c r="Z169" s="506"/>
      <c r="AA169" s="506"/>
      <c r="AB169" s="506"/>
      <c r="AC169" s="506"/>
      <c r="AD169" s="506"/>
      <c r="AE169" s="506"/>
      <c r="AF169" s="506"/>
      <c r="AG169" s="506"/>
      <c r="AH169" s="506"/>
    </row>
    <row r="170" spans="1:238">
      <c r="A170" s="515"/>
      <c r="B170" s="506"/>
      <c r="D170" s="506"/>
      <c r="E170" s="506"/>
      <c r="F170" s="506"/>
      <c r="G170" s="506"/>
      <c r="H170" s="506"/>
      <c r="I170" s="506"/>
      <c r="J170" s="506"/>
      <c r="K170" s="506"/>
      <c r="L170" s="506"/>
      <c r="M170" s="506"/>
      <c r="N170" s="506"/>
      <c r="O170" s="506"/>
      <c r="P170" s="506"/>
      <c r="Q170" s="506"/>
      <c r="R170" s="506"/>
      <c r="S170" s="506"/>
      <c r="T170" s="506"/>
      <c r="U170" s="506"/>
      <c r="V170" s="506"/>
      <c r="W170" s="506"/>
      <c r="X170" s="506"/>
      <c r="Y170" s="506"/>
      <c r="Z170" s="506"/>
      <c r="AA170" s="506"/>
      <c r="AB170" s="506"/>
      <c r="AC170" s="506"/>
      <c r="AD170" s="506"/>
      <c r="AE170" s="506"/>
      <c r="AF170" s="506"/>
      <c r="AG170" s="506"/>
      <c r="AH170" s="506"/>
    </row>
    <row r="171" spans="1:238" s="507" customFormat="1">
      <c r="B171" s="508"/>
      <c r="C171" s="509"/>
      <c r="D171" s="508"/>
      <c r="E171" s="508"/>
      <c r="F171" s="508"/>
      <c r="G171" s="508"/>
      <c r="H171" s="508"/>
      <c r="I171" s="508"/>
      <c r="J171" s="508"/>
      <c r="K171" s="508"/>
      <c r="L171" s="508"/>
      <c r="M171" s="508"/>
      <c r="N171" s="508"/>
      <c r="O171" s="508"/>
      <c r="P171" s="508"/>
      <c r="Q171" s="508"/>
      <c r="R171" s="508"/>
      <c r="S171" s="508"/>
      <c r="T171" s="508"/>
      <c r="U171" s="508"/>
      <c r="V171" s="508"/>
      <c r="W171" s="508"/>
      <c r="X171" s="508"/>
      <c r="Y171" s="508"/>
      <c r="Z171" s="508"/>
      <c r="AA171" s="508"/>
      <c r="AB171" s="508"/>
      <c r="AC171" s="508"/>
      <c r="AD171" s="508"/>
      <c r="AE171" s="508"/>
      <c r="AF171" s="508"/>
      <c r="AG171" s="508"/>
      <c r="AH171" s="508"/>
      <c r="ID171" s="510"/>
    </row>
    <row r="172" spans="1:238" s="511" customFormat="1">
      <c r="B172" s="512"/>
      <c r="C172" s="513"/>
      <c r="D172" s="512"/>
      <c r="E172" s="512"/>
      <c r="F172" s="512"/>
      <c r="G172" s="512"/>
      <c r="H172" s="512"/>
      <c r="I172" s="512"/>
      <c r="J172" s="512"/>
      <c r="K172" s="512"/>
      <c r="L172" s="512"/>
      <c r="M172" s="512"/>
      <c r="N172" s="512"/>
      <c r="O172" s="512"/>
      <c r="P172" s="512"/>
      <c r="Q172" s="512"/>
      <c r="R172" s="512"/>
      <c r="S172" s="512"/>
      <c r="T172" s="512"/>
      <c r="U172" s="512"/>
      <c r="V172" s="512"/>
      <c r="W172" s="512"/>
      <c r="X172" s="512"/>
      <c r="Y172" s="512"/>
      <c r="Z172" s="512"/>
      <c r="AA172" s="512"/>
      <c r="AB172" s="512"/>
      <c r="AC172" s="512"/>
      <c r="AD172" s="512"/>
      <c r="AE172" s="512"/>
      <c r="AF172" s="512"/>
      <c r="AG172" s="512"/>
      <c r="AH172" s="512"/>
      <c r="ID172" s="514"/>
    </row>
    <row r="173" spans="1:238">
      <c r="A173" s="515"/>
      <c r="B173" s="506"/>
      <c r="D173" s="506"/>
      <c r="E173" s="506"/>
      <c r="F173" s="506"/>
      <c r="G173" s="506"/>
      <c r="H173" s="506"/>
      <c r="I173" s="506"/>
      <c r="J173" s="506"/>
      <c r="K173" s="506"/>
      <c r="L173" s="506"/>
      <c r="M173" s="506"/>
      <c r="N173" s="506"/>
      <c r="O173" s="506"/>
      <c r="P173" s="506"/>
      <c r="Q173" s="506"/>
      <c r="R173" s="506"/>
      <c r="S173" s="506"/>
      <c r="T173" s="506"/>
      <c r="U173" s="506"/>
      <c r="V173" s="506"/>
      <c r="W173" s="506"/>
      <c r="X173" s="506"/>
      <c r="Y173" s="506"/>
      <c r="Z173" s="506"/>
      <c r="AA173" s="506"/>
      <c r="AB173" s="506"/>
      <c r="AC173" s="506"/>
      <c r="AD173" s="506"/>
      <c r="AE173" s="506"/>
      <c r="AF173" s="506"/>
      <c r="AG173" s="506"/>
      <c r="AH173" s="506"/>
    </row>
    <row r="174" spans="1:238">
      <c r="A174" s="515"/>
      <c r="B174" s="506"/>
      <c r="D174" s="506"/>
      <c r="E174" s="506"/>
      <c r="F174" s="506"/>
      <c r="G174" s="506"/>
      <c r="H174" s="506"/>
      <c r="I174" s="506"/>
      <c r="J174" s="506"/>
      <c r="K174" s="506"/>
      <c r="L174" s="506"/>
      <c r="M174" s="506"/>
      <c r="N174" s="506"/>
      <c r="O174" s="506"/>
      <c r="P174" s="506"/>
      <c r="Q174" s="506"/>
      <c r="R174" s="506"/>
      <c r="S174" s="506"/>
      <c r="T174" s="506"/>
      <c r="U174" s="506"/>
      <c r="V174" s="506"/>
      <c r="W174" s="506"/>
      <c r="X174" s="506"/>
      <c r="Y174" s="506"/>
      <c r="Z174" s="506"/>
      <c r="AA174" s="506"/>
      <c r="AB174" s="506"/>
      <c r="AC174" s="506"/>
      <c r="AD174" s="506"/>
      <c r="AE174" s="506"/>
      <c r="AF174" s="506"/>
      <c r="AG174" s="506"/>
      <c r="AH174" s="506"/>
    </row>
    <row r="175" spans="1:238" s="507" customFormat="1">
      <c r="B175" s="508"/>
      <c r="C175" s="509"/>
      <c r="D175" s="508"/>
      <c r="E175" s="508"/>
      <c r="F175" s="508"/>
      <c r="G175" s="508"/>
      <c r="H175" s="508"/>
      <c r="I175" s="508"/>
      <c r="J175" s="508"/>
      <c r="K175" s="508"/>
      <c r="L175" s="508"/>
      <c r="M175" s="508"/>
      <c r="N175" s="508"/>
      <c r="O175" s="508"/>
      <c r="P175" s="508"/>
      <c r="Q175" s="508"/>
      <c r="R175" s="508"/>
      <c r="S175" s="508"/>
      <c r="T175" s="508"/>
      <c r="U175" s="508"/>
      <c r="V175" s="508"/>
      <c r="W175" s="508"/>
      <c r="X175" s="508"/>
      <c r="Y175" s="508"/>
      <c r="Z175" s="508"/>
      <c r="AA175" s="508"/>
      <c r="AB175" s="508"/>
      <c r="AC175" s="508"/>
      <c r="AD175" s="508"/>
      <c r="AE175" s="508"/>
      <c r="AF175" s="508"/>
      <c r="AG175" s="508"/>
      <c r="AH175" s="508"/>
      <c r="ID175" s="510"/>
    </row>
    <row r="176" spans="1:238" s="511" customFormat="1">
      <c r="B176" s="512"/>
      <c r="C176" s="513"/>
      <c r="D176" s="512"/>
      <c r="E176" s="512"/>
      <c r="F176" s="512"/>
      <c r="G176" s="512"/>
      <c r="H176" s="512"/>
      <c r="I176" s="512"/>
      <c r="J176" s="512"/>
      <c r="K176" s="512"/>
      <c r="L176" s="512"/>
      <c r="M176" s="512"/>
      <c r="N176" s="512"/>
      <c r="O176" s="512"/>
      <c r="P176" s="512"/>
      <c r="Q176" s="512"/>
      <c r="R176" s="512"/>
      <c r="S176" s="512"/>
      <c r="T176" s="512"/>
      <c r="U176" s="512"/>
      <c r="V176" s="512"/>
      <c r="W176" s="512"/>
      <c r="X176" s="512"/>
      <c r="Y176" s="512"/>
      <c r="Z176" s="512"/>
      <c r="AA176" s="512"/>
      <c r="AB176" s="512"/>
      <c r="AC176" s="512"/>
      <c r="AD176" s="512"/>
      <c r="AE176" s="512"/>
      <c r="AF176" s="512"/>
      <c r="AG176" s="512"/>
      <c r="AH176" s="512"/>
      <c r="ID176" s="514"/>
    </row>
    <row r="177" spans="1:238">
      <c r="A177" s="515"/>
      <c r="B177" s="506"/>
      <c r="D177" s="506"/>
      <c r="E177" s="506"/>
      <c r="F177" s="506"/>
      <c r="G177" s="506"/>
      <c r="H177" s="506"/>
      <c r="I177" s="506"/>
      <c r="J177" s="506"/>
      <c r="K177" s="506"/>
      <c r="L177" s="506"/>
      <c r="M177" s="506"/>
      <c r="N177" s="506"/>
      <c r="O177" s="506"/>
      <c r="P177" s="506"/>
      <c r="Q177" s="506"/>
      <c r="R177" s="506"/>
      <c r="S177" s="506"/>
      <c r="T177" s="506"/>
      <c r="U177" s="506"/>
      <c r="V177" s="506"/>
      <c r="W177" s="506"/>
      <c r="X177" s="506"/>
      <c r="Y177" s="506"/>
      <c r="Z177" s="506"/>
      <c r="AA177" s="506"/>
      <c r="AB177" s="506"/>
      <c r="AC177" s="506"/>
      <c r="AD177" s="506"/>
      <c r="AE177" s="506"/>
      <c r="AF177" s="506"/>
      <c r="AG177" s="506"/>
      <c r="AH177" s="506"/>
    </row>
    <row r="178" spans="1:238">
      <c r="A178" s="515"/>
      <c r="B178" s="506"/>
      <c r="D178" s="506"/>
      <c r="E178" s="506"/>
      <c r="F178" s="506"/>
      <c r="G178" s="506"/>
      <c r="H178" s="506"/>
      <c r="I178" s="506"/>
      <c r="J178" s="506"/>
      <c r="K178" s="506"/>
      <c r="L178" s="506"/>
      <c r="M178" s="506"/>
      <c r="N178" s="506"/>
      <c r="O178" s="506"/>
      <c r="P178" s="506"/>
      <c r="Q178" s="506"/>
      <c r="R178" s="506"/>
      <c r="S178" s="506"/>
      <c r="T178" s="506"/>
      <c r="U178" s="506"/>
      <c r="V178" s="506"/>
      <c r="W178" s="506"/>
      <c r="X178" s="506"/>
      <c r="Y178" s="506"/>
      <c r="Z178" s="506"/>
      <c r="AA178" s="506"/>
      <c r="AB178" s="506"/>
      <c r="AC178" s="506"/>
      <c r="AD178" s="506"/>
      <c r="AE178" s="506"/>
      <c r="AF178" s="506"/>
      <c r="AG178" s="506"/>
      <c r="AH178" s="506"/>
    </row>
    <row r="179" spans="1:238" s="507" customFormat="1">
      <c r="B179" s="508"/>
      <c r="C179" s="509"/>
      <c r="D179" s="508"/>
      <c r="E179" s="508"/>
      <c r="F179" s="508"/>
      <c r="G179" s="508"/>
      <c r="H179" s="508"/>
      <c r="I179" s="508"/>
      <c r="J179" s="508"/>
      <c r="K179" s="508"/>
      <c r="L179" s="508"/>
      <c r="M179" s="508"/>
      <c r="N179" s="508"/>
      <c r="O179" s="508"/>
      <c r="P179" s="508"/>
      <c r="Q179" s="508"/>
      <c r="R179" s="508"/>
      <c r="S179" s="508"/>
      <c r="T179" s="508"/>
      <c r="U179" s="508"/>
      <c r="V179" s="508"/>
      <c r="W179" s="508"/>
      <c r="X179" s="508"/>
      <c r="Y179" s="508"/>
      <c r="Z179" s="508"/>
      <c r="AA179" s="508"/>
      <c r="AB179" s="508"/>
      <c r="AC179" s="508"/>
      <c r="AD179" s="508"/>
      <c r="AE179" s="508"/>
      <c r="AF179" s="508"/>
      <c r="AG179" s="508"/>
      <c r="AH179" s="508"/>
      <c r="ID179" s="510"/>
    </row>
    <row r="180" spans="1:238" s="511" customFormat="1">
      <c r="B180" s="512"/>
      <c r="C180" s="513"/>
      <c r="D180" s="512"/>
      <c r="E180" s="512"/>
      <c r="F180" s="512"/>
      <c r="G180" s="512"/>
      <c r="H180" s="512"/>
      <c r="I180" s="512"/>
      <c r="J180" s="512"/>
      <c r="K180" s="512"/>
      <c r="L180" s="512"/>
      <c r="M180" s="512"/>
      <c r="N180" s="512"/>
      <c r="O180" s="512"/>
      <c r="P180" s="512"/>
      <c r="Q180" s="512"/>
      <c r="R180" s="512"/>
      <c r="S180" s="512"/>
      <c r="T180" s="512"/>
      <c r="U180" s="512"/>
      <c r="V180" s="512"/>
      <c r="W180" s="512"/>
      <c r="X180" s="512"/>
      <c r="Y180" s="512"/>
      <c r="Z180" s="512"/>
      <c r="AA180" s="512"/>
      <c r="AB180" s="512"/>
      <c r="AC180" s="512"/>
      <c r="AD180" s="512"/>
      <c r="AE180" s="512"/>
      <c r="AF180" s="512"/>
      <c r="AG180" s="512"/>
      <c r="AH180" s="512"/>
      <c r="ID180" s="514"/>
    </row>
    <row r="181" spans="1:238">
      <c r="A181" s="515"/>
      <c r="B181" s="506"/>
      <c r="D181" s="506"/>
      <c r="E181" s="506"/>
      <c r="F181" s="506"/>
      <c r="G181" s="506"/>
      <c r="H181" s="506"/>
      <c r="I181" s="506"/>
      <c r="J181" s="506"/>
      <c r="K181" s="506"/>
      <c r="L181" s="506"/>
      <c r="M181" s="506"/>
      <c r="N181" s="506"/>
      <c r="O181" s="506"/>
      <c r="P181" s="506"/>
      <c r="Q181" s="506"/>
      <c r="R181" s="506"/>
      <c r="S181" s="506"/>
      <c r="T181" s="506"/>
      <c r="U181" s="506"/>
      <c r="V181" s="506"/>
      <c r="W181" s="506"/>
      <c r="X181" s="506"/>
      <c r="Y181" s="506"/>
      <c r="Z181" s="506"/>
      <c r="AA181" s="506"/>
      <c r="AB181" s="506"/>
      <c r="AC181" s="506"/>
      <c r="AD181" s="506"/>
      <c r="AE181" s="506"/>
      <c r="AF181" s="506"/>
      <c r="AG181" s="506"/>
      <c r="AH181" s="506"/>
    </row>
    <row r="182" spans="1:238">
      <c r="A182" s="515"/>
      <c r="B182" s="506"/>
      <c r="D182" s="506"/>
      <c r="E182" s="506"/>
      <c r="F182" s="506"/>
      <c r="G182" s="506"/>
      <c r="H182" s="506"/>
      <c r="I182" s="506"/>
      <c r="J182" s="506"/>
      <c r="K182" s="506"/>
      <c r="L182" s="506"/>
      <c r="M182" s="506"/>
      <c r="N182" s="506"/>
      <c r="O182" s="506"/>
      <c r="P182" s="506"/>
      <c r="Q182" s="506"/>
      <c r="R182" s="506"/>
      <c r="S182" s="506"/>
      <c r="T182" s="506"/>
      <c r="U182" s="506"/>
      <c r="V182" s="506"/>
      <c r="W182" s="506"/>
      <c r="X182" s="506"/>
      <c r="Y182" s="506"/>
      <c r="Z182" s="506"/>
      <c r="AA182" s="506"/>
      <c r="AB182" s="506"/>
      <c r="AC182" s="506"/>
      <c r="AD182" s="506"/>
      <c r="AE182" s="506"/>
      <c r="AF182" s="506"/>
      <c r="AG182" s="506"/>
      <c r="AH182" s="506"/>
    </row>
    <row r="183" spans="1:238" s="507" customFormat="1">
      <c r="B183" s="508"/>
      <c r="C183" s="509"/>
      <c r="D183" s="508"/>
      <c r="E183" s="508"/>
      <c r="F183" s="508"/>
      <c r="G183" s="508"/>
      <c r="H183" s="508"/>
      <c r="I183" s="508"/>
      <c r="J183" s="508"/>
      <c r="K183" s="508"/>
      <c r="L183" s="508"/>
      <c r="M183" s="508"/>
      <c r="N183" s="508"/>
      <c r="O183" s="508"/>
      <c r="P183" s="508"/>
      <c r="Q183" s="508"/>
      <c r="R183" s="508"/>
      <c r="S183" s="508"/>
      <c r="T183" s="508"/>
      <c r="U183" s="508"/>
      <c r="V183" s="508"/>
      <c r="W183" s="508"/>
      <c r="X183" s="508"/>
      <c r="Y183" s="508"/>
      <c r="Z183" s="508"/>
      <c r="AA183" s="508"/>
      <c r="AB183" s="508"/>
      <c r="AC183" s="508"/>
      <c r="AD183" s="508"/>
      <c r="AE183" s="508"/>
      <c r="AF183" s="508"/>
      <c r="AG183" s="508"/>
      <c r="AH183" s="508"/>
      <c r="ID183" s="510"/>
    </row>
    <row r="184" spans="1:238" s="511" customFormat="1">
      <c r="B184" s="512"/>
      <c r="C184" s="513"/>
      <c r="D184" s="512"/>
      <c r="E184" s="512"/>
      <c r="F184" s="512"/>
      <c r="G184" s="512"/>
      <c r="H184" s="512"/>
      <c r="I184" s="512"/>
      <c r="J184" s="512"/>
      <c r="K184" s="512"/>
      <c r="L184" s="512"/>
      <c r="M184" s="512"/>
      <c r="N184" s="512"/>
      <c r="O184" s="512"/>
      <c r="P184" s="512"/>
      <c r="Q184" s="512"/>
      <c r="R184" s="512"/>
      <c r="S184" s="512"/>
      <c r="T184" s="512"/>
      <c r="U184" s="512"/>
      <c r="V184" s="512"/>
      <c r="W184" s="512"/>
      <c r="X184" s="512"/>
      <c r="Y184" s="512"/>
      <c r="Z184" s="512"/>
      <c r="AA184" s="512"/>
      <c r="AB184" s="512"/>
      <c r="AC184" s="512"/>
      <c r="AD184" s="512"/>
      <c r="AE184" s="512"/>
      <c r="AF184" s="512"/>
      <c r="AG184" s="512"/>
      <c r="AH184" s="512"/>
      <c r="ID184" s="514"/>
    </row>
    <row r="185" spans="1:238">
      <c r="A185" s="515"/>
      <c r="B185" s="506"/>
      <c r="D185" s="506"/>
      <c r="E185" s="506"/>
      <c r="F185" s="506"/>
      <c r="G185" s="506"/>
      <c r="H185" s="506"/>
      <c r="I185" s="506"/>
      <c r="J185" s="506"/>
      <c r="K185" s="506"/>
      <c r="L185" s="506"/>
      <c r="M185" s="506"/>
      <c r="N185" s="506"/>
      <c r="O185" s="506"/>
      <c r="P185" s="506"/>
      <c r="Q185" s="506"/>
      <c r="R185" s="506"/>
      <c r="S185" s="506"/>
      <c r="T185" s="506"/>
      <c r="U185" s="506"/>
      <c r="V185" s="506"/>
      <c r="W185" s="506"/>
      <c r="X185" s="506"/>
      <c r="Y185" s="506"/>
      <c r="Z185" s="506"/>
      <c r="AA185" s="506"/>
      <c r="AB185" s="506"/>
      <c r="AC185" s="506"/>
      <c r="AD185" s="506"/>
      <c r="AE185" s="506"/>
      <c r="AF185" s="506"/>
      <c r="AG185" s="506"/>
      <c r="AH185" s="506"/>
    </row>
    <row r="186" spans="1:238">
      <c r="A186" s="515"/>
      <c r="B186" s="506"/>
      <c r="D186" s="506"/>
      <c r="E186" s="506"/>
      <c r="F186" s="506"/>
      <c r="G186" s="506"/>
      <c r="H186" s="506"/>
      <c r="I186" s="506"/>
      <c r="J186" s="506"/>
      <c r="K186" s="506"/>
      <c r="L186" s="506"/>
      <c r="M186" s="506"/>
      <c r="N186" s="506"/>
      <c r="O186" s="506"/>
      <c r="P186" s="506"/>
      <c r="Q186" s="506"/>
      <c r="R186" s="506"/>
      <c r="S186" s="506"/>
      <c r="T186" s="506"/>
      <c r="U186" s="506"/>
      <c r="V186" s="506"/>
      <c r="W186" s="506"/>
      <c r="X186" s="506"/>
      <c r="Y186" s="506"/>
      <c r="Z186" s="506"/>
      <c r="AA186" s="506"/>
      <c r="AB186" s="506"/>
      <c r="AC186" s="506"/>
      <c r="AD186" s="506"/>
      <c r="AE186" s="506"/>
      <c r="AF186" s="506"/>
      <c r="AG186" s="506"/>
      <c r="AH186" s="506"/>
    </row>
    <row r="187" spans="1:238" s="507" customFormat="1">
      <c r="B187" s="508"/>
      <c r="C187" s="509"/>
      <c r="D187" s="508"/>
      <c r="E187" s="508"/>
      <c r="F187" s="508"/>
      <c r="G187" s="508"/>
      <c r="H187" s="508"/>
      <c r="I187" s="508"/>
      <c r="J187" s="508"/>
      <c r="K187" s="508"/>
      <c r="L187" s="508"/>
      <c r="M187" s="508"/>
      <c r="N187" s="508"/>
      <c r="O187" s="508"/>
      <c r="P187" s="508"/>
      <c r="Q187" s="508"/>
      <c r="R187" s="508"/>
      <c r="S187" s="508"/>
      <c r="T187" s="508"/>
      <c r="U187" s="508"/>
      <c r="V187" s="508"/>
      <c r="W187" s="508"/>
      <c r="X187" s="508"/>
      <c r="Y187" s="508"/>
      <c r="Z187" s="508"/>
      <c r="AA187" s="508"/>
      <c r="AB187" s="508"/>
      <c r="AC187" s="508"/>
      <c r="AD187" s="508"/>
      <c r="AE187" s="508"/>
      <c r="AF187" s="508"/>
      <c r="AG187" s="508"/>
      <c r="AH187" s="508"/>
      <c r="ID187" s="510"/>
    </row>
    <row r="188" spans="1:238" s="511" customFormat="1">
      <c r="B188" s="512"/>
      <c r="C188" s="513"/>
      <c r="D188" s="512"/>
      <c r="E188" s="512"/>
      <c r="F188" s="512"/>
      <c r="G188" s="512"/>
      <c r="H188" s="512"/>
      <c r="I188" s="512"/>
      <c r="J188" s="512"/>
      <c r="K188" s="512"/>
      <c r="L188" s="512"/>
      <c r="M188" s="512"/>
      <c r="N188" s="512"/>
      <c r="O188" s="512"/>
      <c r="P188" s="512"/>
      <c r="Q188" s="512"/>
      <c r="R188" s="512"/>
      <c r="S188" s="512"/>
      <c r="T188" s="512"/>
      <c r="U188" s="512"/>
      <c r="V188" s="512"/>
      <c r="W188" s="512"/>
      <c r="X188" s="512"/>
      <c r="Y188" s="512"/>
      <c r="Z188" s="512"/>
      <c r="AA188" s="512"/>
      <c r="AB188" s="512"/>
      <c r="AC188" s="512"/>
      <c r="AD188" s="512"/>
      <c r="AE188" s="512"/>
      <c r="AF188" s="512"/>
      <c r="AG188" s="512"/>
      <c r="AH188" s="512"/>
      <c r="ID188" s="514"/>
    </row>
    <row r="189" spans="1:238">
      <c r="A189" s="515"/>
      <c r="B189" s="506"/>
      <c r="D189" s="506"/>
      <c r="E189" s="506"/>
      <c r="F189" s="506"/>
      <c r="G189" s="506"/>
      <c r="H189" s="506"/>
      <c r="I189" s="506"/>
      <c r="J189" s="506"/>
      <c r="K189" s="506"/>
      <c r="L189" s="506"/>
      <c r="M189" s="506"/>
      <c r="N189" s="506"/>
      <c r="O189" s="506"/>
      <c r="P189" s="506"/>
      <c r="Q189" s="506"/>
      <c r="R189" s="506"/>
      <c r="S189" s="506"/>
      <c r="T189" s="506"/>
      <c r="U189" s="506"/>
      <c r="V189" s="506"/>
      <c r="W189" s="506"/>
      <c r="X189" s="506"/>
      <c r="Y189" s="506"/>
      <c r="Z189" s="506"/>
      <c r="AA189" s="506"/>
      <c r="AB189" s="506"/>
      <c r="AC189" s="506"/>
      <c r="AD189" s="506"/>
      <c r="AE189" s="506"/>
      <c r="AF189" s="506"/>
      <c r="AG189" s="506"/>
      <c r="AH189" s="506"/>
    </row>
    <row r="190" spans="1:238">
      <c r="A190" s="515"/>
      <c r="B190" s="506"/>
      <c r="D190" s="506"/>
      <c r="E190" s="506"/>
      <c r="F190" s="506"/>
      <c r="G190" s="506"/>
      <c r="H190" s="506"/>
      <c r="I190" s="506"/>
      <c r="J190" s="506"/>
      <c r="K190" s="506"/>
      <c r="L190" s="506"/>
      <c r="M190" s="506"/>
      <c r="N190" s="506"/>
      <c r="O190" s="506"/>
      <c r="P190" s="506"/>
      <c r="Q190" s="506"/>
      <c r="R190" s="506"/>
      <c r="S190" s="506"/>
      <c r="T190" s="506"/>
      <c r="U190" s="506"/>
      <c r="V190" s="506"/>
      <c r="W190" s="506"/>
      <c r="X190" s="506"/>
      <c r="Y190" s="506"/>
      <c r="Z190" s="506"/>
      <c r="AA190" s="506"/>
      <c r="AB190" s="506"/>
      <c r="AC190" s="506"/>
      <c r="AD190" s="506"/>
      <c r="AE190" s="506"/>
      <c r="AF190" s="506"/>
      <c r="AG190" s="506"/>
      <c r="AH190" s="506"/>
    </row>
    <row r="191" spans="1:238" s="507" customFormat="1">
      <c r="B191" s="508"/>
      <c r="C191" s="509"/>
      <c r="D191" s="508"/>
      <c r="E191" s="508"/>
      <c r="F191" s="508"/>
      <c r="G191" s="508"/>
      <c r="H191" s="508"/>
      <c r="I191" s="508"/>
      <c r="J191" s="508"/>
      <c r="K191" s="508"/>
      <c r="L191" s="508"/>
      <c r="M191" s="508"/>
      <c r="N191" s="508"/>
      <c r="O191" s="508"/>
      <c r="P191" s="508"/>
      <c r="Q191" s="508"/>
      <c r="R191" s="508"/>
      <c r="S191" s="508"/>
      <c r="T191" s="508"/>
      <c r="U191" s="508"/>
      <c r="V191" s="508"/>
      <c r="W191" s="508"/>
      <c r="X191" s="508"/>
      <c r="Y191" s="508"/>
      <c r="Z191" s="508"/>
      <c r="AA191" s="508"/>
      <c r="AB191" s="508"/>
      <c r="AC191" s="508"/>
      <c r="AD191" s="508"/>
      <c r="AE191" s="508"/>
      <c r="AF191" s="508"/>
      <c r="AG191" s="508"/>
      <c r="AH191" s="508"/>
      <c r="ID191" s="510"/>
    </row>
    <row r="192" spans="1:238" s="511" customFormat="1">
      <c r="B192" s="512"/>
      <c r="C192" s="513"/>
      <c r="D192" s="512"/>
      <c r="E192" s="512"/>
      <c r="F192" s="512"/>
      <c r="G192" s="512"/>
      <c r="H192" s="512"/>
      <c r="I192" s="512"/>
      <c r="J192" s="512"/>
      <c r="K192" s="512"/>
      <c r="L192" s="512"/>
      <c r="M192" s="512"/>
      <c r="N192" s="512"/>
      <c r="O192" s="512"/>
      <c r="P192" s="512"/>
      <c r="Q192" s="512"/>
      <c r="R192" s="512"/>
      <c r="S192" s="512"/>
      <c r="T192" s="512"/>
      <c r="U192" s="512"/>
      <c r="V192" s="512"/>
      <c r="W192" s="512"/>
      <c r="X192" s="512"/>
      <c r="Y192" s="512"/>
      <c r="Z192" s="512"/>
      <c r="AA192" s="512"/>
      <c r="AB192" s="512"/>
      <c r="AC192" s="512"/>
      <c r="AD192" s="512"/>
      <c r="AE192" s="512"/>
      <c r="AF192" s="512"/>
      <c r="AG192" s="512"/>
      <c r="AH192" s="512"/>
      <c r="ID192" s="514"/>
    </row>
    <row r="193" spans="1:238">
      <c r="A193" s="515"/>
      <c r="B193" s="506"/>
      <c r="D193" s="506"/>
      <c r="E193" s="506"/>
      <c r="F193" s="506"/>
      <c r="G193" s="506"/>
      <c r="H193" s="506"/>
      <c r="I193" s="506"/>
      <c r="J193" s="506"/>
      <c r="K193" s="506"/>
      <c r="L193" s="506"/>
      <c r="M193" s="506"/>
      <c r="N193" s="506"/>
      <c r="O193" s="506"/>
      <c r="P193" s="506"/>
      <c r="Q193" s="506"/>
      <c r="R193" s="506"/>
      <c r="S193" s="506"/>
      <c r="T193" s="506"/>
      <c r="U193" s="506"/>
      <c r="V193" s="506"/>
      <c r="W193" s="506"/>
      <c r="X193" s="506"/>
      <c r="Y193" s="506"/>
      <c r="Z193" s="506"/>
      <c r="AA193" s="506"/>
      <c r="AB193" s="506"/>
      <c r="AC193" s="506"/>
      <c r="AD193" s="506"/>
      <c r="AE193" s="506"/>
      <c r="AF193" s="506"/>
      <c r="AG193" s="506"/>
      <c r="AH193" s="506"/>
    </row>
    <row r="194" spans="1:238">
      <c r="A194" s="515"/>
      <c r="B194" s="506"/>
      <c r="D194" s="506"/>
      <c r="E194" s="506"/>
      <c r="F194" s="506"/>
      <c r="G194" s="506"/>
      <c r="H194" s="506"/>
      <c r="I194" s="506"/>
      <c r="J194" s="506"/>
      <c r="K194" s="506"/>
      <c r="L194" s="506"/>
      <c r="M194" s="506"/>
      <c r="N194" s="506"/>
      <c r="O194" s="506"/>
      <c r="P194" s="506"/>
      <c r="Q194" s="506"/>
      <c r="R194" s="506"/>
      <c r="S194" s="506"/>
      <c r="T194" s="506"/>
      <c r="U194" s="506"/>
      <c r="V194" s="506"/>
      <c r="W194" s="506"/>
      <c r="X194" s="506"/>
      <c r="Y194" s="506"/>
      <c r="Z194" s="506"/>
      <c r="AA194" s="506"/>
      <c r="AB194" s="506"/>
      <c r="AC194" s="506"/>
      <c r="AD194" s="506"/>
      <c r="AE194" s="506"/>
      <c r="AF194" s="506"/>
      <c r="AG194" s="506"/>
      <c r="AH194" s="506"/>
    </row>
    <row r="195" spans="1:238" s="507" customFormat="1">
      <c r="B195" s="508"/>
      <c r="C195" s="509"/>
      <c r="D195" s="508"/>
      <c r="E195" s="508"/>
      <c r="F195" s="508"/>
      <c r="G195" s="508"/>
      <c r="H195" s="508"/>
      <c r="I195" s="508"/>
      <c r="J195" s="508"/>
      <c r="K195" s="508"/>
      <c r="L195" s="508"/>
      <c r="M195" s="508"/>
      <c r="N195" s="508"/>
      <c r="O195" s="508"/>
      <c r="P195" s="508"/>
      <c r="Q195" s="508"/>
      <c r="R195" s="508"/>
      <c r="S195" s="508"/>
      <c r="T195" s="508"/>
      <c r="U195" s="508"/>
      <c r="V195" s="508"/>
      <c r="W195" s="508"/>
      <c r="X195" s="508"/>
      <c r="Y195" s="508"/>
      <c r="Z195" s="508"/>
      <c r="AA195" s="508"/>
      <c r="AB195" s="508"/>
      <c r="AC195" s="508"/>
      <c r="AD195" s="508"/>
      <c r="AE195" s="508"/>
      <c r="AF195" s="508"/>
      <c r="AG195" s="508"/>
      <c r="AH195" s="508"/>
      <c r="ID195" s="510"/>
    </row>
    <row r="196" spans="1:238" s="511" customFormat="1">
      <c r="B196" s="512"/>
      <c r="C196" s="513"/>
      <c r="D196" s="512"/>
      <c r="E196" s="512"/>
      <c r="F196" s="512"/>
      <c r="G196" s="512"/>
      <c r="H196" s="512"/>
      <c r="I196" s="512"/>
      <c r="J196" s="512"/>
      <c r="K196" s="512"/>
      <c r="L196" s="512"/>
      <c r="M196" s="512"/>
      <c r="N196" s="512"/>
      <c r="O196" s="512"/>
      <c r="P196" s="512"/>
      <c r="Q196" s="512"/>
      <c r="R196" s="512"/>
      <c r="S196" s="512"/>
      <c r="T196" s="512"/>
      <c r="U196" s="512"/>
      <c r="V196" s="512"/>
      <c r="W196" s="512"/>
      <c r="X196" s="512"/>
      <c r="Y196" s="512"/>
      <c r="Z196" s="512"/>
      <c r="AA196" s="512"/>
      <c r="AB196" s="512"/>
      <c r="AC196" s="512"/>
      <c r="AD196" s="512"/>
      <c r="AE196" s="512"/>
      <c r="AF196" s="512"/>
      <c r="AG196" s="512"/>
      <c r="AH196" s="512"/>
      <c r="ID196" s="514"/>
    </row>
    <row r="197" spans="1:238">
      <c r="A197" s="515"/>
      <c r="B197" s="506"/>
      <c r="D197" s="506"/>
      <c r="E197" s="506"/>
      <c r="F197" s="506"/>
      <c r="G197" s="506"/>
      <c r="H197" s="506"/>
      <c r="I197" s="506"/>
      <c r="J197" s="506"/>
      <c r="K197" s="506"/>
      <c r="L197" s="506"/>
      <c r="M197" s="506"/>
      <c r="N197" s="506"/>
      <c r="O197" s="506"/>
      <c r="P197" s="506"/>
      <c r="Q197" s="506"/>
      <c r="R197" s="506"/>
      <c r="S197" s="506"/>
      <c r="T197" s="506"/>
      <c r="U197" s="506"/>
      <c r="V197" s="506"/>
      <c r="W197" s="506"/>
      <c r="X197" s="506"/>
      <c r="Y197" s="506"/>
      <c r="Z197" s="506"/>
      <c r="AA197" s="506"/>
      <c r="AB197" s="506"/>
      <c r="AC197" s="506"/>
      <c r="AD197" s="506"/>
      <c r="AE197" s="506"/>
      <c r="AF197" s="506"/>
      <c r="AG197" s="506"/>
      <c r="AH197" s="506"/>
    </row>
    <row r="198" spans="1:238">
      <c r="A198" s="515"/>
      <c r="B198" s="506"/>
      <c r="D198" s="506"/>
      <c r="E198" s="506"/>
      <c r="F198" s="506"/>
      <c r="G198" s="506"/>
      <c r="H198" s="506"/>
      <c r="I198" s="506"/>
      <c r="J198" s="506"/>
      <c r="K198" s="506"/>
      <c r="L198" s="506"/>
      <c r="M198" s="506"/>
      <c r="N198" s="506"/>
      <c r="O198" s="506"/>
      <c r="P198" s="506"/>
      <c r="Q198" s="506"/>
      <c r="R198" s="506"/>
      <c r="S198" s="506"/>
      <c r="T198" s="506"/>
      <c r="U198" s="506"/>
      <c r="V198" s="506"/>
      <c r="W198" s="506"/>
      <c r="X198" s="506"/>
      <c r="Y198" s="506"/>
      <c r="Z198" s="506"/>
      <c r="AA198" s="506"/>
      <c r="AB198" s="506"/>
      <c r="AC198" s="506"/>
      <c r="AD198" s="506"/>
      <c r="AE198" s="506"/>
      <c r="AF198" s="506"/>
      <c r="AG198" s="506"/>
      <c r="AH198" s="506"/>
    </row>
    <row r="199" spans="1:238" s="507" customFormat="1">
      <c r="B199" s="508"/>
      <c r="C199" s="509"/>
      <c r="D199" s="508"/>
      <c r="E199" s="508"/>
      <c r="F199" s="508"/>
      <c r="G199" s="508"/>
      <c r="H199" s="508"/>
      <c r="I199" s="508"/>
      <c r="J199" s="508"/>
      <c r="K199" s="508"/>
      <c r="L199" s="508"/>
      <c r="M199" s="508"/>
      <c r="N199" s="508"/>
      <c r="O199" s="508"/>
      <c r="P199" s="508"/>
      <c r="Q199" s="508"/>
      <c r="R199" s="508"/>
      <c r="S199" s="508"/>
      <c r="T199" s="508"/>
      <c r="U199" s="508"/>
      <c r="V199" s="508"/>
      <c r="W199" s="508"/>
      <c r="X199" s="508"/>
      <c r="Y199" s="508"/>
      <c r="Z199" s="508"/>
      <c r="AA199" s="508"/>
      <c r="AB199" s="508"/>
      <c r="AC199" s="508"/>
      <c r="AD199" s="508"/>
      <c r="AE199" s="508"/>
      <c r="AF199" s="508"/>
      <c r="AG199" s="508"/>
      <c r="AH199" s="508"/>
      <c r="ID199" s="510"/>
    </row>
    <row r="200" spans="1:238" s="511" customFormat="1">
      <c r="B200" s="512"/>
      <c r="C200" s="513"/>
      <c r="D200" s="512"/>
      <c r="E200" s="512"/>
      <c r="F200" s="512"/>
      <c r="G200" s="512"/>
      <c r="H200" s="512"/>
      <c r="I200" s="512"/>
      <c r="J200" s="512"/>
      <c r="K200" s="512"/>
      <c r="L200" s="512"/>
      <c r="M200" s="512"/>
      <c r="N200" s="512"/>
      <c r="O200" s="512"/>
      <c r="P200" s="512"/>
      <c r="Q200" s="512"/>
      <c r="R200" s="512"/>
      <c r="S200" s="512"/>
      <c r="T200" s="512"/>
      <c r="U200" s="512"/>
      <c r="V200" s="512"/>
      <c r="W200" s="512"/>
      <c r="X200" s="512"/>
      <c r="Y200" s="512"/>
      <c r="Z200" s="512"/>
      <c r="AA200" s="512"/>
      <c r="AB200" s="512"/>
      <c r="AC200" s="512"/>
      <c r="AD200" s="512"/>
      <c r="AE200" s="512"/>
      <c r="AF200" s="512"/>
      <c r="AG200" s="512"/>
      <c r="AH200" s="512"/>
      <c r="ID200" s="514"/>
    </row>
    <row r="201" spans="1:238" s="507" customFormat="1">
      <c r="B201" s="508"/>
      <c r="C201" s="509"/>
      <c r="D201" s="508"/>
      <c r="E201" s="508"/>
      <c r="F201" s="508"/>
      <c r="G201" s="508"/>
      <c r="H201" s="508"/>
      <c r="I201" s="508"/>
      <c r="J201" s="508"/>
      <c r="K201" s="508"/>
      <c r="L201" s="508"/>
      <c r="M201" s="508"/>
      <c r="N201" s="508"/>
      <c r="O201" s="508"/>
      <c r="P201" s="508"/>
      <c r="Q201" s="508"/>
      <c r="R201" s="508"/>
      <c r="S201" s="508"/>
      <c r="T201" s="508"/>
      <c r="U201" s="508"/>
      <c r="V201" s="508"/>
      <c r="W201" s="508"/>
      <c r="X201" s="508"/>
      <c r="Y201" s="508"/>
      <c r="Z201" s="508"/>
      <c r="AA201" s="508"/>
      <c r="AB201" s="508"/>
      <c r="AC201" s="508"/>
      <c r="AD201" s="508"/>
      <c r="AE201" s="508"/>
      <c r="AF201" s="508"/>
      <c r="AG201" s="508"/>
      <c r="AH201" s="508"/>
      <c r="ID201" s="510"/>
    </row>
    <row r="202" spans="1:238" s="511" customFormat="1">
      <c r="B202" s="512"/>
      <c r="C202" s="513"/>
      <c r="D202" s="512"/>
      <c r="E202" s="512"/>
      <c r="F202" s="512"/>
      <c r="G202" s="512"/>
      <c r="H202" s="512"/>
      <c r="I202" s="512"/>
      <c r="J202" s="512"/>
      <c r="K202" s="512"/>
      <c r="L202" s="512"/>
      <c r="M202" s="512"/>
      <c r="N202" s="512"/>
      <c r="O202" s="512"/>
      <c r="P202" s="512"/>
      <c r="Q202" s="512"/>
      <c r="R202" s="512"/>
      <c r="S202" s="512"/>
      <c r="T202" s="512"/>
      <c r="U202" s="512"/>
      <c r="V202" s="512"/>
      <c r="W202" s="512"/>
      <c r="X202" s="512"/>
      <c r="Y202" s="512"/>
      <c r="Z202" s="512"/>
      <c r="AA202" s="512"/>
      <c r="AB202" s="512"/>
      <c r="AC202" s="512"/>
      <c r="AD202" s="512"/>
      <c r="AE202" s="512"/>
      <c r="AF202" s="512"/>
      <c r="AG202" s="512"/>
      <c r="AH202" s="512"/>
      <c r="ID202" s="514"/>
    </row>
  </sheetData>
  <sheetProtection sheet="1" scenarios="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J74"/>
  <sheetViews>
    <sheetView showGridLines="0" zoomScale="90" workbookViewId="0">
      <selection activeCell="B36" sqref="B36"/>
    </sheetView>
  </sheetViews>
  <sheetFormatPr baseColWidth="10" defaultRowHeight="12.75"/>
  <cols>
    <col min="1" max="1" width="2.7109375" customWidth="1"/>
    <col min="2" max="8" width="12.7109375" customWidth="1"/>
    <col min="9" max="9" width="2.7109375" customWidth="1"/>
  </cols>
  <sheetData>
    <row r="1" spans="1:10">
      <c r="B1" s="1" t="s">
        <v>152</v>
      </c>
      <c r="C1" s="2">
        <v>3</v>
      </c>
      <c r="D1" s="3">
        <f>DATE(C2,1,1)</f>
        <v>35065</v>
      </c>
      <c r="E1" s="3">
        <f>DATE(C2,C1,1)</f>
        <v>35125</v>
      </c>
    </row>
    <row r="2" spans="1:10">
      <c r="B2" s="1" t="s">
        <v>153</v>
      </c>
      <c r="C2" s="2">
        <v>1996</v>
      </c>
      <c r="D2" s="3">
        <f>DATE(C2+1,1,1)</f>
        <v>35431</v>
      </c>
      <c r="E2" s="4">
        <f>MOD(E1,7)</f>
        <v>6</v>
      </c>
    </row>
    <row r="3" spans="1:10">
      <c r="D3" s="4">
        <f>D2-D1</f>
        <v>366</v>
      </c>
      <c r="E3" s="4">
        <f>VLOOKUP(C1,Données,3)</f>
        <v>31</v>
      </c>
    </row>
    <row r="4" spans="1:10">
      <c r="F4" s="8"/>
    </row>
    <row r="5" spans="1:10" ht="27">
      <c r="A5" s="106"/>
      <c r="B5" s="107">
        <f>C2</f>
        <v>1996</v>
      </c>
      <c r="C5" s="108" t="s">
        <v>0</v>
      </c>
      <c r="D5" s="109" t="s">
        <v>173</v>
      </c>
      <c r="E5" s="110"/>
      <c r="F5" s="116" t="str">
        <f>VLOOKUP(C1,Données,5)</f>
        <v>jaspe sanguine + algue marine</v>
      </c>
      <c r="G5" s="110"/>
      <c r="H5" s="111"/>
      <c r="I5" s="98"/>
    </row>
    <row r="6" spans="1:10" ht="27">
      <c r="A6" s="90"/>
      <c r="B6" s="112" t="str">
        <f>VLOOKUP(C1,Données,2)</f>
        <v>MARS</v>
      </c>
      <c r="C6" s="113"/>
      <c r="D6" s="114" t="s">
        <v>174</v>
      </c>
      <c r="E6" s="115"/>
      <c r="F6" s="117" t="str">
        <f>VLOOKUP(C1,Données,6)</f>
        <v>jonquille</v>
      </c>
      <c r="G6" s="115"/>
      <c r="H6" s="91"/>
      <c r="I6" s="92"/>
    </row>
    <row r="7" spans="1:10">
      <c r="A7" s="28"/>
      <c r="B7" s="75" t="s">
        <v>154</v>
      </c>
      <c r="C7" s="76" t="s">
        <v>155</v>
      </c>
      <c r="D7" s="76" t="s">
        <v>156</v>
      </c>
      <c r="E7" s="76" t="s">
        <v>157</v>
      </c>
      <c r="F7" s="76" t="s">
        <v>158</v>
      </c>
      <c r="G7" s="76" t="s">
        <v>159</v>
      </c>
      <c r="H7" s="75" t="s">
        <v>160</v>
      </c>
      <c r="I7" s="99"/>
    </row>
    <row r="8" spans="1:10" ht="26.25">
      <c r="A8" s="28"/>
      <c r="B8" s="85">
        <f>IF($E$2=1,1,0)</f>
        <v>0</v>
      </c>
      <c r="C8" s="83">
        <f>IF($E$2=2,1,IF(B8&lt;&gt;0,B8+1,0))</f>
        <v>0</v>
      </c>
      <c r="D8" s="118">
        <f>IF($E$2=3,1,IF(C8&lt;&gt;0,C8+1,0))</f>
        <v>0</v>
      </c>
      <c r="E8" s="118">
        <f>IF($E$2=4,1,IF(D8&lt;&gt;0,D8+1,0))</f>
        <v>0</v>
      </c>
      <c r="F8" s="118">
        <f>IF($E$2=5,1,IF(E8&lt;&gt;0,E8+1,0))</f>
        <v>0</v>
      </c>
      <c r="G8" s="118">
        <f>IF($E$2=6,1,IF(F8&lt;&gt;0,F8+1,0))</f>
        <v>1</v>
      </c>
      <c r="H8" s="119">
        <f>IF($E$2=0,1,IF(G8&lt;&gt;0,G8+1,0))</f>
        <v>2</v>
      </c>
      <c r="I8" s="100"/>
    </row>
    <row r="9" spans="1:10">
      <c r="A9" s="28"/>
      <c r="B9" s="122">
        <f t="shared" ref="B9:H9" si="0">IF(B13&lt;&gt;0,VLOOKUP(B13,fêtes,2),0)</f>
        <v>0</v>
      </c>
      <c r="C9" s="122">
        <f t="shared" si="0"/>
        <v>0</v>
      </c>
      <c r="D9" s="122">
        <f t="shared" si="0"/>
        <v>0</v>
      </c>
      <c r="E9" s="122">
        <f t="shared" si="0"/>
        <v>0</v>
      </c>
      <c r="F9" s="122">
        <f t="shared" si="0"/>
        <v>0</v>
      </c>
      <c r="G9" s="122" t="e">
        <f t="shared" si="0"/>
        <v>#N/A</v>
      </c>
      <c r="H9" s="122" t="e">
        <f t="shared" si="0"/>
        <v>#N/A</v>
      </c>
      <c r="I9" s="101"/>
    </row>
    <row r="10" spans="1:10">
      <c r="A10" s="28"/>
      <c r="B10" s="122">
        <f t="shared" ref="B10:H10" si="1">IF(B13&lt;&gt;0,VLOOKUP(B13,fêtes,3),0)</f>
        <v>0</v>
      </c>
      <c r="C10" s="122">
        <f t="shared" si="1"/>
        <v>0</v>
      </c>
      <c r="D10" s="122">
        <f t="shared" si="1"/>
        <v>0</v>
      </c>
      <c r="E10" s="122">
        <f t="shared" si="1"/>
        <v>0</v>
      </c>
      <c r="F10" s="122">
        <f t="shared" si="1"/>
        <v>0</v>
      </c>
      <c r="G10" s="122">
        <f t="shared" si="1"/>
        <v>0</v>
      </c>
      <c r="H10" s="122">
        <f t="shared" si="1"/>
        <v>0</v>
      </c>
      <c r="I10" s="101"/>
    </row>
    <row r="11" spans="1:10">
      <c r="A11" s="28"/>
      <c r="B11" s="122">
        <f t="shared" ref="B11:H11" si="2">IF(B13&lt;&gt;0,VLOOKUP(B13,fêtes,4),0)</f>
        <v>0</v>
      </c>
      <c r="C11" s="122">
        <f t="shared" si="2"/>
        <v>0</v>
      </c>
      <c r="D11" s="122">
        <f t="shared" si="2"/>
        <v>0</v>
      </c>
      <c r="E11" s="122">
        <f t="shared" si="2"/>
        <v>0</v>
      </c>
      <c r="F11" s="122">
        <f t="shared" si="2"/>
        <v>0</v>
      </c>
      <c r="G11" s="122">
        <f t="shared" si="2"/>
        <v>0</v>
      </c>
      <c r="H11" s="122">
        <f t="shared" si="2"/>
        <v>0</v>
      </c>
      <c r="I11" s="101"/>
    </row>
    <row r="12" spans="1:10">
      <c r="A12" s="28"/>
      <c r="B12" s="86">
        <f>IF(AND($C$1=4,B8&lt;&gt;0),"avancer heure",0)</f>
        <v>0</v>
      </c>
      <c r="C12" s="84"/>
      <c r="D12" s="87"/>
      <c r="E12" s="87"/>
      <c r="F12" s="87"/>
      <c r="G12" s="87"/>
      <c r="H12" s="88"/>
      <c r="I12" s="102"/>
    </row>
    <row r="13" spans="1:10">
      <c r="A13" s="90"/>
      <c r="B13" s="123">
        <f t="shared" ref="B13:H13" si="3">IF(B8&lt;&gt;0,VLOOKUP($C$1,Données,4)+A8,0)</f>
        <v>0</v>
      </c>
      <c r="C13" s="123">
        <f t="shared" si="3"/>
        <v>0</v>
      </c>
      <c r="D13" s="123">
        <f t="shared" si="3"/>
        <v>0</v>
      </c>
      <c r="E13" s="123">
        <f t="shared" si="3"/>
        <v>0</v>
      </c>
      <c r="F13" s="123">
        <f t="shared" si="3"/>
        <v>0</v>
      </c>
      <c r="G13" s="123">
        <f t="shared" si="3"/>
        <v>60</v>
      </c>
      <c r="H13" s="123">
        <f t="shared" si="3"/>
        <v>61</v>
      </c>
      <c r="I13" s="103"/>
    </row>
    <row r="14" spans="1:10" ht="26.25">
      <c r="A14" s="28"/>
      <c r="B14" s="119">
        <f>H8+1</f>
        <v>3</v>
      </c>
      <c r="C14" s="118">
        <f t="shared" ref="C14:H14" si="4">B14+1</f>
        <v>4</v>
      </c>
      <c r="D14" s="118">
        <f t="shared" si="4"/>
        <v>5</v>
      </c>
      <c r="E14" s="118">
        <f t="shared" si="4"/>
        <v>6</v>
      </c>
      <c r="F14" s="118">
        <f t="shared" si="4"/>
        <v>7</v>
      </c>
      <c r="G14" s="118">
        <f t="shared" si="4"/>
        <v>8</v>
      </c>
      <c r="H14" s="119">
        <f t="shared" si="4"/>
        <v>9</v>
      </c>
      <c r="I14" s="100"/>
    </row>
    <row r="15" spans="1:10">
      <c r="A15" s="28"/>
      <c r="B15" s="122" t="e">
        <f t="shared" ref="B15:H15" si="5">IF(B19&lt;&gt;0,VLOOKUP(B19,fêtes,2),0)</f>
        <v>#N/A</v>
      </c>
      <c r="C15" s="122" t="e">
        <f t="shared" si="5"/>
        <v>#N/A</v>
      </c>
      <c r="D15" s="122" t="e">
        <f t="shared" si="5"/>
        <v>#N/A</v>
      </c>
      <c r="E15" s="122" t="e">
        <f t="shared" si="5"/>
        <v>#N/A</v>
      </c>
      <c r="F15" s="122" t="e">
        <f t="shared" si="5"/>
        <v>#N/A</v>
      </c>
      <c r="G15" s="122" t="e">
        <f t="shared" si="5"/>
        <v>#N/A</v>
      </c>
      <c r="H15" s="122" t="e">
        <f t="shared" si="5"/>
        <v>#N/A</v>
      </c>
      <c r="I15" s="101"/>
      <c r="J15" s="78"/>
    </row>
    <row r="16" spans="1:10">
      <c r="A16" s="28"/>
      <c r="B16" s="122">
        <f t="shared" ref="B16:H16" si="6">IF(B19&lt;&gt;0,VLOOKUP(B19,fêtes,3),0)</f>
        <v>0</v>
      </c>
      <c r="C16" s="122">
        <f t="shared" si="6"/>
        <v>0</v>
      </c>
      <c r="D16" s="122">
        <f t="shared" si="6"/>
        <v>0</v>
      </c>
      <c r="E16" s="122">
        <f t="shared" si="6"/>
        <v>0</v>
      </c>
      <c r="F16" s="122">
        <f t="shared" si="6"/>
        <v>0</v>
      </c>
      <c r="G16" s="122">
        <f t="shared" si="6"/>
        <v>0</v>
      </c>
      <c r="H16" s="122">
        <f t="shared" si="6"/>
        <v>0</v>
      </c>
      <c r="I16" s="101"/>
      <c r="J16" s="79"/>
    </row>
    <row r="17" spans="1:10">
      <c r="A17" s="28"/>
      <c r="B17" s="122">
        <f t="shared" ref="B17:H17" si="7">IF(B19&lt;&gt;0,VLOOKUP(B19,fêtes,4),0)</f>
        <v>0</v>
      </c>
      <c r="C17" s="122">
        <f t="shared" si="7"/>
        <v>0</v>
      </c>
      <c r="D17" s="122">
        <f t="shared" si="7"/>
        <v>0</v>
      </c>
      <c r="E17" s="122">
        <f t="shared" si="7"/>
        <v>0</v>
      </c>
      <c r="F17" s="122">
        <f t="shared" si="7"/>
        <v>0</v>
      </c>
      <c r="G17" s="122">
        <f t="shared" si="7"/>
        <v>0</v>
      </c>
      <c r="H17" s="122">
        <f t="shared" si="7"/>
        <v>0</v>
      </c>
      <c r="I17" s="101"/>
      <c r="J17" s="78"/>
    </row>
    <row r="18" spans="1:10" ht="19.5">
      <c r="A18" s="28"/>
      <c r="B18" s="86">
        <f>IF(AND($C$1=4,B8=0),"avancer heure",0)</f>
        <v>0</v>
      </c>
      <c r="C18" s="87"/>
      <c r="D18" s="87"/>
      <c r="E18" s="87"/>
      <c r="F18" s="87"/>
      <c r="G18" s="87"/>
      <c r="H18" s="88"/>
      <c r="I18" s="102"/>
      <c r="J18" s="77"/>
    </row>
    <row r="19" spans="1:10">
      <c r="A19" s="90"/>
      <c r="B19" s="123">
        <f>H13+1</f>
        <v>62</v>
      </c>
      <c r="C19" s="124">
        <f t="shared" ref="C19:H20" si="8">B19+1</f>
        <v>63</v>
      </c>
      <c r="D19" s="124">
        <f t="shared" si="8"/>
        <v>64</v>
      </c>
      <c r="E19" s="124">
        <f t="shared" si="8"/>
        <v>65</v>
      </c>
      <c r="F19" s="124">
        <f t="shared" si="8"/>
        <v>66</v>
      </c>
      <c r="G19" s="124">
        <f t="shared" si="8"/>
        <v>67</v>
      </c>
      <c r="H19" s="123">
        <f t="shared" si="8"/>
        <v>68</v>
      </c>
      <c r="I19" s="103"/>
      <c r="J19" s="78"/>
    </row>
    <row r="20" spans="1:10" ht="26.25">
      <c r="A20" s="28"/>
      <c r="B20" s="119">
        <f>H14+1</f>
        <v>10</v>
      </c>
      <c r="C20" s="119">
        <f t="shared" si="8"/>
        <v>11</v>
      </c>
      <c r="D20" s="118">
        <f t="shared" si="8"/>
        <v>12</v>
      </c>
      <c r="E20" s="118">
        <f t="shared" si="8"/>
        <v>13</v>
      </c>
      <c r="F20" s="118">
        <f t="shared" si="8"/>
        <v>14</v>
      </c>
      <c r="G20" s="118">
        <f t="shared" si="8"/>
        <v>15</v>
      </c>
      <c r="H20" s="119">
        <f t="shared" si="8"/>
        <v>16</v>
      </c>
      <c r="I20" s="100"/>
      <c r="J20" s="78"/>
    </row>
    <row r="21" spans="1:10">
      <c r="A21" s="28"/>
      <c r="B21" s="122" t="e">
        <f t="shared" ref="B21:H21" si="9">IF(B25&lt;&gt;0,VLOOKUP(B25,fêtes,2),0)</f>
        <v>#N/A</v>
      </c>
      <c r="C21" s="122" t="e">
        <f t="shared" si="9"/>
        <v>#N/A</v>
      </c>
      <c r="D21" s="122" t="e">
        <f t="shared" si="9"/>
        <v>#N/A</v>
      </c>
      <c r="E21" s="122" t="e">
        <f t="shared" si="9"/>
        <v>#N/A</v>
      </c>
      <c r="F21" s="122" t="e">
        <f t="shared" si="9"/>
        <v>#N/A</v>
      </c>
      <c r="G21" s="122" t="str">
        <f t="shared" si="9"/>
        <v>Mamie Annie</v>
      </c>
      <c r="H21" s="122" t="e">
        <f t="shared" si="9"/>
        <v>#N/A</v>
      </c>
      <c r="I21" s="101"/>
      <c r="J21" s="78"/>
    </row>
    <row r="22" spans="1:10">
      <c r="A22" s="28"/>
      <c r="B22" s="122">
        <f t="shared" ref="B22:H22" si="10">IF(B25&lt;&gt;0,VLOOKUP(B25,fêtes,3),0)</f>
        <v>0</v>
      </c>
      <c r="C22" s="122">
        <f t="shared" si="10"/>
        <v>0</v>
      </c>
      <c r="D22" s="122">
        <f t="shared" si="10"/>
        <v>0</v>
      </c>
      <c r="E22" s="122">
        <f t="shared" si="10"/>
        <v>0</v>
      </c>
      <c r="F22" s="122">
        <f t="shared" si="10"/>
        <v>0</v>
      </c>
      <c r="G22" s="122">
        <f t="shared" si="10"/>
        <v>0</v>
      </c>
      <c r="H22" s="122">
        <f t="shared" si="10"/>
        <v>0</v>
      </c>
      <c r="I22" s="101"/>
      <c r="J22" s="79"/>
    </row>
    <row r="23" spans="1:10">
      <c r="A23" s="28"/>
      <c r="B23" s="122">
        <f t="shared" ref="B23:H23" si="11">IF(B25&lt;&gt;0,VLOOKUP(B25,fêtes,4),0)</f>
        <v>0</v>
      </c>
      <c r="C23" s="122">
        <f t="shared" si="11"/>
        <v>0</v>
      </c>
      <c r="D23" s="122">
        <f t="shared" si="11"/>
        <v>0</v>
      </c>
      <c r="E23" s="122">
        <f t="shared" si="11"/>
        <v>0</v>
      </c>
      <c r="F23" s="122">
        <f t="shared" si="11"/>
        <v>0</v>
      </c>
      <c r="G23" s="122">
        <f t="shared" si="11"/>
        <v>0</v>
      </c>
      <c r="H23" s="122">
        <f t="shared" si="11"/>
        <v>0</v>
      </c>
      <c r="I23" s="101"/>
      <c r="J23" s="78"/>
    </row>
    <row r="24" spans="1:10" ht="19.5">
      <c r="A24" s="28"/>
      <c r="B24" s="88"/>
      <c r="C24" s="88"/>
      <c r="D24" s="87"/>
      <c r="E24" s="87"/>
      <c r="F24" s="87"/>
      <c r="G24" s="87"/>
      <c r="H24" s="88"/>
      <c r="I24" s="102"/>
      <c r="J24" s="77"/>
    </row>
    <row r="25" spans="1:10">
      <c r="A25" s="90"/>
      <c r="B25" s="123">
        <f>H19+1</f>
        <v>69</v>
      </c>
      <c r="C25" s="123">
        <f t="shared" ref="C25:H26" si="12">B25+1</f>
        <v>70</v>
      </c>
      <c r="D25" s="124">
        <f t="shared" si="12"/>
        <v>71</v>
      </c>
      <c r="E25" s="124">
        <f t="shared" si="12"/>
        <v>72</v>
      </c>
      <c r="F25" s="124">
        <f t="shared" si="12"/>
        <v>73</v>
      </c>
      <c r="G25" s="124">
        <f t="shared" si="12"/>
        <v>74</v>
      </c>
      <c r="H25" s="123">
        <f t="shared" si="12"/>
        <v>75</v>
      </c>
      <c r="I25" s="103"/>
      <c r="J25" s="78"/>
    </row>
    <row r="26" spans="1:10" ht="26.25">
      <c r="A26" s="28"/>
      <c r="B26" s="119">
        <f>H20+1</f>
        <v>17</v>
      </c>
      <c r="C26" s="118">
        <f t="shared" si="12"/>
        <v>18</v>
      </c>
      <c r="D26" s="118">
        <f t="shared" si="12"/>
        <v>19</v>
      </c>
      <c r="E26" s="118">
        <f t="shared" si="12"/>
        <v>20</v>
      </c>
      <c r="F26" s="118">
        <f t="shared" si="12"/>
        <v>21</v>
      </c>
      <c r="G26" s="118">
        <f t="shared" si="12"/>
        <v>22</v>
      </c>
      <c r="H26" s="119">
        <f t="shared" si="12"/>
        <v>23</v>
      </c>
      <c r="I26" s="100"/>
      <c r="J26" s="78"/>
    </row>
    <row r="27" spans="1:10">
      <c r="A27" s="28"/>
      <c r="B27" s="122" t="e">
        <f t="shared" ref="B27:H27" si="13">IF(B31&lt;&gt;0,VLOOKUP(B31,fêtes,2),0)</f>
        <v>#N/A</v>
      </c>
      <c r="C27" s="122" t="e">
        <f t="shared" si="13"/>
        <v>#N/A</v>
      </c>
      <c r="D27" s="122" t="str">
        <f t="shared" si="13"/>
        <v>Tonton Yannick</v>
      </c>
      <c r="E27" s="122" t="e">
        <f t="shared" si="13"/>
        <v>#N/A</v>
      </c>
      <c r="F27" s="122" t="e">
        <f t="shared" si="13"/>
        <v>#N/A</v>
      </c>
      <c r="G27" s="122" t="e">
        <f t="shared" si="13"/>
        <v>#N/A</v>
      </c>
      <c r="H27" s="122" t="e">
        <f t="shared" si="13"/>
        <v>#N/A</v>
      </c>
      <c r="I27" s="101"/>
      <c r="J27" s="78"/>
    </row>
    <row r="28" spans="1:10">
      <c r="A28" s="28"/>
      <c r="B28" s="122">
        <f t="shared" ref="B28:H28" si="14">IF(B31&lt;&gt;0,VLOOKUP(B31,fêtes,3),0)</f>
        <v>0</v>
      </c>
      <c r="C28" s="122">
        <f t="shared" si="14"/>
        <v>0</v>
      </c>
      <c r="D28" s="122">
        <f t="shared" si="14"/>
        <v>0</v>
      </c>
      <c r="E28" s="122">
        <f t="shared" si="14"/>
        <v>0</v>
      </c>
      <c r="F28" s="122">
        <f t="shared" si="14"/>
        <v>0</v>
      </c>
      <c r="G28" s="122">
        <f t="shared" si="14"/>
        <v>0</v>
      </c>
      <c r="H28" s="122">
        <f t="shared" si="14"/>
        <v>0</v>
      </c>
      <c r="I28" s="101"/>
      <c r="J28" s="79"/>
    </row>
    <row r="29" spans="1:10">
      <c r="A29" s="28"/>
      <c r="B29" s="122">
        <f t="shared" ref="B29:H29" si="15">IF(B31&lt;&gt;0,VLOOKUP(B31,fêtes,4),0)</f>
        <v>0</v>
      </c>
      <c r="C29" s="122">
        <f t="shared" si="15"/>
        <v>0</v>
      </c>
      <c r="D29" s="122">
        <f t="shared" si="15"/>
        <v>0</v>
      </c>
      <c r="E29" s="122">
        <f t="shared" si="15"/>
        <v>0</v>
      </c>
      <c r="F29" s="122">
        <f t="shared" si="15"/>
        <v>0</v>
      </c>
      <c r="G29" s="122">
        <f t="shared" si="15"/>
        <v>0</v>
      </c>
      <c r="H29" s="122">
        <f t="shared" si="15"/>
        <v>0</v>
      </c>
      <c r="I29" s="101"/>
      <c r="J29" s="78"/>
    </row>
    <row r="30" spans="1:10" ht="19.5">
      <c r="A30" s="28"/>
      <c r="B30" s="88"/>
      <c r="C30" s="87"/>
      <c r="D30" s="87"/>
      <c r="E30" s="87"/>
      <c r="F30" s="87"/>
      <c r="G30" s="87"/>
      <c r="H30" s="88"/>
      <c r="I30" s="102"/>
      <c r="J30" s="77"/>
    </row>
    <row r="31" spans="1:10">
      <c r="A31" s="90"/>
      <c r="B31" s="123">
        <f>H25+1</f>
        <v>76</v>
      </c>
      <c r="C31" s="124">
        <f t="shared" ref="C31:H31" si="16">B31+1</f>
        <v>77</v>
      </c>
      <c r="D31" s="124">
        <f t="shared" si="16"/>
        <v>78</v>
      </c>
      <c r="E31" s="124">
        <f t="shared" si="16"/>
        <v>79</v>
      </c>
      <c r="F31" s="124">
        <f t="shared" si="16"/>
        <v>80</v>
      </c>
      <c r="G31" s="124">
        <f t="shared" si="16"/>
        <v>81</v>
      </c>
      <c r="H31" s="123">
        <f t="shared" si="16"/>
        <v>82</v>
      </c>
      <c r="I31" s="103"/>
      <c r="J31" s="78"/>
    </row>
    <row r="32" spans="1:10" ht="26.25">
      <c r="A32" s="28"/>
      <c r="B32" s="119">
        <f>IF(AND(H26+1&lt;=$E$3,H26&lt;&gt;0),H26+1,0)</f>
        <v>24</v>
      </c>
      <c r="C32" s="118">
        <f t="shared" ref="C32:H32" si="17">IF(AND(B32+1&lt;=$E$3,B32&lt;&gt;0),B32+1,0)</f>
        <v>25</v>
      </c>
      <c r="D32" s="118">
        <f t="shared" si="17"/>
        <v>26</v>
      </c>
      <c r="E32" s="118">
        <f t="shared" si="17"/>
        <v>27</v>
      </c>
      <c r="F32" s="118">
        <f t="shared" si="17"/>
        <v>28</v>
      </c>
      <c r="G32" s="118">
        <f t="shared" si="17"/>
        <v>29</v>
      </c>
      <c r="H32" s="119">
        <f t="shared" si="17"/>
        <v>30</v>
      </c>
      <c r="I32" s="100"/>
      <c r="J32" s="78"/>
    </row>
    <row r="33" spans="1:10">
      <c r="A33" s="28"/>
      <c r="B33" s="122" t="e">
        <f t="shared" ref="B33:H33" si="18">IF(B37&lt;&gt;0,VLOOKUP(B37,fêtes,2),0)</f>
        <v>#N/A</v>
      </c>
      <c r="C33" s="122" t="e">
        <f t="shared" si="18"/>
        <v>#N/A</v>
      </c>
      <c r="D33" s="122" t="e">
        <f t="shared" si="18"/>
        <v>#N/A</v>
      </c>
      <c r="E33" s="122" t="e">
        <f t="shared" si="18"/>
        <v>#N/A</v>
      </c>
      <c r="F33" s="122" t="e">
        <f t="shared" si="18"/>
        <v>#N/A</v>
      </c>
      <c r="G33" s="122" t="e">
        <f t="shared" si="18"/>
        <v>#N/A</v>
      </c>
      <c r="H33" s="122" t="e">
        <f t="shared" si="18"/>
        <v>#N/A</v>
      </c>
      <c r="I33" s="101"/>
      <c r="J33" s="78"/>
    </row>
    <row r="34" spans="1:10">
      <c r="A34" s="28"/>
      <c r="B34" s="122">
        <f t="shared" ref="B34:H34" si="19">IF(B37&lt;&gt;0,VLOOKUP(B37,fêtes,3),0)</f>
        <v>0</v>
      </c>
      <c r="C34" s="122">
        <f t="shared" si="19"/>
        <v>0</v>
      </c>
      <c r="D34" s="122">
        <f t="shared" si="19"/>
        <v>0</v>
      </c>
      <c r="E34" s="122">
        <f t="shared" si="19"/>
        <v>0</v>
      </c>
      <c r="F34" s="122">
        <f t="shared" si="19"/>
        <v>0</v>
      </c>
      <c r="G34" s="122">
        <f t="shared" si="19"/>
        <v>0</v>
      </c>
      <c r="H34" s="122">
        <f t="shared" si="19"/>
        <v>0</v>
      </c>
      <c r="I34" s="101"/>
      <c r="J34" s="79"/>
    </row>
    <row r="35" spans="1:10">
      <c r="A35" s="28"/>
      <c r="B35" s="122">
        <f t="shared" ref="B35:H35" si="20">IF(B37&lt;&gt;0,VLOOKUP(B37,fêtes,4),0)</f>
        <v>0</v>
      </c>
      <c r="C35" s="122">
        <f t="shared" si="20"/>
        <v>0</v>
      </c>
      <c r="D35" s="122">
        <f t="shared" si="20"/>
        <v>0</v>
      </c>
      <c r="E35" s="122">
        <f t="shared" si="20"/>
        <v>0</v>
      </c>
      <c r="F35" s="122">
        <f t="shared" si="20"/>
        <v>0</v>
      </c>
      <c r="G35" s="122">
        <f t="shared" si="20"/>
        <v>0</v>
      </c>
      <c r="H35" s="122">
        <f t="shared" si="20"/>
        <v>0</v>
      </c>
      <c r="I35" s="101"/>
      <c r="J35" s="78"/>
    </row>
    <row r="36" spans="1:10" ht="19.5">
      <c r="A36" s="28"/>
      <c r="B36" s="86">
        <f>IF(AND(C1=10,B38=0),"reculer heure",0)</f>
        <v>0</v>
      </c>
      <c r="C36" s="87"/>
      <c r="D36" s="87"/>
      <c r="E36" s="87"/>
      <c r="F36" s="87"/>
      <c r="G36" s="87"/>
      <c r="H36" s="88"/>
      <c r="I36" s="102"/>
      <c r="J36" s="77"/>
    </row>
    <row r="37" spans="1:10">
      <c r="A37" s="90"/>
      <c r="B37" s="123">
        <f>IF(B32&lt;&gt;0,H31+1,0)</f>
        <v>83</v>
      </c>
      <c r="C37" s="124">
        <f t="shared" ref="C37:H37" si="21">IF(C32&lt;&gt;0,B37+1,0)</f>
        <v>84</v>
      </c>
      <c r="D37" s="124">
        <f t="shared" si="21"/>
        <v>85</v>
      </c>
      <c r="E37" s="124">
        <f t="shared" si="21"/>
        <v>86</v>
      </c>
      <c r="F37" s="124">
        <f t="shared" si="21"/>
        <v>87</v>
      </c>
      <c r="G37" s="124">
        <f t="shared" si="21"/>
        <v>88</v>
      </c>
      <c r="H37" s="123">
        <f t="shared" si="21"/>
        <v>89</v>
      </c>
      <c r="I37" s="103"/>
      <c r="J37" s="78"/>
    </row>
    <row r="38" spans="1:10" ht="26.25">
      <c r="A38" s="28"/>
      <c r="B38" s="119">
        <f>IF(AND(H32+1&lt;=$E$3,H32&lt;&gt;0),H32+1,0)</f>
        <v>31</v>
      </c>
      <c r="C38" s="118">
        <f>IF(AND(B38+1&lt;=$E$3,B38&lt;&gt;0),B38+1,0)</f>
        <v>0</v>
      </c>
      <c r="D38" s="120"/>
      <c r="E38" s="120"/>
      <c r="F38" s="120"/>
      <c r="G38" s="120"/>
      <c r="H38" s="121"/>
      <c r="I38" s="104"/>
      <c r="J38" s="78"/>
    </row>
    <row r="39" spans="1:10">
      <c r="A39" s="28"/>
      <c r="B39" s="122" t="e">
        <f t="shared" ref="B39:H39" si="22">IF(B43&lt;&gt;0,VLOOKUP(B43,fêtes,2),0)</f>
        <v>#N/A</v>
      </c>
      <c r="C39" s="122">
        <f t="shared" si="22"/>
        <v>0</v>
      </c>
      <c r="D39" s="122">
        <f t="shared" si="22"/>
        <v>0</v>
      </c>
      <c r="E39" s="122">
        <f t="shared" si="22"/>
        <v>0</v>
      </c>
      <c r="F39" s="122">
        <f t="shared" si="22"/>
        <v>0</v>
      </c>
      <c r="G39" s="122">
        <f t="shared" si="22"/>
        <v>0</v>
      </c>
      <c r="H39" s="122">
        <f t="shared" si="22"/>
        <v>0</v>
      </c>
      <c r="I39" s="102"/>
      <c r="J39" s="78"/>
    </row>
    <row r="40" spans="1:10">
      <c r="A40" s="28"/>
      <c r="B40" s="122">
        <f t="shared" ref="B40:H40" si="23">IF(B43&lt;&gt;0,VLOOKUP(B43,fêtes,3),0)</f>
        <v>0</v>
      </c>
      <c r="C40" s="122">
        <f t="shared" si="23"/>
        <v>0</v>
      </c>
      <c r="D40" s="122">
        <f t="shared" si="23"/>
        <v>0</v>
      </c>
      <c r="E40" s="122">
        <f t="shared" si="23"/>
        <v>0</v>
      </c>
      <c r="F40" s="122">
        <f t="shared" si="23"/>
        <v>0</v>
      </c>
      <c r="G40" s="122">
        <f t="shared" si="23"/>
        <v>0</v>
      </c>
      <c r="H40" s="122">
        <f t="shared" si="23"/>
        <v>0</v>
      </c>
      <c r="I40" s="102"/>
      <c r="J40" s="79"/>
    </row>
    <row r="41" spans="1:10">
      <c r="A41" s="28"/>
      <c r="B41" s="122">
        <f t="shared" ref="B41:H41" si="24">IF(B43&lt;&gt;0,VLOOKUP(B43,fêtes,4),0)</f>
        <v>0</v>
      </c>
      <c r="C41" s="122">
        <f t="shared" si="24"/>
        <v>0</v>
      </c>
      <c r="D41" s="122">
        <f t="shared" si="24"/>
        <v>0</v>
      </c>
      <c r="E41" s="122">
        <f t="shared" si="24"/>
        <v>0</v>
      </c>
      <c r="F41" s="122">
        <f t="shared" si="24"/>
        <v>0</v>
      </c>
      <c r="G41" s="122">
        <f t="shared" si="24"/>
        <v>0</v>
      </c>
      <c r="H41" s="122">
        <f t="shared" si="24"/>
        <v>0</v>
      </c>
      <c r="I41" s="102"/>
      <c r="J41" s="78"/>
    </row>
    <row r="42" spans="1:10" ht="19.5">
      <c r="A42" s="28"/>
      <c r="B42" s="86">
        <f>IF(AND(C1=10,B38&lt;&gt;0),"reculer heure",0)</f>
        <v>0</v>
      </c>
      <c r="C42" s="87"/>
      <c r="D42" s="87"/>
      <c r="E42" s="87"/>
      <c r="F42" s="87"/>
      <c r="G42" s="87"/>
      <c r="H42" s="88"/>
      <c r="I42" s="102"/>
      <c r="J42" s="80"/>
    </row>
    <row r="43" spans="1:10">
      <c r="A43" s="90"/>
      <c r="B43" s="123">
        <f>IF(B38&lt;&gt;0,H37+1,0)</f>
        <v>90</v>
      </c>
      <c r="C43" s="124">
        <f>IF(C38&lt;&gt;0,B43+1,0)</f>
        <v>0</v>
      </c>
      <c r="D43" s="125"/>
      <c r="E43" s="125"/>
      <c r="F43" s="125"/>
      <c r="G43" s="125"/>
      <c r="H43" s="126"/>
      <c r="I43" s="105"/>
      <c r="J43" s="79"/>
    </row>
    <row r="44" spans="1:10">
      <c r="A44" s="90"/>
      <c r="B44" s="91"/>
      <c r="C44" s="128">
        <f>VLOOKUP(C1,Données,7)</f>
        <v>0</v>
      </c>
      <c r="D44" s="91"/>
      <c r="E44" s="91"/>
      <c r="F44" s="91"/>
      <c r="G44" s="91"/>
      <c r="H44" s="91"/>
      <c r="I44" s="92"/>
      <c r="J44" s="79"/>
    </row>
    <row r="45" spans="1:10">
      <c r="A45" s="90"/>
      <c r="B45" s="91"/>
      <c r="C45" s="128" t="str">
        <f>VLOOKUP(C1,Données,8)</f>
        <v xml:space="preserve"> </v>
      </c>
      <c r="D45" s="91"/>
      <c r="E45" s="91"/>
      <c r="F45" s="91"/>
      <c r="G45" s="127" t="s">
        <v>175</v>
      </c>
      <c r="H45" s="89"/>
      <c r="I45" s="92"/>
      <c r="J45" s="79"/>
    </row>
    <row r="46" spans="1:10">
      <c r="A46" s="90"/>
      <c r="B46" s="91"/>
      <c r="C46" s="128">
        <f>VLOOKUP(C1,Données,9)</f>
        <v>0</v>
      </c>
      <c r="D46" s="91"/>
      <c r="E46" s="91"/>
      <c r="F46" s="91"/>
      <c r="G46" s="127" t="s">
        <v>176</v>
      </c>
      <c r="H46" s="89"/>
      <c r="I46" s="92"/>
      <c r="J46" s="79"/>
    </row>
    <row r="47" spans="1:10">
      <c r="A47" s="90"/>
      <c r="B47" s="91"/>
      <c r="C47" s="129"/>
      <c r="D47" s="94" t="s">
        <v>0</v>
      </c>
      <c r="E47" s="91"/>
      <c r="F47" s="91"/>
      <c r="G47" s="91"/>
      <c r="H47" s="93"/>
      <c r="I47" s="92"/>
      <c r="J47" s="81"/>
    </row>
    <row r="48" spans="1:10" ht="15.75">
      <c r="A48" s="95"/>
      <c r="B48" s="96"/>
      <c r="C48" s="130"/>
      <c r="D48" s="96"/>
      <c r="E48" s="96"/>
      <c r="F48" s="96"/>
      <c r="G48" s="96"/>
      <c r="H48" s="96"/>
      <c r="I48" s="97"/>
      <c r="J48" s="82"/>
    </row>
    <row r="49" spans="1:10" ht="15.75">
      <c r="J49" s="82"/>
    </row>
    <row r="50" spans="1:10" ht="15.75">
      <c r="J50" s="82"/>
    </row>
    <row r="51" spans="1:10">
      <c r="C51" s="4" t="s">
        <v>0</v>
      </c>
      <c r="D51" s="4" t="s">
        <v>0</v>
      </c>
    </row>
    <row r="53" spans="1:10">
      <c r="A53" s="1" t="s">
        <v>0</v>
      </c>
    </row>
    <row r="54" spans="1:10">
      <c r="B54" s="1" t="s">
        <v>0</v>
      </c>
    </row>
    <row r="55" spans="1:10">
      <c r="B55" s="4" t="s">
        <v>0</v>
      </c>
      <c r="C55" s="1" t="s">
        <v>0</v>
      </c>
    </row>
    <row r="56" spans="1:10">
      <c r="B56" s="4" t="s">
        <v>0</v>
      </c>
    </row>
    <row r="57" spans="1:10">
      <c r="C57" t="s">
        <v>0</v>
      </c>
    </row>
    <row r="58" spans="1:10">
      <c r="B58" t="s">
        <v>161</v>
      </c>
      <c r="D58" t="s">
        <v>162</v>
      </c>
      <c r="F58" t="s">
        <v>163</v>
      </c>
      <c r="H58" t="s">
        <v>164</v>
      </c>
    </row>
    <row r="64" spans="1:10">
      <c r="B64" t="s">
        <v>0</v>
      </c>
    </row>
    <row r="66" spans="2:8">
      <c r="B66" t="s">
        <v>165</v>
      </c>
      <c r="D66" t="s">
        <v>166</v>
      </c>
      <c r="F66" t="s">
        <v>167</v>
      </c>
      <c r="H66" t="s">
        <v>168</v>
      </c>
    </row>
    <row r="74" spans="2:8">
      <c r="B74" t="s">
        <v>169</v>
      </c>
      <c r="D74" t="s">
        <v>170</v>
      </c>
      <c r="F74" t="s">
        <v>171</v>
      </c>
      <c r="H74" t="s">
        <v>172</v>
      </c>
    </row>
  </sheetData>
  <pageMargins left="0.28740157500000002" right="0.28740157500000002" top="0.234251969" bottom="0.234251969" header="0.4921259845" footer="0.4921259845"/>
  <pageSetup orientation="portrait" horizontalDpi="120" verticalDpi="144" copies="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B1:BB55"/>
  <sheetViews>
    <sheetView showGridLines="0" zoomScale="87" workbookViewId="0">
      <selection activeCell="E3" sqref="E3"/>
    </sheetView>
  </sheetViews>
  <sheetFormatPr baseColWidth="10" defaultRowHeight="12.75"/>
  <cols>
    <col min="1" max="2" width="1.7109375" customWidth="1"/>
    <col min="3" max="3" width="5.7109375" customWidth="1"/>
    <col min="4" max="5" width="8.7109375" customWidth="1"/>
    <col min="6" max="7" width="5.7109375" customWidth="1"/>
    <col min="8" max="8" width="36.7109375" customWidth="1"/>
    <col min="9" max="9" width="19.7109375" customWidth="1"/>
    <col min="10" max="11" width="1.7109375" customWidth="1"/>
    <col min="26" max="27" width="5.7109375" customWidth="1"/>
  </cols>
  <sheetData>
    <row r="1" spans="2:54">
      <c r="D1" s="13" t="s">
        <v>152</v>
      </c>
      <c r="E1" s="11">
        <v>3</v>
      </c>
      <c r="H1" s="35">
        <f>DATE(E2,1,1)</f>
        <v>35796</v>
      </c>
      <c r="Z1" s="10">
        <v>1</v>
      </c>
      <c r="AA1" s="10" t="s">
        <v>177</v>
      </c>
    </row>
    <row r="2" spans="2:54">
      <c r="D2" s="13" t="s">
        <v>153</v>
      </c>
      <c r="E2" s="11">
        <v>1998</v>
      </c>
      <c r="H2" s="35">
        <f>DATE(E2+1,1,1)</f>
        <v>36161</v>
      </c>
      <c r="Z2" s="10">
        <v>2</v>
      </c>
      <c r="AA2" s="10" t="s">
        <v>178</v>
      </c>
    </row>
    <row r="3" spans="2:54">
      <c r="D3" t="s">
        <v>0</v>
      </c>
      <c r="E3" s="36">
        <f>H2-H1</f>
        <v>365</v>
      </c>
      <c r="G3" s="12" t="s">
        <v>0</v>
      </c>
      <c r="H3" s="35">
        <f>DATE(E2,E1,1)</f>
        <v>35855</v>
      </c>
      <c r="Z3" s="10">
        <v>3</v>
      </c>
      <c r="AA3" s="10" t="s">
        <v>179</v>
      </c>
    </row>
    <row r="4" spans="2:54">
      <c r="B4" s="21"/>
      <c r="C4" s="21"/>
      <c r="D4" s="21"/>
      <c r="E4" s="47">
        <f>MOD(H3,7)</f>
        <v>1</v>
      </c>
      <c r="F4" s="21"/>
      <c r="G4" s="21"/>
      <c r="H4" s="21"/>
      <c r="I4" s="21"/>
      <c r="J4" s="21"/>
      <c r="K4" s="8"/>
      <c r="L4" s="8"/>
      <c r="M4" s="8"/>
      <c r="N4" s="8"/>
      <c r="O4" s="8"/>
      <c r="P4" s="8"/>
      <c r="Q4" s="8"/>
      <c r="R4" s="8"/>
      <c r="S4" s="8"/>
      <c r="T4" s="8"/>
      <c r="U4" s="8"/>
      <c r="V4" s="8"/>
      <c r="W4" s="8"/>
      <c r="X4" s="8"/>
      <c r="Y4" s="8"/>
      <c r="Z4" s="22">
        <v>4</v>
      </c>
      <c r="AA4" s="22" t="s">
        <v>179</v>
      </c>
      <c r="AB4" s="8"/>
      <c r="AC4" s="8"/>
      <c r="AD4" s="8"/>
      <c r="AE4" s="8"/>
      <c r="AF4" s="8"/>
      <c r="AG4" s="8"/>
      <c r="AH4" s="8"/>
      <c r="AI4" s="8"/>
      <c r="AJ4" s="8"/>
      <c r="AK4" s="8"/>
      <c r="AL4" s="8"/>
      <c r="AM4" s="8"/>
      <c r="AN4" s="8"/>
      <c r="AO4" s="8"/>
      <c r="AP4" s="8"/>
      <c r="AQ4" s="8"/>
      <c r="AR4" s="8"/>
      <c r="AS4" s="8"/>
      <c r="AT4" s="8"/>
      <c r="AU4" s="8"/>
      <c r="AV4" s="8"/>
      <c r="AW4" s="8"/>
      <c r="AX4" s="8"/>
      <c r="AY4" s="8"/>
      <c r="AZ4" s="8"/>
      <c r="BA4" s="8"/>
      <c r="BB4" s="8"/>
    </row>
    <row r="5" spans="2:54" ht="34.5">
      <c r="B5" s="25"/>
      <c r="C5" s="26"/>
      <c r="D5" s="48"/>
      <c r="E5" s="49" t="s">
        <v>0</v>
      </c>
      <c r="F5" s="50"/>
      <c r="G5" s="50"/>
      <c r="H5" s="51" t="str">
        <f>VLOOKUP(E1,Données,2)</f>
        <v>MARS</v>
      </c>
      <c r="I5" s="52">
        <f>E2</f>
        <v>1998</v>
      </c>
      <c r="J5" s="27"/>
      <c r="K5" s="8"/>
      <c r="L5" s="8"/>
      <c r="M5" s="8"/>
      <c r="N5" s="8"/>
      <c r="O5" s="8"/>
      <c r="P5" s="8"/>
      <c r="Q5" s="8"/>
      <c r="R5" s="8"/>
      <c r="S5" s="8"/>
      <c r="T5" s="8"/>
      <c r="U5" s="8"/>
      <c r="V5" s="8"/>
      <c r="W5" s="8"/>
      <c r="X5" s="8"/>
      <c r="Y5" s="8"/>
      <c r="Z5" s="22">
        <v>6</v>
      </c>
      <c r="AA5" s="22" t="s">
        <v>180</v>
      </c>
      <c r="AB5" s="8"/>
      <c r="AC5" s="8"/>
      <c r="AD5" s="8"/>
      <c r="AE5" s="8"/>
      <c r="AF5" s="8"/>
      <c r="AG5" s="8"/>
      <c r="AH5" s="8"/>
      <c r="AI5" s="8"/>
      <c r="AJ5" s="8"/>
      <c r="AK5" s="8"/>
      <c r="AL5" s="8"/>
      <c r="AM5" s="8"/>
      <c r="AN5" s="8"/>
      <c r="AO5" s="8"/>
      <c r="AP5" s="8"/>
      <c r="AQ5" s="8"/>
      <c r="AR5" s="8"/>
      <c r="AS5" s="8"/>
      <c r="AT5" s="8"/>
      <c r="AU5" s="8"/>
      <c r="AV5" s="8"/>
      <c r="AW5" s="8"/>
      <c r="AX5" s="8"/>
      <c r="AY5" s="8"/>
      <c r="AZ5" s="8"/>
      <c r="BA5" s="8"/>
      <c r="BB5" s="8"/>
    </row>
    <row r="6" spans="2:54" ht="16.5">
      <c r="B6" s="28"/>
      <c r="C6" s="44"/>
      <c r="D6" s="44"/>
      <c r="E6" s="46" t="s">
        <v>181</v>
      </c>
      <c r="F6" s="44"/>
      <c r="G6" s="44"/>
      <c r="H6" s="60" t="str">
        <f>VLOOKUP(E1,Données,6)</f>
        <v>jonquille</v>
      </c>
      <c r="I6" s="45"/>
      <c r="J6" s="29"/>
      <c r="K6" s="8"/>
      <c r="L6" s="8"/>
      <c r="M6" s="8"/>
      <c r="N6" s="8"/>
      <c r="O6" s="8"/>
      <c r="P6" s="8"/>
      <c r="Q6" s="8"/>
      <c r="R6" s="8"/>
      <c r="S6" s="8"/>
      <c r="T6" s="8"/>
      <c r="U6" s="8"/>
      <c r="V6" s="8"/>
      <c r="W6" s="8"/>
      <c r="X6" s="8"/>
      <c r="Y6" s="8"/>
      <c r="Z6" s="22"/>
      <c r="AA6" s="22"/>
      <c r="AB6" s="8"/>
      <c r="AC6" s="8"/>
      <c r="AD6" s="8"/>
      <c r="AE6" s="8"/>
      <c r="AF6" s="8"/>
      <c r="AG6" s="8"/>
      <c r="AH6" s="8"/>
      <c r="AI6" s="8"/>
      <c r="AJ6" s="8"/>
      <c r="AK6" s="8"/>
      <c r="AL6" s="8"/>
      <c r="AM6" s="8"/>
      <c r="AN6" s="8"/>
      <c r="AO6" s="8"/>
      <c r="AP6" s="8"/>
      <c r="AQ6" s="8"/>
      <c r="AR6" s="8"/>
      <c r="AS6" s="8"/>
      <c r="AT6" s="8"/>
      <c r="AU6" s="8"/>
      <c r="AV6" s="8"/>
      <c r="AW6" s="8"/>
      <c r="AX6" s="8"/>
      <c r="AY6" s="8"/>
      <c r="AZ6" s="8"/>
      <c r="BA6" s="8"/>
      <c r="BB6" s="8"/>
    </row>
    <row r="7" spans="2:54" ht="16.5">
      <c r="B7" s="28"/>
      <c r="C7" s="53"/>
      <c r="D7" s="53"/>
      <c r="E7" s="54" t="s">
        <v>182</v>
      </c>
      <c r="F7" s="53"/>
      <c r="G7" s="53"/>
      <c r="H7" s="61" t="str">
        <f>VLOOKUP(E1,Données,5)</f>
        <v>jaspe sanguine + algue marine</v>
      </c>
      <c r="I7" s="55"/>
      <c r="J7" s="29"/>
      <c r="K7" s="8"/>
      <c r="L7" s="8"/>
      <c r="M7" s="8"/>
      <c r="N7" s="8"/>
      <c r="O7" s="8"/>
      <c r="P7" s="8"/>
      <c r="Q7" s="8"/>
      <c r="R7" s="8"/>
      <c r="S7" s="8"/>
      <c r="T7" s="8"/>
      <c r="U7" s="8"/>
      <c r="V7" s="8"/>
      <c r="W7" s="8"/>
      <c r="X7" s="8"/>
      <c r="Y7" s="8"/>
      <c r="Z7" s="22"/>
      <c r="AA7" s="22"/>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2:54" ht="18.75">
      <c r="B8" s="28"/>
      <c r="C8" s="33" t="str">
        <f>VLOOKUP(E4,jours,2)</f>
        <v>D</v>
      </c>
      <c r="D8" s="37">
        <v>1</v>
      </c>
      <c r="E8" s="41">
        <f>VLOOKUP($E$1,Données,4)</f>
        <v>60</v>
      </c>
      <c r="F8" s="73" t="s">
        <v>0</v>
      </c>
      <c r="G8" s="23"/>
      <c r="H8" s="67" t="e">
        <f t="shared" ref="H8:H38" si="0">VLOOKUP(E8,fêtes,2)</f>
        <v>#N/A</v>
      </c>
      <c r="I8" s="68"/>
      <c r="J8" s="30" t="s">
        <v>0</v>
      </c>
      <c r="K8" s="8"/>
      <c r="L8" s="8"/>
      <c r="M8" s="8"/>
      <c r="N8" s="8"/>
      <c r="O8" s="8"/>
      <c r="P8" s="8"/>
      <c r="Q8" s="8"/>
      <c r="R8" s="8"/>
      <c r="S8" s="8"/>
      <c r="T8" s="8"/>
      <c r="U8" s="8"/>
      <c r="V8" s="8"/>
      <c r="W8" s="8"/>
      <c r="X8" s="8"/>
      <c r="Y8" s="8"/>
      <c r="Z8" s="22">
        <v>7</v>
      </c>
      <c r="AA8" s="22" t="s">
        <v>183</v>
      </c>
      <c r="AB8" s="8"/>
      <c r="AC8" s="8"/>
      <c r="AD8" s="8"/>
      <c r="AE8" s="8"/>
      <c r="AF8" s="8"/>
      <c r="AG8" s="8"/>
      <c r="AH8" s="8"/>
      <c r="AI8" s="8"/>
      <c r="AJ8" s="8"/>
      <c r="AK8" s="8"/>
      <c r="AL8" s="8"/>
      <c r="AM8" s="8"/>
      <c r="AN8" s="8"/>
      <c r="AO8" s="8"/>
      <c r="AP8" s="8"/>
      <c r="AQ8" s="8"/>
      <c r="AR8" s="8"/>
      <c r="AS8" s="8"/>
      <c r="AT8" s="8"/>
      <c r="AU8" s="8"/>
      <c r="AV8" s="8"/>
      <c r="AW8" s="8"/>
      <c r="AX8" s="8"/>
      <c r="AY8" s="8"/>
      <c r="AZ8" s="8"/>
      <c r="BA8" s="8"/>
      <c r="BB8" s="8"/>
    </row>
    <row r="9" spans="2:54" ht="18.75">
      <c r="B9" s="28"/>
      <c r="C9" s="34" t="str">
        <f t="shared" ref="C9:C38" si="1">VLOOKUP($E$4+D8,jours,2)</f>
        <v>L</v>
      </c>
      <c r="D9" s="38">
        <v>2</v>
      </c>
      <c r="E9" s="42">
        <f t="shared" ref="E9:E25" si="2">E8+1</f>
        <v>61</v>
      </c>
      <c r="F9" s="73" t="s">
        <v>0</v>
      </c>
      <c r="G9" s="23"/>
      <c r="H9" s="69" t="e">
        <f t="shared" si="0"/>
        <v>#N/A</v>
      </c>
      <c r="I9" s="70"/>
      <c r="J9" s="30" t="s">
        <v>0</v>
      </c>
      <c r="K9" s="8"/>
      <c r="L9" s="8"/>
      <c r="M9" s="8"/>
      <c r="N9" s="8"/>
      <c r="O9" s="8"/>
      <c r="P9" s="8"/>
      <c r="Q9" s="8"/>
      <c r="R9" s="8"/>
      <c r="S9" s="8"/>
      <c r="T9" s="8"/>
      <c r="U9" s="8"/>
      <c r="V9" s="8"/>
      <c r="W9" s="8"/>
      <c r="X9" s="8"/>
      <c r="Y9" s="8"/>
      <c r="Z9" s="22">
        <v>8</v>
      </c>
      <c r="AA9" s="22" t="s">
        <v>177</v>
      </c>
      <c r="AB9" s="8"/>
      <c r="AC9" s="8"/>
      <c r="AD9" s="8"/>
      <c r="AE9" s="8"/>
      <c r="AF9" s="8"/>
      <c r="AG9" s="8"/>
      <c r="AH9" s="8"/>
      <c r="AI9" s="8"/>
      <c r="AJ9" s="8"/>
      <c r="AK9" s="8"/>
      <c r="AL9" s="8"/>
      <c r="AM9" s="8"/>
      <c r="AN9" s="8"/>
      <c r="AO9" s="8"/>
      <c r="AP9" s="8"/>
      <c r="AQ9" s="8"/>
      <c r="AR9" s="8"/>
      <c r="AS9" s="8"/>
      <c r="AT9" s="8"/>
      <c r="AU9" s="8"/>
      <c r="AV9" s="8"/>
      <c r="AW9" s="8"/>
      <c r="AX9" s="8"/>
      <c r="AY9" s="8"/>
      <c r="AZ9" s="8"/>
      <c r="BA9" s="8"/>
      <c r="BB9" s="8"/>
    </row>
    <row r="10" spans="2:54" ht="18.75">
      <c r="B10" s="28"/>
      <c r="C10" s="34" t="str">
        <f t="shared" si="1"/>
        <v>M</v>
      </c>
      <c r="D10" s="39">
        <v>3</v>
      </c>
      <c r="E10" s="43">
        <f t="shared" si="2"/>
        <v>62</v>
      </c>
      <c r="F10" s="73" t="s">
        <v>0</v>
      </c>
      <c r="G10" s="21"/>
      <c r="H10" s="71" t="e">
        <f t="shared" si="0"/>
        <v>#N/A</v>
      </c>
      <c r="I10" s="72"/>
      <c r="J10" s="29"/>
      <c r="K10" s="8"/>
      <c r="L10" s="8"/>
      <c r="M10" s="8"/>
      <c r="N10" s="8"/>
      <c r="O10" s="8"/>
      <c r="P10" s="8"/>
      <c r="Q10" s="8"/>
      <c r="R10" s="8"/>
      <c r="S10" s="8"/>
      <c r="T10" s="8"/>
      <c r="U10" s="8"/>
      <c r="V10" s="8"/>
      <c r="W10" s="8"/>
      <c r="X10" s="8"/>
      <c r="Y10" s="8"/>
      <c r="Z10" s="22">
        <v>9</v>
      </c>
      <c r="AA10" s="22" t="s">
        <v>178</v>
      </c>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row>
    <row r="11" spans="2:54" ht="18.75">
      <c r="B11" s="28"/>
      <c r="C11" s="34" t="str">
        <f t="shared" si="1"/>
        <v>M</v>
      </c>
      <c r="D11" s="39">
        <v>4</v>
      </c>
      <c r="E11" s="43">
        <f t="shared" si="2"/>
        <v>63</v>
      </c>
      <c r="F11" s="73" t="s">
        <v>0</v>
      </c>
      <c r="G11" s="21"/>
      <c r="H11" s="71" t="e">
        <f t="shared" si="0"/>
        <v>#N/A</v>
      </c>
      <c r="I11" s="72"/>
      <c r="J11" s="29"/>
      <c r="Z11" s="10">
        <v>10</v>
      </c>
      <c r="AA11" s="10" t="s">
        <v>179</v>
      </c>
    </row>
    <row r="12" spans="2:54" ht="18.75">
      <c r="B12" s="28"/>
      <c r="C12" s="34" t="str">
        <f t="shared" si="1"/>
        <v>M</v>
      </c>
      <c r="D12" s="39">
        <v>5</v>
      </c>
      <c r="E12" s="43">
        <f t="shared" si="2"/>
        <v>64</v>
      </c>
      <c r="F12" s="73" t="s">
        <v>0</v>
      </c>
      <c r="G12" s="21"/>
      <c r="H12" s="71" t="e">
        <f t="shared" si="0"/>
        <v>#N/A</v>
      </c>
      <c r="I12" s="72"/>
      <c r="J12" s="29"/>
      <c r="Z12" s="10">
        <v>11</v>
      </c>
      <c r="AA12" s="10" t="s">
        <v>179</v>
      </c>
    </row>
    <row r="13" spans="2:54" ht="18.75">
      <c r="B13" s="28"/>
      <c r="C13" s="34" t="str">
        <f t="shared" si="1"/>
        <v>V</v>
      </c>
      <c r="D13" s="39">
        <v>6</v>
      </c>
      <c r="E13" s="43">
        <f t="shared" si="2"/>
        <v>65</v>
      </c>
      <c r="F13" s="73" t="s">
        <v>0</v>
      </c>
      <c r="G13" s="21"/>
      <c r="H13" s="71" t="e">
        <f t="shared" si="0"/>
        <v>#N/A</v>
      </c>
      <c r="I13" s="72"/>
      <c r="J13" s="29"/>
      <c r="Z13" s="10">
        <v>12</v>
      </c>
      <c r="AA13" s="10" t="s">
        <v>184</v>
      </c>
    </row>
    <row r="14" spans="2:54" ht="18.75">
      <c r="B14" s="28"/>
      <c r="C14" s="34" t="str">
        <f t="shared" si="1"/>
        <v>S</v>
      </c>
      <c r="D14" s="39">
        <v>7</v>
      </c>
      <c r="E14" s="43">
        <f t="shared" si="2"/>
        <v>66</v>
      </c>
      <c r="F14" s="73" t="s">
        <v>0</v>
      </c>
      <c r="G14" s="21"/>
      <c r="H14" s="71" t="e">
        <f t="shared" si="0"/>
        <v>#N/A</v>
      </c>
      <c r="I14" s="72"/>
      <c r="J14" s="29"/>
      <c r="Z14" s="10">
        <v>13</v>
      </c>
      <c r="AA14" s="10" t="s">
        <v>180</v>
      </c>
    </row>
    <row r="15" spans="2:54" ht="18.75">
      <c r="B15" s="28"/>
      <c r="C15" s="34" t="str">
        <f t="shared" si="1"/>
        <v>D</v>
      </c>
      <c r="D15" s="39">
        <v>8</v>
      </c>
      <c r="E15" s="43">
        <f t="shared" si="2"/>
        <v>67</v>
      </c>
      <c r="F15" s="73" t="s">
        <v>0</v>
      </c>
      <c r="G15" s="21"/>
      <c r="H15" s="71" t="e">
        <f t="shared" si="0"/>
        <v>#N/A</v>
      </c>
      <c r="I15" s="72"/>
      <c r="J15" s="29"/>
      <c r="Z15" s="10">
        <v>14</v>
      </c>
      <c r="AA15" s="10" t="s">
        <v>183</v>
      </c>
    </row>
    <row r="16" spans="2:54" ht="18.75">
      <c r="B16" s="28"/>
      <c r="C16" s="34" t="str">
        <f t="shared" si="1"/>
        <v>L</v>
      </c>
      <c r="D16" s="39">
        <v>9</v>
      </c>
      <c r="E16" s="43">
        <f t="shared" si="2"/>
        <v>68</v>
      </c>
      <c r="F16" s="73" t="s">
        <v>0</v>
      </c>
      <c r="G16" s="21"/>
      <c r="H16" s="71" t="e">
        <f t="shared" si="0"/>
        <v>#N/A</v>
      </c>
      <c r="I16" s="72"/>
      <c r="J16" s="29"/>
      <c r="Z16" s="10">
        <v>15</v>
      </c>
      <c r="AA16" s="10" t="s">
        <v>177</v>
      </c>
    </row>
    <row r="17" spans="2:27" ht="18.75">
      <c r="B17" s="28"/>
      <c r="C17" s="34" t="str">
        <f t="shared" si="1"/>
        <v>M</v>
      </c>
      <c r="D17" s="39">
        <v>10</v>
      </c>
      <c r="E17" s="43">
        <f t="shared" si="2"/>
        <v>69</v>
      </c>
      <c r="F17" s="73" t="s">
        <v>0</v>
      </c>
      <c r="G17" s="21"/>
      <c r="H17" s="71" t="e">
        <f t="shared" si="0"/>
        <v>#N/A</v>
      </c>
      <c r="I17" s="72"/>
      <c r="J17" s="29"/>
      <c r="Z17" s="10">
        <v>16</v>
      </c>
      <c r="AA17" s="10" t="s">
        <v>178</v>
      </c>
    </row>
    <row r="18" spans="2:27" ht="18.75">
      <c r="B18" s="28"/>
      <c r="C18" s="34" t="str">
        <f t="shared" si="1"/>
        <v>M</v>
      </c>
      <c r="D18" s="39">
        <v>11</v>
      </c>
      <c r="E18" s="43">
        <f t="shared" si="2"/>
        <v>70</v>
      </c>
      <c r="F18" s="73" t="s">
        <v>0</v>
      </c>
      <c r="G18" s="21"/>
      <c r="H18" s="71" t="e">
        <f>VLOOKUP(E18,fêtes,2)</f>
        <v>#N/A</v>
      </c>
      <c r="I18" s="72"/>
      <c r="J18" s="29"/>
      <c r="Z18" s="10">
        <v>17</v>
      </c>
      <c r="AA18" s="10" t="s">
        <v>179</v>
      </c>
    </row>
    <row r="19" spans="2:27" ht="18.75">
      <c r="B19" s="28"/>
      <c r="C19" s="34" t="str">
        <f t="shared" si="1"/>
        <v>J</v>
      </c>
      <c r="D19" s="39">
        <v>12</v>
      </c>
      <c r="E19" s="43">
        <f t="shared" si="2"/>
        <v>71</v>
      </c>
      <c r="F19" s="73" t="s">
        <v>0</v>
      </c>
      <c r="G19" s="21"/>
      <c r="H19" s="71" t="e">
        <f t="shared" si="0"/>
        <v>#N/A</v>
      </c>
      <c r="I19" s="72"/>
      <c r="J19" s="29"/>
      <c r="Z19" s="10">
        <v>18</v>
      </c>
      <c r="AA19" s="10" t="s">
        <v>179</v>
      </c>
    </row>
    <row r="20" spans="2:27" ht="18.75">
      <c r="B20" s="28"/>
      <c r="C20" s="34" t="str">
        <f t="shared" si="1"/>
        <v>V</v>
      </c>
      <c r="D20" s="39">
        <v>13</v>
      </c>
      <c r="E20" s="43">
        <f t="shared" si="2"/>
        <v>72</v>
      </c>
      <c r="F20" s="73" t="s">
        <v>0</v>
      </c>
      <c r="G20" s="21"/>
      <c r="H20" s="71" t="e">
        <f t="shared" si="0"/>
        <v>#N/A</v>
      </c>
      <c r="I20" s="72"/>
      <c r="J20" s="29"/>
      <c r="Z20" s="10">
        <v>19</v>
      </c>
      <c r="AA20" s="10" t="s">
        <v>184</v>
      </c>
    </row>
    <row r="21" spans="2:27" ht="18.75">
      <c r="B21" s="28"/>
      <c r="C21" s="34" t="str">
        <f t="shared" si="1"/>
        <v>S</v>
      </c>
      <c r="D21" s="39">
        <v>14</v>
      </c>
      <c r="E21" s="43">
        <f t="shared" si="2"/>
        <v>73</v>
      </c>
      <c r="F21" s="73" t="s">
        <v>0</v>
      </c>
      <c r="G21" s="21"/>
      <c r="H21" s="71" t="e">
        <f t="shared" si="0"/>
        <v>#N/A</v>
      </c>
      <c r="I21" s="72"/>
      <c r="J21" s="29"/>
      <c r="Z21" s="10">
        <v>20</v>
      </c>
      <c r="AA21" s="10" t="s">
        <v>180</v>
      </c>
    </row>
    <row r="22" spans="2:27" ht="18.75">
      <c r="B22" s="28"/>
      <c r="C22" s="34" t="str">
        <f t="shared" si="1"/>
        <v>D</v>
      </c>
      <c r="D22" s="39">
        <v>15</v>
      </c>
      <c r="E22" s="43">
        <f t="shared" si="2"/>
        <v>74</v>
      </c>
      <c r="F22" s="73" t="s">
        <v>0</v>
      </c>
      <c r="G22" s="21"/>
      <c r="H22" s="71" t="str">
        <f t="shared" si="0"/>
        <v>Mamie Annie</v>
      </c>
      <c r="I22" s="72"/>
      <c r="J22" s="29"/>
      <c r="Z22" s="10">
        <v>21</v>
      </c>
      <c r="AA22" s="10" t="s">
        <v>183</v>
      </c>
    </row>
    <row r="23" spans="2:27" ht="18.75">
      <c r="B23" s="28"/>
      <c r="C23" s="34" t="str">
        <f t="shared" si="1"/>
        <v>L</v>
      </c>
      <c r="D23" s="39">
        <v>16</v>
      </c>
      <c r="E23" s="43">
        <f t="shared" si="2"/>
        <v>75</v>
      </c>
      <c r="F23" s="73" t="s">
        <v>0</v>
      </c>
      <c r="G23" s="21"/>
      <c r="H23" s="71" t="e">
        <f t="shared" si="0"/>
        <v>#N/A</v>
      </c>
      <c r="I23" s="72"/>
      <c r="J23" s="29"/>
      <c r="Z23" s="10">
        <v>22</v>
      </c>
      <c r="AA23" s="10" t="s">
        <v>177</v>
      </c>
    </row>
    <row r="24" spans="2:27" ht="18.75">
      <c r="B24" s="28"/>
      <c r="C24" s="34" t="str">
        <f t="shared" si="1"/>
        <v>M</v>
      </c>
      <c r="D24" s="39">
        <v>17</v>
      </c>
      <c r="E24" s="43">
        <f t="shared" si="2"/>
        <v>76</v>
      </c>
      <c r="F24" s="73" t="s">
        <v>0</v>
      </c>
      <c r="G24" s="21"/>
      <c r="H24" s="71" t="e">
        <f t="shared" si="0"/>
        <v>#N/A</v>
      </c>
      <c r="I24" s="72"/>
      <c r="J24" s="29"/>
      <c r="Z24" s="10">
        <v>23</v>
      </c>
      <c r="AA24" s="10" t="s">
        <v>178</v>
      </c>
    </row>
    <row r="25" spans="2:27" ht="18.75">
      <c r="B25" s="28"/>
      <c r="C25" s="34" t="str">
        <f t="shared" si="1"/>
        <v>M</v>
      </c>
      <c r="D25" s="39">
        <v>18</v>
      </c>
      <c r="E25" s="43">
        <f t="shared" si="2"/>
        <v>77</v>
      </c>
      <c r="F25" s="73" t="s">
        <v>0</v>
      </c>
      <c r="G25" s="21"/>
      <c r="H25" s="71" t="e">
        <f t="shared" si="0"/>
        <v>#N/A</v>
      </c>
      <c r="I25" s="72"/>
      <c r="J25" s="29"/>
      <c r="Z25" s="10">
        <v>24</v>
      </c>
      <c r="AA25" s="10" t="s">
        <v>179</v>
      </c>
    </row>
    <row r="26" spans="2:27" ht="18.75">
      <c r="B26" s="28"/>
      <c r="C26" s="34" t="str">
        <f t="shared" si="1"/>
        <v>J</v>
      </c>
      <c r="D26" s="39">
        <v>19</v>
      </c>
      <c r="E26" s="43">
        <f t="shared" ref="E26:E35" si="3">E25+1</f>
        <v>78</v>
      </c>
      <c r="F26" s="73" t="s">
        <v>0</v>
      </c>
      <c r="G26" s="21"/>
      <c r="H26" s="71" t="str">
        <f t="shared" si="0"/>
        <v>Tonton Yannick</v>
      </c>
      <c r="I26" s="72"/>
      <c r="J26" s="29"/>
      <c r="Z26" s="10">
        <v>25</v>
      </c>
      <c r="AA26" s="10" t="s">
        <v>179</v>
      </c>
    </row>
    <row r="27" spans="2:27" ht="18.75">
      <c r="B27" s="28"/>
      <c r="C27" s="34" t="str">
        <f t="shared" si="1"/>
        <v>V</v>
      </c>
      <c r="D27" s="39">
        <v>20</v>
      </c>
      <c r="E27" s="43">
        <f t="shared" si="3"/>
        <v>79</v>
      </c>
      <c r="F27" s="73" t="s">
        <v>0</v>
      </c>
      <c r="G27" s="21"/>
      <c r="H27" s="71" t="e">
        <f t="shared" si="0"/>
        <v>#N/A</v>
      </c>
      <c r="I27" s="72"/>
      <c r="J27" s="29"/>
      <c r="Z27" s="10">
        <v>26</v>
      </c>
      <c r="AA27" s="10" t="s">
        <v>184</v>
      </c>
    </row>
    <row r="28" spans="2:27" ht="18.75">
      <c r="B28" s="28"/>
      <c r="C28" s="34" t="str">
        <f t="shared" si="1"/>
        <v>S</v>
      </c>
      <c r="D28" s="39">
        <v>21</v>
      </c>
      <c r="E28" s="43">
        <f t="shared" si="3"/>
        <v>80</v>
      </c>
      <c r="F28" s="73" t="s">
        <v>0</v>
      </c>
      <c r="G28" s="21"/>
      <c r="H28" s="71" t="e">
        <f t="shared" si="0"/>
        <v>#N/A</v>
      </c>
      <c r="I28" s="72"/>
      <c r="J28" s="29"/>
      <c r="Z28" s="10">
        <v>27</v>
      </c>
      <c r="AA28" s="10" t="s">
        <v>180</v>
      </c>
    </row>
    <row r="29" spans="2:27" ht="18.75">
      <c r="B29" s="28"/>
      <c r="C29" s="34" t="str">
        <f t="shared" si="1"/>
        <v>D</v>
      </c>
      <c r="D29" s="39">
        <v>22</v>
      </c>
      <c r="E29" s="43">
        <f t="shared" si="3"/>
        <v>81</v>
      </c>
      <c r="F29" s="73" t="s">
        <v>0</v>
      </c>
      <c r="G29" s="21"/>
      <c r="H29" s="71" t="e">
        <f t="shared" si="0"/>
        <v>#N/A</v>
      </c>
      <c r="I29" s="72"/>
      <c r="J29" s="29"/>
      <c r="Z29" s="10">
        <v>28</v>
      </c>
      <c r="AA29" s="10" t="s">
        <v>183</v>
      </c>
    </row>
    <row r="30" spans="2:27" ht="18.75">
      <c r="B30" s="28"/>
      <c r="C30" s="34" t="str">
        <f t="shared" si="1"/>
        <v>L</v>
      </c>
      <c r="D30" s="39">
        <v>23</v>
      </c>
      <c r="E30" s="43">
        <f t="shared" si="3"/>
        <v>82</v>
      </c>
      <c r="F30" s="73" t="s">
        <v>0</v>
      </c>
      <c r="G30" s="21"/>
      <c r="H30" s="71" t="e">
        <f t="shared" si="0"/>
        <v>#N/A</v>
      </c>
      <c r="I30" s="72"/>
      <c r="J30" s="29"/>
      <c r="Z30" s="10">
        <v>29</v>
      </c>
      <c r="AA30" s="10" t="s">
        <v>177</v>
      </c>
    </row>
    <row r="31" spans="2:27" ht="18.75">
      <c r="B31" s="28"/>
      <c r="C31" s="34" t="str">
        <f t="shared" si="1"/>
        <v>M</v>
      </c>
      <c r="D31" s="39">
        <v>24</v>
      </c>
      <c r="E31" s="43">
        <f t="shared" si="3"/>
        <v>83</v>
      </c>
      <c r="F31" s="73" t="s">
        <v>0</v>
      </c>
      <c r="G31" s="21"/>
      <c r="H31" s="71" t="e">
        <f t="shared" si="0"/>
        <v>#N/A</v>
      </c>
      <c r="I31" s="72"/>
      <c r="J31" s="29"/>
      <c r="Z31" s="10">
        <v>30</v>
      </c>
      <c r="AA31" s="10" t="s">
        <v>178</v>
      </c>
    </row>
    <row r="32" spans="2:27" ht="18.75">
      <c r="B32" s="28"/>
      <c r="C32" s="34" t="str">
        <f t="shared" si="1"/>
        <v>M</v>
      </c>
      <c r="D32" s="39">
        <v>25</v>
      </c>
      <c r="E32" s="43">
        <f t="shared" si="3"/>
        <v>84</v>
      </c>
      <c r="F32" s="73" t="s">
        <v>0</v>
      </c>
      <c r="G32" s="21"/>
      <c r="H32" s="71" t="e">
        <f t="shared" si="0"/>
        <v>#N/A</v>
      </c>
      <c r="I32" s="72"/>
      <c r="J32" s="29"/>
      <c r="Z32" s="10">
        <v>31</v>
      </c>
      <c r="AA32" s="10" t="s">
        <v>179</v>
      </c>
    </row>
    <row r="33" spans="2:27" ht="18.75">
      <c r="B33" s="28"/>
      <c r="C33" s="34" t="str">
        <f t="shared" si="1"/>
        <v>J</v>
      </c>
      <c r="D33" s="39">
        <v>26</v>
      </c>
      <c r="E33" s="43">
        <f t="shared" si="3"/>
        <v>85</v>
      </c>
      <c r="F33" s="73" t="s">
        <v>0</v>
      </c>
      <c r="G33" s="21"/>
      <c r="H33" s="71" t="e">
        <f t="shared" si="0"/>
        <v>#N/A</v>
      </c>
      <c r="I33" s="72"/>
      <c r="J33" s="29"/>
      <c r="Z33" s="10">
        <v>32</v>
      </c>
      <c r="AA33" s="10" t="s">
        <v>179</v>
      </c>
    </row>
    <row r="34" spans="2:27" ht="18.75">
      <c r="B34" s="28"/>
      <c r="C34" s="34" t="str">
        <f t="shared" si="1"/>
        <v>V</v>
      </c>
      <c r="D34" s="39">
        <v>27</v>
      </c>
      <c r="E34" s="43">
        <f t="shared" si="3"/>
        <v>86</v>
      </c>
      <c r="F34" s="73" t="s">
        <v>0</v>
      </c>
      <c r="G34" s="21"/>
      <c r="H34" s="71" t="e">
        <f t="shared" si="0"/>
        <v>#N/A</v>
      </c>
      <c r="I34" s="72"/>
      <c r="J34" s="29"/>
      <c r="Z34" s="10">
        <v>33</v>
      </c>
      <c r="AA34" s="10" t="s">
        <v>184</v>
      </c>
    </row>
    <row r="35" spans="2:27" ht="18.75">
      <c r="B35" s="28"/>
      <c r="C35" s="34" t="str">
        <f t="shared" si="1"/>
        <v>S</v>
      </c>
      <c r="D35" s="39">
        <v>28</v>
      </c>
      <c r="E35" s="43">
        <f t="shared" si="3"/>
        <v>87</v>
      </c>
      <c r="F35" s="73" t="s">
        <v>0</v>
      </c>
      <c r="G35" s="21"/>
      <c r="H35" s="71" t="e">
        <f t="shared" si="0"/>
        <v>#N/A</v>
      </c>
      <c r="I35" s="72"/>
      <c r="J35" s="29"/>
      <c r="Z35" s="10">
        <v>34</v>
      </c>
      <c r="AA35" s="10" t="s">
        <v>180</v>
      </c>
    </row>
    <row r="36" spans="2:27" ht="18.75">
      <c r="B36" s="28"/>
      <c r="C36" s="34" t="str">
        <f t="shared" si="1"/>
        <v>D</v>
      </c>
      <c r="D36" s="40">
        <f>IF($G$3 &gt; 28,D35+1,0)</f>
        <v>29</v>
      </c>
      <c r="E36" s="43">
        <f>IF(D36&lt;&gt;0,E35+1,0)</f>
        <v>88</v>
      </c>
      <c r="F36" s="73" t="s">
        <v>0</v>
      </c>
      <c r="G36" s="21"/>
      <c r="H36" s="71" t="e">
        <f t="shared" si="0"/>
        <v>#N/A</v>
      </c>
      <c r="I36" s="72"/>
      <c r="J36" s="29"/>
      <c r="Z36" s="10">
        <v>35</v>
      </c>
      <c r="AA36" s="10" t="s">
        <v>183</v>
      </c>
    </row>
    <row r="37" spans="2:27" ht="18.75">
      <c r="B37" s="28"/>
      <c r="C37" s="34" t="str">
        <f t="shared" si="1"/>
        <v>L</v>
      </c>
      <c r="D37" s="40">
        <f>IF($G$3 &gt; 29,D36+1,0)</f>
        <v>30</v>
      </c>
      <c r="E37" s="43">
        <f>IF(D37&lt;&gt;0,E36+1,0)</f>
        <v>89</v>
      </c>
      <c r="F37" s="73" t="s">
        <v>0</v>
      </c>
      <c r="G37" s="21"/>
      <c r="H37" s="71" t="e">
        <f t="shared" si="0"/>
        <v>#N/A</v>
      </c>
      <c r="I37" s="72"/>
      <c r="J37" s="29"/>
      <c r="Z37" s="10">
        <v>36</v>
      </c>
      <c r="AA37" s="10" t="s">
        <v>177</v>
      </c>
    </row>
    <row r="38" spans="2:27" ht="18.75">
      <c r="B38" s="28"/>
      <c r="C38" s="34" t="str">
        <f t="shared" si="1"/>
        <v>M</v>
      </c>
      <c r="D38" s="40">
        <f>IF($G$3 &gt; 30,D37+1,0)</f>
        <v>31</v>
      </c>
      <c r="E38" s="43">
        <f>IF(D38&lt;&gt;0,E37+1,0)</f>
        <v>90</v>
      </c>
      <c r="F38" s="73" t="s">
        <v>0</v>
      </c>
      <c r="G38" s="21"/>
      <c r="H38" s="71" t="e">
        <f t="shared" si="0"/>
        <v>#N/A</v>
      </c>
      <c r="I38" s="72"/>
      <c r="J38" s="29"/>
      <c r="Z38" s="10">
        <v>37</v>
      </c>
      <c r="AA38" s="10" t="s">
        <v>178</v>
      </c>
    </row>
    <row r="39" spans="2:27">
      <c r="B39" s="28"/>
      <c r="C39" s="62"/>
      <c r="D39" s="56"/>
      <c r="E39" s="64">
        <f>VLOOKUP($E$1,Données,7)</f>
        <v>0</v>
      </c>
      <c r="F39" s="56"/>
      <c r="G39" s="56"/>
      <c r="H39" s="56"/>
      <c r="I39" s="57" t="s">
        <v>0</v>
      </c>
      <c r="J39" s="29"/>
      <c r="Z39" s="10">
        <v>38</v>
      </c>
      <c r="AA39" s="10" t="s">
        <v>179</v>
      </c>
    </row>
    <row r="40" spans="2:27">
      <c r="B40" s="28"/>
      <c r="C40" s="62"/>
      <c r="D40" s="56"/>
      <c r="E40" s="64" t="str">
        <f>VLOOKUP($E$1,Données,8)</f>
        <v xml:space="preserve"> </v>
      </c>
      <c r="F40" s="56"/>
      <c r="G40" s="56"/>
      <c r="H40" s="56"/>
      <c r="I40" s="74" t="s">
        <v>185</v>
      </c>
      <c r="J40" s="29"/>
      <c r="Z40" s="10">
        <v>39</v>
      </c>
      <c r="AA40" s="10" t="s">
        <v>179</v>
      </c>
    </row>
    <row r="41" spans="2:27">
      <c r="B41" s="28"/>
      <c r="C41" s="62"/>
      <c r="D41" s="56"/>
      <c r="E41" s="64">
        <f>VLOOKUP($E$1,Données,9)</f>
        <v>0</v>
      </c>
      <c r="F41" s="56"/>
      <c r="G41" s="56"/>
      <c r="H41" s="56"/>
      <c r="I41" s="74" t="s">
        <v>186</v>
      </c>
      <c r="J41" s="29"/>
    </row>
    <row r="42" spans="2:27">
      <c r="B42" s="28"/>
      <c r="C42" s="62"/>
      <c r="D42" s="56"/>
      <c r="E42" s="65"/>
      <c r="F42" s="56"/>
      <c r="G42" s="56"/>
      <c r="H42" s="56"/>
      <c r="I42" s="57"/>
      <c r="J42" s="29"/>
    </row>
    <row r="43" spans="2:27">
      <c r="B43" s="28"/>
      <c r="C43" s="63"/>
      <c r="D43" s="58"/>
      <c r="E43" s="66"/>
      <c r="F43" s="58"/>
      <c r="G43" s="58"/>
      <c r="H43" s="58"/>
      <c r="I43" s="59"/>
      <c r="J43" s="29"/>
    </row>
    <row r="44" spans="2:27">
      <c r="B44" s="31"/>
      <c r="C44" s="24"/>
      <c r="D44" s="24"/>
      <c r="E44" s="24"/>
      <c r="F44" s="24"/>
      <c r="G44" s="24"/>
      <c r="H44" s="24"/>
      <c r="I44" s="24"/>
      <c r="J44" s="32"/>
    </row>
    <row r="45" spans="2:27">
      <c r="C45" s="8"/>
      <c r="D45" s="8"/>
      <c r="E45" s="8"/>
      <c r="F45" s="8"/>
      <c r="G45" s="8"/>
      <c r="H45" s="8"/>
      <c r="I45" s="8"/>
    </row>
    <row r="46" spans="2:27">
      <c r="C46" s="8"/>
      <c r="D46" s="8"/>
      <c r="E46" s="8"/>
      <c r="F46" s="8"/>
      <c r="G46" s="8"/>
      <c r="H46" s="8"/>
      <c r="I46" s="8"/>
    </row>
    <row r="47" spans="2:27">
      <c r="C47" s="8"/>
      <c r="D47" s="8"/>
      <c r="E47" s="8"/>
      <c r="F47" s="8"/>
      <c r="G47" s="8"/>
      <c r="H47" s="8"/>
      <c r="I47" s="8"/>
    </row>
    <row r="48" spans="2:27">
      <c r="C48" s="8"/>
      <c r="D48" s="8"/>
      <c r="E48" s="8"/>
      <c r="F48" s="8"/>
      <c r="G48" s="8"/>
      <c r="H48" s="8"/>
      <c r="I48" s="8"/>
    </row>
    <row r="49" spans="3:9">
      <c r="C49" s="8"/>
      <c r="D49" s="8"/>
      <c r="E49" s="8"/>
      <c r="F49" s="8"/>
      <c r="G49" s="8"/>
      <c r="H49" s="8"/>
      <c r="I49" s="8"/>
    </row>
    <row r="50" spans="3:9">
      <c r="C50" s="8"/>
      <c r="D50" s="8"/>
      <c r="E50" s="8"/>
      <c r="F50" s="8"/>
      <c r="G50" s="8"/>
      <c r="H50" s="8"/>
      <c r="I50" s="8"/>
    </row>
    <row r="51" spans="3:9">
      <c r="C51" s="8"/>
      <c r="D51" s="8"/>
      <c r="E51" s="8"/>
      <c r="F51" s="8"/>
      <c r="G51" s="8"/>
      <c r="H51" s="8"/>
      <c r="I51" s="8"/>
    </row>
    <row r="52" spans="3:9">
      <c r="C52" s="8"/>
      <c r="D52" s="8"/>
      <c r="E52" s="8"/>
      <c r="F52" s="8"/>
      <c r="G52" s="8"/>
      <c r="H52" s="8"/>
      <c r="I52" s="8"/>
    </row>
    <row r="53" spans="3:9">
      <c r="C53" s="8"/>
      <c r="D53" s="8"/>
      <c r="E53" s="8"/>
      <c r="F53" s="8"/>
      <c r="G53" s="8"/>
      <c r="H53" s="8"/>
      <c r="I53" s="8"/>
    </row>
    <row r="54" spans="3:9">
      <c r="C54" s="8"/>
      <c r="D54" s="8"/>
      <c r="E54" s="8"/>
      <c r="F54" s="8"/>
      <c r="G54" s="8"/>
      <c r="H54" s="8"/>
      <c r="I54" s="8"/>
    </row>
    <row r="55" spans="3:9">
      <c r="C55" s="8"/>
      <c r="D55" s="8"/>
      <c r="E55" s="8"/>
      <c r="F55" s="8"/>
      <c r="G55" s="8"/>
      <c r="H55" s="8"/>
      <c r="I55" s="8"/>
    </row>
  </sheetData>
  <pageMargins left="0.28740157500000002" right="0.28740157500000002" top="0.234251969" bottom="0.234251969" header="0.4921259845" footer="0.4921259845"/>
  <pageSetup orientation="portrait" horizontalDpi="120" verticalDpi="144" copies="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Q1" transitionEvaluation="1" codeName="Feuil19"/>
  <dimension ref="B1:K2"/>
  <sheetViews>
    <sheetView showGridLines="0" topLeftCell="Q1" zoomScale="75" workbookViewId="0">
      <selection activeCell="AA1" sqref="AA1"/>
    </sheetView>
  </sheetViews>
  <sheetFormatPr baseColWidth="10" defaultColWidth="9.7109375" defaultRowHeight="12.75"/>
  <cols>
    <col min="1" max="1" width="1.7109375" customWidth="1"/>
    <col min="2" max="8" width="12.7109375" customWidth="1"/>
    <col min="9" max="10" width="1.7109375" customWidth="1"/>
    <col min="11" max="11" width="4.7109375" customWidth="1"/>
  </cols>
  <sheetData>
    <row r="1" spans="2:11">
      <c r="B1" s="1" t="s">
        <v>0</v>
      </c>
      <c r="C1" s="2" t="s">
        <v>0</v>
      </c>
      <c r="D1" s="3" t="s">
        <v>0</v>
      </c>
      <c r="E1" s="3" t="s">
        <v>0</v>
      </c>
      <c r="K1" s="5"/>
    </row>
    <row r="2" spans="2:11">
      <c r="B2" s="1" t="s">
        <v>0</v>
      </c>
      <c r="C2" s="2" t="s">
        <v>0</v>
      </c>
      <c r="D2" s="3" t="s">
        <v>0</v>
      </c>
      <c r="E2" s="4" t="s">
        <v>0</v>
      </c>
    </row>
  </sheetData>
  <pageMargins left="0.25" right="0.25" top="0.25" bottom="0.25" header="0.25" footer="0.25"/>
  <pageSetup orientation="portrait" horizontalDpi="120" verticalDpi="144"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23</vt:i4>
      </vt:variant>
      <vt:variant>
        <vt:lpstr>Plages nommées</vt:lpstr>
      </vt:variant>
      <vt:variant>
        <vt:i4>27</vt:i4>
      </vt:variant>
    </vt:vector>
  </HeadingPairs>
  <TitlesOfParts>
    <vt:vector size="50" baseType="lpstr">
      <vt:lpstr>fêtes_B</vt:lpstr>
      <vt:lpstr>dates</vt:lpstr>
      <vt:lpstr>recap</vt:lpstr>
      <vt:lpstr>comparatif fiche paie&amp;planning </vt:lpstr>
      <vt:lpstr>Janvier</vt:lpstr>
      <vt:lpstr>Février</vt:lpstr>
      <vt:lpstr>Mars</vt:lpstr>
      <vt:lpstr>Avril</vt:lpstr>
      <vt:lpstr>Mai</vt:lpstr>
      <vt:lpstr>Juin</vt:lpstr>
      <vt:lpstr>Juillet</vt:lpstr>
      <vt:lpstr>Août</vt:lpstr>
      <vt:lpstr>Septembre</vt:lpstr>
      <vt:lpstr>Octobre</vt:lpstr>
      <vt:lpstr>Novembre</vt:lpstr>
      <vt:lpstr>Décembre</vt:lpstr>
      <vt:lpstr>données</vt:lpstr>
      <vt:lpstr>FICHE DE PAIE</vt:lpstr>
      <vt:lpstr>Jour Férié</vt:lpstr>
      <vt:lpstr>vacances</vt:lpstr>
      <vt:lpstr>C_2</vt:lpstr>
      <vt:lpstr>C_1</vt:lpstr>
      <vt:lpstr>dessins</vt:lpstr>
      <vt:lpstr>annee</vt:lpstr>
      <vt:lpstr>astreinte</vt:lpstr>
      <vt:lpstr>boulot</vt:lpstr>
      <vt:lpstr>dispocontrainte</vt:lpstr>
      <vt:lpstr>Données</vt:lpstr>
      <vt:lpstr>fêtes</vt:lpstr>
      <vt:lpstr>indisponible</vt:lpstr>
      <vt:lpstr>jours</vt:lpstr>
      <vt:lpstr>MOI</vt:lpstr>
      <vt:lpstr>mois</vt:lpstr>
      <vt:lpstr>total_jours</vt:lpstr>
      <vt:lpstr>Août!Zone_d_impression</vt:lpstr>
      <vt:lpstr>Avril!Zone_d_impression</vt:lpstr>
      <vt:lpstr>C_1!Zone_d_impression</vt:lpstr>
      <vt:lpstr>C_2!Zone_d_impression</vt:lpstr>
      <vt:lpstr>dates!Zone_d_impression</vt:lpstr>
      <vt:lpstr>Décembre!Zone_d_impression</vt:lpstr>
      <vt:lpstr>données!Zone_d_impression</vt:lpstr>
      <vt:lpstr>Février!Zone_d_impression</vt:lpstr>
      <vt:lpstr>Janvier!Zone_d_impression</vt:lpstr>
      <vt:lpstr>Juillet!Zone_d_impression</vt:lpstr>
      <vt:lpstr>Juin!Zone_d_impression</vt:lpstr>
      <vt:lpstr>Mai!Zone_d_impression</vt:lpstr>
      <vt:lpstr>Mars!Zone_d_impression</vt:lpstr>
      <vt:lpstr>Novembre!Zone_d_impression</vt:lpstr>
      <vt:lpstr>Octobre!Zone_d_impression</vt:lpstr>
      <vt:lpstr>Septembre!Zone_d_impression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dc:title>
  <dc:subject>Perpétuel</dc:subject>
  <dc:creator>Benoit Garneau</dc:creator>
  <cp:lastModifiedBy>Nicolas</cp:lastModifiedBy>
  <cp:lastPrinted>2018-10-06T03:25:36Z</cp:lastPrinted>
  <dcterms:created xsi:type="dcterms:W3CDTF">1997-10-03T03:05:02Z</dcterms:created>
  <dcterms:modified xsi:type="dcterms:W3CDTF">2018-10-14T08:11:58Z</dcterms:modified>
</cp:coreProperties>
</file>