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Nicolas\Desktop\"/>
    </mc:Choice>
  </mc:AlternateContent>
  <bookViews>
    <workbookView xWindow="480" yWindow="135" windowWidth="14370" windowHeight="7635" tabRatio="743" firstSheet="1" activeTab="8"/>
  </bookViews>
  <sheets>
    <sheet name="Paramètres Cotation" sheetId="14" state="hidden" r:id="rId1"/>
    <sheet name="Conso" sheetId="20" r:id="rId2"/>
    <sheet name="Risk N°1" sheetId="71" r:id="rId3"/>
    <sheet name="Paramètres" sheetId="17" r:id="rId4"/>
    <sheet name="Tableau des risques brut" sheetId="1" r:id="rId5"/>
    <sheet name="Tableau des risques net" sheetId="74" r:id="rId6"/>
    <sheet name="Annexes" sheetId="19" state="hidden" r:id="rId7"/>
    <sheet name="Scoring " sheetId="70" state="hidden" r:id="rId8"/>
    <sheet name="Cartographie des risques global" sheetId="3" r:id="rId9"/>
    <sheet name="Cartographies séparées BrutNet" sheetId="66" state="hidden" r:id="rId10"/>
    <sheet name="Criticité" sheetId="69" state="hidden" r:id="rId11"/>
    <sheet name="Notes" sheetId="72" r:id="rId12"/>
    <sheet name="Carto aide" sheetId="73" r:id="rId13"/>
  </sheets>
  <functionGroups builtInGroupCount="18"/>
  <definedNames>
    <definedName name="_" localSheetId="9">'Cartographies séparées BrutNet'!$F$8</definedName>
    <definedName name="_">'Cartographie des risques global'!$F$8</definedName>
    <definedName name="_xlnm._FilterDatabase" localSheetId="6" hidden="1">Annexes!$A$54:$H$54</definedName>
    <definedName name="_xlnm._FilterDatabase" localSheetId="1" hidden="1">Conso!$A$1:$BL$16</definedName>
    <definedName name="_xlnm._FilterDatabase" localSheetId="4" hidden="1">'Tableau des risques brut'!$A$1:$J$1</definedName>
    <definedName name="_xlnm._FilterDatabase" localSheetId="5" hidden="1">'Tableau des risques net'!$A$1:$J$1</definedName>
    <definedName name="ADP">Paramètres!$D$27:$D$29</definedName>
    <definedName name="Autres">Paramètres!$E$27</definedName>
    <definedName name="Choix">Paramètres!$G$11:$G$12</definedName>
    <definedName name="Choix_2">Paramètres!$C$32</definedName>
    <definedName name="Classeur1_1" localSheetId="6">Annexes!$A$55:$F$129</definedName>
    <definedName name="Client_Image_Réputation">Paramètres!$P$4:$P$9</definedName>
    <definedName name="Conformité_Réglementaire">Paramètres!$N$4:$N$6</definedName>
    <definedName name="Conséquence">Paramètres!$N$3:$Q$3</definedName>
    <definedName name="Cotation_DMR">'Scoring '!$D$56:$D$59</definedName>
    <definedName name="Cotation_DMR2">'Scoring '!$B$56:$C$59</definedName>
    <definedName name="Cotation_Gravité_Brute">'Scoring '!$D$99:$D$102</definedName>
    <definedName name="Cotation_Gravité_Brute2">'Scoring '!$B$99:$C$102</definedName>
    <definedName name="criticité">'Paramètres Cotation'!$A$11:$A$16</definedName>
    <definedName name="CriticiteBrut1" localSheetId="5">'Tableau des risques net'!$I$2:$I$109</definedName>
    <definedName name="CriticiteBrut1">'Tableau des risques brut'!$I$2:$I$108</definedName>
    <definedName name="csqrisk">Paramètres!$N$3:$Q$3</definedName>
    <definedName name="Direction_Action_Sociale_Culturelle.">Paramètres!$O$25</definedName>
    <definedName name="Direction_du_Cabinet.">Paramètres!$K$25:$K$27</definedName>
    <definedName name="Direction_Finance_Risques.">Paramètres!$Q$25:$Q$28</definedName>
    <definedName name="Direction_Instances_Juridique_Institutionnel.">Paramètres!$P$25</definedName>
    <definedName name="Direction_Relation_Adhérent.">Paramètres!$J$25:$J$26</definedName>
    <definedName name="Direction_Relation_Adhérent.Act">Paramètres!$L$39:$L$40</definedName>
    <definedName name="Direction_Relation_Adhérent.Ctrl">Paramètres!$L$57:$L$59</definedName>
    <definedName name="Direction_Relation_Adhérent.PM">Paramètres!$L$64:$L$67</definedName>
    <definedName name="Direction_Relation_Adhérent.PO">Paramètres!$L$72:$L$73</definedName>
    <definedName name="Direction_Relation_Adhérent.Risk">Paramètres!$L$48:$L$50</definedName>
    <definedName name="Direction_Relation_Clients.">Paramètres!$L$25:$L$26</definedName>
    <definedName name="Direction_Relation_Prestations_Clients.">Paramètres!$M$25:$M$27</definedName>
    <definedName name="Direction_Relation_Prestations_Clients.Act">Paramètres!$M$39:$M$41</definedName>
    <definedName name="Direction_Relation_Prestations_Clients.Ctrl">Paramètres!$M$57:$M$58</definedName>
    <definedName name="Direction_Relation_Prestations_Clients.PM">Paramètres!$M$64:$M$67</definedName>
    <definedName name="Direction_Relation_Prestations_Clients.PO">Paramètres!$M$72:$M$73</definedName>
    <definedName name="Direction_Relation_Prestations_Clients.Risk">Paramètres!$M$48:$M$49</definedName>
    <definedName name="Direction_Réseau_Clients_Marketing_Communication.">Paramètres!$N$25:$N$30</definedName>
    <definedName name="Direction_Ressources_Humaines.">Paramètres!$S$25</definedName>
    <definedName name="Direction_SI_Moyens__Généraux.">Paramètres!$T$25:$T$28</definedName>
    <definedName name="Direction_Technique_Stratégie_Assurentielle.">Paramètres!$R$25</definedName>
    <definedName name="Directions">Paramètres!$I$21:$I$31</definedName>
    <definedName name="DMR">'Paramètres Cotation'!$C$2:$C$5</definedName>
    <definedName name="DMR_Homme">'Scoring '!$B$64:$C$67</definedName>
    <definedName name="DMR_Procedure">'Scoring '!$B$76:$C$79</definedName>
    <definedName name="DMR_Reglementaire">'Scoring '!$B$83:$C$86</definedName>
    <definedName name="DMR_SI">'Scoring '!$B$70:$C$73</definedName>
    <definedName name="Domaine">Paramètres!$C$26:$F$26</definedName>
    <definedName name="Externes">Paramètres!$I$4:$I$10</definedName>
    <definedName name="Facteurs">Paramètres!$I$3:$M$3</definedName>
    <definedName name="Financier">Paramètres!$O$4:$O$8</definedName>
    <definedName name="Imp">'Paramètres Cotation'!$D$2:$D$7</definedName>
    <definedName name="Impact_Brut">'Scoring '!$D$11:$D$16</definedName>
    <definedName name="Impact_Brut2">'Scoring '!$B$11:$C$16</definedName>
    <definedName name="Impacts_Clients">'Scoring '!$B$28:$C$33</definedName>
    <definedName name="Impacts_Conformité">'Scoring '!$B$37:$C$42</definedName>
    <definedName name="Impacts_Financiers">'Scoring '!$B$20:$C$25</definedName>
    <definedName name="Impacts_Stratégie">'Scoring '!$B$46:$C$51</definedName>
    <definedName name="Impp">Paramètres!$D$2:$D$7</definedName>
    <definedName name="_xlnm.Print_Titles" localSheetId="4">'Tableau des risques brut'!$1:$1</definedName>
    <definedName name="_xlnm.Print_Titles" localSheetId="5">'Tableau des risques net'!$1:$1</definedName>
    <definedName name="Nature_perte">Paramètres!$G$16:$G$21</definedName>
    <definedName name="NUMERO_RISQUE_BRUT" localSheetId="5">'Tableau des risques net'!$A$2:$A$109</definedName>
    <definedName name="NUMERO_RISQUE_BRUT">'Tableau des risques brut'!$A$2:$A$108</definedName>
    <definedName name="NUMERO_RISQUE_CRIT" localSheetId="5">'Tableau des risques net'!$J$2:$J$41</definedName>
    <definedName name="NUMERO_RISQUE_CRIT">'Tableau des risques brut'!$J$2:$J$41</definedName>
    <definedName name="origine_de_détection">Paramètres!$H$2:$H$5</definedName>
    <definedName name="Pilotage">Paramètres!$M$4:$M$9</definedName>
    <definedName name="Prévoyance">Paramètres!$D$27</definedName>
    <definedName name="Priorité">Paramètres!$E$2:$E$4</definedName>
    <definedName name="Proba">'Paramètres Cotation'!$A$2:$A$7</definedName>
    <definedName name="Proba_Brut">'Scoring '!$D$3:$D$8</definedName>
    <definedName name="Proba_Brut2">'Scoring '!$B$3:$C$8</definedName>
    <definedName name="Processus_Procédure">Paramètres!$K$4:$K$6</definedName>
    <definedName name="RB">'Paramètres Cotation'!$B$2:$B$5</definedName>
    <definedName name="Ressources_Humaines">Paramètres!$J$4:$J$8</definedName>
    <definedName name="Retraite">Paramètres!$C$27:$C$28</definedName>
    <definedName name="Risk_Nom_Criticite" localSheetId="5">'Tableau des risques net'!$J$3:$J$41</definedName>
    <definedName name="Risk_Nom_Criticite">'Tableau des risques brut'!$J$3:$J$41</definedName>
    <definedName name="RisqueBrut1" localSheetId="5">'Tableau des risques net'!$E$2:$E$109</definedName>
    <definedName name="RisqueBrut1">'Tableau des risques brut'!$E$2:$E$108</definedName>
    <definedName name="Scoring">Annexes!$C$34</definedName>
    <definedName name="SI">Paramètres!$L$4:$L$7</definedName>
    <definedName name="Stratégique">Paramètres!$Q$4:$Q$7</definedName>
    <definedName name="Toutes">Paramètres!$F$27</definedName>
    <definedName name="_xlnm.Print_Area" localSheetId="8">'Cartographie des risques global'!$A$1:$T$14</definedName>
    <definedName name="_xlnm.Print_Area" localSheetId="9">'Cartographies séparées BrutNet'!$A$1:$L$17</definedName>
    <definedName name="_xlnm.Print_Area" localSheetId="10">Criticité!$A$1:$I$13</definedName>
  </definedNames>
  <calcPr calcId="152511"/>
</workbook>
</file>

<file path=xl/calcChain.xml><?xml version="1.0" encoding="utf-8"?>
<calcChain xmlns="http://schemas.openxmlformats.org/spreadsheetml/2006/main">
  <c r="B4" i="74" l="1"/>
  <c r="B5" i="74"/>
  <c r="B6" i="74"/>
  <c r="B7" i="74"/>
  <c r="B8" i="74"/>
  <c r="B9" i="74"/>
  <c r="B10" i="74"/>
  <c r="B11" i="74"/>
  <c r="B12" i="74"/>
  <c r="B13" i="74"/>
  <c r="B14" i="74"/>
  <c r="B15" i="74"/>
  <c r="B16" i="74"/>
  <c r="B17" i="74"/>
  <c r="B18" i="74"/>
  <c r="B19" i="74"/>
  <c r="B20" i="74"/>
  <c r="B21" i="74"/>
  <c r="B22" i="74"/>
  <c r="B23" i="74"/>
  <c r="B24" i="74"/>
  <c r="B25" i="74"/>
  <c r="B26" i="74"/>
  <c r="B27" i="74"/>
  <c r="B28" i="74"/>
  <c r="B29" i="74"/>
  <c r="B30" i="74"/>
  <c r="B31" i="74"/>
  <c r="B32" i="74"/>
  <c r="B33" i="74"/>
  <c r="B34" i="74"/>
  <c r="B35" i="74"/>
  <c r="B36" i="74"/>
  <c r="B37" i="74"/>
  <c r="B38" i="74"/>
  <c r="B39" i="74"/>
  <c r="B40" i="74"/>
  <c r="B41" i="74"/>
  <c r="H45" i="71" l="1"/>
  <c r="H44" i="71"/>
  <c r="H42" i="71"/>
  <c r="H41" i="71"/>
  <c r="H40" i="71"/>
  <c r="H39" i="71"/>
  <c r="H37" i="71"/>
  <c r="H34" i="71"/>
  <c r="H30" i="71"/>
  <c r="H29" i="71"/>
  <c r="H28" i="71"/>
  <c r="H27" i="71"/>
  <c r="H25" i="71"/>
  <c r="H23" i="71"/>
  <c r="B3" i="20" l="1"/>
  <c r="C3" i="20"/>
  <c r="D3" i="20"/>
  <c r="E3" i="20"/>
  <c r="F3" i="20"/>
  <c r="G3" i="20"/>
  <c r="H3" i="20"/>
  <c r="I3" i="20"/>
  <c r="J3" i="20"/>
  <c r="K3" i="20"/>
  <c r="L3" i="20"/>
  <c r="M3" i="20"/>
  <c r="N3" i="20"/>
  <c r="O3" i="20"/>
  <c r="P3" i="20"/>
  <c r="Q3" i="20"/>
  <c r="R3" i="20"/>
  <c r="S3" i="20"/>
  <c r="T3" i="20"/>
  <c r="U3" i="20"/>
  <c r="V3" i="20"/>
  <c r="W3" i="20"/>
  <c r="X3" i="20"/>
  <c r="Y3" i="20"/>
  <c r="Z3" i="20"/>
  <c r="AA3" i="20"/>
  <c r="AB3" i="20"/>
  <c r="AC3" i="20"/>
  <c r="AD3" i="20"/>
  <c r="AE3" i="20"/>
  <c r="AF3" i="20"/>
  <c r="AG3" i="20"/>
  <c r="AH3" i="20"/>
  <c r="AI3" i="20"/>
  <c r="AJ3" i="20"/>
  <c r="AK3" i="20"/>
  <c r="AL3" i="20"/>
  <c r="AM3" i="20"/>
  <c r="AN3" i="20"/>
  <c r="AO3" i="20"/>
  <c r="AP3" i="20"/>
  <c r="AQ3" i="20"/>
  <c r="AR3" i="20"/>
  <c r="AS3" i="20"/>
  <c r="AT3" i="20"/>
  <c r="AU3" i="20"/>
  <c r="AV3" i="20"/>
  <c r="AW3" i="20"/>
  <c r="AX3" i="20"/>
  <c r="AY3" i="20"/>
  <c r="AZ3" i="20"/>
  <c r="BA3" i="20"/>
  <c r="BB3" i="20"/>
  <c r="BC3" i="20"/>
  <c r="BD3" i="20"/>
  <c r="BE3" i="20"/>
  <c r="BF3" i="20"/>
  <c r="BG3" i="20"/>
  <c r="BH3" i="20"/>
  <c r="BI3" i="20"/>
  <c r="BJ3" i="20"/>
  <c r="BK3" i="20"/>
  <c r="BL3" i="20"/>
  <c r="B4" i="20"/>
  <c r="C4" i="20"/>
  <c r="D4" i="20"/>
  <c r="E4" i="20"/>
  <c r="F4" i="20"/>
  <c r="G4" i="20"/>
  <c r="H4" i="20"/>
  <c r="I4" i="20"/>
  <c r="J4" i="20"/>
  <c r="K4" i="20"/>
  <c r="L4" i="20"/>
  <c r="M4" i="20"/>
  <c r="N4" i="20"/>
  <c r="O4" i="20"/>
  <c r="P4" i="20"/>
  <c r="Q4" i="20"/>
  <c r="R4" i="20"/>
  <c r="S4" i="20"/>
  <c r="T4" i="20"/>
  <c r="U4" i="20"/>
  <c r="V4" i="20"/>
  <c r="W4" i="20"/>
  <c r="X4" i="20"/>
  <c r="Y4" i="20"/>
  <c r="Z4" i="20"/>
  <c r="AA4" i="20"/>
  <c r="AB4" i="20"/>
  <c r="AC4" i="20"/>
  <c r="AD4" i="20"/>
  <c r="AE4" i="20"/>
  <c r="AF4" i="20"/>
  <c r="AG4" i="20"/>
  <c r="AH4" i="20"/>
  <c r="AI4" i="20"/>
  <c r="AJ4" i="20"/>
  <c r="AK4" i="20"/>
  <c r="AL4" i="20"/>
  <c r="AM4" i="20"/>
  <c r="AN4" i="20"/>
  <c r="AO4" i="20"/>
  <c r="AP4" i="20"/>
  <c r="AQ4" i="20"/>
  <c r="AR4" i="20"/>
  <c r="AS4" i="20"/>
  <c r="AT4" i="20"/>
  <c r="AU4" i="20"/>
  <c r="AV4" i="20"/>
  <c r="AW4" i="20"/>
  <c r="AX4" i="20"/>
  <c r="AY4" i="20"/>
  <c r="AZ4" i="20"/>
  <c r="BA4" i="20"/>
  <c r="BB4" i="20"/>
  <c r="BC4" i="20"/>
  <c r="BD4" i="20"/>
  <c r="BE4" i="20"/>
  <c r="BF4" i="20"/>
  <c r="BG4" i="20"/>
  <c r="BH4" i="20"/>
  <c r="BI4" i="20"/>
  <c r="BJ4" i="20"/>
  <c r="BK4" i="20"/>
  <c r="BL4" i="20"/>
  <c r="B5" i="20"/>
  <c r="C5" i="20"/>
  <c r="D5" i="20"/>
  <c r="E5" i="20"/>
  <c r="F5" i="20"/>
  <c r="G5" i="20"/>
  <c r="H5" i="20"/>
  <c r="I5" i="20"/>
  <c r="J5" i="20"/>
  <c r="K5" i="20"/>
  <c r="L5" i="20"/>
  <c r="M5" i="20"/>
  <c r="N5" i="20"/>
  <c r="O5" i="20"/>
  <c r="P5" i="20"/>
  <c r="Q5" i="20"/>
  <c r="R5" i="20"/>
  <c r="S5" i="20"/>
  <c r="T5" i="20"/>
  <c r="U5" i="20"/>
  <c r="V5" i="20"/>
  <c r="W5" i="20"/>
  <c r="X5" i="20"/>
  <c r="Y5" i="20"/>
  <c r="Z5" i="20"/>
  <c r="AA5" i="20"/>
  <c r="AB5" i="20"/>
  <c r="AC5" i="20"/>
  <c r="AD5" i="20"/>
  <c r="AE5" i="20"/>
  <c r="AF5" i="20"/>
  <c r="AG5" i="20"/>
  <c r="AH5" i="20"/>
  <c r="AI5" i="20"/>
  <c r="AJ5" i="20"/>
  <c r="AK5" i="20"/>
  <c r="AL5" i="20"/>
  <c r="AM5" i="20"/>
  <c r="AN5" i="20"/>
  <c r="AO5" i="20"/>
  <c r="AP5" i="20"/>
  <c r="AQ5" i="20"/>
  <c r="AR5" i="20"/>
  <c r="AS5" i="20"/>
  <c r="AT5" i="20"/>
  <c r="AU5" i="20"/>
  <c r="AV5" i="20"/>
  <c r="AW5" i="20"/>
  <c r="AX5" i="20"/>
  <c r="AY5" i="20"/>
  <c r="AZ5" i="20"/>
  <c r="BA5" i="20"/>
  <c r="BB5" i="20"/>
  <c r="BC5" i="20"/>
  <c r="BD5" i="20"/>
  <c r="BE5" i="20"/>
  <c r="BF5" i="20"/>
  <c r="BG5" i="20"/>
  <c r="BH5" i="20"/>
  <c r="BI5" i="20"/>
  <c r="BJ5" i="20"/>
  <c r="BK5" i="20"/>
  <c r="BL5" i="20"/>
  <c r="B6" i="20"/>
  <c r="C6" i="20"/>
  <c r="D6" i="20"/>
  <c r="E6" i="20"/>
  <c r="F6" i="20"/>
  <c r="G6" i="20"/>
  <c r="H6" i="20"/>
  <c r="I6" i="20"/>
  <c r="J6" i="20"/>
  <c r="K6" i="20"/>
  <c r="L6" i="20"/>
  <c r="M6" i="20"/>
  <c r="N6" i="20"/>
  <c r="O6" i="20"/>
  <c r="P6" i="20"/>
  <c r="Q6" i="20"/>
  <c r="R6" i="20"/>
  <c r="S6" i="20"/>
  <c r="T6" i="20"/>
  <c r="U6" i="20"/>
  <c r="V6" i="20"/>
  <c r="W6" i="20"/>
  <c r="X6" i="20"/>
  <c r="Y6" i="20"/>
  <c r="Z6" i="20"/>
  <c r="AA6" i="20"/>
  <c r="AB6" i="20"/>
  <c r="AC6" i="20"/>
  <c r="AD6" i="20"/>
  <c r="AE6" i="20"/>
  <c r="AF6" i="20"/>
  <c r="AG6" i="20"/>
  <c r="AH6" i="20"/>
  <c r="AI6" i="20"/>
  <c r="AJ6" i="20"/>
  <c r="AK6" i="20"/>
  <c r="AL6" i="20"/>
  <c r="AM6" i="20"/>
  <c r="AN6" i="20"/>
  <c r="AO6" i="20"/>
  <c r="AP6" i="20"/>
  <c r="AQ6" i="20"/>
  <c r="AR6" i="20"/>
  <c r="AS6" i="20"/>
  <c r="AT6" i="20"/>
  <c r="AU6" i="20"/>
  <c r="AV6" i="20"/>
  <c r="AW6" i="20"/>
  <c r="AX6" i="20"/>
  <c r="AY6" i="20"/>
  <c r="AZ6" i="20"/>
  <c r="BA6" i="20"/>
  <c r="BB6" i="20"/>
  <c r="BC6" i="20"/>
  <c r="BD6" i="20"/>
  <c r="BE6" i="20"/>
  <c r="BF6" i="20"/>
  <c r="BG6" i="20"/>
  <c r="BH6" i="20"/>
  <c r="BI6" i="20"/>
  <c r="BJ6" i="20"/>
  <c r="BK6" i="20"/>
  <c r="BL6" i="20"/>
  <c r="B7" i="20"/>
  <c r="C7" i="20"/>
  <c r="D7" i="20"/>
  <c r="E7" i="20"/>
  <c r="F7" i="20"/>
  <c r="G7" i="20"/>
  <c r="H7" i="20"/>
  <c r="I7" i="20"/>
  <c r="J7" i="20"/>
  <c r="K7" i="20"/>
  <c r="L7" i="20"/>
  <c r="M7" i="20"/>
  <c r="N7" i="20"/>
  <c r="O7" i="20"/>
  <c r="P7" i="20"/>
  <c r="Q7" i="20"/>
  <c r="R7" i="20"/>
  <c r="S7" i="20"/>
  <c r="T7" i="20"/>
  <c r="U7" i="20"/>
  <c r="V7" i="20"/>
  <c r="W7" i="20"/>
  <c r="X7" i="20"/>
  <c r="Y7" i="20"/>
  <c r="Z7" i="20"/>
  <c r="AA7" i="20"/>
  <c r="AB7" i="20"/>
  <c r="AC7" i="20"/>
  <c r="AD7" i="20"/>
  <c r="AE7" i="20"/>
  <c r="AF7" i="20"/>
  <c r="AG7" i="20"/>
  <c r="AH7" i="20"/>
  <c r="AI7" i="20"/>
  <c r="AJ7" i="20"/>
  <c r="AK7" i="20"/>
  <c r="AL7" i="20"/>
  <c r="AM7" i="20"/>
  <c r="AN7" i="20"/>
  <c r="AO7" i="20"/>
  <c r="AP7" i="20"/>
  <c r="AQ7" i="20"/>
  <c r="AR7" i="20"/>
  <c r="AS7" i="20"/>
  <c r="AT7" i="20"/>
  <c r="AU7" i="20"/>
  <c r="AV7" i="20"/>
  <c r="AW7" i="20"/>
  <c r="AX7" i="20"/>
  <c r="AY7" i="20"/>
  <c r="AZ7" i="20"/>
  <c r="BA7" i="20"/>
  <c r="BB7" i="20"/>
  <c r="BC7" i="20"/>
  <c r="BD7" i="20"/>
  <c r="BE7" i="20"/>
  <c r="BF7" i="20"/>
  <c r="BG7" i="20"/>
  <c r="BH7" i="20"/>
  <c r="BI7" i="20"/>
  <c r="BJ7" i="20"/>
  <c r="BK7" i="20"/>
  <c r="BL7" i="20"/>
  <c r="B8" i="20"/>
  <c r="C8" i="20"/>
  <c r="D8" i="20"/>
  <c r="E8" i="20"/>
  <c r="F8" i="20"/>
  <c r="G8" i="20"/>
  <c r="H8" i="20"/>
  <c r="I8" i="20"/>
  <c r="J8" i="20"/>
  <c r="K8" i="20"/>
  <c r="L8" i="20"/>
  <c r="M8" i="20"/>
  <c r="N8" i="20"/>
  <c r="O8" i="20"/>
  <c r="P8" i="20"/>
  <c r="Q8" i="20"/>
  <c r="R8" i="20"/>
  <c r="S8" i="20"/>
  <c r="T8" i="20"/>
  <c r="U8" i="20"/>
  <c r="V8" i="20"/>
  <c r="W8" i="20"/>
  <c r="X8" i="20"/>
  <c r="Y8" i="20"/>
  <c r="Z8" i="20"/>
  <c r="AA8" i="20"/>
  <c r="AB8" i="20"/>
  <c r="AC8" i="20"/>
  <c r="AD8" i="20"/>
  <c r="AE8" i="20"/>
  <c r="AF8" i="20"/>
  <c r="AG8" i="20"/>
  <c r="AH8" i="20"/>
  <c r="AI8" i="20"/>
  <c r="AJ8" i="20"/>
  <c r="AK8" i="20"/>
  <c r="AL8" i="20"/>
  <c r="AM8" i="20"/>
  <c r="AN8" i="20"/>
  <c r="AO8" i="20"/>
  <c r="AP8" i="20"/>
  <c r="AQ8" i="20"/>
  <c r="AR8" i="20"/>
  <c r="AS8" i="20"/>
  <c r="AT8" i="20"/>
  <c r="AU8" i="20"/>
  <c r="AV8" i="20"/>
  <c r="AW8" i="20"/>
  <c r="AX8" i="20"/>
  <c r="AY8" i="20"/>
  <c r="AZ8" i="20"/>
  <c r="BA8" i="20"/>
  <c r="BB8" i="20"/>
  <c r="BC8" i="20"/>
  <c r="BD8" i="20"/>
  <c r="BE8" i="20"/>
  <c r="BF8" i="20"/>
  <c r="BG8" i="20"/>
  <c r="BH8" i="20"/>
  <c r="BI8" i="20"/>
  <c r="BJ8" i="20"/>
  <c r="BK8" i="20"/>
  <c r="BL8" i="20"/>
  <c r="B9" i="20"/>
  <c r="C9" i="20"/>
  <c r="D9" i="20"/>
  <c r="E9" i="20"/>
  <c r="F9" i="20"/>
  <c r="G9" i="20"/>
  <c r="H9" i="20"/>
  <c r="I9" i="20"/>
  <c r="J9" i="20"/>
  <c r="K9" i="20"/>
  <c r="L9" i="20"/>
  <c r="M9" i="20"/>
  <c r="N9" i="20"/>
  <c r="O9" i="20"/>
  <c r="P9" i="20"/>
  <c r="Q9" i="20"/>
  <c r="R9" i="20"/>
  <c r="S9" i="20"/>
  <c r="T9" i="20"/>
  <c r="U9" i="20"/>
  <c r="V9" i="20"/>
  <c r="W9" i="20"/>
  <c r="X9" i="20"/>
  <c r="Y9" i="20"/>
  <c r="Z9" i="20"/>
  <c r="AA9" i="20"/>
  <c r="AB9" i="20"/>
  <c r="AC9" i="20"/>
  <c r="AD9" i="20"/>
  <c r="AE9" i="20"/>
  <c r="AF9" i="20"/>
  <c r="AG9" i="20"/>
  <c r="AH9" i="20"/>
  <c r="AI9" i="20"/>
  <c r="AJ9" i="20"/>
  <c r="AK9" i="20"/>
  <c r="AL9" i="20"/>
  <c r="AM9" i="20"/>
  <c r="AN9" i="20"/>
  <c r="AO9" i="20"/>
  <c r="AP9" i="20"/>
  <c r="AQ9" i="20"/>
  <c r="AR9" i="20"/>
  <c r="AS9" i="20"/>
  <c r="AT9" i="20"/>
  <c r="AU9" i="20"/>
  <c r="AV9" i="20"/>
  <c r="AW9" i="20"/>
  <c r="AX9" i="20"/>
  <c r="AY9" i="20"/>
  <c r="AZ9" i="20"/>
  <c r="BA9" i="20"/>
  <c r="BB9" i="20"/>
  <c r="BC9" i="20"/>
  <c r="BD9" i="20"/>
  <c r="BE9" i="20"/>
  <c r="BF9" i="20"/>
  <c r="BG9" i="20"/>
  <c r="BH9" i="20"/>
  <c r="BI9" i="20"/>
  <c r="BJ9" i="20"/>
  <c r="BK9" i="20"/>
  <c r="BL9" i="20"/>
  <c r="B10" i="20"/>
  <c r="C10" i="20"/>
  <c r="D10" i="20"/>
  <c r="E10" i="20"/>
  <c r="F10" i="20"/>
  <c r="G10" i="20"/>
  <c r="H10" i="20"/>
  <c r="I10" i="20"/>
  <c r="J10" i="20"/>
  <c r="K10" i="20"/>
  <c r="L10" i="20"/>
  <c r="M10" i="20"/>
  <c r="N10" i="20"/>
  <c r="O10" i="20"/>
  <c r="P10" i="20"/>
  <c r="Q10" i="20"/>
  <c r="R10" i="20"/>
  <c r="S10" i="20"/>
  <c r="T10" i="20"/>
  <c r="U10" i="20"/>
  <c r="V10" i="20"/>
  <c r="W10" i="20"/>
  <c r="X10" i="20"/>
  <c r="Y10" i="20"/>
  <c r="Z10" i="20"/>
  <c r="AA10" i="20"/>
  <c r="AB10" i="20"/>
  <c r="AC10" i="20"/>
  <c r="AD10" i="20"/>
  <c r="AE10" i="20"/>
  <c r="AF10" i="20"/>
  <c r="AG10" i="20"/>
  <c r="AH10" i="20"/>
  <c r="AI10" i="20"/>
  <c r="AJ10" i="20"/>
  <c r="AK10" i="20"/>
  <c r="AL10" i="20"/>
  <c r="AM10" i="20"/>
  <c r="AN10" i="20"/>
  <c r="AO10" i="20"/>
  <c r="AP10" i="20"/>
  <c r="AQ10" i="20"/>
  <c r="AR10" i="20"/>
  <c r="AS10" i="20"/>
  <c r="AT10" i="20"/>
  <c r="AU10" i="20"/>
  <c r="AV10" i="20"/>
  <c r="AW10" i="20"/>
  <c r="AX10" i="20"/>
  <c r="AY10" i="20"/>
  <c r="AZ10" i="20"/>
  <c r="BA10" i="20"/>
  <c r="BB10" i="20"/>
  <c r="BC10" i="20"/>
  <c r="BD10" i="20"/>
  <c r="BE10" i="20"/>
  <c r="BF10" i="20"/>
  <c r="BG10" i="20"/>
  <c r="BH10" i="20"/>
  <c r="BI10" i="20"/>
  <c r="BJ10" i="20"/>
  <c r="BK10" i="20"/>
  <c r="BL10" i="20"/>
  <c r="B11" i="20"/>
  <c r="C11" i="20"/>
  <c r="D11" i="20"/>
  <c r="E11" i="20"/>
  <c r="F11" i="20"/>
  <c r="G11" i="20"/>
  <c r="H11" i="20"/>
  <c r="I11" i="20"/>
  <c r="J11" i="20"/>
  <c r="K11" i="20"/>
  <c r="L11" i="20"/>
  <c r="M11" i="20"/>
  <c r="N11" i="20"/>
  <c r="O11" i="20"/>
  <c r="P11" i="20"/>
  <c r="Q11" i="20"/>
  <c r="R11" i="20"/>
  <c r="S11" i="20"/>
  <c r="T11" i="20"/>
  <c r="U11" i="20"/>
  <c r="V11" i="20"/>
  <c r="W11" i="20"/>
  <c r="X11" i="20"/>
  <c r="Y11" i="20"/>
  <c r="Z11" i="20"/>
  <c r="AA11" i="20"/>
  <c r="AB11" i="20"/>
  <c r="AC11" i="20"/>
  <c r="AD11" i="20"/>
  <c r="AE11" i="20"/>
  <c r="AF11" i="20"/>
  <c r="AG11" i="20"/>
  <c r="AH11" i="20"/>
  <c r="AI11" i="20"/>
  <c r="AJ11" i="20"/>
  <c r="AK11" i="20"/>
  <c r="AL11" i="20"/>
  <c r="AM11" i="20"/>
  <c r="AN11" i="20"/>
  <c r="AO11" i="20"/>
  <c r="AP11" i="20"/>
  <c r="AQ11" i="20"/>
  <c r="AR11" i="20"/>
  <c r="AS11" i="20"/>
  <c r="AT11" i="20"/>
  <c r="AU11" i="20"/>
  <c r="AV11" i="20"/>
  <c r="AW11" i="20"/>
  <c r="AX11" i="20"/>
  <c r="AY11" i="20"/>
  <c r="AZ11" i="20"/>
  <c r="BA11" i="20"/>
  <c r="BB11" i="20"/>
  <c r="BC11" i="20"/>
  <c r="BD11" i="20"/>
  <c r="BE11" i="20"/>
  <c r="BF11" i="20"/>
  <c r="BG11" i="20"/>
  <c r="BH11" i="20"/>
  <c r="BI11" i="20"/>
  <c r="BJ11" i="20"/>
  <c r="BK11" i="20"/>
  <c r="BL11" i="20"/>
  <c r="B12" i="20"/>
  <c r="C12" i="20"/>
  <c r="D12" i="20"/>
  <c r="E12" i="20"/>
  <c r="F12" i="20"/>
  <c r="G12" i="20"/>
  <c r="H12" i="20"/>
  <c r="I12" i="20"/>
  <c r="J12" i="20"/>
  <c r="K12" i="20"/>
  <c r="L12" i="20"/>
  <c r="M12" i="20"/>
  <c r="N12" i="20"/>
  <c r="O12" i="20"/>
  <c r="P12" i="20"/>
  <c r="Q12" i="20"/>
  <c r="R12" i="20"/>
  <c r="S12" i="20"/>
  <c r="T12" i="20"/>
  <c r="U12" i="20"/>
  <c r="V12" i="20"/>
  <c r="W12" i="20"/>
  <c r="X12" i="20"/>
  <c r="Y12" i="20"/>
  <c r="Z12" i="20"/>
  <c r="AA12" i="20"/>
  <c r="AB12" i="20"/>
  <c r="AC12" i="20"/>
  <c r="AD12" i="20"/>
  <c r="AE12" i="20"/>
  <c r="AF12" i="20"/>
  <c r="AG12" i="20"/>
  <c r="AH12" i="20"/>
  <c r="AI12" i="20"/>
  <c r="AJ12" i="20"/>
  <c r="AK12" i="20"/>
  <c r="AL12" i="20"/>
  <c r="AM12" i="20"/>
  <c r="AN12" i="20"/>
  <c r="AO12" i="20"/>
  <c r="AP12" i="20"/>
  <c r="AQ12" i="20"/>
  <c r="AR12" i="20"/>
  <c r="AS12" i="20"/>
  <c r="AT12" i="20"/>
  <c r="AU12" i="20"/>
  <c r="AV12" i="20"/>
  <c r="AW12" i="20"/>
  <c r="AX12" i="20"/>
  <c r="AY12" i="20"/>
  <c r="AZ12" i="20"/>
  <c r="BA12" i="20"/>
  <c r="BB12" i="20"/>
  <c r="BC12" i="20"/>
  <c r="BD12" i="20"/>
  <c r="BE12" i="20"/>
  <c r="BF12" i="20"/>
  <c r="BG12" i="20"/>
  <c r="BH12" i="20"/>
  <c r="BI12" i="20"/>
  <c r="BJ12" i="20"/>
  <c r="BK12" i="20"/>
  <c r="BL12" i="20"/>
  <c r="B13" i="20"/>
  <c r="C13" i="20"/>
  <c r="D13" i="20"/>
  <c r="E13" i="20"/>
  <c r="F13" i="20"/>
  <c r="G13" i="20"/>
  <c r="H13" i="20"/>
  <c r="I13" i="20"/>
  <c r="J13" i="20"/>
  <c r="K13" i="20"/>
  <c r="L13" i="20"/>
  <c r="M13" i="20"/>
  <c r="N13" i="20"/>
  <c r="O13" i="20"/>
  <c r="P13" i="20"/>
  <c r="Q13" i="20"/>
  <c r="R13" i="20"/>
  <c r="S13" i="20"/>
  <c r="T13" i="20"/>
  <c r="U13" i="20"/>
  <c r="V13" i="20"/>
  <c r="W13" i="20"/>
  <c r="X13" i="20"/>
  <c r="Y13" i="20"/>
  <c r="Z13" i="20"/>
  <c r="AA13" i="20"/>
  <c r="AB13" i="20"/>
  <c r="AC13" i="20"/>
  <c r="AD13" i="20"/>
  <c r="AE13" i="20"/>
  <c r="AF13" i="20"/>
  <c r="AG13" i="20"/>
  <c r="AH13" i="20"/>
  <c r="AI13" i="20"/>
  <c r="AJ13" i="20"/>
  <c r="AK13" i="20"/>
  <c r="AL13" i="20"/>
  <c r="AM13" i="20"/>
  <c r="AN13" i="20"/>
  <c r="AO13" i="20"/>
  <c r="AP13" i="20"/>
  <c r="AQ13" i="20"/>
  <c r="AR13" i="20"/>
  <c r="AS13" i="20"/>
  <c r="AT13" i="20"/>
  <c r="AU13" i="20"/>
  <c r="AV13" i="20"/>
  <c r="AW13" i="20"/>
  <c r="AX13" i="20"/>
  <c r="AY13" i="20"/>
  <c r="AZ13" i="20"/>
  <c r="BA13" i="20"/>
  <c r="BB13" i="20"/>
  <c r="BC13" i="20"/>
  <c r="BD13" i="20"/>
  <c r="BE13" i="20"/>
  <c r="BF13" i="20"/>
  <c r="BG13" i="20"/>
  <c r="BH13" i="20"/>
  <c r="BI13" i="20"/>
  <c r="BJ13" i="20"/>
  <c r="BK13" i="20"/>
  <c r="BL13" i="20"/>
  <c r="B14" i="20"/>
  <c r="C14" i="20"/>
  <c r="D14" i="20"/>
  <c r="E14" i="20"/>
  <c r="F14" i="20"/>
  <c r="G14" i="20"/>
  <c r="H14" i="20"/>
  <c r="I14" i="20"/>
  <c r="J14" i="20"/>
  <c r="K14" i="20"/>
  <c r="L14" i="20"/>
  <c r="M14" i="20"/>
  <c r="N14" i="20"/>
  <c r="O14" i="20"/>
  <c r="P14" i="20"/>
  <c r="Q14" i="20"/>
  <c r="R14" i="20"/>
  <c r="S14" i="20"/>
  <c r="T14" i="20"/>
  <c r="U14" i="20"/>
  <c r="V14" i="20"/>
  <c r="W14" i="20"/>
  <c r="X14" i="20"/>
  <c r="Y14" i="20"/>
  <c r="Z14" i="20"/>
  <c r="AA14" i="20"/>
  <c r="AB14" i="20"/>
  <c r="AC14" i="20"/>
  <c r="AD14" i="20"/>
  <c r="AE14" i="20"/>
  <c r="AF14" i="20"/>
  <c r="AG14" i="20"/>
  <c r="AH14" i="20"/>
  <c r="AI14" i="20"/>
  <c r="AJ14" i="20"/>
  <c r="AK14" i="20"/>
  <c r="AL14" i="20"/>
  <c r="AM14" i="20"/>
  <c r="AN14" i="20"/>
  <c r="AO14" i="20"/>
  <c r="AP14" i="20"/>
  <c r="AQ14" i="20"/>
  <c r="AR14" i="20"/>
  <c r="AS14" i="20"/>
  <c r="AT14" i="20"/>
  <c r="AU14" i="20"/>
  <c r="AV14" i="20"/>
  <c r="AW14" i="20"/>
  <c r="AX14" i="20"/>
  <c r="AY14" i="20"/>
  <c r="AZ14" i="20"/>
  <c r="BA14" i="20"/>
  <c r="BB14" i="20"/>
  <c r="BC14" i="20"/>
  <c r="BD14" i="20"/>
  <c r="BE14" i="20"/>
  <c r="BF14" i="20"/>
  <c r="BG14" i="20"/>
  <c r="BH14" i="20"/>
  <c r="BI14" i="20"/>
  <c r="BJ14" i="20"/>
  <c r="BK14" i="20"/>
  <c r="BL14" i="20"/>
  <c r="B15" i="20"/>
  <c r="C15" i="20"/>
  <c r="D15" i="20"/>
  <c r="E15" i="20"/>
  <c r="F15" i="20"/>
  <c r="G15" i="20"/>
  <c r="H15" i="20"/>
  <c r="I15" i="20"/>
  <c r="J15" i="20"/>
  <c r="K15" i="20"/>
  <c r="L15" i="20"/>
  <c r="M15" i="20"/>
  <c r="N15" i="20"/>
  <c r="O15" i="20"/>
  <c r="P15" i="20"/>
  <c r="Q15" i="20"/>
  <c r="R15" i="20"/>
  <c r="S15" i="20"/>
  <c r="T15" i="20"/>
  <c r="U15" i="20"/>
  <c r="V15" i="20"/>
  <c r="W15" i="20"/>
  <c r="X15" i="20"/>
  <c r="Y15" i="20"/>
  <c r="Z15" i="20"/>
  <c r="AA15" i="20"/>
  <c r="AB15" i="20"/>
  <c r="AC15" i="20"/>
  <c r="AD15" i="20"/>
  <c r="AE15" i="20"/>
  <c r="AF15" i="20"/>
  <c r="AG15" i="20"/>
  <c r="AH15" i="20"/>
  <c r="AI15" i="20"/>
  <c r="AJ15" i="20"/>
  <c r="AK15" i="20"/>
  <c r="AL15" i="20"/>
  <c r="AM15" i="20"/>
  <c r="AN15" i="20"/>
  <c r="AO15" i="20"/>
  <c r="AP15" i="20"/>
  <c r="AQ15" i="20"/>
  <c r="AR15" i="20"/>
  <c r="AS15" i="20"/>
  <c r="AT15" i="20"/>
  <c r="AU15" i="20"/>
  <c r="AV15" i="20"/>
  <c r="AW15" i="20"/>
  <c r="AX15" i="20"/>
  <c r="AY15" i="20"/>
  <c r="AZ15" i="20"/>
  <c r="BA15" i="20"/>
  <c r="BB15" i="20"/>
  <c r="BC15" i="20"/>
  <c r="BD15" i="20"/>
  <c r="BE15" i="20"/>
  <c r="BF15" i="20"/>
  <c r="BG15" i="20"/>
  <c r="BH15" i="20"/>
  <c r="BI15" i="20"/>
  <c r="BJ15" i="20"/>
  <c r="BK15" i="20"/>
  <c r="BL15" i="20"/>
  <c r="B16" i="20"/>
  <c r="C16" i="20"/>
  <c r="D16" i="20"/>
  <c r="E16" i="20"/>
  <c r="F16" i="20"/>
  <c r="G16" i="20"/>
  <c r="H16" i="20"/>
  <c r="I16" i="20"/>
  <c r="J16" i="20"/>
  <c r="K16" i="20"/>
  <c r="L16" i="20"/>
  <c r="M16" i="20"/>
  <c r="N16" i="20"/>
  <c r="O16" i="20"/>
  <c r="P16" i="20"/>
  <c r="Q16" i="20"/>
  <c r="R16" i="20"/>
  <c r="S16" i="20"/>
  <c r="T16" i="20"/>
  <c r="U16" i="20"/>
  <c r="V16" i="20"/>
  <c r="W16" i="20"/>
  <c r="X16" i="20"/>
  <c r="Y16" i="20"/>
  <c r="Z16" i="20"/>
  <c r="AA16" i="20"/>
  <c r="AB16" i="20"/>
  <c r="AC16" i="20"/>
  <c r="AD16" i="20"/>
  <c r="AE16" i="20"/>
  <c r="AF16" i="20"/>
  <c r="AG16" i="20"/>
  <c r="AH16" i="20"/>
  <c r="AI16" i="20"/>
  <c r="AJ16" i="20"/>
  <c r="AK16" i="20"/>
  <c r="AL16" i="20"/>
  <c r="AM16" i="20"/>
  <c r="AN16" i="20"/>
  <c r="AO16" i="20"/>
  <c r="AP16" i="20"/>
  <c r="AQ16" i="20"/>
  <c r="AR16" i="20"/>
  <c r="AS16" i="20"/>
  <c r="AT16" i="20"/>
  <c r="AU16" i="20"/>
  <c r="AV16" i="20"/>
  <c r="AW16" i="20"/>
  <c r="AX16" i="20"/>
  <c r="AY16" i="20"/>
  <c r="AZ16" i="20"/>
  <c r="BA16" i="20"/>
  <c r="BB16" i="20"/>
  <c r="BC16" i="20"/>
  <c r="BD16" i="20"/>
  <c r="BE16" i="20"/>
  <c r="BF16" i="20"/>
  <c r="BG16" i="20"/>
  <c r="BH16" i="20"/>
  <c r="BI16" i="20"/>
  <c r="BJ16" i="20"/>
  <c r="BK16" i="20"/>
  <c r="BL16" i="20"/>
  <c r="F42" i="71"/>
  <c r="F41" i="71"/>
  <c r="F40" i="71"/>
  <c r="F39" i="71"/>
  <c r="F23" i="71"/>
  <c r="F30" i="71" l="1"/>
  <c r="F29" i="71"/>
  <c r="F28" i="71"/>
  <c r="F27" i="71"/>
  <c r="G39" i="74" l="1"/>
  <c r="F5" i="74"/>
  <c r="G32" i="74"/>
  <c r="G25" i="74"/>
  <c r="E38" i="74"/>
  <c r="G16" i="74"/>
  <c r="G19" i="74"/>
  <c r="F21" i="74"/>
  <c r="F28" i="74"/>
  <c r="E39" i="74"/>
  <c r="G9" i="74"/>
  <c r="F41" i="74"/>
  <c r="G33" i="74"/>
  <c r="E28" i="74"/>
  <c r="F38" i="74"/>
  <c r="G30" i="74"/>
  <c r="G24" i="74"/>
  <c r="E34" i="74"/>
  <c r="F31" i="74"/>
  <c r="F32" i="74"/>
  <c r="F14" i="74"/>
  <c r="F12" i="74"/>
  <c r="F9" i="74"/>
  <c r="I9" i="74" s="1"/>
  <c r="F29" i="74"/>
  <c r="F18" i="74"/>
  <c r="E31" i="74"/>
  <c r="F36" i="74"/>
  <c r="F11" i="74"/>
  <c r="E22" i="74"/>
  <c r="G40" i="74"/>
  <c r="E37" i="74"/>
  <c r="E40" i="74"/>
  <c r="E36" i="74"/>
  <c r="F10" i="74"/>
  <c r="E12" i="74"/>
  <c r="G17" i="74"/>
  <c r="F37" i="74"/>
  <c r="E18" i="74"/>
  <c r="G4" i="74"/>
  <c r="E11" i="74"/>
  <c r="G13" i="74"/>
  <c r="F35" i="74"/>
  <c r="G31" i="74"/>
  <c r="E19" i="74"/>
  <c r="F40" i="74"/>
  <c r="F39" i="74"/>
  <c r="G35" i="74"/>
  <c r="G12" i="74"/>
  <c r="E41" i="74"/>
  <c r="G29" i="74"/>
  <c r="G18" i="74"/>
  <c r="F34" i="74"/>
  <c r="F33" i="74"/>
  <c r="I33" i="74" s="1"/>
  <c r="E4" i="74"/>
  <c r="F13" i="74"/>
  <c r="E6" i="74"/>
  <c r="E35" i="74"/>
  <c r="G20" i="74"/>
  <c r="E27" i="74"/>
  <c r="G37" i="74"/>
  <c r="G21" i="74"/>
  <c r="G28" i="74"/>
  <c r="F24" i="74"/>
  <c r="E24" i="74"/>
  <c r="E21" i="74"/>
  <c r="E32" i="74"/>
  <c r="E23" i="74"/>
  <c r="E33" i="74"/>
  <c r="F25" i="74"/>
  <c r="E16" i="74"/>
  <c r="E13" i="74"/>
  <c r="E14" i="74"/>
  <c r="E10" i="74"/>
  <c r="G10" i="74"/>
  <c r="G41" i="74"/>
  <c r="G38" i="74"/>
  <c r="E30" i="74"/>
  <c r="G36" i="74"/>
  <c r="F26" i="74"/>
  <c r="G34" i="74"/>
  <c r="F30" i="74"/>
  <c r="E29" i="74"/>
  <c r="F7" i="74"/>
  <c r="F23" i="74"/>
  <c r="G5" i="74"/>
  <c r="F20" i="74"/>
  <c r="I20" i="74" s="1"/>
  <c r="E20" i="74"/>
  <c r="G7" i="74"/>
  <c r="F27" i="74"/>
  <c r="F17" i="74"/>
  <c r="G27" i="74"/>
  <c r="E8" i="74"/>
  <c r="F16" i="74"/>
  <c r="F22" i="74"/>
  <c r="E26" i="74"/>
  <c r="G23" i="74"/>
  <c r="F15" i="74"/>
  <c r="F19" i="74"/>
  <c r="I19" i="74" s="1"/>
  <c r="E15" i="74"/>
  <c r="G8" i="74"/>
  <c r="E7" i="74"/>
  <c r="E25" i="74"/>
  <c r="G14" i="74"/>
  <c r="G26" i="74"/>
  <c r="F6" i="74"/>
  <c r="E17" i="74"/>
  <c r="G6" i="74"/>
  <c r="G22" i="74"/>
  <c r="G15" i="74"/>
  <c r="E9" i="74"/>
  <c r="F8" i="74"/>
  <c r="G11" i="74"/>
  <c r="E5" i="74"/>
  <c r="F4" i="74"/>
  <c r="I4" i="74" s="1"/>
  <c r="G8" i="71"/>
  <c r="H8" i="71"/>
  <c r="G9" i="71"/>
  <c r="I36" i="74" l="1"/>
  <c r="I11" i="74"/>
  <c r="I35" i="74"/>
  <c r="I6" i="74"/>
  <c r="I15" i="74"/>
  <c r="I16" i="74"/>
  <c r="I27" i="74"/>
  <c r="I40" i="74"/>
  <c r="I13" i="74"/>
  <c r="I18" i="74"/>
  <c r="I14" i="74"/>
  <c r="I28" i="74"/>
  <c r="I39" i="74"/>
  <c r="I26" i="74"/>
  <c r="I7" i="74"/>
  <c r="I23" i="74"/>
  <c r="I38" i="74"/>
  <c r="I34" i="74"/>
  <c r="I32" i="74"/>
  <c r="I41" i="74"/>
  <c r="I30" i="74"/>
  <c r="I25" i="74"/>
  <c r="I21" i="74"/>
  <c r="I37" i="74"/>
  <c r="I22" i="74"/>
  <c r="I17" i="74"/>
  <c r="I29" i="74"/>
  <c r="I10" i="74"/>
  <c r="I12" i="74"/>
  <c r="I5" i="74"/>
  <c r="I8" i="74"/>
  <c r="I24" i="74"/>
  <c r="I31" i="74"/>
  <c r="F45" i="71"/>
  <c r="F44" i="71"/>
  <c r="F37" i="71"/>
  <c r="F25" i="71"/>
  <c r="B4" i="71"/>
  <c r="A2" i="20" s="1"/>
  <c r="H2" i="71"/>
  <c r="G2" i="71"/>
  <c r="BA2" i="20"/>
  <c r="B3" i="74" l="1"/>
  <c r="B3" i="1"/>
  <c r="B41" i="1"/>
  <c r="B40" i="1"/>
  <c r="B39" i="1"/>
  <c r="B38" i="1"/>
  <c r="B37" i="1"/>
  <c r="B36" i="1"/>
  <c r="B35" i="1"/>
  <c r="B34" i="1"/>
  <c r="B33" i="1"/>
  <c r="B32" i="1"/>
  <c r="B31" i="1"/>
  <c r="B30" i="1"/>
  <c r="B29" i="1"/>
  <c r="B28" i="1"/>
  <c r="B27" i="1"/>
  <c r="B26" i="1"/>
  <c r="B25" i="1"/>
  <c r="B24" i="1"/>
  <c r="B23" i="1"/>
  <c r="B22" i="1"/>
  <c r="B21" i="1"/>
  <c r="B20" i="1"/>
  <c r="B19" i="1"/>
  <c r="B18" i="1"/>
  <c r="B17" i="1"/>
  <c r="B16" i="1"/>
  <c r="B15" i="1"/>
  <c r="B14" i="1"/>
  <c r="B13" i="1"/>
  <c r="B11" i="1"/>
  <c r="B12" i="1"/>
  <c r="B10" i="1"/>
  <c r="B9" i="1"/>
  <c r="B8" i="1"/>
  <c r="B7" i="1"/>
  <c r="B6" i="1"/>
  <c r="B5" i="1"/>
  <c r="BJ2" i="20"/>
  <c r="BB2" i="20"/>
  <c r="Z2" i="20"/>
  <c r="G2" i="20"/>
  <c r="AT2" i="20"/>
  <c r="AW2" i="20"/>
  <c r="B2" i="20"/>
  <c r="W2" i="20"/>
  <c r="P2" i="20"/>
  <c r="AB2" i="20"/>
  <c r="J2" i="20"/>
  <c r="T2" i="20"/>
  <c r="AM2" i="20"/>
  <c r="K2" i="20"/>
  <c r="Q2" i="20"/>
  <c r="BD2" i="20"/>
  <c r="Y2" i="20"/>
  <c r="R2" i="20"/>
  <c r="BG2" i="20"/>
  <c r="AY2" i="20"/>
  <c r="BF2" i="20"/>
  <c r="BH2" i="20"/>
  <c r="U2" i="20"/>
  <c r="C2" i="20"/>
  <c r="AC2" i="20"/>
  <c r="AK2" i="20"/>
  <c r="S2" i="20"/>
  <c r="AF2" i="20"/>
  <c r="AX2" i="20"/>
  <c r="X2" i="20"/>
  <c r="N2" i="20"/>
  <c r="D2" i="20"/>
  <c r="AJ2" i="20"/>
  <c r="AH2" i="20"/>
  <c r="I2" i="20"/>
  <c r="AD2" i="20"/>
  <c r="AR2" i="20"/>
  <c r="AS2" i="20"/>
  <c r="AA2" i="20"/>
  <c r="AZ2" i="20"/>
  <c r="H2" i="20"/>
  <c r="BE2" i="20"/>
  <c r="AQ2" i="20"/>
  <c r="F2" i="20"/>
  <c r="O2" i="20"/>
  <c r="AV2" i="20"/>
  <c r="V2" i="20"/>
  <c r="L2" i="20"/>
  <c r="AG2" i="20"/>
  <c r="M2" i="20"/>
  <c r="AU2" i="20"/>
  <c r="AI2" i="20"/>
  <c r="BI2" i="20"/>
  <c r="AL2" i="20"/>
  <c r="BC2" i="20"/>
  <c r="E2" i="20"/>
  <c r="AN2" i="20"/>
  <c r="AO2" i="20"/>
  <c r="AE2" i="20"/>
  <c r="AP2" i="20"/>
  <c r="C3" i="1" l="1"/>
  <c r="F3" i="74" l="1"/>
  <c r="B47" i="71" s="1"/>
  <c r="H47" i="71" s="1"/>
  <c r="D3" i="74"/>
  <c r="G3" i="74"/>
  <c r="G3" i="1"/>
  <c r="C3" i="74"/>
  <c r="BK2" i="20"/>
  <c r="E3" i="74" l="1"/>
  <c r="I3" i="74"/>
  <c r="B49" i="71" s="1"/>
  <c r="H3" i="74"/>
  <c r="B4" i="1"/>
  <c r="BL2" i="20"/>
  <c r="F3" i="1" l="1"/>
  <c r="D3" i="1"/>
  <c r="E3" i="1" s="1"/>
  <c r="J10" i="3" s="1"/>
  <c r="A7" i="17"/>
  <c r="G8" i="69"/>
  <c r="H9" i="66"/>
  <c r="E9" i="66"/>
  <c r="E7" i="66"/>
  <c r="S9" i="66"/>
  <c r="G10" i="66"/>
  <c r="S6" i="66"/>
  <c r="Q6" i="66"/>
  <c r="P9" i="66"/>
  <c r="O7" i="66"/>
  <c r="P5" i="66"/>
  <c r="Q9" i="66"/>
  <c r="E5" i="66"/>
  <c r="T10" i="66"/>
  <c r="Q10" i="66"/>
  <c r="E6" i="69"/>
  <c r="G9" i="66"/>
  <c r="J5" i="66"/>
  <c r="H6" i="69"/>
  <c r="F9" i="69"/>
  <c r="T7" i="66"/>
  <c r="S5" i="66"/>
  <c r="R9" i="66"/>
  <c r="O6" i="66"/>
  <c r="G9" i="69"/>
  <c r="H7" i="66"/>
  <c r="I7" i="66"/>
  <c r="T6" i="66"/>
  <c r="I10" i="66"/>
  <c r="S10" i="66"/>
  <c r="Q8" i="66"/>
  <c r="P10" i="66"/>
  <c r="I5" i="66"/>
  <c r="I8" i="66"/>
  <c r="R6" i="66"/>
  <c r="F7" i="66"/>
  <c r="R8" i="66"/>
  <c r="F8" i="66"/>
  <c r="F9" i="66"/>
  <c r="I6" i="66"/>
  <c r="F5" i="66"/>
  <c r="Q5" i="66"/>
  <c r="F10" i="66"/>
  <c r="T9" i="66"/>
  <c r="T8" i="66"/>
  <c r="E6" i="66"/>
  <c r="R10" i="66"/>
  <c r="E7" i="69"/>
  <c r="P8" i="66"/>
  <c r="G5" i="66"/>
  <c r="G6" i="66"/>
  <c r="H10" i="66"/>
  <c r="J10" i="66"/>
  <c r="J7" i="66"/>
  <c r="H9" i="69"/>
  <c r="J9" i="66"/>
  <c r="G7" i="66"/>
  <c r="G8" i="66"/>
  <c r="F7" i="69"/>
  <c r="J8" i="66"/>
  <c r="H6" i="66"/>
  <c r="G6" i="69"/>
  <c r="H5" i="66"/>
  <c r="O10" i="66"/>
  <c r="P7" i="66"/>
  <c r="T5" i="66"/>
  <c r="S7" i="66"/>
  <c r="O8" i="66"/>
  <c r="F8" i="69"/>
  <c r="R5" i="66"/>
  <c r="G7" i="69"/>
  <c r="E8" i="69"/>
  <c r="J6" i="66"/>
  <c r="F6" i="69"/>
  <c r="P6" i="66"/>
  <c r="R7" i="66"/>
  <c r="O5" i="66"/>
  <c r="O9" i="66"/>
  <c r="S8" i="66"/>
  <c r="E10" i="66"/>
  <c r="F6" i="66"/>
  <c r="I9" i="66"/>
  <c r="H8" i="69"/>
  <c r="H8" i="66"/>
  <c r="E8" i="66"/>
  <c r="Q7" i="66"/>
  <c r="H7" i="69"/>
  <c r="B32" i="71" l="1"/>
  <c r="H3" i="1"/>
  <c r="S7" i="3" s="1"/>
  <c r="J5" i="3"/>
  <c r="G5" i="3"/>
  <c r="J6" i="3"/>
  <c r="F5" i="3"/>
  <c r="H5" i="3"/>
  <c r="I5" i="3"/>
  <c r="H9" i="3"/>
  <c r="F6" i="3"/>
  <c r="E10" i="3"/>
  <c r="H7" i="3"/>
  <c r="I10" i="3"/>
  <c r="J9" i="3"/>
  <c r="F9" i="3"/>
  <c r="E7" i="3"/>
  <c r="F10" i="3"/>
  <c r="G9" i="3"/>
  <c r="F8" i="3"/>
  <c r="E8" i="3"/>
  <c r="I9" i="3"/>
  <c r="E9" i="3"/>
  <c r="E6" i="3"/>
  <c r="J7" i="3"/>
  <c r="I8" i="3"/>
  <c r="F7" i="3"/>
  <c r="H6" i="3"/>
  <c r="I7" i="3"/>
  <c r="H8" i="3"/>
  <c r="G10" i="3"/>
  <c r="J8" i="3"/>
  <c r="G7" i="3"/>
  <c r="G6" i="3"/>
  <c r="I6" i="3"/>
  <c r="G8" i="3"/>
  <c r="H10" i="3"/>
  <c r="E5" i="3"/>
  <c r="I3" i="1"/>
  <c r="E9" i="69"/>
  <c r="S10" i="3" l="1"/>
  <c r="S9" i="3"/>
  <c r="S8" i="3"/>
  <c r="R7" i="3"/>
  <c r="P8" i="3"/>
  <c r="R10" i="3"/>
  <c r="R9" i="3"/>
  <c r="R8" i="3"/>
  <c r="Q7" i="3"/>
  <c r="P10" i="3"/>
  <c r="Q10" i="3"/>
  <c r="Q9" i="3"/>
  <c r="Q8" i="3"/>
  <c r="P7" i="3"/>
  <c r="P9" i="3"/>
</calcChain>
</file>

<file path=xl/connections.xml><?xml version="1.0" encoding="utf-8"?>
<connections xmlns="http://schemas.openxmlformats.org/spreadsheetml/2006/main">
  <connection id="1" name="Classeur1" type="6" refreshedVersion="3" deleted="1" background="1" saveData="1">
    <textPr sourceFile="C:\Users\021315\Documents\Base incident\Test\Classeur1.csv" decimal="," thousands=" " tab="0" delimiter=":">
      <textFields count="7">
        <textField/>
        <textField/>
        <textField/>
        <textField/>
        <textField/>
        <textField/>
        <textField/>
      </textFields>
    </textPr>
  </connection>
</connections>
</file>

<file path=xl/sharedStrings.xml><?xml version="1.0" encoding="utf-8"?>
<sst xmlns="http://schemas.openxmlformats.org/spreadsheetml/2006/main" count="1602" uniqueCount="972">
  <si>
    <t>Maturité du niveau de contrôle</t>
  </si>
  <si>
    <t>n°</t>
  </si>
  <si>
    <t>Libellé</t>
  </si>
  <si>
    <t>Probabilité</t>
  </si>
  <si>
    <t>Rare</t>
  </si>
  <si>
    <t>Modérée</t>
  </si>
  <si>
    <t>Elevée</t>
  </si>
  <si>
    <t>Permanente</t>
  </si>
  <si>
    <t>Marginal</t>
  </si>
  <si>
    <t>Faible</t>
  </si>
  <si>
    <t>Modéré</t>
  </si>
  <si>
    <t>Elevé</t>
  </si>
  <si>
    <t>Critique</t>
  </si>
  <si>
    <t>Catastrophique</t>
  </si>
  <si>
    <t>Exceptionnel</t>
  </si>
  <si>
    <t>Récurrente</t>
  </si>
  <si>
    <t>Maitrisé</t>
  </si>
  <si>
    <t>Acceptable</t>
  </si>
  <si>
    <t>Accept.</t>
  </si>
  <si>
    <t>Insuffisant</t>
  </si>
  <si>
    <t>Mineur</t>
  </si>
  <si>
    <t>Très Elevé</t>
  </si>
  <si>
    <t>Gravité Brute</t>
  </si>
  <si>
    <t>IMPACT</t>
  </si>
  <si>
    <t>Risque issu du RCI RETRAITE 2017</t>
  </si>
  <si>
    <t>Exceptionnelle</t>
  </si>
  <si>
    <t>Recurrente</t>
  </si>
  <si>
    <t>Proba</t>
  </si>
  <si>
    <t>RB</t>
  </si>
  <si>
    <t>DMR</t>
  </si>
  <si>
    <t>Imp</t>
  </si>
  <si>
    <t>Inst</t>
  </si>
  <si>
    <t>IRPAUTO Retraite ARRCO</t>
  </si>
  <si>
    <t>IRPAUTO Retraite AGIRC</t>
  </si>
  <si>
    <t>Externes</t>
  </si>
  <si>
    <t>Ressources_humaines</t>
  </si>
  <si>
    <t>Processus_Procédure</t>
  </si>
  <si>
    <t>SI</t>
  </si>
  <si>
    <t>Pilotage</t>
  </si>
  <si>
    <t>Financier</t>
  </si>
  <si>
    <t>Stratégique</t>
  </si>
  <si>
    <t>IRPAUTO Prévoyance Santé</t>
  </si>
  <si>
    <t>Application des consignes et instructions</t>
  </si>
  <si>
    <t>Conformité</t>
  </si>
  <si>
    <t>Logiciels</t>
  </si>
  <si>
    <t>Gestion de projet</t>
  </si>
  <si>
    <t>Condamnation civile ou pénale d'un dirigeant et / ou d'un organisme</t>
  </si>
  <si>
    <t>Augmentation des appels téléphoniques/ réclamations</t>
  </si>
  <si>
    <t>Remise en cause d'un ou plusieurs axes/ projets stratégiques</t>
  </si>
  <si>
    <t>Maîtrisé</t>
  </si>
  <si>
    <t>IRPAUTO Iéna Prévoyance</t>
  </si>
  <si>
    <t>Catastrophes naturelles et autres sinistres</t>
  </si>
  <si>
    <t>Compétence/ formation</t>
  </si>
  <si>
    <t>Défaillance dans la conception du processus/ procédures</t>
  </si>
  <si>
    <t>Matériels</t>
  </si>
  <si>
    <t>Gestion des habilitations</t>
  </si>
  <si>
    <t>Litige réglé par transaction amiable ou judiciaire</t>
  </si>
  <si>
    <t>Coût ETP, fraudes</t>
  </si>
  <si>
    <t>Médias internet/ réseaux sociaux</t>
  </si>
  <si>
    <t>Remise en cause de la continuité/ poursuite d'activité</t>
  </si>
  <si>
    <t>IRPAUTO MPA</t>
  </si>
  <si>
    <t>Conflits sociaux</t>
  </si>
  <si>
    <t>Défaillance dans la réalisation du processus/ procédure</t>
  </si>
  <si>
    <t>Qualité des données</t>
  </si>
  <si>
    <t>Gestion des ressources, du budget</t>
  </si>
  <si>
    <t>Recommandations, sanctions, blâmes, retrait d'agrément des autorités de contrôle</t>
  </si>
  <si>
    <t>Coût logiciel, données</t>
  </si>
  <si>
    <t>Médias traditionnels (locaux, professionnels, nationaux)</t>
  </si>
  <si>
    <t>Remise en cause de la performance/ qualité des opérations</t>
  </si>
  <si>
    <t>Autres</t>
  </si>
  <si>
    <t>Législation, réglementation, normes</t>
  </si>
  <si>
    <t>Diffusion/ transmission/ compréhension des consignes et instructions</t>
  </si>
  <si>
    <t>Sécurité</t>
  </si>
  <si>
    <t>Indicateurs de pilotage, tableaux de bord</t>
  </si>
  <si>
    <t>Coût remplacement/ réparation</t>
  </si>
  <si>
    <t>Nombreux clients clés impactés (VIP, groupes,…)</t>
  </si>
  <si>
    <t>Remise en cause des outils/ systèmes d'information</t>
  </si>
  <si>
    <t>Toutes</t>
  </si>
  <si>
    <t xml:space="preserve">Information/ Communication
</t>
  </si>
  <si>
    <t>Indu, remboursement, chiffre d'affaires</t>
  </si>
  <si>
    <t>Nombreux clients impactés (TPE-PME, retraités, chômeurs,…)</t>
  </si>
  <si>
    <t>Presse, média, réseaux sociaux</t>
  </si>
  <si>
    <t>Objectifs</t>
  </si>
  <si>
    <t>Nombreux contrats résiliés</t>
  </si>
  <si>
    <t>CRITICITE</t>
  </si>
  <si>
    <t>Situation économique et sociale</t>
  </si>
  <si>
    <t>Zone de criticité très élevée / surveillance insuffisante</t>
  </si>
  <si>
    <t>Zone de criticité élevée / surveillance à renforcer</t>
  </si>
  <si>
    <t>Zone de criticité élevée / surveillance soutenue</t>
  </si>
  <si>
    <t>Zone de criticité modérée / surveillance modérée</t>
  </si>
  <si>
    <t>Zone de criticité faible / surveillance modérée</t>
  </si>
  <si>
    <t>Zone de criticité faible / surveillance faible</t>
  </si>
  <si>
    <t>Probabilité Nette</t>
  </si>
  <si>
    <t>Période active</t>
  </si>
  <si>
    <t>Priorité</t>
  </si>
  <si>
    <t>origine de détection</t>
  </si>
  <si>
    <t>Haute</t>
  </si>
  <si>
    <t>Alliance prof. Retraite Arrco</t>
  </si>
  <si>
    <t>Facteurs de risque</t>
  </si>
  <si>
    <t>Conséquence du risque</t>
  </si>
  <si>
    <t>Moyenne</t>
  </si>
  <si>
    <t>Alliance prof. Retraite Agirc</t>
  </si>
  <si>
    <t>Conformité_Réglementaire</t>
  </si>
  <si>
    <t>Client_Image_Réputation</t>
  </si>
  <si>
    <t>Basse</t>
  </si>
  <si>
    <t>Autres évènements / actions externes</t>
  </si>
  <si>
    <t>Amendes, indemnisations, pénalités</t>
  </si>
  <si>
    <t>Dt jour pour test, Attention formule adaptée trim et traffiquée pour sem</t>
  </si>
  <si>
    <t>Fournisseurs / sous-traitant / partenaires</t>
  </si>
  <si>
    <t>Solidarité Prévention</t>
  </si>
  <si>
    <t>Pratiques du marché / concurrence</t>
  </si>
  <si>
    <t>Fraude interne/ activité illicite par un salarié (vol, vandalisme)</t>
  </si>
  <si>
    <t>Autre</t>
  </si>
  <si>
    <t>Choix</t>
  </si>
  <si>
    <t>Oui</t>
  </si>
  <si>
    <t>Non</t>
  </si>
  <si>
    <t>Nature_perte</t>
  </si>
  <si>
    <t>Client (indu, remboursement, chiffre daffaires)</t>
  </si>
  <si>
    <t>Activité (J/H internes/externes suppl, fraude, …)</t>
  </si>
  <si>
    <t>SynthDMR</t>
  </si>
  <si>
    <t>Actif matériel (coût remplacement/réparation)</t>
  </si>
  <si>
    <t>Actif immatériel (logiciel, données, …)</t>
  </si>
  <si>
    <t>Sanction réglementaire (amende, indemnisation, pénalités, …)</t>
  </si>
  <si>
    <t>Directions</t>
  </si>
  <si>
    <t>Direction_Relation_Clients.</t>
  </si>
  <si>
    <t>Direction_du_Cabinet.</t>
  </si>
  <si>
    <t>Direction_Relation_Adhérent.</t>
  </si>
  <si>
    <t>Direction_Relation_Prestations_Clients.</t>
  </si>
  <si>
    <t>Direction_Réseau_Clients_Marketing_Communication.</t>
  </si>
  <si>
    <t>Direction_Action_Sociale_Culturelle.</t>
  </si>
  <si>
    <t>Direction_Instances_Juridique_Institutionnel.</t>
  </si>
  <si>
    <t>Direction_Finance_Risques.</t>
  </si>
  <si>
    <t>Direction_Technique_Stratégie_Assurentielle.</t>
  </si>
  <si>
    <t>Direction_Ressources_Humaines.</t>
  </si>
  <si>
    <t>Direction_SI_Moyens _Généraux.</t>
  </si>
  <si>
    <t>Département_Grds_Ent_Ctrs_Sant_Prév</t>
  </si>
  <si>
    <t>Département_Solid_Prévent</t>
  </si>
  <si>
    <t>Service_Conf_Proc_Part</t>
  </si>
  <si>
    <t>Département_Prév_Non_Vie_Santé</t>
  </si>
  <si>
    <t>Département_Rés_Clients</t>
  </si>
  <si>
    <t>Département_Act_Soc_Cult</t>
  </si>
  <si>
    <t>Département_Comptabilité</t>
  </si>
  <si>
    <t>Service_Actuariat</t>
  </si>
  <si>
    <t>Département_RH</t>
  </si>
  <si>
    <t>Depart_Budget_Sécu_gest_ddes</t>
  </si>
  <si>
    <t>Département_Ent_TPE_PME_Ctx</t>
  </si>
  <si>
    <t>Secrétariat_DG</t>
  </si>
  <si>
    <t>Département_Rel_Tél</t>
  </si>
  <si>
    <t>Département_Prév_vie_Capit_Fin_Carr</t>
  </si>
  <si>
    <t>Service_Etud_Jur</t>
  </si>
  <si>
    <t>Département_Gest_Risques</t>
  </si>
  <si>
    <t>Départ_Proj_Entreprise</t>
  </si>
  <si>
    <t>Départ_Org_Suiv_Proj_Strat_Act_Groupe</t>
  </si>
  <si>
    <t>Département_Ret_Part</t>
  </si>
  <si>
    <t>Service_Souscrip_Ctrs</t>
  </si>
  <si>
    <t>Service_Ctrl_Gestion</t>
  </si>
  <si>
    <t>Départ_Gouver_Données_Applic</t>
  </si>
  <si>
    <t>Service_Com</t>
  </si>
  <si>
    <t>Service_Finance</t>
  </si>
  <si>
    <t>Départ_Socle_Tech_Logistique</t>
  </si>
  <si>
    <t>Service_Web_Mark</t>
  </si>
  <si>
    <t>Service_Mark</t>
  </si>
  <si>
    <t>Dépt_Ent_TPE_PME_Ctx</t>
  </si>
  <si>
    <t>Dépt_Solid_Prévent</t>
  </si>
  <si>
    <t>Dépt_Rel_Tél</t>
  </si>
  <si>
    <t>Dépt_Prév_Non_Vie_Santé</t>
  </si>
  <si>
    <t>Dépt_Prév_vie_Capit_Fin_Carr</t>
  </si>
  <si>
    <t>Dépt_Ret_Part</t>
  </si>
  <si>
    <t>Dépt_Act_Soc_Cult</t>
  </si>
  <si>
    <t>Service_TPE_PME_1_Ents _DSN</t>
  </si>
  <si>
    <t>Service_Solid_Prévent</t>
  </si>
  <si>
    <t>PIT</t>
  </si>
  <si>
    <t>Service_Prest_Prév_Sant_Grds_Cpt</t>
  </si>
  <si>
    <t>Service_Indem_Fin_Carr</t>
  </si>
  <si>
    <t>Service_Liq_Ret_AA</t>
  </si>
  <si>
    <t>Service_Aid_Com_Soc</t>
  </si>
  <si>
    <t>Service_TPE_PME_2_Ents_Hors_DSN</t>
  </si>
  <si>
    <t>PRV</t>
  </si>
  <si>
    <t>Service_Non_Vie_Sant</t>
  </si>
  <si>
    <t>Prest_Inval_Dec</t>
  </si>
  <si>
    <t>Part</t>
  </si>
  <si>
    <t>Aid_Ind_Act_Coll</t>
  </si>
  <si>
    <t>Dépt_Grds_Ent_Ctrs_Sant_Prév</t>
  </si>
  <si>
    <t>Service_Ident_Ctx</t>
  </si>
  <si>
    <t>Service_Ctrs_Sant_Prév</t>
  </si>
  <si>
    <t>Service_Grds_Ent_Interloc</t>
  </si>
  <si>
    <t>Direction_Relation_Clients.Act</t>
  </si>
  <si>
    <t>Direction_du_Cabinet.Act</t>
  </si>
  <si>
    <t>Direction_Relation_Adhérent.Act</t>
  </si>
  <si>
    <t>Direction_Relation_Prestations_Clients.Act</t>
  </si>
  <si>
    <t>Direction_Réseau_Clients_Marketing_Communication.Act</t>
  </si>
  <si>
    <t>Direction_Action_Sociale_Culturelle.Act</t>
  </si>
  <si>
    <t>Julie Kirch</t>
  </si>
  <si>
    <t>Christine Noël</t>
  </si>
  <si>
    <t>Saisie manuelle si nécessaire</t>
  </si>
  <si>
    <t>Véronique Gatibelza</t>
  </si>
  <si>
    <t>Extraction du nom de fichier</t>
  </si>
  <si>
    <t>STXT(GAUCHE(STXT(CELLULE("nomfichier";A1);TROUVE("[";CELLULE("nomfichier";A1))+1;999);TROUVE("]";STXT(CELLULE("nomfichier";A1);TROUVE("[";CELLULE("nomfichier";A1))+1;999))-5);13;50)</t>
  </si>
  <si>
    <t>Direction_Relation_Clients.Risk</t>
  </si>
  <si>
    <t>Direction_du_Cabinet.Risk</t>
  </si>
  <si>
    <t>Direction_Relation_Adhérent.Risk</t>
  </si>
  <si>
    <t>Direction_Relation_Prestations_Clients.Risk</t>
  </si>
  <si>
    <t>Direction_Réseau_Clients_Marketing_Communication.Risk</t>
  </si>
  <si>
    <t>Direction_Action_Sociale_Culturelle.Risk</t>
  </si>
  <si>
    <t>Non-conformité du paramétrage et de l’enregistrement des contrats</t>
  </si>
  <si>
    <t>Absence ou erreur de paiement de la prestation Santé</t>
  </si>
  <si>
    <t>Non efficience du recouvrement de cotisations</t>
  </si>
  <si>
    <t>Prestations santé payées hors délais</t>
  </si>
  <si>
    <t>Direction_Relation_Clients.Ctrl</t>
  </si>
  <si>
    <t>Direction_du_Cabinet.Ctrl</t>
  </si>
  <si>
    <t>Direction_Relation_Adhérent.Ctrl</t>
  </si>
  <si>
    <t>Direction_Relation_Prestations_Clients.Ctrl</t>
  </si>
  <si>
    <t>Direction_Réseau_Clients_Marketing_Communication.Ctrl</t>
  </si>
  <si>
    <t>Direction_Action_Sociale_Culturelle.Ctrl</t>
  </si>
  <si>
    <t>Contrôle 1</t>
  </si>
  <si>
    <t>Contrôle 4 paiements prestations santé</t>
  </si>
  <si>
    <t>Contrôle 2</t>
  </si>
  <si>
    <t>Contrôle quotidien des 5 plus gros paiement prestations santé</t>
  </si>
  <si>
    <t>Direction_Relation_Clients.PM</t>
  </si>
  <si>
    <t>Direction_du_Cabinet.PM</t>
  </si>
  <si>
    <t>Direction_Relation_Adhérent.PM</t>
  </si>
  <si>
    <t>Direction_Relation_Prestations_Clients.PM</t>
  </si>
  <si>
    <t>Direction_Réseau_Clients_Marketing_Communication.PM</t>
  </si>
  <si>
    <t>Direction_Action_Sociale_Culturelle.PM</t>
  </si>
  <si>
    <t xml:space="preserve">Gérer les adhésions collectives </t>
  </si>
  <si>
    <t>Gérer les prestations prévoyance non-vie (arrêt de travail …)</t>
  </si>
  <si>
    <t>Gérer les adhésions et les cotisations individuelles</t>
  </si>
  <si>
    <t>Gérer les prestations prévoyance vie/non-vie</t>
  </si>
  <si>
    <t>Gérer le recouvrement des contrats collectifs</t>
  </si>
  <si>
    <t>Gérer les prestations retraites</t>
  </si>
  <si>
    <t>Gérer les déclarations et l'encaissement des contrats collectifs</t>
  </si>
  <si>
    <t>Gérer les prestations santé (optique…)</t>
  </si>
  <si>
    <t>Direction_Relation_Clients.PO</t>
  </si>
  <si>
    <t>Direction_du_Cabinet.PO</t>
  </si>
  <si>
    <t>Direction_Relation_Adhérent.PO</t>
  </si>
  <si>
    <t>Direction_Relation_Prestations_Clients.PO</t>
  </si>
  <si>
    <t>Direction_Réseau_Clients_Marketing_Communication.PO</t>
  </si>
  <si>
    <t>Direction_Action_Sociale_Culturelle.PO</t>
  </si>
  <si>
    <t>PO1</t>
  </si>
  <si>
    <t>Traiter les demandes de prestations santé</t>
  </si>
  <si>
    <t>PO2</t>
  </si>
  <si>
    <t>Traiter les devis et prises en charges hospitalières</t>
  </si>
  <si>
    <t>GRILLE DE SCORING DES IMPACTS DES INCIDENTS</t>
  </si>
  <si>
    <t>LISTE DES PROCESSUS MÉTIER NIVEAU 1, 2 et 3</t>
  </si>
  <si>
    <t>LISTE DES RISQUES</t>
  </si>
  <si>
    <t>GRILLE DE SCORING DES CAUSES DE L'INCIDENT</t>
  </si>
  <si>
    <t>RETOUR MENU          RETOUR MENU            RETOUR MENU</t>
  </si>
  <si>
    <t xml:space="preserve">Les impacts d'un incident correspondent à la gravité de réalisation de cet incident pour l'ensemble des entités du Groupe. </t>
  </si>
  <si>
    <t>Élevé</t>
  </si>
  <si>
    <t>Coût (en € ou J/H) non significatif sur le chiffre d'affaires, le résultat ou la solvabilité (fonds propres)</t>
  </si>
  <si>
    <t>Coût (en € ou J/H) limité au regard du chiffre d'affaires, le résultat ou  de la solvabilité (fonds propres)</t>
  </si>
  <si>
    <t>Coût (en € ou J/H) ayant un impact probable sur le résultat</t>
  </si>
  <si>
    <t>Coût (en € ou J/H) impliquant la nécessité de constituer une provision dans les comptes</t>
  </si>
  <si>
    <t>Coût (en € ou J/H) dépassant les seuils de signification pour les commissaires aux comptes</t>
  </si>
  <si>
    <t>Coût (en € ou J/H) remettant en cause la solvabilité du groupe</t>
  </si>
  <si>
    <t>&lt;= 0,0025% CA</t>
  </si>
  <si>
    <t>entre  0,0025% et 0,0075% CA</t>
  </si>
  <si>
    <t>entre  0,0075% et 0,0125% CA</t>
  </si>
  <si>
    <t>entre 0,0125% et 0,125% CA</t>
  </si>
  <si>
    <t>entre 0,125% et 2,5% CA</t>
  </si>
  <si>
    <t>&gt;=  2,5% CA</t>
  </si>
  <si>
    <t>&lt;= 0,005% SCR ou des Fonds propres</t>
  </si>
  <si>
    <t>entre  0,005% et 0,010% SCR ou des Fonds propres</t>
  </si>
  <si>
    <t>entre  0,010% et 0,025%SCR ou des Fonds propres</t>
  </si>
  <si>
    <t>entre 0,025% et 0,25% SCR ou des Fonds propres</t>
  </si>
  <si>
    <t>entre 0.25% et 5% SCR ou des Fonds propres</t>
  </si>
  <si>
    <t>&gt;= 5% SCR ou des Fonds propres groupe</t>
  </si>
  <si>
    <t>&lt; 5k€</t>
  </si>
  <si>
    <t>entre 5K€ et 10k€</t>
  </si>
  <si>
    <t xml:space="preserve">entre 11K€ et 50K€ </t>
  </si>
  <si>
    <t xml:space="preserve">entre 51K€ et 500K€ </t>
  </si>
  <si>
    <t>entre 500K€ et 10 M€</t>
  </si>
  <si>
    <t>&gt;= 10 M€</t>
  </si>
  <si>
    <t>&lt; 25 J/H</t>
  </si>
  <si>
    <t>entre 25 et 50 J/H</t>
  </si>
  <si>
    <t>entre 51 et 250 J/H</t>
  </si>
  <si>
    <t>entre 251 et 2500 J/H</t>
  </si>
  <si>
    <t>entre 2501 et 50000 J/H</t>
  </si>
  <si>
    <t>&gt;= 50000 J/H</t>
  </si>
  <si>
    <t>&lt; 0,125 ETP</t>
  </si>
  <si>
    <t>entre 0,125 et 0,25 ETP</t>
  </si>
  <si>
    <t>entre 0,26 et 1,25 ETP</t>
  </si>
  <si>
    <t>entre 1,26 et 12,5 ETP</t>
  </si>
  <si>
    <t>entre 12,6 et 250 ETP</t>
  </si>
  <si>
    <t>&gt;= 250 ETP</t>
  </si>
  <si>
    <t>Client / Image / Réputation</t>
  </si>
  <si>
    <r>
      <t xml:space="preserve">Perte d'un client hors </t>
    </r>
    <r>
      <rPr>
        <sz val="9"/>
        <rFont val="Arial"/>
        <family val="2"/>
      </rPr>
      <t>IC 110</t>
    </r>
  </si>
  <si>
    <r>
      <t xml:space="preserve">Perte &lt;10 clients </t>
    </r>
    <r>
      <rPr>
        <sz val="9"/>
        <rFont val="Arial"/>
        <family val="2"/>
      </rPr>
      <t>IC 110</t>
    </r>
  </si>
  <si>
    <r>
      <t>Perte entre 10 et 100 clients hors</t>
    </r>
    <r>
      <rPr>
        <sz val="9"/>
        <rFont val="Arial"/>
        <family val="2"/>
      </rPr>
      <t xml:space="preserve"> IC 110</t>
    </r>
  </si>
  <si>
    <r>
      <t xml:space="preserve">Perte entre 10 et 100 clients hors top 10 </t>
    </r>
    <r>
      <rPr>
        <sz val="9"/>
        <rFont val="Arial"/>
        <family val="2"/>
      </rPr>
      <t>ou IC110</t>
    </r>
  </si>
  <si>
    <t>Perte d'un client du top 10</t>
  </si>
  <si>
    <t>Perte &gt; 1 client du top 10</t>
  </si>
  <si>
    <t>Augmentation &lt; 10% des appels téléphoniques / Augmentation &lt; 5% des réclamations clients</t>
  </si>
  <si>
    <t>Augmentation &lt; 20% des appels téléphoniques / Augmentation &lt; 10% des réclamations clients</t>
  </si>
  <si>
    <t>Augmentation entre 20% et 100% des appels téléphoniques / Augmentation entre 10% et 50% des réclamations clients</t>
  </si>
  <si>
    <t>Augmentation entre 100% et 400% des appels téléphoniques / Augmentation entre 50% et 200% des réclamations clients</t>
  </si>
  <si>
    <t>Augmentation entre &gt; 400% et 1000% des appels téléphoniques / Augmentation entre 200% et 500% des réclamations clients</t>
  </si>
  <si>
    <t xml:space="preserve">Augmentation &gt; 1000% des appels téléphoniques / Augmentation &gt; 500% des réclamations clients </t>
  </si>
  <si>
    <t>Moins de 10 assurés / allocataires touchés</t>
  </si>
  <si>
    <t>Moins de 100 assurés / allocataires touchés</t>
  </si>
  <si>
    <t>De 100 à 1000 assurés / allocataires touchés</t>
  </si>
  <si>
    <t>De 1000 à 5000 assurés / allocataires touchés</t>
  </si>
  <si>
    <r>
      <t xml:space="preserve"> &gt; </t>
    </r>
    <r>
      <rPr>
        <sz val="9"/>
        <rFont val="Arial"/>
        <family val="2"/>
      </rPr>
      <t xml:space="preserve"> 5000 à 10000assurés /</t>
    </r>
    <r>
      <rPr>
        <sz val="9"/>
        <color rgb="FFFF0000"/>
        <rFont val="Arial"/>
        <family val="2"/>
      </rPr>
      <t xml:space="preserve"> </t>
    </r>
    <r>
      <rPr>
        <sz val="9"/>
        <color theme="1"/>
        <rFont val="Arial"/>
        <family val="2"/>
      </rPr>
      <t>allocataires touchés</t>
    </r>
  </si>
  <si>
    <r>
      <t xml:space="preserve">&gt; </t>
    </r>
    <r>
      <rPr>
        <sz val="9"/>
        <rFont val="Arial"/>
        <family val="2"/>
      </rPr>
      <t>10000</t>
    </r>
    <r>
      <rPr>
        <sz val="9"/>
        <color rgb="FFFF0000"/>
        <rFont val="Arial"/>
        <family val="2"/>
      </rPr>
      <t xml:space="preserve"> </t>
    </r>
    <r>
      <rPr>
        <sz val="9"/>
        <color theme="1"/>
        <rFont val="Arial"/>
        <family val="2"/>
      </rPr>
      <t>assurés / allocataires touchés</t>
    </r>
  </si>
  <si>
    <t>Moins de 5  entreprises clientes touchés</t>
  </si>
  <si>
    <t>Moins de 50 entreprises clientes touchés</t>
  </si>
  <si>
    <t xml:space="preserve"> 50 - 100 entreprises clientes touchés</t>
  </si>
  <si>
    <r>
      <t xml:space="preserve"> 100 - 500</t>
    </r>
    <r>
      <rPr>
        <sz val="9"/>
        <color rgb="FFFF0000"/>
        <rFont val="Arial"/>
        <family val="2"/>
      </rPr>
      <t xml:space="preserve"> </t>
    </r>
    <r>
      <rPr>
        <sz val="9"/>
        <rFont val="Arial"/>
        <family val="2"/>
      </rPr>
      <t>entreprises clientes touchés</t>
    </r>
  </si>
  <si>
    <r>
      <t xml:space="preserve"> &gt; </t>
    </r>
    <r>
      <rPr>
        <sz val="9"/>
        <rFont val="Arial"/>
        <family val="2"/>
      </rPr>
      <t>500 à 5000</t>
    </r>
    <r>
      <rPr>
        <sz val="9"/>
        <color theme="1"/>
        <rFont val="Arial"/>
        <family val="2"/>
      </rPr>
      <t xml:space="preserve"> entreprises clientes touchés</t>
    </r>
  </si>
  <si>
    <r>
      <t xml:space="preserve"> &gt;  </t>
    </r>
    <r>
      <rPr>
        <sz val="9"/>
        <rFont val="Arial"/>
        <family val="2"/>
      </rPr>
      <t>5000</t>
    </r>
    <r>
      <rPr>
        <sz val="9"/>
        <color rgb="FFFF0000"/>
        <rFont val="Arial"/>
        <family val="2"/>
      </rPr>
      <t xml:space="preserve"> </t>
    </r>
    <r>
      <rPr>
        <sz val="9"/>
        <color theme="1"/>
        <rFont val="Arial"/>
        <family val="2"/>
      </rPr>
      <t>entreprises clientes touchés</t>
    </r>
  </si>
  <si>
    <t>Médiatisation limitée à la presse locale ou régionale</t>
  </si>
  <si>
    <t>Médiatisation limitée à la presse spécialisée</t>
  </si>
  <si>
    <t>Médiatisation de grande ampleur via un seul canal au niveau national / Affluence sur internet et/ou réseaux sociaux</t>
  </si>
  <si>
    <t>Mise en cause à titre personnel ou professionnel d'un dirigeant effectif, d'un membre du codir, ou d'un administrateur</t>
  </si>
  <si>
    <t>Médiatisation de grande ampleur par tous les médias nationaux (hors internet et réseaux sociaux)</t>
  </si>
  <si>
    <t>Médiatisation de grande ampleur par tous les médias nationaux ,(y compris internet et réseaux sociaux)</t>
  </si>
  <si>
    <t>Conformité / Réglementaire</t>
  </si>
  <si>
    <t>Non-respect des directives du service concerné</t>
  </si>
  <si>
    <t>Non-respect des directives de la Direction générale</t>
  </si>
  <si>
    <t>Constats de non-conformité et recommandations importantes, remarques formelles des autorités de tutelles</t>
  </si>
  <si>
    <t>Blâme des autorités de tutelle / Sanctions financières des autorités de tutelle (capital add on)</t>
  </si>
  <si>
    <t>Condamnation pénale d'un dirigeant ou d'une personne morale</t>
  </si>
  <si>
    <t>Retrait d'agrément</t>
  </si>
  <si>
    <t>Litige isolé réglé par transaction amiable</t>
  </si>
  <si>
    <t>Litiges multiples réglés par transaction amiable</t>
  </si>
  <si>
    <t>Injonction ou mise en cause devant les tribunaux</t>
  </si>
  <si>
    <t>Condamnation civile d'un dirigeant ou d'une personne morale</t>
  </si>
  <si>
    <t>Stratégie</t>
  </si>
  <si>
    <t>Impact non significatif sur les activités, les SI, les axes stratégiques, ou la continuité d'activité</t>
  </si>
  <si>
    <t xml:space="preserve">Retard limité d'un Projet stratégique </t>
  </si>
  <si>
    <t xml:space="preserve">Remise en cause partielle d'une Orientation / Projet stratégique </t>
  </si>
  <si>
    <t>Remise en cause / abandon d'une orientation / projet stratégique</t>
  </si>
  <si>
    <t xml:space="preserve">Remise en cause du Plan stratégique d'une entité ou d'une branche d'activité du groupe </t>
  </si>
  <si>
    <t>Remise en cause du Plan stratégique / de la pérennité de l'ensemble des entités du groupe</t>
  </si>
  <si>
    <t>Perte limitée de la performance / qualité des opérations ou d'un outil</t>
  </si>
  <si>
    <t>Perte notable de la performance / qualité des opérations ou des outils / des SI</t>
  </si>
  <si>
    <t>Remise en cause du développement d'une entité ou d'une branche d'activité du groupe</t>
  </si>
  <si>
    <t>Remise en cause de la pérennité d'une entité ou d'une branche d'activité du groupe</t>
  </si>
  <si>
    <t>Remise en cause de la pérennité des SI</t>
  </si>
  <si>
    <t>Remise en cause de l'efficacité des opérations/ de la qualité des outils/ des SI</t>
  </si>
  <si>
    <t>Remise en cause du développement du groupe</t>
  </si>
  <si>
    <t>Synthèse impact marginal</t>
  </si>
  <si>
    <t>Synthèse impact faible</t>
  </si>
  <si>
    <t>Synthèse impact modéré</t>
  </si>
  <si>
    <t>Synthèse impact élevé</t>
  </si>
  <si>
    <t xml:space="preserve">Synthèse impact critique </t>
  </si>
  <si>
    <t xml:space="preserve">Synthèse impact catastrophique </t>
  </si>
  <si>
    <t>Synthèse des causes</t>
  </si>
  <si>
    <t>Impacts dont la gravité est sans conséquence directe sur l'activité de l'entreprise, mais nécessité néanmoins la mise en œuvre et le suivi d'un plan d'action.</t>
  </si>
  <si>
    <t>Impacts dont la gravité a des conséquences directes sur l'activité de l'entreprise, et nécessite la mise en œuvre immédiate d'un plan d'action correspondant.</t>
  </si>
  <si>
    <t>Impacts dont la gravité peut avoir des répercussions non négligeables sur les activités entrainant des pertes suffisantes pour nécessité la révision de tout ou partie des processus à l'origine des dysfonctionnements</t>
  </si>
  <si>
    <t>Impacts dont la gravité peut provoquer une dégradation importante du fonctionnement des processus d'activités entrainant des pertes (financières, clients, qualité, performances, …)  ayant des conséquences significatives sur la continuité et l'intégrité de l'entreprise.</t>
  </si>
  <si>
    <t>Impacts dont la gravité peut provoquer : 
- l'arrêt total ou partiel des processus clés/sensibles
- un dégradation jugée importante du chiffre d'affaire, et ou des fonds propres
ayant des conséquences majeurs pour l'entreprise.</t>
  </si>
  <si>
    <t>Impacts dont l'extrême  gravité peut entrainer à court ou moyen terme la disparition de l'entreprise</t>
  </si>
  <si>
    <t>RETOUR MENU</t>
  </si>
  <si>
    <t>PROCESSUS MÉTIER Niveau 1</t>
  </si>
  <si>
    <t>PROCESSUS MÉTIER Niveau 2</t>
  </si>
  <si>
    <t>PROCESSUS MÉTIER Niveau 3</t>
  </si>
  <si>
    <t>RETOUR MENU                                         RETOUR MENU                                                RETOUR MENU</t>
  </si>
  <si>
    <t>Animer la relation clients</t>
  </si>
  <si>
    <t>Assurer la communication externe</t>
  </si>
  <si>
    <t>Elaborer et animer le plan de communication  externe de l'entreprise</t>
  </si>
  <si>
    <t>Connaitre le client</t>
  </si>
  <si>
    <t>Garantir la fiabilité des données</t>
  </si>
  <si>
    <t>Identifier et recueillir les données clients (dont les différents canaux de contact)</t>
  </si>
  <si>
    <t>Développer la qualité de service</t>
  </si>
  <si>
    <t>Gérer les réclamations</t>
  </si>
  <si>
    <t>Identifier et analyser les remontées clients (lien avec double écouteé CTU)</t>
  </si>
  <si>
    <t>Mesurer la satisfaction clients</t>
  </si>
  <si>
    <t>Garantir la qualité de l'accueil du client</t>
  </si>
  <si>
    <t>Accueillir et informer le client</t>
  </si>
  <si>
    <t>Garantir la qualité de l'information</t>
  </si>
  <si>
    <t>Assurer la qualité de l'information (double écoute)</t>
  </si>
  <si>
    <t>Gérer le référentiel commun des connaissances</t>
  </si>
  <si>
    <t>Assurer la gestion comptable et financière</t>
  </si>
  <si>
    <t>Assurer la communication financière et réglementaire</t>
  </si>
  <si>
    <t>Produire et diffuser les rapport à destination du public</t>
  </si>
  <si>
    <t>Gérer le budget</t>
  </si>
  <si>
    <t>Assurer le contrôlle budgétaire et la comptabilité analytique</t>
  </si>
  <si>
    <t>Gérer les aspects financiers</t>
  </si>
  <si>
    <t>Suivre les placements</t>
  </si>
  <si>
    <t>Gérer les comptabilités</t>
  </si>
  <si>
    <t>Gérer la comptabilité de flux</t>
  </si>
  <si>
    <t>Gérer les interfaces et le paramétrage</t>
  </si>
  <si>
    <t>Produire les états financiers de chaque entité du Groupe</t>
  </si>
  <si>
    <t>Concevoir et promouvoir des services et des produits de protection sociale</t>
  </si>
  <si>
    <t>Concevoir et maintenir l'offre de produits</t>
  </si>
  <si>
    <t>Assurer le support juridique produits</t>
  </si>
  <si>
    <t>Concevoiré mettre à jour et diffuser l'information commerciale</t>
  </si>
  <si>
    <t>Concevoiré mettre à jour et diffuser l'information contractuelle</t>
  </si>
  <si>
    <t>Paramétrer les contrats et les garanties</t>
  </si>
  <si>
    <t>Conquérir et fidéliser les clients</t>
  </si>
  <si>
    <t>Mettre en ooeuvre le Business Plan</t>
  </si>
  <si>
    <t>Définir et mettre en ooeuvre le PAC</t>
  </si>
  <si>
    <t>Prospecter et vendre des contrats et services</t>
  </si>
  <si>
    <t>Animer le plan d'action commercial</t>
  </si>
  <si>
    <t>Animer le rebond commercial</t>
  </si>
  <si>
    <t>Diffuser les contrats</t>
  </si>
  <si>
    <t>Gérer les Ressources humaines</t>
  </si>
  <si>
    <t>Assurer l'administration du personnel</t>
  </si>
  <si>
    <t>Gérer le contrat de travail  ou assurer la vie du contrat</t>
  </si>
  <si>
    <t>Gérer les relations sociales individuelles et collectives</t>
  </si>
  <si>
    <t>Gérer la communication interne</t>
  </si>
  <si>
    <t>Gérer les relations avec les organisations syndicales et les instances représentatives du personnel</t>
  </si>
  <si>
    <t>Gérer les relations sociales individuelles</t>
  </si>
  <si>
    <t>Mettre en oeuvre la GPEC</t>
  </si>
  <si>
    <t>Analyser et ajuster les ressources et les compétences</t>
  </si>
  <si>
    <t>Gérer les ressources informatiques &amp; matérielles</t>
  </si>
  <si>
    <t>Acheter les biens et les prestations</t>
  </si>
  <si>
    <t>Maitriser les activités sous-traitées ou externalisées</t>
  </si>
  <si>
    <t>Mettre en oeuvre la politique achats</t>
  </si>
  <si>
    <t>Assurer la qualité de la donnée</t>
  </si>
  <si>
    <t>Gérer les statistiques sortantes</t>
  </si>
  <si>
    <t>Assurer la sécurité des biens et des personnes</t>
  </si>
  <si>
    <t>Assurer la continuité d'activité</t>
  </si>
  <si>
    <t>Assurer la sécurité des biens</t>
  </si>
  <si>
    <t>Assurer la sécurité des personnes</t>
  </si>
  <si>
    <t>Gérer et maintenir le SI</t>
  </si>
  <si>
    <t>Assurer la sécurité du SI</t>
  </si>
  <si>
    <t>Gérer le parc applicatif</t>
  </si>
  <si>
    <t>Gérer les demandes</t>
  </si>
  <si>
    <t>Gérer les infrastructures</t>
  </si>
  <si>
    <t>Gérer les aspects logistiques</t>
  </si>
  <si>
    <t>Assurer la gestion des courriers et archives</t>
  </si>
  <si>
    <t>Assurer la maintenance des sitesé des locaux et du matériel</t>
  </si>
  <si>
    <t>Gérer les projets et les évolutions</t>
  </si>
  <si>
    <t>Gérer et suivre les demandes d'évolutions/demandes</t>
  </si>
  <si>
    <t>Mettre en ooeuvre et gérer les produits et services clients</t>
  </si>
  <si>
    <t>Gérer les contrats (adhésion et affiliation)</t>
  </si>
  <si>
    <t>Gérer les adhésions collectives</t>
  </si>
  <si>
    <t>Mettre en oeuvre les prestations</t>
  </si>
  <si>
    <t>Gérer et réaliser les actions (solidarité prévention)</t>
  </si>
  <si>
    <t>Gérer les prestations d'actions sociales et culturelles</t>
  </si>
  <si>
    <t>Gérer les prestations prévoyance non-vie (arrêt de travail ?)</t>
  </si>
  <si>
    <t>Gérer les prestations santé (optique?)</t>
  </si>
  <si>
    <t>Recouvrer les cotisations</t>
  </si>
  <si>
    <t>Piloter la stratégie du Groupe</t>
  </si>
  <si>
    <t>Définir et piloter la gouvernance</t>
  </si>
  <si>
    <t>Animer et gérer les instances (réunionsé mandatsé élections)</t>
  </si>
  <si>
    <t>Définir et gérer les relations avec les partenaires (Amicapé CNPAé Alliance Proé Korélio)</t>
  </si>
  <si>
    <t>Définir et piloter la gouvernance opérationnelle (subdélégationé DGé Codiré Comités internes)</t>
  </si>
  <si>
    <t>Gérer les aspect juridiques institutionnels (statuts et pouvoirsé formalitésé conventions)</t>
  </si>
  <si>
    <t>Définir et piloter la stratégie du Groupe</t>
  </si>
  <si>
    <t>Définir et actualiser le plan stratégique</t>
  </si>
  <si>
    <t>Définir et suivre les projets stratégiques</t>
  </si>
  <si>
    <t>Définir le business plan</t>
  </si>
  <si>
    <t>Définir les axes de communication interne/externe</t>
  </si>
  <si>
    <t>Piloter la qualité et la performance</t>
  </si>
  <si>
    <t>Définir et piloter les trajectoires/direction (dont GPEC)</t>
  </si>
  <si>
    <t>Piloter les activités du Groupe</t>
  </si>
  <si>
    <t>Piloter et contrôler les activités</t>
  </si>
  <si>
    <t>Assurer la conformité des activités</t>
  </si>
  <si>
    <t>Piloter l'audit interne</t>
  </si>
  <si>
    <t>Piloter le dispositif de contrôle permanent (desciription des 2 niveaux de contrôle)</t>
  </si>
  <si>
    <t>Assurer la veille organisationnelle  et prospective</t>
  </si>
  <si>
    <t>Définir les axes de management des connaissances du Groupe</t>
  </si>
  <si>
    <t>Déterminer et déployer les normes qualité et performance des activités du Groupe</t>
  </si>
  <si>
    <t>Piloter et gérer le portefeuille des projets</t>
  </si>
  <si>
    <t>Piloter les processus du Groupe</t>
  </si>
  <si>
    <t>Piloter les aspect financiers et budgétaires</t>
  </si>
  <si>
    <t>Définir et suivre le budget (pluriannuel/annuel)é investissement/fonctionnement</t>
  </si>
  <si>
    <t>Piloter la gestion financière (placements et trésorerie)</t>
  </si>
  <si>
    <t>Piloter les Risques et la Solvabilité (ORSA)</t>
  </si>
  <si>
    <t>Piloter la Solvabilité (ORSA)</t>
  </si>
  <si>
    <t>Piloter les Risques</t>
  </si>
  <si>
    <t>Suivre l'équilibre assurantiel</t>
  </si>
  <si>
    <t>Assurer les activités actuarielles</t>
  </si>
  <si>
    <t>Produire les comptes de résultats techniques (prévoyance santé) et suivre les risques</t>
  </si>
  <si>
    <t>Réaliser les études actuarielles et les travaux périodiques</t>
  </si>
  <si>
    <t>Mettre en oeuvre la politique de réassurance et de courtage</t>
  </si>
  <si>
    <t>A définir</t>
  </si>
  <si>
    <t>Risques enregistrés dans MEGA</t>
  </si>
  <si>
    <t>Code</t>
  </si>
  <si>
    <t>Nom Local</t>
  </si>
  <si>
    <t>RETOUR MENU                       RETOUR MENU                             RETOUR MENU                          RETOUR MENU</t>
  </si>
  <si>
    <t>2016-R-ACC-01 (INC)</t>
  </si>
  <si>
    <t>Dégradation de la qualité de la relation client</t>
  </si>
  <si>
    <t>2016-R-MGX-01(INC)</t>
  </si>
  <si>
    <t>Non-conformité aux normes de sécurité, aux accès physiques, et à la détérioration ou à la destruction des locaux ou des matériels mis à disposition du personnel</t>
  </si>
  <si>
    <t>2016-R-RCL-01 (INC)</t>
  </si>
  <si>
    <t>Non-respect des engagements en matière de délais de traitement</t>
  </si>
  <si>
    <t>2016-R-RCL-02 (INC)</t>
  </si>
  <si>
    <t>Processus non conforme aux orientations et recommandations des organismes tutélaires (AGIRC/ARRCO, CTIP, ACPR, …)</t>
  </si>
  <si>
    <t>2016-R-REC-11(INC)</t>
  </si>
  <si>
    <t>Non efficience du recouvrement de cotisations (risque 11 SMR-RC)</t>
  </si>
  <si>
    <t>2017-R-ACHAT-01carto</t>
  </si>
  <si>
    <t>Défaillance dans la contractualisation</t>
  </si>
  <si>
    <t>2017-R-ACT-01(INC)</t>
  </si>
  <si>
    <t>Non réalisation des calculs d'engagements dans les délais</t>
  </si>
  <si>
    <t>2017-R-ACTIF-01</t>
  </si>
  <si>
    <t>Ne pas réaliser la volumétrie des EIR (objectif COM 4)</t>
  </si>
  <si>
    <t>2017-R-ACTIF-13</t>
  </si>
  <si>
    <t>Comptes de points individuels non à jour dans un délai acceptable</t>
  </si>
  <si>
    <t>2017-R-ACTIF-14carto</t>
  </si>
  <si>
    <t>Droits inscrits sans contrepartie de cotisations entreprise (risque 14 SMR-RC)</t>
  </si>
  <si>
    <t>2017-R-ADH-01(carto)</t>
  </si>
  <si>
    <t>2017-R-AI-01</t>
  </si>
  <si>
    <t>Couverture incomplète des zones de risques au travers du plan d'audit</t>
  </si>
  <si>
    <t>2017-R-AI-02</t>
  </si>
  <si>
    <t>Défaillance dans la procédure d'appel d'offre / suivi et pilotage des prestataires</t>
  </si>
  <si>
    <t>2017-R-AI-03</t>
  </si>
  <si>
    <t>Absence de détection d'un risque important au cours d'une mission</t>
  </si>
  <si>
    <t>2017-R-AI-04</t>
  </si>
  <si>
    <t>Absence ou défaillance du suivi des recommandations</t>
  </si>
  <si>
    <t>2017-R-AI-05</t>
  </si>
  <si>
    <t>Absence de prise en compte des obligations réglementaires et de leurs évolutions</t>
  </si>
  <si>
    <t>2017-R-AI-06</t>
  </si>
  <si>
    <t>Absence ou défaillance de la production / diffusion des reportings</t>
  </si>
  <si>
    <t>2017-R-ALL-05</t>
  </si>
  <si>
    <t>Non paiement ou paiement hors délai des allocations</t>
  </si>
  <si>
    <t>2017-R-ALL-06</t>
  </si>
  <si>
    <t>Non recouvrement des allocations versées à tort</t>
  </si>
  <si>
    <t>2017-R-ALL-07</t>
  </si>
  <si>
    <t>Paiement à tort des allocations</t>
  </si>
  <si>
    <t>2017-R-ALL-08</t>
  </si>
  <si>
    <t>Non-suivi des soldes débiteurs</t>
  </si>
  <si>
    <t>2017-R-ALL-09(carto)</t>
  </si>
  <si>
    <t>Non paiement des réversions dans les délais</t>
  </si>
  <si>
    <t>2017-R-AMO-01(INC)</t>
  </si>
  <si>
    <t>risques liés au pilotage et à la gestion des projets, pouvant avoir pour conséquence une mauvaise prise en compte des besoins, un retard de livraison et/ou un dépassement budgétaire</t>
  </si>
  <si>
    <t>2017-R-AS-01(carto)</t>
  </si>
  <si>
    <t>Non respect des décisions prises en commissions sociales (conditions, bénéficiaires, destinataires de paiement).</t>
  </si>
  <si>
    <t>2017-R-AS-02(carto)</t>
  </si>
  <si>
    <t>Non complétude des dossiers (orientations, type d'aide, qualité d'ayant droit)</t>
  </si>
  <si>
    <t>2017-R-AS-21(carto)</t>
  </si>
  <si>
    <t>Non-respect des orientations prioritaires (risque 21 SMR RC)</t>
  </si>
  <si>
    <t>2017-R-AS-22(carto)</t>
  </si>
  <si>
    <t>Manque d’efficience de l’action sociale (risque 22 SMR RC)</t>
  </si>
  <si>
    <t>2017-R-CG-01(carto)</t>
  </si>
  <si>
    <t>Non-respect des délais dans la transmission des documents</t>
  </si>
  <si>
    <t>2017-R-CG-02(carto)</t>
  </si>
  <si>
    <t>Le manque de pertinence ou de qualité des clés de répartition pour la ventilation des institutions</t>
  </si>
  <si>
    <t>2017-R-CG-03(carto)</t>
  </si>
  <si>
    <t>Une estimation partielle ou erronée des données budgétaires issues des orientations stratégiques et des trajectoires fixées en matière de Retraite complémentaire</t>
  </si>
  <si>
    <t>2017-R-CG-04(carto)</t>
  </si>
  <si>
    <t>Une absence ou une erreur de mesure et d’analyse des activités du groupe (valeur cible/budget/réel)</t>
  </si>
  <si>
    <t>2017-R-COM-01</t>
  </si>
  <si>
    <t>Le risque d’image, de réputation et d'insatisfaction client</t>
  </si>
  <si>
    <t>2017-R-CPTA-01</t>
  </si>
  <si>
    <t>Non paiement des prestations allocations</t>
  </si>
  <si>
    <t>2017-R-CPTA-03</t>
  </si>
  <si>
    <t>Encaissement non traité dans les délais</t>
  </si>
  <si>
    <t>2017-R-CPTA-05 (INC)</t>
  </si>
  <si>
    <t>Non qualité des données</t>
  </si>
  <si>
    <t>2017-R-CPTA-16</t>
  </si>
  <si>
    <t>Trésorerie insuffisante pour le paiement des prestations</t>
  </si>
  <si>
    <t>2017-R-CPTA-25 (INC)</t>
  </si>
  <si>
    <t>non établissement des comptes fiables dans les délais et les normes applicables</t>
  </si>
  <si>
    <t>2017-R-DC-01</t>
  </si>
  <si>
    <t>Défaillance dans la capacité à fidéliser le client</t>
  </si>
  <si>
    <t>2017-R-EXTER-04carto</t>
  </si>
  <si>
    <t>Non-respect des engagements contractuels de la part du sous-traitant</t>
  </si>
  <si>
    <t>2017-R-EXTER-05carto</t>
  </si>
  <si>
    <t>Non-suivi ou mauvais suivi du contrat, et perte de contrôle de la prestation sous-traitée</t>
  </si>
  <si>
    <t>2017-R-EXTER-10carto</t>
  </si>
  <si>
    <t>Sous-traitance de l’activité encaissement des cotisations (risque 10 SMR-RC)</t>
  </si>
  <si>
    <t>2017-R-EXTER-12carto</t>
  </si>
  <si>
    <t>Délégation d’une partie de l’activité du recouvrement des cotisations (risque 12 SMR-RC)</t>
  </si>
  <si>
    <t>2017-R-EXTER-17carto</t>
  </si>
  <si>
    <t>Délégation de la gestion financière (risque 17 SMR-RC)</t>
  </si>
  <si>
    <t>2017-R-FIN-01(carto)</t>
  </si>
  <si>
    <t>Respect des délais de transmission à l’AGIRC/ARRCO</t>
  </si>
  <si>
    <t>2017-R-FIN-15(carto)</t>
  </si>
  <si>
    <t>Non-respect du règlement financier des fédérations (risque 15 SMR-RC)</t>
  </si>
  <si>
    <t>2017-R-FIN-16(carto)</t>
  </si>
  <si>
    <t>Trésorerie insuffisante pour le paiement des allocations à l'échéance (risque 16 SMR-RC)</t>
  </si>
  <si>
    <t>2017-R-INST-01carto</t>
  </si>
  <si>
    <t>Risque de fonctionnement des instances non conformes aux statuts.</t>
  </si>
  <si>
    <t>2017-R-INST-02carto</t>
  </si>
  <si>
    <t>Risque de remboursement indu des frais de mandat</t>
  </si>
  <si>
    <t>2017-R-INST-03carto</t>
  </si>
  <si>
    <t>Risque de conflits d’intérêts</t>
  </si>
  <si>
    <t>2017-R-INST-04carto</t>
  </si>
  <si>
    <t>Risque de non-efficience du fonctionnement des instances de gouvernance</t>
  </si>
  <si>
    <t>2017-R-LIQ-01</t>
  </si>
  <si>
    <t>Erreur dans l'instruction des dossiers retraite</t>
  </si>
  <si>
    <t>2017-R-LIQ-02</t>
  </si>
  <si>
    <t>Non mise en paiement dans les délais</t>
  </si>
  <si>
    <t>2017-R-LIQ-03</t>
  </si>
  <si>
    <t>Mise en paiement à tort d’allocations / conditions d’ouverture de droits</t>
  </si>
  <si>
    <t>2017-R-LIQ-04</t>
  </si>
  <si>
    <t>Non exhaustivité des liquidations retraite (dossier incomplet)</t>
  </si>
  <si>
    <t>2017-R-MGX-02carto</t>
  </si>
  <si>
    <t>Absence de prise en charge, ou de prise en charge tardive ou par un mauvais interlocuteur des demandes clients externes et internes quel que soit le canal d’entrée (courrier, téléphone, fax, mail…)</t>
  </si>
  <si>
    <t>2017-R-PFLIJ-01(INC)</t>
  </si>
  <si>
    <t>Absence de paiement de l'indemnité journalière dans les délais</t>
  </si>
  <si>
    <t>2017-R-PSTRAT-01</t>
  </si>
  <si>
    <t>Risque de non couverture du plan stratégique ou des orientations stratégiques par le portefeuille des projets stratégiques</t>
  </si>
  <si>
    <t>2017-R-PSTRAT-02</t>
  </si>
  <si>
    <t>Risque d'inadéquation avec les objectifs stratégiques</t>
  </si>
  <si>
    <t>2017-R-PSTRAT-03</t>
  </si>
  <si>
    <t>Risque de divergences entre les objectifs initiaux du projet et la réalisation effective</t>
  </si>
  <si>
    <t>2017-R-PSTRAT-04</t>
  </si>
  <si>
    <t>Risque d'inadéquation ou de dépassement des budgets alloués (selon axe coûts, ressources, charges, délais)</t>
  </si>
  <si>
    <t>2017-R-PSTRAT-05</t>
  </si>
  <si>
    <t>Risque d'erreur, absence d'information dans l'élaboration des relevés de décision et des tableaux de bord</t>
  </si>
  <si>
    <t>2017-R-PSTRAT-06</t>
  </si>
  <si>
    <t>Risque de non-respect des délais de diffusion des relevés de décision et des tableaux de bord</t>
  </si>
  <si>
    <t>2017-R-REC-01(carto)</t>
  </si>
  <si>
    <t>Retard dans la mise à disposition d’une situation à jour des comptes entreprises (risque complémentaire)</t>
  </si>
  <si>
    <t>2017-R-REC-02(carto)</t>
  </si>
  <si>
    <t>Défaillance dans la prise en charge des demandes clients</t>
  </si>
  <si>
    <t>2017-R-REC-08(INC)</t>
  </si>
  <si>
    <t>Encaissement non traité dans les délais (risque 8 SMR-RC).</t>
  </si>
  <si>
    <t>2017-R-REC-09(carto)</t>
  </si>
  <si>
    <t>Retard dans la ventilation du paiement sur les comptes des régimes Agirc-Arrco (risque 9 SMR-RC)</t>
  </si>
  <si>
    <t>2017-R-RH-01(carto)</t>
  </si>
  <si>
    <t>Risques relatifs au droit social</t>
  </si>
  <si>
    <t>2017-R-RH-02(carto)</t>
  </si>
  <si>
    <t>Risques liés à la gestion du capital humain</t>
  </si>
  <si>
    <t>2017-R-RH-03(carto)</t>
  </si>
  <si>
    <t>Risques psychosociaux</t>
  </si>
  <si>
    <t>2017-R-SCRER-01</t>
  </si>
  <si>
    <t>Risque d'erreur de traitement de l'indu</t>
  </si>
  <si>
    <t>2017-R-SCRNT-01</t>
  </si>
  <si>
    <t>Risque de ne pas réclamer l'indu</t>
  </si>
  <si>
    <t>2017-R-SDC-01</t>
  </si>
  <si>
    <t>Absence ou défaillance (absente / erronnée / incohérente) dans l'élaboration et/ou la mise à jour d'un règlement</t>
  </si>
  <si>
    <t>2017-R-SDC-02</t>
  </si>
  <si>
    <t>Absence ou défaillance (absente / erronnée / incohérente) dans la diffusion du règlement</t>
  </si>
  <si>
    <t>2017-R-SDC-03</t>
  </si>
  <si>
    <t>Absence ou défaillance (absente / erronnée / incohérente) dans l'élaboration et/ou la mise à jour des documents contractuels</t>
  </si>
  <si>
    <t>2017-R-SDC-04</t>
  </si>
  <si>
    <t>Absence ou défaillance (absente / erronnée / incohérente) dans la diffusion des documents contractuels</t>
  </si>
  <si>
    <t>2017-R-SDC-05</t>
  </si>
  <si>
    <t>Non respect des délais légaux de mise à disposition de l'information contractuelle</t>
  </si>
  <si>
    <t>2017-R-SDPER-01</t>
  </si>
  <si>
    <t>Absence de traitement ou erreur sur devis et prise en charge prestations santé</t>
  </si>
  <si>
    <t>2017-R-SDPHD-01</t>
  </si>
  <si>
    <t>Devis et prises en charge prestations  santé traités hors délais</t>
  </si>
  <si>
    <t>2017-R-SEC-01(INC)</t>
  </si>
  <si>
    <t>Risques liés à des actes de malveillance globale, principalement le risque d’intrusion dans les systèmes d’information par des attaques extérieures</t>
  </si>
  <si>
    <t>2017-R-SI-01(carto)</t>
  </si>
  <si>
    <t>Risques liés à la gestion des infrastructures et des matériels informatiques</t>
  </si>
  <si>
    <t>2017-R-SI-02(carto)</t>
  </si>
  <si>
    <t>Risques liés à l’exploitation quotidienne et aux opérations de maintenance</t>
  </si>
  <si>
    <t>2017-R-SI-03(carto)</t>
  </si>
  <si>
    <t>Risques liés à la gestion des projets</t>
  </si>
  <si>
    <t>2017-R-SI-04(carto)</t>
  </si>
  <si>
    <t>Risques liés à l’exploitation des données issues des systèmes</t>
  </si>
  <si>
    <t>2017-R-SMJDL-01</t>
  </si>
  <si>
    <t>Mises à jour administratives prestations santé traitées hors délais</t>
  </si>
  <si>
    <t>2017-R-SMJER-01</t>
  </si>
  <si>
    <t>Absence ou erreur de traitement des Maj prestations santé</t>
  </si>
  <si>
    <t>2017-R-SPMER-01</t>
  </si>
  <si>
    <t>2017-R-SPMHD-01</t>
  </si>
  <si>
    <t>Nom Onglet</t>
  </si>
  <si>
    <t>Nom du risque</t>
  </si>
  <si>
    <t>Code MEGA</t>
  </si>
  <si>
    <t>Processus Métier</t>
  </si>
  <si>
    <t xml:space="preserve">Probabilité Brute </t>
  </si>
  <si>
    <t>Synthèse des impacts bruts</t>
  </si>
  <si>
    <t>Synthèse du DMR</t>
  </si>
  <si>
    <t>Synthèse des impacts Nets</t>
  </si>
  <si>
    <t>Sélectionner votre Direction :</t>
  </si>
  <si>
    <t>Nom Onglet :</t>
  </si>
  <si>
    <t>Eval Dir opérationnelle
(Si nécessaire)</t>
  </si>
  <si>
    <t>commentaires</t>
  </si>
  <si>
    <t>Probabilité Brute :</t>
  </si>
  <si>
    <t xml:space="preserve"> --------------------------------------&gt;</t>
  </si>
  <si>
    <t>Synthèse des impacts bruts :</t>
  </si>
  <si>
    <t>Synthèse du DMR :</t>
  </si>
  <si>
    <t>Probabilité Nette :</t>
  </si>
  <si>
    <t>Synthèse des impacts Nets :</t>
  </si>
  <si>
    <t>Perte &lt;10 clients IC 110
Augmentation &lt; 20% des appels téléphoniques / Augmentation &lt; 10% des réclamations clients
Moins de 100 assurés / allocataires touchés
Moins de 50 entreprises clientes touchés
Médiatisation limitée à la presse spécialisée</t>
  </si>
  <si>
    <t>Non-respect des directives du service concerné
Litige isolé réglé par transaction amiable</t>
  </si>
  <si>
    <t>Non-respect des directives de la Direction générale
Litiges multiples réglés par transaction amiable</t>
  </si>
  <si>
    <t>Constats de non-conformité et recommandations importantes, remarques formelles des autorités de tutelles
Injonction ou mise en cause devant les tribunaux</t>
  </si>
  <si>
    <t>Blâme des autorités de tutelle / Sanctions financières des autorités de tutelle (capital add on)
Condamnation civile d'un dirigeant ou d'une personne morale</t>
  </si>
  <si>
    <t>Retard limité d'un Projet stratégique 
Perte limitée de la performance / qualité des opérations ou d'un outil</t>
  </si>
  <si>
    <t>Remise en cause partielle d'une Orientation / Projet stratégique 
Perte notable de la performance / qualité des opérations ou des outils / des SI</t>
  </si>
  <si>
    <t>Remise en cause / abandon d'une orientation / projet stratégique
Remise en cause du développement d'une entité ou d'une branche d'activité du groupe
Remise en cause de l'efficacité des opérations/ de la qualité des outils/ des SI</t>
  </si>
  <si>
    <t>Retraite</t>
  </si>
  <si>
    <t>Impacts dont la gravité peut provoquer : 
- l'arrêt total ou partiel des processus clés/sensibles
- un dégradation jugée importante du chiffre d'affaire, et ou des fonds propres ayant des conséquences majeurs pour l'entreprise.</t>
  </si>
  <si>
    <t>R1B</t>
  </si>
  <si>
    <t>R2B</t>
  </si>
  <si>
    <t>R3B</t>
  </si>
  <si>
    <t>R4B</t>
  </si>
  <si>
    <t>R5B</t>
  </si>
  <si>
    <t>R6B</t>
  </si>
  <si>
    <t>R7B</t>
  </si>
  <si>
    <t>R8B</t>
  </si>
  <si>
    <t>R9B</t>
  </si>
  <si>
    <t>R10B</t>
  </si>
  <si>
    <t>R11B</t>
  </si>
  <si>
    <t>R12B</t>
  </si>
  <si>
    <t>R13B</t>
  </si>
  <si>
    <t>R14B</t>
  </si>
  <si>
    <t>R15B</t>
  </si>
  <si>
    <t>R16B</t>
  </si>
  <si>
    <t>R17B</t>
  </si>
  <si>
    <t>R18B</t>
  </si>
  <si>
    <t>R19B</t>
  </si>
  <si>
    <t>R20B</t>
  </si>
  <si>
    <t>R21B</t>
  </si>
  <si>
    <t>R22B</t>
  </si>
  <si>
    <t>R23B</t>
  </si>
  <si>
    <t>R24B</t>
  </si>
  <si>
    <t>R25B</t>
  </si>
  <si>
    <t>R26B</t>
  </si>
  <si>
    <t>R27B</t>
  </si>
  <si>
    <t>R28B</t>
  </si>
  <si>
    <t>R29B</t>
  </si>
  <si>
    <t>R30B</t>
  </si>
  <si>
    <t>R31B</t>
  </si>
  <si>
    <t>R32B</t>
  </si>
  <si>
    <t>R33B</t>
  </si>
  <si>
    <t>R34B</t>
  </si>
  <si>
    <t>R35B</t>
  </si>
  <si>
    <t>R36B</t>
  </si>
  <si>
    <t>R37B</t>
  </si>
  <si>
    <t>R1N</t>
  </si>
  <si>
    <t>R2N</t>
  </si>
  <si>
    <t>R3N</t>
  </si>
  <si>
    <t>R4N</t>
  </si>
  <si>
    <t>R5N</t>
  </si>
  <si>
    <t>R6N</t>
  </si>
  <si>
    <t>R7N</t>
  </si>
  <si>
    <t>R8N</t>
  </si>
  <si>
    <t>R9N</t>
  </si>
  <si>
    <t>R10N</t>
  </si>
  <si>
    <t>R11N</t>
  </si>
  <si>
    <t>R12N</t>
  </si>
  <si>
    <t>R13N</t>
  </si>
  <si>
    <t>R14N</t>
  </si>
  <si>
    <t>R15N</t>
  </si>
  <si>
    <t>R16N</t>
  </si>
  <si>
    <t>R17N</t>
  </si>
  <si>
    <t>R18N</t>
  </si>
  <si>
    <t>R19N</t>
  </si>
  <si>
    <t>R20N</t>
  </si>
  <si>
    <t>R21N</t>
  </si>
  <si>
    <t>R22N</t>
  </si>
  <si>
    <t>R23N</t>
  </si>
  <si>
    <t>R24N</t>
  </si>
  <si>
    <t>R25N</t>
  </si>
  <si>
    <t>R26N</t>
  </si>
  <si>
    <t>R27N</t>
  </si>
  <si>
    <t>R28N</t>
  </si>
  <si>
    <t>R29N</t>
  </si>
  <si>
    <t>R30N</t>
  </si>
  <si>
    <t>R31N</t>
  </si>
  <si>
    <t>R32N</t>
  </si>
  <si>
    <t>R33N</t>
  </si>
  <si>
    <t>R34N</t>
  </si>
  <si>
    <t>R35N</t>
  </si>
  <si>
    <t>R36N</t>
  </si>
  <si>
    <t>R37N</t>
  </si>
  <si>
    <t>R38N</t>
  </si>
  <si>
    <t>R39N</t>
  </si>
  <si>
    <t>COTATION RISQUE BRUT/NET</t>
  </si>
  <si>
    <t>Nom risque Criticité</t>
  </si>
  <si>
    <t>Risk1</t>
  </si>
  <si>
    <t>Risk2</t>
  </si>
  <si>
    <t>Risk3</t>
  </si>
  <si>
    <t>Risk4</t>
  </si>
  <si>
    <t>Risk5</t>
  </si>
  <si>
    <t>Risk6</t>
  </si>
  <si>
    <t>Risk7</t>
  </si>
  <si>
    <t>Risk8</t>
  </si>
  <si>
    <t>Risk9</t>
  </si>
  <si>
    <t>Risk10</t>
  </si>
  <si>
    <t>Risk11</t>
  </si>
  <si>
    <t>Risk12</t>
  </si>
  <si>
    <t>Risk13</t>
  </si>
  <si>
    <t>Risk14</t>
  </si>
  <si>
    <t>Risk15</t>
  </si>
  <si>
    <t>Risk16</t>
  </si>
  <si>
    <t>Risk17</t>
  </si>
  <si>
    <t>Risk18</t>
  </si>
  <si>
    <t>Risk19</t>
  </si>
  <si>
    <t>Risk20</t>
  </si>
  <si>
    <t>Risk21</t>
  </si>
  <si>
    <t>Risk22</t>
  </si>
  <si>
    <t>Risk23</t>
  </si>
  <si>
    <t>Risk24</t>
  </si>
  <si>
    <t>Risk25</t>
  </si>
  <si>
    <t>Risk26</t>
  </si>
  <si>
    <t>Risk27</t>
  </si>
  <si>
    <t>Risk28</t>
  </si>
  <si>
    <t>Risk29</t>
  </si>
  <si>
    <t>Risk30</t>
  </si>
  <si>
    <t>Risk31</t>
  </si>
  <si>
    <t>Risk32</t>
  </si>
  <si>
    <t>Risk33</t>
  </si>
  <si>
    <t>Risk34</t>
  </si>
  <si>
    <t>Risk35</t>
  </si>
  <si>
    <t>Risk36</t>
  </si>
  <si>
    <t>Risk37</t>
  </si>
  <si>
    <t>Risk38</t>
  </si>
  <si>
    <t>Risk39</t>
  </si>
  <si>
    <t>CARTOGRAPHIE DES RISQUES BRUTS</t>
  </si>
  <si>
    <t>CARTOGRAPHIE DES RISQUES NETS</t>
  </si>
  <si>
    <t>Risque Majeur :</t>
  </si>
  <si>
    <t>Risque Clé :</t>
  </si>
  <si>
    <t>Processus métier :</t>
  </si>
  <si>
    <t>Nom du risque :</t>
  </si>
  <si>
    <t>Processus Organisationnel :</t>
  </si>
  <si>
    <t>Code MEGA :</t>
  </si>
  <si>
    <t>Risque 
Majeur</t>
  </si>
  <si>
    <t>Risque Clé</t>
  </si>
  <si>
    <t>Impact Financier :</t>
  </si>
  <si>
    <t>Impact Image / Client :</t>
  </si>
  <si>
    <t>Impact Réglementaire / Conformité :</t>
  </si>
  <si>
    <t>Impact Stratégique :</t>
  </si>
  <si>
    <t>Commentaires</t>
  </si>
  <si>
    <t>Synthèse de l'évaluation à dire d'expert (CMR)</t>
  </si>
  <si>
    <t>Impact Financier</t>
  </si>
  <si>
    <t>Évènement extrêmement rare</t>
  </si>
  <si>
    <t>Évènement peu attendu ou rare au regard du volume d'actes réalisés</t>
  </si>
  <si>
    <t>Évènement potentiellement attendu ou probable au regard du volume d'actes réalisés</t>
  </si>
  <si>
    <t>Évènement pouvant se produire souvent du fait du volume et/ou de l'acteur de l'acte de gestion</t>
  </si>
  <si>
    <t>Évènement attendu régulièrement du fait du volume et/ou de l'acteur de l'acte de gestion</t>
  </si>
  <si>
    <t>Évènement attendu de façon chronique du fait du volume et/ou de l'acteur de l'acte de gestion</t>
  </si>
  <si>
    <t>Coût non significatif sur le chiffre d'affaires, le résultat ou la solvabilité (fonds propres)</t>
  </si>
  <si>
    <t>Coût limité au regard du chiffre d'affaires, le résultat ou  de la solvabilité (fonds propres)</t>
  </si>
  <si>
    <t>Coût ayant un impact probable sur le résultat</t>
  </si>
  <si>
    <t>Coût impliquant la nécessité de constituer une provision dans les comptes</t>
  </si>
  <si>
    <t>Coût dépassant les seuils de signification pour les commissaires aux comptes</t>
  </si>
  <si>
    <t>Coût remettant en cause la solvabilité du groupe</t>
  </si>
  <si>
    <t>Organisation très complexe et / ou ressources inadaptées, très insuffisantes</t>
  </si>
  <si>
    <t>Organisation complexe et / ou ressources partiellement inadaptées, insuffisantes</t>
  </si>
  <si>
    <t>Organisation pleinement satisfaisante. Ressources adaptées, suffisantes</t>
  </si>
  <si>
    <t>Système d'information régulièrement défaillant (indisponible, nombreux bug en suspens…)</t>
  </si>
  <si>
    <t>Système d'information pleinement satisfaisant et capable d'évoluer / aux besoins utilisateurs</t>
  </si>
  <si>
    <t xml:space="preserve">Non-conformité importante identifiée et temps de mise en conformité inadapté au regard des contraintes  réglementaires </t>
  </si>
  <si>
    <t xml:space="preserve">Non-conformité identifiées tardivement et temps de mise en conformité réduit au regard des contraintes réglementaires </t>
  </si>
  <si>
    <t xml:space="preserve">Non-conformité  identifiées au fil de l'eau et actions de mises en conformités planifiées </t>
  </si>
  <si>
    <t>Non-conformité  anticipées au fil de l'eau et actions de mises en conformités planifiées</t>
  </si>
  <si>
    <t>Absence d’élément de maîtrise : pas ou peu de règle, on se fie à l’expérience, pas ou peu de remontées d’informations, pas ou peu de sensibilisation du personnel aux risques.</t>
  </si>
  <si>
    <t xml:space="preserve">Dispositifs mis en place ne permettant pas de réduire significativement la fréquence ou l’impact du risque : règles orales, éléments de maîtrise partiellement existants ou pertinents et peu formalisés. </t>
  </si>
  <si>
    <t>Dispositifs mis en place permettant de réduire notablement la fréquence ou l’impact du risque : règles écrites mais à compléter, éléments de maîtrise existants et  pertinents, formalisés mais à compléter.</t>
  </si>
  <si>
    <t>Dispositifs mis en place permettant de réduire la fréquence ou l’impact du risque à un niveau satisfaisant : règles écrites et détaillées, contrôles formalisés et appliqués (indicateurs de suivi et de contrôle, évaluation des procédures, etc.).</t>
  </si>
  <si>
    <t>Synthèse des DMR</t>
  </si>
  <si>
    <t>Probabilité Brute/Nette</t>
  </si>
  <si>
    <t>Synthèse des impacts Bruts/Nets</t>
  </si>
  <si>
    <t>DMR : Homme</t>
  </si>
  <si>
    <t>Organisation satisfaisante mais pas optimale. Ressources adaptées, suffisantes.</t>
  </si>
  <si>
    <t>DMR : SI</t>
  </si>
  <si>
    <t>Pas de système d'information (alors que nécessaire). Système d'information obsolète (inadapté aux besoins métiers),</t>
  </si>
  <si>
    <t>Système d'information satisfaisant (aux besoins utilisateurs, peu de bugs...).</t>
  </si>
  <si>
    <t>DMR : Procédure</t>
  </si>
  <si>
    <t>Processus complexe (trop vaste, trop d'acteurs, pas de responsabilité…), non documenté. Processus avec des dysfonctionnements réguliers.</t>
  </si>
  <si>
    <t>Processus ou procédure non formalisés.Processus avec quelques dysfonctionnements importants non résolus ou  temps de résolution, d’adaptation long.</t>
  </si>
  <si>
    <t xml:space="preserve">Processus et ou procédure formalisés.Processus avec quelques dysfonctionnements  mineurs et temps de résolution court / rapide </t>
  </si>
  <si>
    <t>Processus formalisé,  procédure et mis à jour régulièrement. Processus avec très peu de dysfonctionnements (en général mineurs)</t>
  </si>
  <si>
    <t>DMR : Règlementaire</t>
  </si>
  <si>
    <t>DMR : Image</t>
  </si>
  <si>
    <t>Impacts Financiers</t>
  </si>
  <si>
    <t>Impacts Clients</t>
  </si>
  <si>
    <t xml:space="preserve">Perte d'un client hors IC 110, 
Augmentation &lt; 10% des appels téléphoniques / Augmentation &lt; 5% des réclamations clients
Moins de 10 assurés / allocataires touchés
Moins de 5  entreprises clientes touchés
Médiatisation limitée à la presse locale ou régionale
</t>
  </si>
  <si>
    <t>Perte entre 10 et 100 clients hors IC 110
Augmentation entre 20% et 100% des appels téléphoniques / Augmentation entre 10% et 50% des réclamations clients
De 100 à 1000 assurés / allocataires touchés
 50 - 100 entreprises clientes touchés
Médiatisation de grande ampleur via un seul canal au niveau national / Affluence sur internet et/ou réseaux sociaux</t>
  </si>
  <si>
    <t>Perte d'un client du top 10
Augmentation entre &gt; 400% et 1000% des appels téléphoniques / Augmentation entre 200% et 500% des réclamations clients
 &gt;  5000 à 10000assurés / allocataires touchés
 &gt; 500 à 5000 entreprises clientes touchés
Médiatisation de grande ampleur par tous les médias nationaux (hors internet et réseaux sociaux)</t>
  </si>
  <si>
    <t>Perte entre 10 et 100 clients hors top 10 ou IC110
Augmentation entre 100% et 400% des appels téléphoniques / Augmentation entre 50% et 200% des réclamations clients
De 1000 à 5000 assurés / allocataires touchés
De 100 - 500 entreprises clientes touchés
Mise en cause à titre personnel ou professionnel d'un dirigeant effectif, d'un membre du codir, ou d'un administrateur</t>
  </si>
  <si>
    <t>Perte &gt; 1 client du top 10
Augmentation &gt; 1000% des appels téléphoniques Augmentation &gt; 500% des réclamations clients
&gt; 10000 assurés / allocataires touchés 
&gt;  5000 entreprises clientes touchés
Médiatisation de grande ampleur par tous les médias nationaux ,(y compris internet et réseaux sociaux)</t>
  </si>
  <si>
    <t>Impacts Conformité</t>
  </si>
  <si>
    <t>Impacts Stratégie</t>
  </si>
  <si>
    <t>Remise en cause du Plan stratégique d'une entité ou d'une branche d'activité du groupe 
Remise en cause de la pérennité d'une entité ou d'une branche d'activité du groupe
Remise en cause de la pérennité des SI
Remise en cause du développement du groupe</t>
  </si>
  <si>
    <t>Impact 
Image / Client</t>
  </si>
  <si>
    <t>Impact 
RéglementaireConformité</t>
  </si>
  <si>
    <t>Impact Stratégique</t>
  </si>
  <si>
    <t>DMR Homme</t>
  </si>
  <si>
    <t>DMR SI</t>
  </si>
  <si>
    <t>DMR Procédure</t>
  </si>
  <si>
    <t>DMR Conformité</t>
  </si>
  <si>
    <t>IRPAUTO IPSA</t>
  </si>
  <si>
    <t>ADP</t>
  </si>
  <si>
    <t>Mode d'identification</t>
  </si>
  <si>
    <t>2. Périmètre</t>
  </si>
  <si>
    <t>Mode d'identification :</t>
  </si>
  <si>
    <t>1. Caractéristiques du risque</t>
  </si>
  <si>
    <t>3. Facteurs de risques</t>
  </si>
  <si>
    <t>Onglet Caractéristiques</t>
  </si>
  <si>
    <t>Département du déclarant :</t>
  </si>
  <si>
    <t>4. Conséquences de risques</t>
  </si>
  <si>
    <t>Mission d'audit</t>
  </si>
  <si>
    <t>Sondages</t>
  </si>
  <si>
    <t>Ateliers</t>
  </si>
  <si>
    <t>Base d'incidents</t>
  </si>
  <si>
    <t>Zone d'aide (affichage commentaires)</t>
  </si>
  <si>
    <t>IRPAUTO IENA</t>
  </si>
  <si>
    <t>ADP :</t>
  </si>
  <si>
    <t>Retraite :</t>
  </si>
  <si>
    <t>Autres :</t>
  </si>
  <si>
    <t>Toutes :</t>
  </si>
  <si>
    <t>x</t>
  </si>
  <si>
    <t>Description détaillée</t>
  </si>
  <si>
    <t xml:space="preserve">Description détaillée :  </t>
  </si>
  <si>
    <t>Département déclarant</t>
  </si>
  <si>
    <t>Processus Organisationnel</t>
  </si>
  <si>
    <t>Evaluation de la Probabilité Brute</t>
  </si>
  <si>
    <t>Evaluation des Impacts Bruts</t>
  </si>
  <si>
    <t>Gravité Brute :</t>
  </si>
  <si>
    <t>Conséquences Conf./Regl.</t>
  </si>
  <si>
    <t>Conséquences Financier</t>
  </si>
  <si>
    <t>Conséquences
Client/Img</t>
  </si>
  <si>
    <t>Conséquences 
Stratégie</t>
  </si>
  <si>
    <t>Le risque brut s'obtient par le calcul suivant : Probabilité brute x synthèse des impacts bruts. 
Pour déterminer le niveau de gravité, le résultat du risque brut doit être placer dans la cartographie ci-dessous</t>
  </si>
  <si>
    <t>La gravité brute s'obtient par le calcul suivant : Probabilité brute x synthèse des impacts bruts.</t>
  </si>
  <si>
    <t>Evaluation du Dispositif de maitrise des risques ( DMR)</t>
  </si>
  <si>
    <t>Impact</t>
  </si>
  <si>
    <t>Note</t>
  </si>
  <si>
    <t>PROBABILITE</t>
  </si>
  <si>
    <t>Impact/Probabilité</t>
  </si>
  <si>
    <t>Gravité
Brute</t>
  </si>
  <si>
    <t>Gravité</t>
  </si>
  <si>
    <t>Niveau de surveillance</t>
  </si>
  <si>
    <t>MATRICE DE GRAVITÉ</t>
  </si>
  <si>
    <t xml:space="preserve">PROBABILITE </t>
  </si>
  <si>
    <t xml:space="preserve">SYNTHESE DES IMPACTS </t>
  </si>
  <si>
    <t>Valeurs des zones de la matrice de Gravité</t>
  </si>
  <si>
    <t>Très élevé</t>
  </si>
  <si>
    <t xml:space="preserve">Risque négigeable pas d'actions attendues </t>
  </si>
  <si>
    <t>Gestion courante et planification de plans d'actions en fonction des priorités de l'activité</t>
  </si>
  <si>
    <t>Nécessité de mise en place de plans d'actions avec une supérivision par la fonction clé ou le département des risques</t>
  </si>
  <si>
    <t xml:space="preserve">Nécessité de mise en place de plans d'actions avec une supérivision étroite par le comité des risques </t>
  </si>
  <si>
    <t xml:space="preserve">MATRICE DE CRITICITE </t>
  </si>
  <si>
    <t>GRAVITE 
BRUTE</t>
  </si>
  <si>
    <t xml:space="preserve">Mineur </t>
  </si>
  <si>
    <t xml:space="preserve">Insuffisant </t>
  </si>
  <si>
    <t>SYNTHESE DU DMR</t>
  </si>
  <si>
    <t>Valeurs des zones de la matrice de Criticité</t>
  </si>
  <si>
    <t>Zone de criticité faible /Surveillance faible</t>
  </si>
  <si>
    <t>Zone de criticité faible /Surveillance modérée</t>
  </si>
  <si>
    <t>Zone de criticité modérée /Surveillance modérée</t>
  </si>
  <si>
    <t>Zone de criticité élevée /Surveillance soutenue</t>
  </si>
  <si>
    <t>Zone de criticité élevée /Surveillance à renforcer</t>
  </si>
  <si>
    <t>Zone de criticité très élevée /Surveillance insuffisante</t>
  </si>
  <si>
    <t>Evaluation du Risque Brut</t>
  </si>
  <si>
    <t>Tes-test-01</t>
  </si>
  <si>
    <t>Bla</t>
  </si>
  <si>
    <t>Blablablabla</t>
  </si>
  <si>
    <t>Test1</t>
  </si>
  <si>
    <t>Test 2</t>
  </si>
  <si>
    <t>Evaluation de la criticité</t>
  </si>
  <si>
    <t xml:space="preserve">Evaluation de la Gravité Nette </t>
  </si>
  <si>
    <t>Gravité Nette :</t>
  </si>
  <si>
    <t>Niveau de maîtrise 
Homme et organisation:</t>
  </si>
  <si>
    <t>Niveau de maîtrise SI :</t>
  </si>
  <si>
    <t>Niveau de maîtrise Processus et procédure :</t>
  </si>
  <si>
    <t>Niveau de maîtrise Conformité/Réglementaire :</t>
  </si>
  <si>
    <t>E1</t>
  </si>
  <si>
    <t>E2</t>
  </si>
  <si>
    <t>E3</t>
  </si>
  <si>
    <t>E4</t>
  </si>
  <si>
    <t>E5</t>
  </si>
  <si>
    <t>E6</t>
  </si>
  <si>
    <t>Facteurs Risques 1</t>
  </si>
  <si>
    <t>Facteurs Risques 2</t>
  </si>
  <si>
    <t>Facteurs Risques 3</t>
  </si>
  <si>
    <t>Facteurs Risques 4</t>
  </si>
  <si>
    <t>Facteurs Risques 5</t>
  </si>
  <si>
    <t>Facteurs Risques 6</t>
  </si>
  <si>
    <t>Conséquences Risques 1</t>
  </si>
  <si>
    <t>Conséquences Risques 2</t>
  </si>
  <si>
    <t>Conséquences Risques 3</t>
  </si>
  <si>
    <t>Conséquences Risques 4</t>
  </si>
  <si>
    <t>Conséquences Risques 5</t>
  </si>
  <si>
    <t>Conséquences Risques 6</t>
  </si>
  <si>
    <t>Gravité Nette</t>
  </si>
  <si>
    <t>Criticité</t>
  </si>
  <si>
    <t>Criticité :
(zone de surveillance)</t>
  </si>
  <si>
    <t>Gravité Brute évaluée automatiquement :</t>
  </si>
  <si>
    <t>Cette cotation  a été calculée directement à partir des éléments que vous avez saisis préalablement.</t>
  </si>
  <si>
    <t>Cotation du DMR</t>
  </si>
  <si>
    <t>Cotation automatique de la Gravité Brute</t>
  </si>
  <si>
    <t>Cotation de la Gravité Brute par le CMR</t>
  </si>
  <si>
    <t>Criticité/Niveau de surveillance</t>
  </si>
  <si>
    <t>Maturité/Gravité</t>
  </si>
  <si>
    <t>Très élevée</t>
  </si>
  <si>
    <t>Nom risque carto</t>
  </si>
  <si>
    <t>Nom Risque Carto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</si>
</sst>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F800]dddd\,\ mmmm\ dd\,\ yyyy"/>
    <numFmt numFmtId="166" formatCode="#;\-#;"/>
  </numFmts>
  <fonts count="72"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b/>
      <sz val="10"/>
      <name val="Arial"/>
      <family val="2"/>
    </font>
    <font>
      <sz val="8"/>
      <name val="Arial"/>
      <family val="2"/>
    </font>
    <font>
      <b/>
      <sz val="10"/>
      <name val="Verdana"/>
      <family val="2"/>
    </font>
    <font>
      <b/>
      <sz val="14"/>
      <name val="Verdana"/>
      <family val="2"/>
    </font>
    <font>
      <b/>
      <sz val="8"/>
      <name val="Verdana"/>
      <family val="2"/>
    </font>
    <font>
      <i/>
      <sz val="8"/>
      <name val="Verdana"/>
      <family val="2"/>
    </font>
    <font>
      <b/>
      <sz val="18"/>
      <name val="Verdana"/>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9"/>
      <name val="Arial"/>
      <family val="2"/>
    </font>
    <font>
      <b/>
      <sz val="12"/>
      <name val="Arial"/>
      <family val="2"/>
    </font>
    <font>
      <b/>
      <sz val="9"/>
      <name val="Verdana"/>
      <family val="2"/>
    </font>
    <font>
      <i/>
      <u/>
      <sz val="10"/>
      <name val="Verdana"/>
      <family val="2"/>
    </font>
    <font>
      <sz val="8"/>
      <color theme="1"/>
      <name val="Calibri"/>
      <family val="2"/>
      <scheme val="minor"/>
    </font>
    <font>
      <b/>
      <sz val="8"/>
      <color theme="1"/>
      <name val="Calibri"/>
      <family val="2"/>
      <scheme val="minor"/>
    </font>
    <font>
      <b/>
      <sz val="8"/>
      <name val="Arial"/>
      <family val="2"/>
    </font>
    <font>
      <b/>
      <sz val="14"/>
      <name val="Arial"/>
      <family val="2"/>
    </font>
    <font>
      <sz val="8"/>
      <color theme="0"/>
      <name val="Calibri"/>
      <family val="2"/>
      <scheme val="minor"/>
    </font>
    <font>
      <sz val="8.25"/>
      <color rgb="FF000000"/>
      <name val="Arial"/>
      <family val="2"/>
    </font>
    <font>
      <i/>
      <sz val="8"/>
      <color theme="1"/>
      <name val="Calibri"/>
      <family val="2"/>
      <scheme val="minor"/>
    </font>
    <font>
      <sz val="8"/>
      <color rgb="FFFF0000"/>
      <name val="Calibri"/>
      <family val="2"/>
      <scheme val="minor"/>
    </font>
    <font>
      <u/>
      <sz val="11"/>
      <color theme="10"/>
      <name val="Calibri"/>
      <family val="2"/>
    </font>
    <font>
      <sz val="26"/>
      <color theme="0"/>
      <name val="Calibri"/>
      <family val="2"/>
    </font>
    <font>
      <sz val="26"/>
      <name val="Calibri"/>
      <family val="2"/>
      <scheme val="minor"/>
    </font>
    <font>
      <sz val="11"/>
      <name val="Calibri"/>
      <family val="2"/>
      <scheme val="minor"/>
    </font>
    <font>
      <sz val="28"/>
      <color theme="0"/>
      <name val="Calibri"/>
      <family val="2"/>
    </font>
    <font>
      <sz val="9"/>
      <color theme="1"/>
      <name val="Calibri"/>
      <family val="2"/>
      <scheme val="minor"/>
    </font>
    <font>
      <b/>
      <sz val="9"/>
      <color theme="0"/>
      <name val="Arial"/>
      <family val="2"/>
    </font>
    <font>
      <b/>
      <sz val="9"/>
      <name val="Arial"/>
      <family val="2"/>
    </font>
    <font>
      <b/>
      <sz val="9"/>
      <color theme="1"/>
      <name val="Arial"/>
      <family val="2"/>
    </font>
    <font>
      <sz val="9"/>
      <color theme="1"/>
      <name val="Arial"/>
      <family val="2"/>
    </font>
    <font>
      <sz val="9"/>
      <color rgb="FFFF0000"/>
      <name val="Arial"/>
      <family val="2"/>
    </font>
    <font>
      <b/>
      <i/>
      <sz val="14"/>
      <color theme="0"/>
      <name val="Calibri"/>
      <family val="2"/>
      <scheme val="minor"/>
    </font>
    <font>
      <sz val="12"/>
      <color theme="1"/>
      <name val="Calibri"/>
      <family val="2"/>
      <scheme val="minor"/>
    </font>
    <font>
      <b/>
      <sz val="10"/>
      <color theme="3"/>
      <name val="Calibri"/>
      <family val="2"/>
      <scheme val="minor"/>
    </font>
    <font>
      <sz val="9"/>
      <name val="Calibri"/>
      <family val="2"/>
      <scheme val="minor"/>
    </font>
    <font>
      <sz val="9"/>
      <color theme="0"/>
      <name val="Calibri"/>
      <family val="2"/>
      <scheme val="minor"/>
    </font>
    <font>
      <b/>
      <i/>
      <u/>
      <sz val="10"/>
      <color rgb="FFFF0000"/>
      <name val="Calibri"/>
      <family val="2"/>
      <scheme val="minor"/>
    </font>
    <font>
      <b/>
      <sz val="9"/>
      <color rgb="FFFF0000"/>
      <name val="Calibri"/>
      <family val="2"/>
      <scheme val="minor"/>
    </font>
    <font>
      <b/>
      <sz val="9"/>
      <color theme="0"/>
      <name val="Calibri"/>
      <family val="2"/>
      <scheme val="minor"/>
    </font>
    <font>
      <b/>
      <sz val="9"/>
      <name val="Calibri"/>
      <family val="2"/>
      <scheme val="minor"/>
    </font>
    <font>
      <b/>
      <sz val="20"/>
      <name val="Verdana"/>
      <family val="2"/>
    </font>
    <font>
      <b/>
      <sz val="11"/>
      <name val="Verdana"/>
      <family val="2"/>
    </font>
    <font>
      <sz val="11"/>
      <name val="Arial"/>
      <family val="2"/>
    </font>
    <font>
      <b/>
      <sz val="16"/>
      <name val="Arial"/>
      <family val="2"/>
    </font>
    <font>
      <sz val="9"/>
      <color theme="3" tint="0.79998168889431442"/>
      <name val="Calibri"/>
      <family val="2"/>
      <scheme val="minor"/>
    </font>
    <font>
      <sz val="8"/>
      <name val="Calibri"/>
      <family val="2"/>
      <scheme val="minor"/>
    </font>
    <font>
      <sz val="10"/>
      <color rgb="FF000000"/>
      <name val="Arial"/>
      <family val="2"/>
    </font>
    <font>
      <b/>
      <sz val="14"/>
      <color theme="1"/>
      <name val="Calibri"/>
      <family val="2"/>
      <scheme val="minor"/>
    </font>
    <font>
      <b/>
      <sz val="11"/>
      <color theme="1"/>
      <name val="Calibri"/>
      <family val="2"/>
      <scheme val="minor"/>
    </font>
    <font>
      <b/>
      <sz val="11"/>
      <color theme="0"/>
      <name val="Calibri"/>
      <family val="2"/>
      <scheme val="minor"/>
    </font>
  </fonts>
  <fills count="54">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indexed="42"/>
        <bgColor indexed="64"/>
      </patternFill>
    </fill>
    <fill>
      <patternFill patternType="solid">
        <fgColor indexed="29"/>
        <bgColor indexed="64"/>
      </patternFill>
    </fill>
    <fill>
      <patternFill patternType="solid">
        <fgColor rgb="FF00B050"/>
        <bgColor indexed="64"/>
      </patternFill>
    </fill>
    <fill>
      <patternFill patternType="solid">
        <fgColor theme="1" tint="0.499984740745262"/>
        <bgColor indexed="64"/>
      </patternFill>
    </fill>
    <fill>
      <patternFill patternType="solid">
        <fgColor theme="5"/>
        <bgColor indexed="64"/>
      </patternFill>
    </fill>
    <fill>
      <patternFill patternType="solid">
        <fgColor rgb="FFFFFF00"/>
        <bgColor indexed="64"/>
      </patternFill>
    </fill>
    <fill>
      <patternFill patternType="solid">
        <fgColor rgb="FFFFC000"/>
        <bgColor indexed="64"/>
      </patternFill>
    </fill>
    <fill>
      <patternFill patternType="solid">
        <fgColor theme="9"/>
        <bgColor indexed="64"/>
      </patternFill>
    </fill>
    <fill>
      <patternFill patternType="solid">
        <fgColor rgb="FFFF0000"/>
        <bgColor indexed="64"/>
      </patternFill>
    </fill>
    <fill>
      <patternFill patternType="solid">
        <fgColor theme="5" tint="0.59999389629810485"/>
        <bgColor indexed="64"/>
      </patternFill>
    </fill>
    <fill>
      <patternFill patternType="solid">
        <fgColor theme="0" tint="-0.14999847407452621"/>
        <bgColor indexed="64"/>
      </patternFill>
    </fill>
    <fill>
      <patternFill patternType="solid">
        <fgColor rgb="FF92D050"/>
        <bgColor indexed="64"/>
      </patternFill>
    </fill>
    <fill>
      <patternFill patternType="solid">
        <fgColor theme="3"/>
        <bgColor indexed="64"/>
      </patternFill>
    </fill>
    <fill>
      <patternFill patternType="solid">
        <fgColor theme="4" tint="-0.249977111117893"/>
        <bgColor indexed="64"/>
      </patternFill>
    </fill>
    <fill>
      <patternFill patternType="solid">
        <fgColor theme="3" tint="0.79998168889431442"/>
        <bgColor indexed="64"/>
      </patternFill>
    </fill>
    <fill>
      <patternFill patternType="solid">
        <fgColor theme="3" tint="-0.249977111117893"/>
        <bgColor indexed="64"/>
      </patternFill>
    </fill>
    <fill>
      <patternFill patternType="solid">
        <fgColor theme="4" tint="0.79998168889431442"/>
        <bgColor indexed="64"/>
      </patternFill>
    </fill>
    <fill>
      <patternFill patternType="solid">
        <fgColor theme="1"/>
        <bgColor indexed="64"/>
      </patternFill>
    </fill>
    <fill>
      <patternFill patternType="solid">
        <fgColor rgb="FFC6D9F1"/>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6" tint="0.59999389629810485"/>
        <bgColor indexed="64"/>
      </patternFill>
    </fill>
    <fill>
      <patternFill patternType="solid">
        <fgColor theme="0" tint="-0.34998626667073579"/>
        <bgColor indexed="64"/>
      </patternFill>
    </fill>
    <fill>
      <patternFill patternType="solid">
        <fgColor theme="0" tint="-0.499984740745262"/>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rgb="FFFFCC00"/>
        <bgColor indexed="64"/>
      </patternFill>
    </fill>
    <fill>
      <patternFill patternType="solid">
        <fgColor rgb="FF990000"/>
        <bgColor indexed="64"/>
      </patternFill>
    </fill>
    <fill>
      <patternFill patternType="solid">
        <fgColor theme="5" tint="0.39997558519241921"/>
        <bgColor indexed="64"/>
      </patternFill>
    </fill>
    <fill>
      <patternFill patternType="solid">
        <fgColor rgb="FFFFFF66"/>
        <bgColor indexed="64"/>
      </patternFill>
    </fill>
  </fills>
  <borders count="96">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top/>
      <bottom style="thin">
        <color indexed="64"/>
      </bottom>
      <diagonal/>
    </border>
    <border>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diagonal/>
    </border>
    <border>
      <left style="thin">
        <color indexed="64"/>
      </left>
      <right/>
      <top style="thin">
        <color indexed="64"/>
      </top>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slantDashDot">
        <color auto="1"/>
      </left>
      <right/>
      <top style="slantDashDot">
        <color auto="1"/>
      </top>
      <bottom style="slantDashDot">
        <color auto="1"/>
      </bottom>
      <diagonal/>
    </border>
    <border>
      <left/>
      <right/>
      <top style="slantDashDot">
        <color auto="1"/>
      </top>
      <bottom style="slantDashDot">
        <color auto="1"/>
      </bottom>
      <diagonal/>
    </border>
    <border>
      <left/>
      <right style="slantDashDot">
        <color auto="1"/>
      </right>
      <top style="slantDashDot">
        <color auto="1"/>
      </top>
      <bottom style="slantDashDot">
        <color auto="1"/>
      </bottom>
      <diagonal/>
    </border>
    <border>
      <left style="dashDot">
        <color indexed="64"/>
      </left>
      <right style="dashDot">
        <color indexed="64"/>
      </right>
      <top style="dashDot">
        <color indexed="64"/>
      </top>
      <bottom style="dashDot">
        <color indexed="64"/>
      </bottom>
      <diagonal/>
    </border>
    <border>
      <left style="dashDot">
        <color indexed="64"/>
      </left>
      <right/>
      <top/>
      <bottom/>
      <diagonal/>
    </border>
    <border>
      <left style="dashed">
        <color auto="1"/>
      </left>
      <right style="dashed">
        <color auto="1"/>
      </right>
      <top style="dashed">
        <color auto="1"/>
      </top>
      <bottom style="dashed">
        <color auto="1"/>
      </bottom>
      <diagonal/>
    </border>
    <border>
      <left/>
      <right/>
      <top/>
      <bottom style="thick">
        <color auto="1"/>
      </bottom>
      <diagonal/>
    </border>
    <border>
      <left/>
      <right style="thick">
        <color auto="1"/>
      </right>
      <top/>
      <bottom style="thick">
        <color auto="1"/>
      </bottom>
      <diagonal/>
    </border>
    <border>
      <left/>
      <right style="thick">
        <color auto="1"/>
      </right>
      <top/>
      <bottom/>
      <diagonal/>
    </border>
    <border>
      <left style="slantDashDot">
        <color auto="1"/>
      </left>
      <right style="thick">
        <color auto="1"/>
      </right>
      <top style="slantDashDot">
        <color auto="1"/>
      </top>
      <bottom style="slantDashDot">
        <color auto="1"/>
      </bottom>
      <diagonal/>
    </border>
    <border>
      <left style="dotted">
        <color indexed="64"/>
      </left>
      <right style="thick">
        <color auto="1"/>
      </right>
      <top style="dotted">
        <color indexed="64"/>
      </top>
      <bottom style="dotted">
        <color indexed="64"/>
      </bottom>
      <diagonal/>
    </border>
    <border>
      <left style="dashed">
        <color auto="1"/>
      </left>
      <right style="thick">
        <color auto="1"/>
      </right>
      <top style="dashed">
        <color auto="1"/>
      </top>
      <bottom style="dashed">
        <color auto="1"/>
      </bottom>
      <diagonal/>
    </border>
    <border>
      <left/>
      <right style="thick">
        <color auto="1"/>
      </right>
      <top style="slantDashDot">
        <color auto="1"/>
      </top>
      <bottom style="slantDashDot">
        <color auto="1"/>
      </bottom>
      <diagonal/>
    </border>
    <border>
      <left/>
      <right style="thick">
        <color auto="1"/>
      </right>
      <top style="thick">
        <color auto="1"/>
      </top>
      <bottom/>
      <diagonal/>
    </border>
    <border>
      <left/>
      <right/>
      <top style="thick">
        <color auto="1"/>
      </top>
      <bottom/>
      <diagonal/>
    </border>
    <border>
      <left/>
      <right/>
      <top style="slantDashDot">
        <color auto="1"/>
      </top>
      <bottom/>
      <diagonal/>
    </border>
    <border>
      <left style="slantDashDot">
        <color auto="1"/>
      </left>
      <right style="slantDashDot">
        <color auto="1"/>
      </right>
      <top style="slantDashDot">
        <color auto="1"/>
      </top>
      <bottom style="slantDashDot">
        <color auto="1"/>
      </bottom>
      <diagonal/>
    </border>
    <border>
      <left style="dotted">
        <color indexed="64"/>
      </left>
      <right style="dotted">
        <color indexed="64"/>
      </right>
      <top style="dotted">
        <color indexed="64"/>
      </top>
      <bottom/>
      <diagonal/>
    </border>
    <border>
      <left/>
      <right/>
      <top/>
      <bottom style="slantDashDot">
        <color auto="1"/>
      </bottom>
      <diagonal/>
    </border>
    <border>
      <left/>
      <right style="thick">
        <color auto="1"/>
      </right>
      <top/>
      <bottom style="slantDashDot">
        <color auto="1"/>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slantDashDot">
        <color auto="1"/>
      </left>
      <right/>
      <top style="thick">
        <color indexed="64"/>
      </top>
      <bottom style="slantDashDot">
        <color auto="1"/>
      </bottom>
      <diagonal/>
    </border>
    <border>
      <left/>
      <right/>
      <top style="thick">
        <color indexed="64"/>
      </top>
      <bottom style="slantDashDot">
        <color auto="1"/>
      </bottom>
      <diagonal/>
    </border>
    <border>
      <left/>
      <right style="slantDashDot">
        <color auto="1"/>
      </right>
      <top style="thick">
        <color indexed="64"/>
      </top>
      <bottom style="slantDashDot">
        <color auto="1"/>
      </bottom>
      <diagonal/>
    </border>
    <border>
      <left style="dashDot">
        <color indexed="64"/>
      </left>
      <right style="dashDot">
        <color indexed="64"/>
      </right>
      <top style="dashDot">
        <color indexed="64"/>
      </top>
      <bottom/>
      <diagonal/>
    </border>
    <border>
      <left style="dotted">
        <color indexed="64"/>
      </left>
      <right style="thick">
        <color auto="1"/>
      </right>
      <top style="dotted">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style="thick">
        <color indexed="64"/>
      </right>
      <top style="thick">
        <color indexed="64"/>
      </top>
      <bottom style="slantDashDot">
        <color auto="1"/>
      </bottom>
      <diagonal/>
    </border>
    <border>
      <left style="dotted">
        <color indexed="64"/>
      </left>
      <right style="thick">
        <color indexed="64"/>
      </right>
      <top style="slantDashDot">
        <color auto="1"/>
      </top>
      <bottom style="dotted">
        <color indexed="64"/>
      </bottom>
      <diagonal/>
    </border>
    <border>
      <left style="dotted">
        <color indexed="64"/>
      </left>
      <right style="thick">
        <color indexed="64"/>
      </right>
      <top/>
      <bottom style="slantDashDot">
        <color auto="1"/>
      </bottom>
      <diagonal/>
    </border>
    <border>
      <left/>
      <right style="thick">
        <color indexed="64"/>
      </right>
      <top style="slantDashDot">
        <color auto="1"/>
      </top>
      <bottom/>
      <diagonal/>
    </border>
    <border>
      <left style="thick">
        <color indexed="64"/>
      </left>
      <right/>
      <top style="thick">
        <color indexed="64"/>
      </top>
      <bottom style="slantDashDot">
        <color auto="1"/>
      </bottom>
      <diagonal/>
    </border>
    <border>
      <left style="thick">
        <color indexed="64"/>
      </left>
      <right/>
      <top/>
      <bottom/>
      <diagonal/>
    </border>
    <border>
      <left style="thick">
        <color indexed="64"/>
      </left>
      <right/>
      <top/>
      <bottom style="thick">
        <color indexed="64"/>
      </bottom>
      <diagonal/>
    </border>
    <border>
      <left/>
      <right style="thick">
        <color indexed="64"/>
      </right>
      <top/>
      <bottom style="thick">
        <color indexed="64"/>
      </bottom>
      <diagonal/>
    </border>
    <border>
      <left/>
      <right style="thick">
        <color indexed="64"/>
      </right>
      <top style="dotted">
        <color indexed="64"/>
      </top>
      <bottom style="dashed">
        <color auto="1"/>
      </bottom>
      <diagonal/>
    </border>
    <border>
      <left style="dotted">
        <color indexed="64"/>
      </left>
      <right style="dotted">
        <color indexed="64"/>
      </right>
      <top style="slantDashDot">
        <color auto="1"/>
      </top>
      <bottom style="thick">
        <color indexed="64"/>
      </bottom>
      <diagonal/>
    </border>
    <border>
      <left style="dashed">
        <color auto="1"/>
      </left>
      <right/>
      <top style="slantDashDot">
        <color auto="1"/>
      </top>
      <bottom style="slantDashDot">
        <color auto="1"/>
      </bottom>
      <diagonal/>
    </border>
    <border>
      <left style="dotted">
        <color indexed="64"/>
      </left>
      <right/>
      <top style="slantDashDot">
        <color auto="1"/>
      </top>
      <bottom style="dotted">
        <color indexed="64"/>
      </bottom>
      <diagonal/>
    </border>
    <border>
      <left style="dashDot">
        <color auto="1"/>
      </left>
      <right style="dashDot">
        <color auto="1"/>
      </right>
      <top style="slantDashDot">
        <color auto="1"/>
      </top>
      <bottom style="slantDashDot">
        <color auto="1"/>
      </bottom>
      <diagonal/>
    </border>
    <border>
      <left style="dashDot">
        <color auto="1"/>
      </left>
      <right/>
      <top style="slantDashDot">
        <color auto="1"/>
      </top>
      <bottom style="slantDashDot">
        <color auto="1"/>
      </bottom>
      <diagonal/>
    </border>
    <border>
      <left/>
      <right style="dashed">
        <color auto="1"/>
      </right>
      <top style="slantDashDot">
        <color auto="1"/>
      </top>
      <bottom style="slantDashDot">
        <color auto="1"/>
      </bottom>
      <diagonal/>
    </border>
    <border>
      <left style="dotted">
        <color indexed="64"/>
      </left>
      <right style="dashDot">
        <color auto="1"/>
      </right>
      <top style="slantDashDot">
        <color auto="1"/>
      </top>
      <bottom style="thick">
        <color indexed="64"/>
      </bottom>
      <diagonal/>
    </border>
    <border>
      <left style="dashDot">
        <color auto="1"/>
      </left>
      <right/>
      <top style="slantDashDot">
        <color auto="1"/>
      </top>
      <bottom style="thick">
        <color indexed="64"/>
      </bottom>
      <diagonal/>
    </border>
    <border>
      <left/>
      <right style="dashed">
        <color auto="1"/>
      </right>
      <top style="slantDashDot">
        <color auto="1"/>
      </top>
      <bottom style="thick">
        <color indexed="64"/>
      </bottom>
      <diagonal/>
    </border>
    <border>
      <left style="dashed">
        <color auto="1"/>
      </left>
      <right/>
      <top style="slantDashDot">
        <color auto="1"/>
      </top>
      <bottom style="thick">
        <color indexed="64"/>
      </bottom>
      <diagonal/>
    </border>
    <border>
      <left/>
      <right style="thick">
        <color indexed="64"/>
      </right>
      <top style="slantDashDot">
        <color auto="1"/>
      </top>
      <bottom style="thick">
        <color indexed="64"/>
      </bottom>
      <diagonal/>
    </border>
  </borders>
  <cellStyleXfs count="52">
    <xf numFmtId="0" fontId="0" fillId="0" borderId="0"/>
    <xf numFmtId="0" fontId="13" fillId="2" borderId="0" applyNumberFormat="0" applyBorder="0" applyAlignment="0" applyProtection="0"/>
    <xf numFmtId="0" fontId="13" fillId="3" borderId="0" applyNumberFormat="0" applyBorder="0" applyAlignment="0" applyProtection="0"/>
    <xf numFmtId="0" fontId="13" fillId="4" borderId="0" applyNumberFormat="0" applyBorder="0" applyAlignment="0" applyProtection="0"/>
    <xf numFmtId="0" fontId="13" fillId="5" borderId="0" applyNumberFormat="0" applyBorder="0" applyAlignment="0" applyProtection="0"/>
    <xf numFmtId="0" fontId="13" fillId="6" borderId="0" applyNumberFormat="0" applyBorder="0" applyAlignment="0" applyProtection="0"/>
    <xf numFmtId="0" fontId="13" fillId="7" borderId="0" applyNumberFormat="0" applyBorder="0" applyAlignment="0" applyProtection="0"/>
    <xf numFmtId="0" fontId="13" fillId="8" borderId="0" applyNumberFormat="0" applyBorder="0" applyAlignment="0" applyProtection="0"/>
    <xf numFmtId="0" fontId="13" fillId="9" borderId="0" applyNumberFormat="0" applyBorder="0" applyAlignment="0" applyProtection="0"/>
    <xf numFmtId="0" fontId="13" fillId="10" borderId="0" applyNumberFormat="0" applyBorder="0" applyAlignment="0" applyProtection="0"/>
    <xf numFmtId="0" fontId="13" fillId="5" borderId="0" applyNumberFormat="0" applyBorder="0" applyAlignment="0" applyProtection="0"/>
    <xf numFmtId="0" fontId="13" fillId="8" borderId="0" applyNumberFormat="0" applyBorder="0" applyAlignment="0" applyProtection="0"/>
    <xf numFmtId="0" fontId="13" fillId="11" borderId="0" applyNumberFormat="0" applyBorder="0" applyAlignment="0" applyProtection="0"/>
    <xf numFmtId="0" fontId="14" fillId="12" borderId="0" applyNumberFormat="0" applyBorder="0" applyAlignment="0" applyProtection="0"/>
    <xf numFmtId="0" fontId="14" fillId="9" borderId="0" applyNumberFormat="0" applyBorder="0" applyAlignment="0" applyProtection="0"/>
    <xf numFmtId="0" fontId="14" fillId="10" borderId="0" applyNumberFormat="0" applyBorder="0" applyAlignment="0" applyProtection="0"/>
    <xf numFmtId="0" fontId="14" fillId="13" borderId="0" applyNumberFormat="0" applyBorder="0" applyAlignment="0" applyProtection="0"/>
    <xf numFmtId="0" fontId="14" fillId="14" borderId="0" applyNumberFormat="0" applyBorder="0" applyAlignment="0" applyProtection="0"/>
    <xf numFmtId="0" fontId="14" fillId="15" borderId="0" applyNumberFormat="0" applyBorder="0" applyAlignment="0" applyProtection="0"/>
    <xf numFmtId="0" fontId="14" fillId="16" borderId="0" applyNumberFormat="0" applyBorder="0" applyAlignment="0" applyProtection="0"/>
    <xf numFmtId="0" fontId="14" fillId="17" borderId="0" applyNumberFormat="0" applyBorder="0" applyAlignment="0" applyProtection="0"/>
    <xf numFmtId="0" fontId="14" fillId="18" borderId="0" applyNumberFormat="0" applyBorder="0" applyAlignment="0" applyProtection="0"/>
    <xf numFmtId="0" fontId="14" fillId="13" borderId="0" applyNumberFormat="0" applyBorder="0" applyAlignment="0" applyProtection="0"/>
    <xf numFmtId="0" fontId="14" fillId="14" borderId="0" applyNumberFormat="0" applyBorder="0" applyAlignment="0" applyProtection="0"/>
    <xf numFmtId="0" fontId="14" fillId="19" borderId="0" applyNumberFormat="0" applyBorder="0" applyAlignment="0" applyProtection="0"/>
    <xf numFmtId="0" fontId="15" fillId="0" borderId="0" applyNumberFormat="0" applyFill="0" applyBorder="0" applyAlignment="0" applyProtection="0"/>
    <xf numFmtId="0" fontId="16" fillId="20" borderId="1" applyNumberFormat="0" applyAlignment="0" applyProtection="0"/>
    <xf numFmtId="0" fontId="17" fillId="0" borderId="2" applyNumberFormat="0" applyFill="0" applyAlignment="0" applyProtection="0"/>
    <xf numFmtId="0" fontId="13" fillId="21" borderId="3" applyNumberFormat="0" applyFont="0" applyAlignment="0" applyProtection="0"/>
    <xf numFmtId="0" fontId="18" fillId="7" borderId="1" applyNumberFormat="0" applyAlignment="0" applyProtection="0"/>
    <xf numFmtId="0" fontId="19" fillId="3" borderId="0" applyNumberFormat="0" applyBorder="0" applyAlignment="0" applyProtection="0"/>
    <xf numFmtId="0" fontId="20" fillId="22" borderId="0" applyNumberFormat="0" applyBorder="0" applyAlignment="0" applyProtection="0"/>
    <xf numFmtId="164" fontId="13" fillId="0" borderId="0"/>
    <xf numFmtId="0" fontId="21" fillId="4" borderId="0" applyNumberFormat="0" applyBorder="0" applyAlignment="0" applyProtection="0"/>
    <xf numFmtId="0" fontId="22" fillId="20" borderId="4" applyNumberFormat="0" applyAlignment="0" applyProtection="0"/>
    <xf numFmtId="0" fontId="23" fillId="0" borderId="0" applyNumberFormat="0" applyFill="0" applyBorder="0" applyAlignment="0" applyProtection="0"/>
    <xf numFmtId="0" fontId="24" fillId="0" borderId="0" applyNumberFormat="0" applyFill="0" applyBorder="0" applyAlignment="0" applyProtection="0"/>
    <xf numFmtId="0" fontId="25" fillId="0" borderId="5" applyNumberFormat="0" applyFill="0" applyAlignment="0" applyProtection="0"/>
    <xf numFmtId="0" fontId="26" fillId="0" borderId="6" applyNumberFormat="0" applyFill="0" applyAlignment="0" applyProtection="0"/>
    <xf numFmtId="0" fontId="27" fillId="0" borderId="7" applyNumberFormat="0" applyFill="0" applyAlignment="0" applyProtection="0"/>
    <xf numFmtId="0" fontId="27" fillId="0" borderId="0" applyNumberFormat="0" applyFill="0" applyBorder="0" applyAlignment="0" applyProtection="0"/>
    <xf numFmtId="0" fontId="28" fillId="0" borderId="8" applyNumberFormat="0" applyFill="0" applyAlignment="0" applyProtection="0"/>
    <xf numFmtId="0" fontId="29" fillId="23" borderId="9" applyNumberFormat="0" applyAlignment="0" applyProtection="0"/>
    <xf numFmtId="0" fontId="4" fillId="0" borderId="0"/>
    <xf numFmtId="0" fontId="3" fillId="0" borderId="0"/>
    <xf numFmtId="0" fontId="2" fillId="0" borderId="0"/>
    <xf numFmtId="0" fontId="42" fillId="0" borderId="0" applyNumberFormat="0" applyFill="0" applyBorder="0" applyAlignment="0" applyProtection="0">
      <alignment vertical="top"/>
      <protection locked="0"/>
    </xf>
    <xf numFmtId="9" fontId="2" fillId="0" borderId="0" applyFont="0" applyFill="0" applyBorder="0" applyAlignment="0" applyProtection="0"/>
    <xf numFmtId="44" fontId="2" fillId="0" borderId="0" applyFont="0" applyFill="0" applyBorder="0" applyAlignment="0" applyProtection="0"/>
    <xf numFmtId="0" fontId="2" fillId="0" borderId="0"/>
    <xf numFmtId="0" fontId="5" fillId="0" borderId="0"/>
    <xf numFmtId="0" fontId="1" fillId="0" borderId="0"/>
  </cellStyleXfs>
  <cellXfs count="417">
    <xf numFmtId="0" fontId="0" fillId="0" borderId="0" xfId="0"/>
    <xf numFmtId="0" fontId="0" fillId="0" borderId="0" xfId="0" applyAlignment="1">
      <alignment wrapText="1"/>
    </xf>
    <xf numFmtId="0" fontId="0" fillId="0" borderId="0" xfId="0" applyAlignment="1">
      <alignment horizontal="center"/>
    </xf>
    <xf numFmtId="0" fontId="6" fillId="0" borderId="0" xfId="0" applyFont="1"/>
    <xf numFmtId="0" fontId="0" fillId="0" borderId="0" xfId="0" applyAlignment="1">
      <alignment horizontal="centerContinuous"/>
    </xf>
    <xf numFmtId="0" fontId="9" fillId="0" borderId="0" xfId="0" applyFont="1" applyAlignment="1">
      <alignment horizontal="centerContinuous"/>
    </xf>
    <xf numFmtId="0" fontId="0" fillId="0" borderId="0" xfId="0" applyAlignment="1">
      <alignment horizontal="centerContinuous" vertical="center"/>
    </xf>
    <xf numFmtId="0" fontId="8" fillId="0" borderId="10" xfId="0" applyFont="1" applyBorder="1" applyAlignment="1">
      <alignment horizontal="centerContinuous" vertical="center"/>
    </xf>
    <xf numFmtId="0" fontId="0" fillId="0" borderId="10" xfId="0" applyBorder="1" applyAlignment="1">
      <alignment horizontal="centerContinuous" vertical="center"/>
    </xf>
    <xf numFmtId="0" fontId="11" fillId="0" borderId="0" xfId="0" applyFont="1"/>
    <xf numFmtId="0" fontId="12" fillId="0" borderId="0" xfId="0" applyFont="1" applyAlignment="1">
      <alignment horizontal="centerContinuous" vertical="center"/>
    </xf>
    <xf numFmtId="0" fontId="10" fillId="0" borderId="0" xfId="0" applyFont="1" applyFill="1" applyBorder="1" applyAlignment="1">
      <alignment horizontal="center" vertical="center" textRotation="90"/>
    </xf>
    <xf numFmtId="0" fontId="32" fillId="0" borderId="10" xfId="0" applyFont="1" applyFill="1" applyBorder="1" applyAlignment="1">
      <alignment horizontal="center" vertical="center"/>
    </xf>
    <xf numFmtId="0" fontId="30" fillId="0" borderId="0" xfId="0" applyFont="1"/>
    <xf numFmtId="0" fontId="33" fillId="0" borderId="0" xfId="0" applyFont="1" applyAlignment="1">
      <alignment horizontal="center" vertical="center"/>
    </xf>
    <xf numFmtId="0" fontId="0" fillId="0" borderId="0" xfId="0" applyAlignment="1">
      <alignment horizontal="left"/>
    </xf>
    <xf numFmtId="0" fontId="10" fillId="0" borderId="0" xfId="0" applyFont="1" applyAlignment="1">
      <alignment horizontal="center"/>
    </xf>
    <xf numFmtId="0" fontId="32" fillId="0" borderId="10" xfId="0" applyFont="1" applyFill="1" applyBorder="1" applyAlignment="1">
      <alignment horizontal="center" vertical="center" textRotation="90"/>
    </xf>
    <xf numFmtId="0" fontId="32" fillId="0" borderId="16" xfId="0" applyFont="1" applyFill="1" applyBorder="1" applyAlignment="1">
      <alignment horizontal="center" vertical="center" textRotation="90"/>
    </xf>
    <xf numFmtId="16" fontId="32" fillId="0" borderId="16" xfId="0" applyNumberFormat="1" applyFont="1" applyFill="1" applyBorder="1" applyAlignment="1">
      <alignment horizontal="center" vertical="center" textRotation="90"/>
    </xf>
    <xf numFmtId="0" fontId="32" fillId="0" borderId="12" xfId="0" applyFont="1" applyFill="1" applyBorder="1" applyAlignment="1">
      <alignment vertical="center" textRotation="90" wrapText="1"/>
    </xf>
    <xf numFmtId="0" fontId="34" fillId="0" borderId="0" xfId="44" applyFont="1" applyProtection="1"/>
    <xf numFmtId="0" fontId="34" fillId="0" borderId="0" xfId="44" applyFont="1" applyFill="1" applyProtection="1"/>
    <xf numFmtId="0" fontId="34" fillId="0" borderId="0" xfId="44" applyFont="1" applyFill="1" applyAlignment="1" applyProtection="1">
      <alignment horizontal="center" vertical="center"/>
    </xf>
    <xf numFmtId="0" fontId="34" fillId="0" borderId="17" xfId="44" applyFont="1" applyBorder="1" applyProtection="1"/>
    <xf numFmtId="0" fontId="34" fillId="0" borderId="0" xfId="44" applyFont="1" applyBorder="1" applyProtection="1"/>
    <xf numFmtId="0" fontId="0" fillId="0" borderId="0" xfId="0" applyAlignment="1">
      <alignment horizontal="center" vertical="center"/>
    </xf>
    <xf numFmtId="0" fontId="31" fillId="32" borderId="10" xfId="0" applyNumberFormat="1" applyFont="1" applyFill="1" applyBorder="1" applyAlignment="1">
      <alignment horizontal="center" vertical="center" wrapText="1"/>
    </xf>
    <xf numFmtId="0" fontId="31" fillId="25" borderId="10" xfId="0" applyNumberFormat="1" applyFont="1" applyFill="1" applyBorder="1" applyAlignment="1">
      <alignment horizontal="center" vertical="center" wrapText="1"/>
    </xf>
    <xf numFmtId="0" fontId="31" fillId="31" borderId="10" xfId="0" applyNumberFormat="1" applyFont="1" applyFill="1" applyBorder="1" applyAlignment="1">
      <alignment horizontal="center" vertical="center" wrapText="1"/>
    </xf>
    <xf numFmtId="0" fontId="31" fillId="29" borderId="10" xfId="0" applyNumberFormat="1" applyFont="1" applyFill="1" applyBorder="1" applyAlignment="1">
      <alignment horizontal="center" vertical="center" wrapText="1"/>
    </xf>
    <xf numFmtId="0" fontId="31" fillId="24" borderId="10" xfId="0" applyNumberFormat="1" applyFont="1" applyFill="1" applyBorder="1" applyAlignment="1">
      <alignment horizontal="center" vertical="center" wrapText="1"/>
    </xf>
    <xf numFmtId="0" fontId="31" fillId="26" borderId="10" xfId="0" applyNumberFormat="1" applyFont="1" applyFill="1" applyBorder="1" applyAlignment="1">
      <alignment horizontal="center" vertical="center" wrapText="1"/>
    </xf>
    <xf numFmtId="0" fontId="6" fillId="24" borderId="10" xfId="0" applyFont="1" applyFill="1" applyBorder="1" applyAlignment="1" applyProtection="1">
      <alignment horizontal="center" vertical="center" wrapText="1"/>
    </xf>
    <xf numFmtId="0" fontId="6" fillId="26" borderId="10" xfId="0" applyFont="1" applyFill="1" applyBorder="1" applyAlignment="1" applyProtection="1">
      <alignment horizontal="center" vertical="center" wrapText="1"/>
    </xf>
    <xf numFmtId="0" fontId="6" fillId="29" borderId="10" xfId="0" applyFont="1" applyFill="1" applyBorder="1" applyAlignment="1" applyProtection="1">
      <alignment horizontal="center" vertical="center" wrapText="1"/>
    </xf>
    <xf numFmtId="0" fontId="6" fillId="30" borderId="10" xfId="0" applyFont="1" applyFill="1" applyBorder="1" applyAlignment="1" applyProtection="1">
      <alignment horizontal="center" vertical="center" wrapText="1"/>
    </xf>
    <xf numFmtId="0" fontId="6" fillId="32" borderId="10" xfId="0" applyFont="1" applyFill="1" applyBorder="1" applyAlignment="1" applyProtection="1">
      <alignment horizontal="center" vertical="center" wrapText="1"/>
    </xf>
    <xf numFmtId="0" fontId="0" fillId="0" borderId="10" xfId="0" applyBorder="1" applyAlignment="1" applyProtection="1">
      <alignment horizontal="center" vertical="center"/>
    </xf>
    <xf numFmtId="0" fontId="0" fillId="0" borderId="10" xfId="0" applyBorder="1" applyAlignment="1" applyProtection="1">
      <alignment horizontal="left" vertical="center" wrapText="1"/>
    </xf>
    <xf numFmtId="0" fontId="7" fillId="0" borderId="10" xfId="0" applyFont="1" applyBorder="1" applyAlignment="1" applyProtection="1">
      <alignment horizontal="center" vertical="center"/>
    </xf>
    <xf numFmtId="0" fontId="6" fillId="0" borderId="10" xfId="0" applyFont="1" applyBorder="1" applyAlignment="1" applyProtection="1">
      <alignment horizontal="center" vertical="center"/>
    </xf>
    <xf numFmtId="0" fontId="5" fillId="0" borderId="10" xfId="0" applyFont="1" applyBorder="1" applyAlignment="1" applyProtection="1">
      <alignment horizontal="left" vertical="center"/>
    </xf>
    <xf numFmtId="0" fontId="5" fillId="0" borderId="10" xfId="0" applyFont="1" applyBorder="1" applyAlignment="1" applyProtection="1">
      <alignment horizontal="left" vertical="center" wrapText="1"/>
    </xf>
    <xf numFmtId="0" fontId="6" fillId="0" borderId="10" xfId="0" applyNumberFormat="1" applyFont="1" applyBorder="1" applyAlignment="1" applyProtection="1">
      <alignment horizontal="center" vertical="center"/>
    </xf>
    <xf numFmtId="0" fontId="36" fillId="0" borderId="10" xfId="0" applyNumberFormat="1" applyFont="1" applyBorder="1" applyAlignment="1" applyProtection="1">
      <alignment horizontal="center" vertical="center"/>
    </xf>
    <xf numFmtId="0" fontId="6" fillId="0" borderId="10" xfId="0" applyNumberFormat="1" applyFont="1" applyFill="1" applyBorder="1" applyAlignment="1" applyProtection="1">
      <alignment horizontal="center" vertical="center"/>
    </xf>
    <xf numFmtId="0" fontId="37" fillId="0" borderId="0" xfId="0" applyFont="1" applyAlignment="1">
      <alignment horizontal="centerContinuous"/>
    </xf>
    <xf numFmtId="0" fontId="38" fillId="36" borderId="0" xfId="45" applyFont="1" applyFill="1" applyAlignment="1">
      <alignment horizontal="center" vertical="center"/>
    </xf>
    <xf numFmtId="0" fontId="38" fillId="0" borderId="0" xfId="45" applyFont="1" applyFill="1" applyAlignment="1">
      <alignment horizontal="center" vertical="center"/>
    </xf>
    <xf numFmtId="0" fontId="34" fillId="0" borderId="0" xfId="45" applyFont="1"/>
    <xf numFmtId="0" fontId="34" fillId="0" borderId="0" xfId="45" applyFont="1" applyAlignment="1"/>
    <xf numFmtId="14" fontId="34" fillId="0" borderId="0" xfId="45" applyNumberFormat="1" applyFont="1" applyFill="1"/>
    <xf numFmtId="0" fontId="34" fillId="0" borderId="0" xfId="45" applyFont="1" applyFill="1"/>
    <xf numFmtId="0" fontId="34" fillId="0" borderId="0" xfId="45" applyFont="1" applyFill="1" applyAlignment="1">
      <alignment horizontal="center" vertical="center"/>
    </xf>
    <xf numFmtId="0" fontId="34" fillId="0" borderId="0" xfId="45" applyFont="1" applyFill="1" applyAlignment="1">
      <alignment horizontal="left" vertical="center"/>
    </xf>
    <xf numFmtId="0" fontId="34" fillId="0" borderId="0" xfId="45" applyFont="1" applyFill="1" applyAlignment="1">
      <alignment horizontal="center" vertical="center" wrapText="1"/>
    </xf>
    <xf numFmtId="0" fontId="35" fillId="34" borderId="0" xfId="45" applyFont="1" applyFill="1" applyAlignment="1">
      <alignment horizontal="center" vertical="center"/>
    </xf>
    <xf numFmtId="0" fontId="34" fillId="29" borderId="0" xfId="45" applyFont="1" applyFill="1"/>
    <xf numFmtId="0" fontId="34" fillId="29" borderId="0" xfId="45" applyFont="1" applyFill="1" applyAlignment="1">
      <alignment horizontal="left" vertical="center"/>
    </xf>
    <xf numFmtId="0" fontId="34" fillId="29" borderId="0" xfId="45" applyFont="1" applyFill="1" applyAlignment="1">
      <alignment horizontal="left"/>
    </xf>
    <xf numFmtId="0" fontId="34" fillId="0" borderId="0" xfId="45" applyFont="1" applyAlignment="1">
      <alignment horizontal="left"/>
    </xf>
    <xf numFmtId="14" fontId="38" fillId="36" borderId="0" xfId="45" applyNumberFormat="1" applyFont="1" applyFill="1"/>
    <xf numFmtId="0" fontId="38" fillId="36" borderId="0" xfId="45" applyFont="1" applyFill="1" applyBorder="1"/>
    <xf numFmtId="0" fontId="38" fillId="36" borderId="0" xfId="45" applyFont="1" applyFill="1"/>
    <xf numFmtId="0" fontId="34" fillId="0" borderId="0" xfId="45" applyFont="1" applyBorder="1"/>
    <xf numFmtId="0" fontId="34" fillId="0" borderId="0" xfId="45" applyFont="1" applyFill="1" applyBorder="1"/>
    <xf numFmtId="0" fontId="2" fillId="0" borderId="0" xfId="45"/>
    <xf numFmtId="0" fontId="39" fillId="0" borderId="0" xfId="45" applyFont="1"/>
    <xf numFmtId="0" fontId="34" fillId="0" borderId="0" xfId="45" applyFont="1" applyAlignment="1">
      <alignment horizontal="left" vertical="center"/>
    </xf>
    <xf numFmtId="0" fontId="38" fillId="36" borderId="0" xfId="45" applyFont="1" applyFill="1" applyAlignment="1">
      <alignment horizontal="left" vertical="center"/>
    </xf>
    <xf numFmtId="0" fontId="2" fillId="0" borderId="0" xfId="45" applyAlignment="1">
      <alignment horizontal="left" vertical="center"/>
    </xf>
    <xf numFmtId="0" fontId="34" fillId="0" borderId="0" xfId="45" applyFont="1" applyFill="1" applyAlignment="1">
      <alignment horizontal="left" vertical="center" wrapText="1"/>
    </xf>
    <xf numFmtId="0" fontId="40" fillId="0" borderId="0" xfId="45" applyFont="1"/>
    <xf numFmtId="0" fontId="41" fillId="0" borderId="0" xfId="45" applyFont="1" applyFill="1" applyBorder="1" applyAlignment="1">
      <alignment horizontal="left" vertical="center"/>
    </xf>
    <xf numFmtId="0" fontId="38" fillId="0" borderId="0" xfId="45" applyFont="1" applyFill="1" applyBorder="1" applyAlignment="1">
      <alignment horizontal="center" vertical="center"/>
    </xf>
    <xf numFmtId="14" fontId="34" fillId="0" borderId="0" xfId="45" applyNumberFormat="1" applyFont="1"/>
    <xf numFmtId="0" fontId="41" fillId="0" borderId="0" xfId="45" applyFont="1" applyFill="1" applyBorder="1"/>
    <xf numFmtId="0" fontId="34" fillId="0" borderId="0" xfId="45" applyFont="1" applyAlignment="1">
      <alignment wrapText="1"/>
    </xf>
    <xf numFmtId="0" fontId="44" fillId="0" borderId="0" xfId="45" applyFont="1" applyFill="1" applyAlignment="1">
      <alignment vertical="center"/>
    </xf>
    <xf numFmtId="0" fontId="45" fillId="0" borderId="0" xfId="45" applyFont="1" applyFill="1"/>
    <xf numFmtId="0" fontId="2" fillId="0" borderId="21" xfId="45" applyBorder="1"/>
    <xf numFmtId="0" fontId="2" fillId="0" borderId="0" xfId="45" applyBorder="1"/>
    <xf numFmtId="0" fontId="2" fillId="0" borderId="0" xfId="45" applyBorder="1" applyAlignment="1">
      <alignment wrapText="1"/>
    </xf>
    <xf numFmtId="0" fontId="2" fillId="0" borderId="17" xfId="45" applyBorder="1" applyAlignment="1">
      <alignment wrapText="1"/>
    </xf>
    <xf numFmtId="0" fontId="47" fillId="0" borderId="21" xfId="45" applyFont="1" applyBorder="1" applyAlignment="1">
      <alignment horizontal="center" vertical="center"/>
    </xf>
    <xf numFmtId="0" fontId="30" fillId="0" borderId="21" xfId="45" applyFont="1" applyBorder="1" applyAlignment="1">
      <alignment horizontal="center" vertical="center" wrapText="1"/>
    </xf>
    <xf numFmtId="0" fontId="49" fillId="0" borderId="21" xfId="45" applyFont="1" applyFill="1" applyBorder="1" applyAlignment="1">
      <alignment horizontal="center" vertical="center" wrapText="1"/>
    </xf>
    <xf numFmtId="0" fontId="30" fillId="0" borderId="27" xfId="45" applyFont="1" applyFill="1" applyBorder="1" applyAlignment="1">
      <alignment horizontal="center" vertical="center" wrapText="1" readingOrder="1"/>
    </xf>
    <xf numFmtId="0" fontId="30" fillId="0" borderId="28" xfId="45" applyFont="1" applyFill="1" applyBorder="1" applyAlignment="1">
      <alignment horizontal="center" vertical="center" wrapText="1"/>
    </xf>
    <xf numFmtId="0" fontId="30" fillId="0" borderId="29" xfId="45" applyFont="1" applyFill="1" applyBorder="1" applyAlignment="1">
      <alignment horizontal="center" vertical="center" wrapText="1" readingOrder="1"/>
    </xf>
    <xf numFmtId="0" fontId="30" fillId="0" borderId="10" xfId="45" applyFont="1" applyFill="1" applyBorder="1" applyAlignment="1">
      <alignment horizontal="center" vertical="center" wrapText="1" readingOrder="1"/>
    </xf>
    <xf numFmtId="0" fontId="30" fillId="0" borderId="14" xfId="45" applyFont="1" applyFill="1" applyBorder="1" applyAlignment="1">
      <alignment horizontal="center" vertical="center" wrapText="1"/>
    </xf>
    <xf numFmtId="0" fontId="30" fillId="0" borderId="24" xfId="45" applyFont="1" applyFill="1" applyBorder="1" applyAlignment="1">
      <alignment horizontal="center" vertical="center" wrapText="1" readingOrder="1"/>
    </xf>
    <xf numFmtId="0" fontId="49" fillId="0" borderId="12" xfId="45" applyFont="1" applyFill="1" applyBorder="1" applyAlignment="1">
      <alignment horizontal="center" vertical="center" wrapText="1" readingOrder="1"/>
    </xf>
    <xf numFmtId="0" fontId="49" fillId="0" borderId="31" xfId="45" applyFont="1" applyFill="1" applyBorder="1" applyAlignment="1">
      <alignment horizontal="center" vertical="center" wrapText="1"/>
    </xf>
    <xf numFmtId="0" fontId="49" fillId="0" borderId="25" xfId="45" applyFont="1" applyFill="1" applyBorder="1" applyAlignment="1">
      <alignment horizontal="center" vertical="center" wrapText="1" readingOrder="1"/>
    </xf>
    <xf numFmtId="0" fontId="30" fillId="0" borderId="12" xfId="45" applyFont="1" applyFill="1" applyBorder="1" applyAlignment="1">
      <alignment horizontal="center" vertical="center" wrapText="1" readingOrder="1"/>
    </xf>
    <xf numFmtId="0" fontId="30" fillId="0" borderId="31" xfId="45" applyFont="1" applyFill="1" applyBorder="1" applyAlignment="1">
      <alignment horizontal="center" vertical="center" wrapText="1"/>
    </xf>
    <xf numFmtId="0" fontId="30" fillId="0" borderId="24" xfId="45" applyFont="1" applyFill="1" applyBorder="1" applyAlignment="1">
      <alignment horizontal="center" vertical="center" wrapText="1"/>
    </xf>
    <xf numFmtId="0" fontId="30" fillId="0" borderId="32" xfId="45" applyFont="1" applyFill="1" applyBorder="1" applyAlignment="1">
      <alignment horizontal="center" vertical="center" wrapText="1"/>
    </xf>
    <xf numFmtId="0" fontId="51" fillId="0" borderId="27" xfId="45" applyFont="1" applyFill="1" applyBorder="1" applyAlignment="1">
      <alignment horizontal="center" vertical="center" wrapText="1"/>
    </xf>
    <xf numFmtId="0" fontId="51" fillId="0" borderId="28" xfId="45" applyFont="1" applyFill="1" applyBorder="1" applyAlignment="1">
      <alignment horizontal="center" vertical="center" wrapText="1"/>
    </xf>
    <xf numFmtId="0" fontId="51" fillId="0" borderId="29" xfId="45" applyFont="1" applyFill="1" applyBorder="1" applyAlignment="1">
      <alignment horizontal="center" vertical="center" wrapText="1"/>
    </xf>
    <xf numFmtId="0" fontId="30" fillId="0" borderId="10" xfId="45" applyFont="1" applyFill="1" applyBorder="1" applyAlignment="1">
      <alignment horizontal="center" vertical="center" wrapText="1"/>
    </xf>
    <xf numFmtId="0" fontId="51" fillId="0" borderId="10" xfId="45" applyFont="1" applyFill="1" applyBorder="1" applyAlignment="1">
      <alignment horizontal="center" vertical="center" wrapText="1"/>
    </xf>
    <xf numFmtId="0" fontId="51" fillId="0" borderId="24" xfId="45" applyFont="1" applyFill="1" applyBorder="1" applyAlignment="1">
      <alignment horizontal="center" vertical="center" wrapText="1"/>
    </xf>
    <xf numFmtId="0" fontId="51" fillId="0" borderId="34" xfId="45" applyFont="1" applyFill="1" applyBorder="1" applyAlignment="1">
      <alignment horizontal="center" vertical="center" wrapText="1"/>
    </xf>
    <xf numFmtId="0" fontId="30" fillId="0" borderId="35" xfId="45" applyFont="1" applyFill="1" applyBorder="1" applyAlignment="1">
      <alignment horizontal="center" vertical="center" wrapText="1"/>
    </xf>
    <xf numFmtId="0" fontId="30" fillId="0" borderId="34" xfId="45" applyFont="1" applyFill="1" applyBorder="1" applyAlignment="1">
      <alignment horizontal="center" vertical="center" wrapText="1"/>
    </xf>
    <xf numFmtId="0" fontId="50" fillId="0" borderId="21" xfId="45" applyFont="1" applyFill="1" applyBorder="1" applyAlignment="1">
      <alignment horizontal="center" vertical="center" wrapText="1"/>
    </xf>
    <xf numFmtId="0" fontId="2" fillId="0" borderId="21" xfId="45" applyBorder="1" applyAlignment="1">
      <alignment wrapText="1"/>
    </xf>
    <xf numFmtId="0" fontId="50" fillId="26" borderId="14" xfId="45" applyFont="1" applyFill="1" applyBorder="1" applyAlignment="1">
      <alignment horizontal="center" vertical="center" wrapText="1"/>
    </xf>
    <xf numFmtId="0" fontId="50" fillId="35" borderId="14" xfId="45" applyFont="1" applyFill="1" applyBorder="1" applyAlignment="1">
      <alignment horizontal="center" vertical="center" wrapText="1"/>
    </xf>
    <xf numFmtId="0" fontId="50" fillId="29" borderId="14" xfId="45" applyFont="1" applyFill="1" applyBorder="1" applyAlignment="1">
      <alignment horizontal="center" vertical="center" wrapText="1"/>
    </xf>
    <xf numFmtId="0" fontId="50" fillId="30" borderId="14" xfId="45" applyFont="1" applyFill="1" applyBorder="1" applyAlignment="1">
      <alignment horizontal="center" vertical="center" wrapText="1"/>
    </xf>
    <xf numFmtId="0" fontId="50" fillId="32" borderId="14" xfId="45" applyFont="1" applyFill="1" applyBorder="1" applyAlignment="1">
      <alignment horizontal="center" vertical="center" wrapText="1"/>
    </xf>
    <xf numFmtId="0" fontId="48" fillId="41" borderId="24" xfId="45" applyFont="1" applyFill="1" applyBorder="1" applyAlignment="1">
      <alignment horizontal="center" vertical="center" wrapText="1"/>
    </xf>
    <xf numFmtId="0" fontId="50" fillId="40" borderId="37" xfId="45" applyFont="1" applyFill="1" applyBorder="1" applyAlignment="1">
      <alignment horizontal="center" vertical="center" wrapText="1"/>
    </xf>
    <xf numFmtId="0" fontId="51" fillId="0" borderId="14" xfId="45" applyFont="1" applyBorder="1" applyAlignment="1">
      <alignment horizontal="center" vertical="center" wrapText="1"/>
    </xf>
    <xf numFmtId="0" fontId="51" fillId="0" borderId="24" xfId="45" applyFont="1" applyBorder="1" applyAlignment="1">
      <alignment horizontal="center" vertical="center" wrapText="1"/>
    </xf>
    <xf numFmtId="0" fontId="54" fillId="0" borderId="0" xfId="45" applyFont="1"/>
    <xf numFmtId="0" fontId="55" fillId="38" borderId="0" xfId="45" applyNumberFormat="1" applyFont="1" applyFill="1" applyBorder="1" applyAlignment="1" applyProtection="1">
      <alignment vertical="center"/>
    </xf>
    <xf numFmtId="0" fontId="56" fillId="38" borderId="12" xfId="45" applyFont="1" applyFill="1" applyBorder="1" applyAlignment="1">
      <alignment horizontal="center" vertical="center" wrapText="1"/>
    </xf>
    <xf numFmtId="0" fontId="47" fillId="0" borderId="0" xfId="45" applyFont="1" applyAlignment="1">
      <alignment horizontal="center"/>
    </xf>
    <xf numFmtId="0" fontId="34" fillId="0" borderId="10" xfId="45" applyFont="1" applyBorder="1" applyAlignment="1">
      <alignment horizontal="center" vertical="center" wrapText="1"/>
    </xf>
    <xf numFmtId="14" fontId="34" fillId="0" borderId="10" xfId="45" applyNumberFormat="1" applyFont="1" applyBorder="1" applyAlignment="1">
      <alignment horizontal="center" vertical="center" wrapText="1"/>
    </xf>
    <xf numFmtId="0" fontId="47" fillId="0" borderId="16" xfId="45" applyFont="1" applyBorder="1"/>
    <xf numFmtId="0" fontId="47" fillId="0" borderId="10" xfId="45" applyFont="1" applyBorder="1"/>
    <xf numFmtId="0" fontId="47" fillId="0" borderId="0" xfId="45" applyFont="1"/>
    <xf numFmtId="0" fontId="56" fillId="38" borderId="0" xfId="45" applyFont="1" applyFill="1" applyBorder="1" applyProtection="1"/>
    <xf numFmtId="0" fontId="57" fillId="0" borderId="0" xfId="45" applyFont="1" applyFill="1" applyBorder="1" applyProtection="1"/>
    <xf numFmtId="0" fontId="56" fillId="0" borderId="0" xfId="45" applyFont="1" applyFill="1" applyBorder="1" applyProtection="1"/>
    <xf numFmtId="0" fontId="56" fillId="38" borderId="0" xfId="45" applyFont="1" applyFill="1" applyBorder="1" applyAlignment="1" applyProtection="1">
      <alignment horizontal="right" vertical="center"/>
    </xf>
    <xf numFmtId="14" fontId="58" fillId="38" borderId="0" xfId="45" applyNumberFormat="1" applyFont="1" applyFill="1" applyBorder="1" applyAlignment="1" applyProtection="1">
      <alignment horizontal="left" vertical="center"/>
    </xf>
    <xf numFmtId="0" fontId="59" fillId="38" borderId="0" xfId="45" applyFont="1" applyFill="1" applyBorder="1" applyAlignment="1" applyProtection="1">
      <alignment horizontal="left" vertical="center"/>
    </xf>
    <xf numFmtId="0" fontId="56" fillId="38" borderId="0" xfId="45" applyFont="1" applyFill="1" applyBorder="1" applyAlignment="1" applyProtection="1">
      <alignment horizontal="center" vertical="center" wrapText="1"/>
    </xf>
    <xf numFmtId="0" fontId="57" fillId="38" borderId="0" xfId="45" applyNumberFormat="1" applyFont="1" applyFill="1" applyBorder="1" applyAlignment="1" applyProtection="1">
      <alignment horizontal="center" vertical="center" wrapText="1"/>
    </xf>
    <xf numFmtId="0" fontId="56" fillId="38" borderId="0" xfId="45" applyFont="1" applyFill="1" applyBorder="1" applyAlignment="1" applyProtection="1">
      <alignment horizontal="right" vertical="center" wrapText="1"/>
    </xf>
    <xf numFmtId="0" fontId="56" fillId="38" borderId="0" xfId="45" applyFont="1" applyFill="1" applyBorder="1" applyAlignment="1" applyProtection="1">
      <alignment horizontal="right" vertical="center" wrapText="1" indent="1"/>
    </xf>
    <xf numFmtId="14" fontId="60" fillId="44" borderId="45" xfId="45" applyNumberFormat="1" applyFont="1" applyFill="1" applyBorder="1" applyAlignment="1" applyProtection="1">
      <alignment horizontal="center" vertical="center" wrapText="1"/>
    </xf>
    <xf numFmtId="0" fontId="61" fillId="0" borderId="47" xfId="45" applyFont="1" applyFill="1" applyBorder="1" applyAlignment="1" applyProtection="1">
      <alignment horizontal="center" vertical="center" wrapText="1"/>
      <protection locked="0"/>
    </xf>
    <xf numFmtId="0" fontId="56" fillId="0" borderId="0" xfId="45" applyFont="1" applyFill="1" applyBorder="1" applyAlignment="1" applyProtection="1">
      <alignment horizontal="center" vertical="center" wrapText="1"/>
    </xf>
    <xf numFmtId="0" fontId="2" fillId="0" borderId="0" xfId="49"/>
    <xf numFmtId="0" fontId="2" fillId="0" borderId="0" xfId="49" applyAlignment="1">
      <alignment horizontal="center" vertical="center"/>
    </xf>
    <xf numFmtId="0" fontId="50" fillId="40" borderId="37" xfId="49" applyFont="1" applyFill="1" applyBorder="1" applyAlignment="1">
      <alignment horizontal="center" vertical="center" wrapText="1"/>
    </xf>
    <xf numFmtId="0" fontId="30" fillId="0" borderId="0" xfId="49" applyFont="1" applyFill="1" applyBorder="1" applyAlignment="1">
      <alignment horizontal="left" vertical="center" wrapText="1" readingOrder="1"/>
    </xf>
    <xf numFmtId="0" fontId="50" fillId="26" borderId="14" xfId="49" applyFont="1" applyFill="1" applyBorder="1" applyAlignment="1">
      <alignment horizontal="center" vertical="center" wrapText="1"/>
    </xf>
    <xf numFmtId="0" fontId="34" fillId="0" borderId="0" xfId="49" applyFont="1" applyFill="1" applyAlignment="1">
      <alignment horizontal="right" vertical="center"/>
    </xf>
    <xf numFmtId="0" fontId="2" fillId="0" borderId="0" xfId="49" applyAlignment="1">
      <alignment horizontal="left" vertical="center" indent="3"/>
    </xf>
    <xf numFmtId="0" fontId="50" fillId="35" borderId="14" xfId="49" applyFont="1" applyFill="1" applyBorder="1" applyAlignment="1">
      <alignment horizontal="center" vertical="center" wrapText="1"/>
    </xf>
    <xf numFmtId="0" fontId="50" fillId="29" borderId="14" xfId="49" applyFont="1" applyFill="1" applyBorder="1" applyAlignment="1">
      <alignment horizontal="center" vertical="center" wrapText="1"/>
    </xf>
    <xf numFmtId="0" fontId="50" fillId="30" borderId="14" xfId="49" applyFont="1" applyFill="1" applyBorder="1" applyAlignment="1">
      <alignment horizontal="center" vertical="center" wrapText="1"/>
    </xf>
    <xf numFmtId="0" fontId="50" fillId="32" borderId="14" xfId="49" applyFont="1" applyFill="1" applyBorder="1" applyAlignment="1">
      <alignment horizontal="center" vertical="center" wrapText="1"/>
    </xf>
    <xf numFmtId="0" fontId="48" fillId="41" borderId="14" xfId="49" applyFont="1" applyFill="1" applyBorder="1" applyAlignment="1">
      <alignment horizontal="center" vertical="center" wrapText="1"/>
    </xf>
    <xf numFmtId="0" fontId="34" fillId="0" borderId="0" xfId="49" applyFont="1" applyAlignment="1">
      <alignment horizontal="right" vertical="center"/>
    </xf>
    <xf numFmtId="0" fontId="42" fillId="0" borderId="10" xfId="46" applyFill="1" applyBorder="1" applyAlignment="1" applyProtection="1">
      <alignment horizontal="center" vertical="center"/>
    </xf>
    <xf numFmtId="0" fontId="5" fillId="0" borderId="10" xfId="0" applyFont="1" applyBorder="1" applyAlignment="1" applyProtection="1">
      <alignment horizontal="center" vertical="center"/>
    </xf>
    <xf numFmtId="0" fontId="6" fillId="30" borderId="10" xfId="0" applyNumberFormat="1" applyFont="1" applyFill="1" applyBorder="1" applyAlignment="1">
      <alignment horizontal="center" vertical="center" wrapText="1"/>
    </xf>
    <xf numFmtId="0" fontId="6" fillId="28" borderId="10" xfId="0" applyNumberFormat="1" applyFont="1" applyFill="1" applyBorder="1" applyAlignment="1">
      <alignment horizontal="center" vertical="center" wrapText="1"/>
    </xf>
    <xf numFmtId="0" fontId="6" fillId="29" borderId="10" xfId="0" applyNumberFormat="1" applyFont="1" applyFill="1" applyBorder="1" applyAlignment="1">
      <alignment horizontal="center" vertical="center" wrapText="1"/>
    </xf>
    <xf numFmtId="0" fontId="6" fillId="24" borderId="10" xfId="0" applyNumberFormat="1" applyFont="1" applyFill="1" applyBorder="1" applyAlignment="1">
      <alignment horizontal="center" vertical="center" wrapText="1"/>
    </xf>
    <xf numFmtId="0" fontId="5" fillId="0" borderId="10" xfId="0" applyFont="1" applyBorder="1" applyAlignment="1" applyProtection="1">
      <alignment horizontal="center" vertical="center" wrapText="1"/>
    </xf>
    <xf numFmtId="0" fontId="63" fillId="0" borderId="12" xfId="0" applyFont="1" applyFill="1" applyBorder="1" applyAlignment="1">
      <alignment vertical="center" textRotation="90" wrapText="1"/>
    </xf>
    <xf numFmtId="0" fontId="63" fillId="0" borderId="16" xfId="0" applyFont="1" applyFill="1" applyBorder="1" applyAlignment="1">
      <alignment horizontal="center" vertical="center" textRotation="90"/>
    </xf>
    <xf numFmtId="16" fontId="63" fillId="0" borderId="16" xfId="0" applyNumberFormat="1" applyFont="1" applyFill="1" applyBorder="1" applyAlignment="1">
      <alignment horizontal="center" vertical="center" textRotation="90"/>
    </xf>
    <xf numFmtId="0" fontId="64" fillId="0" borderId="0" xfId="0" applyFont="1"/>
    <xf numFmtId="0" fontId="63" fillId="0" borderId="10" xfId="0" applyFont="1" applyBorder="1" applyAlignment="1">
      <alignment horizontal="centerContinuous" vertical="center"/>
    </xf>
    <xf numFmtId="0" fontId="64" fillId="0" borderId="10" xfId="0" applyFont="1" applyBorder="1" applyAlignment="1">
      <alignment horizontal="centerContinuous" vertical="center"/>
    </xf>
    <xf numFmtId="0" fontId="63" fillId="0" borderId="10" xfId="0" applyFont="1" applyFill="1" applyBorder="1" applyAlignment="1">
      <alignment horizontal="center" vertical="center"/>
    </xf>
    <xf numFmtId="0" fontId="61" fillId="0" borderId="49" xfId="45" applyFont="1" applyFill="1" applyBorder="1" applyAlignment="1" applyProtection="1">
      <alignment horizontal="center" vertical="center" wrapText="1"/>
      <protection locked="0"/>
    </xf>
    <xf numFmtId="0" fontId="61" fillId="0" borderId="43" xfId="45" applyFont="1" applyFill="1" applyBorder="1" applyAlignment="1" applyProtection="1">
      <alignment horizontal="center" vertical="center" wrapText="1"/>
      <protection locked="0"/>
    </xf>
    <xf numFmtId="0" fontId="56" fillId="38" borderId="52" xfId="45" applyFont="1" applyFill="1" applyBorder="1" applyProtection="1"/>
    <xf numFmtId="0" fontId="56" fillId="38" borderId="52" xfId="45" applyFont="1" applyFill="1" applyBorder="1" applyAlignment="1" applyProtection="1">
      <alignment horizontal="right" vertical="center" wrapText="1"/>
    </xf>
    <xf numFmtId="0" fontId="60" fillId="44" borderId="53" xfId="45" applyFont="1" applyFill="1" applyBorder="1" applyAlignment="1" applyProtection="1">
      <alignment horizontal="center" vertical="center" wrapText="1"/>
    </xf>
    <xf numFmtId="0" fontId="56" fillId="45" borderId="54" xfId="45" applyFont="1" applyFill="1" applyBorder="1" applyAlignment="1" applyProtection="1">
      <alignment horizontal="left" vertical="center" wrapText="1"/>
    </xf>
    <xf numFmtId="0" fontId="56" fillId="45" borderId="55" xfId="45" applyFont="1" applyFill="1" applyBorder="1" applyAlignment="1" applyProtection="1">
      <alignment horizontal="left" vertical="center" wrapText="1"/>
    </xf>
    <xf numFmtId="0" fontId="56" fillId="38" borderId="58" xfId="45" applyFont="1" applyFill="1" applyBorder="1" applyProtection="1"/>
    <xf numFmtId="0" fontId="56" fillId="38" borderId="57" xfId="45" applyFont="1" applyFill="1" applyBorder="1" applyProtection="1"/>
    <xf numFmtId="0" fontId="34" fillId="0" borderId="0" xfId="45" applyFont="1" applyAlignment="1">
      <alignment horizontal="center" vertical="center"/>
    </xf>
    <xf numFmtId="0" fontId="34" fillId="0" borderId="0" xfId="49" applyFont="1" applyFill="1" applyAlignment="1">
      <alignment horizontal="center" vertical="center"/>
    </xf>
    <xf numFmtId="0" fontId="34" fillId="0" borderId="0" xfId="45" applyFont="1" applyAlignment="1">
      <alignment horizontal="center"/>
    </xf>
    <xf numFmtId="0" fontId="56" fillId="33" borderId="12" xfId="45" applyFont="1" applyFill="1" applyBorder="1" applyAlignment="1">
      <alignment horizontal="center" vertical="center" wrapText="1"/>
    </xf>
    <xf numFmtId="0" fontId="51" fillId="0" borderId="0" xfId="0" applyFont="1" applyBorder="1" applyAlignment="1">
      <alignment horizontal="center" vertical="center" wrapText="1"/>
    </xf>
    <xf numFmtId="0" fontId="0" fillId="0" borderId="0" xfId="0" applyFill="1" applyAlignment="1">
      <alignment wrapText="1"/>
    </xf>
    <xf numFmtId="0" fontId="51" fillId="0" borderId="0" xfId="0" applyFont="1" applyFill="1" applyBorder="1" applyAlignment="1">
      <alignment vertical="center" wrapText="1"/>
    </xf>
    <xf numFmtId="0" fontId="51" fillId="0" borderId="0" xfId="0" applyFont="1" applyFill="1" applyBorder="1" applyAlignment="1">
      <alignment horizontal="left" vertical="center" wrapText="1"/>
    </xf>
    <xf numFmtId="0" fontId="50" fillId="0" borderId="0" xfId="0" applyFont="1" applyFill="1" applyBorder="1" applyAlignment="1">
      <alignment horizontal="center" vertical="center" wrapText="1"/>
    </xf>
    <xf numFmtId="0" fontId="56" fillId="0" borderId="0" xfId="0" applyFont="1" applyBorder="1" applyAlignment="1">
      <alignment horizontal="center" wrapText="1"/>
    </xf>
    <xf numFmtId="0" fontId="30" fillId="0" borderId="17" xfId="43" applyFont="1" applyFill="1" applyBorder="1" applyAlignment="1">
      <alignment horizontal="center"/>
    </xf>
    <xf numFmtId="0" fontId="56" fillId="0" borderId="0" xfId="0" applyFont="1" applyBorder="1" applyAlignment="1">
      <alignment wrapText="1"/>
    </xf>
    <xf numFmtId="0" fontId="56" fillId="0" borderId="0" xfId="0" applyFont="1" applyBorder="1" applyAlignment="1">
      <alignment horizontal="left" wrapText="1"/>
    </xf>
    <xf numFmtId="0" fontId="51" fillId="0" borderId="0" xfId="49" applyFont="1" applyBorder="1" applyAlignment="1">
      <alignment horizontal="center" vertical="center" wrapText="1"/>
    </xf>
    <xf numFmtId="0" fontId="50" fillId="0" borderId="0" xfId="49" applyFont="1" applyFill="1" applyBorder="1" applyAlignment="1">
      <alignment horizontal="center" vertical="center" wrapText="1"/>
    </xf>
    <xf numFmtId="0" fontId="51" fillId="0" borderId="10" xfId="49" applyFont="1" applyBorder="1" applyAlignment="1">
      <alignment horizontal="left" vertical="center" wrapText="1"/>
    </xf>
    <xf numFmtId="0" fontId="51" fillId="0" borderId="10" xfId="49" applyFont="1" applyBorder="1" applyAlignment="1">
      <alignment horizontal="left" vertical="top" wrapText="1"/>
    </xf>
    <xf numFmtId="0" fontId="45" fillId="38" borderId="0" xfId="45" applyFont="1" applyFill="1" applyBorder="1" applyAlignment="1" applyProtection="1">
      <alignment horizontal="center" vertical="center"/>
    </xf>
    <xf numFmtId="0" fontId="66" fillId="38" borderId="0" xfId="45" applyFont="1" applyFill="1" applyBorder="1" applyAlignment="1" applyProtection="1">
      <alignment horizontal="right" vertical="center" wrapText="1" indent="1"/>
    </xf>
    <xf numFmtId="0" fontId="66" fillId="38" borderId="0" xfId="45" applyFont="1" applyFill="1" applyBorder="1" applyAlignment="1" applyProtection="1">
      <alignment horizontal="center" vertical="center" wrapText="1"/>
    </xf>
    <xf numFmtId="0" fontId="56" fillId="34" borderId="0" xfId="45" applyFont="1" applyFill="1" applyBorder="1" applyAlignment="1" applyProtection="1">
      <alignment horizontal="right" vertical="center" wrapText="1" indent="1"/>
    </xf>
    <xf numFmtId="0" fontId="56" fillId="34" borderId="52" xfId="45" applyFont="1" applyFill="1" applyBorder="1" applyAlignment="1" applyProtection="1">
      <alignment horizontal="right" vertical="center" wrapText="1"/>
    </xf>
    <xf numFmtId="0" fontId="61" fillId="0" borderId="70" xfId="45" applyFont="1" applyFill="1" applyBorder="1" applyAlignment="1" applyProtection="1">
      <alignment horizontal="center" vertical="center" wrapText="1"/>
      <protection locked="0"/>
    </xf>
    <xf numFmtId="0" fontId="61" fillId="0" borderId="61" xfId="45" applyFont="1" applyFill="1" applyBorder="1" applyAlignment="1" applyProtection="1">
      <alignment horizontal="center" vertical="center" wrapText="1"/>
      <protection locked="0"/>
    </xf>
    <xf numFmtId="0" fontId="56" fillId="45" borderId="71" xfId="45" applyFont="1" applyFill="1" applyBorder="1" applyAlignment="1" applyProtection="1">
      <alignment horizontal="left" vertical="center" wrapText="1"/>
    </xf>
    <xf numFmtId="14" fontId="60" fillId="44" borderId="60" xfId="45" applyNumberFormat="1" applyFont="1" applyFill="1" applyBorder="1" applyAlignment="1" applyProtection="1">
      <alignment horizontal="center" vertical="center" wrapText="1"/>
    </xf>
    <xf numFmtId="0" fontId="56" fillId="46" borderId="12" xfId="45" applyFont="1" applyFill="1" applyBorder="1" applyAlignment="1">
      <alignment horizontal="center" vertical="center" wrapText="1"/>
    </xf>
    <xf numFmtId="0" fontId="56" fillId="46" borderId="0" xfId="45" applyFont="1" applyFill="1" applyBorder="1" applyAlignment="1">
      <alignment horizontal="center" vertical="center" wrapText="1"/>
    </xf>
    <xf numFmtId="0" fontId="6" fillId="24" borderId="12" xfId="0" applyFont="1" applyFill="1" applyBorder="1" applyAlignment="1" applyProtection="1">
      <alignment horizontal="center" vertical="center"/>
    </xf>
    <xf numFmtId="0" fontId="6" fillId="24" borderId="14" xfId="0" applyFont="1" applyFill="1" applyBorder="1" applyAlignment="1" applyProtection="1">
      <alignment horizontal="center" vertical="center"/>
    </xf>
    <xf numFmtId="0" fontId="5" fillId="0" borderId="0" xfId="0" applyFont="1"/>
    <xf numFmtId="0" fontId="6" fillId="24" borderId="10" xfId="0" applyFont="1" applyFill="1" applyBorder="1" applyAlignment="1" applyProtection="1">
      <alignment horizontal="center" vertical="center"/>
    </xf>
    <xf numFmtId="0" fontId="6" fillId="32" borderId="10" xfId="0" applyNumberFormat="1" applyFont="1" applyFill="1" applyBorder="1" applyAlignment="1">
      <alignment horizontal="center" vertical="center" wrapText="1"/>
    </xf>
    <xf numFmtId="0" fontId="6" fillId="25" borderId="10" xfId="0" applyNumberFormat="1" applyFont="1" applyFill="1" applyBorder="1" applyAlignment="1">
      <alignment horizontal="center" vertical="center" wrapText="1"/>
    </xf>
    <xf numFmtId="0" fontId="6" fillId="31" borderId="10" xfId="0" applyNumberFormat="1" applyFont="1" applyFill="1" applyBorder="1" applyAlignment="1">
      <alignment horizontal="center" vertical="center" wrapText="1"/>
    </xf>
    <xf numFmtId="0" fontId="6" fillId="26" borderId="10" xfId="0" applyNumberFormat="1" applyFont="1" applyFill="1" applyBorder="1" applyAlignment="1">
      <alignment horizontal="center" vertical="center" wrapText="1"/>
    </xf>
    <xf numFmtId="0" fontId="32" fillId="0" borderId="16" xfId="0" applyFont="1" applyFill="1" applyBorder="1" applyAlignment="1">
      <alignment horizontal="center" vertical="center"/>
    </xf>
    <xf numFmtId="16" fontId="32" fillId="0" borderId="16" xfId="0" applyNumberFormat="1" applyFont="1" applyFill="1" applyBorder="1" applyAlignment="1">
      <alignment horizontal="center" vertical="center"/>
    </xf>
    <xf numFmtId="0" fontId="8" fillId="0" borderId="0" xfId="0" applyFont="1" applyBorder="1" applyAlignment="1">
      <alignment vertical="center" textRotation="90"/>
    </xf>
    <xf numFmtId="0" fontId="32" fillId="0" borderId="72" xfId="0" applyFont="1" applyFill="1" applyBorder="1" applyAlignment="1">
      <alignment vertical="center" wrapText="1"/>
    </xf>
    <xf numFmtId="0" fontId="5" fillId="0" borderId="0" xfId="0" applyFont="1" applyAlignment="1">
      <alignment wrapText="1"/>
    </xf>
    <xf numFmtId="0" fontId="6" fillId="27" borderId="12" xfId="0" applyFont="1" applyFill="1" applyBorder="1" applyAlignment="1" applyProtection="1">
      <alignment vertical="center"/>
    </xf>
    <xf numFmtId="0" fontId="6" fillId="27" borderId="12" xfId="0" applyFont="1" applyFill="1" applyBorder="1" applyAlignment="1" applyProtection="1">
      <alignment vertical="center" wrapText="1"/>
    </xf>
    <xf numFmtId="0" fontId="56" fillId="34" borderId="62" xfId="45" applyFont="1" applyFill="1" applyBorder="1" applyAlignment="1" applyProtection="1">
      <alignment horizontal="center" vertical="center" wrapText="1"/>
    </xf>
    <xf numFmtId="0" fontId="31" fillId="29" borderId="10" xfId="0" applyFont="1" applyFill="1" applyBorder="1" applyAlignment="1">
      <alignment horizontal="center" vertical="center" wrapText="1"/>
    </xf>
    <xf numFmtId="0" fontId="31" fillId="30" borderId="10" xfId="0" applyFont="1" applyFill="1" applyBorder="1" applyAlignment="1">
      <alignment horizontal="center" vertical="center" wrapText="1"/>
    </xf>
    <xf numFmtId="0" fontId="31" fillId="28" borderId="10" xfId="0" applyFont="1" applyFill="1" applyBorder="1" applyAlignment="1">
      <alignment horizontal="center" vertical="center" wrapText="1"/>
    </xf>
    <xf numFmtId="0" fontId="31" fillId="24" borderId="10" xfId="0" applyFont="1" applyFill="1" applyBorder="1" applyAlignment="1">
      <alignment horizontal="center" vertical="center" wrapText="1"/>
    </xf>
    <xf numFmtId="0" fontId="1" fillId="0" borderId="0" xfId="51"/>
    <xf numFmtId="0" fontId="71" fillId="41" borderId="10" xfId="51" applyFont="1" applyFill="1" applyBorder="1" applyAlignment="1">
      <alignment horizontal="center" vertical="center"/>
    </xf>
    <xf numFmtId="0" fontId="1" fillId="0" borderId="10" xfId="51" applyBorder="1" applyAlignment="1">
      <alignment horizontal="center" vertical="center"/>
    </xf>
    <xf numFmtId="0" fontId="1" fillId="30" borderId="10" xfId="51" applyFill="1" applyBorder="1"/>
    <xf numFmtId="0" fontId="1" fillId="32" borderId="10" xfId="51" applyFill="1" applyBorder="1"/>
    <xf numFmtId="0" fontId="70" fillId="32" borderId="10" xfId="51" applyFont="1" applyFill="1" applyBorder="1" applyAlignment="1">
      <alignment horizontal="center" vertical="center"/>
    </xf>
    <xf numFmtId="0" fontId="70" fillId="30" borderId="10" xfId="51" applyFont="1" applyFill="1" applyBorder="1" applyAlignment="1">
      <alignment horizontal="center" vertical="center"/>
    </xf>
    <xf numFmtId="0" fontId="1" fillId="29" borderId="10" xfId="51" applyFill="1" applyBorder="1"/>
    <xf numFmtId="0" fontId="70" fillId="29" borderId="10" xfId="51" applyFont="1" applyFill="1" applyBorder="1" applyAlignment="1">
      <alignment horizontal="center" vertical="center"/>
    </xf>
    <xf numFmtId="0" fontId="1" fillId="26" borderId="10" xfId="51" applyFill="1" applyBorder="1"/>
    <xf numFmtId="0" fontId="70" fillId="35" borderId="10" xfId="51" applyFont="1" applyFill="1" applyBorder="1" applyAlignment="1">
      <alignment horizontal="center" vertical="center"/>
    </xf>
    <xf numFmtId="0" fontId="70" fillId="0" borderId="0" xfId="51" applyFont="1" applyFill="1" applyBorder="1" applyAlignment="1">
      <alignment horizontal="center" vertical="center" wrapText="1"/>
    </xf>
    <xf numFmtId="0" fontId="70" fillId="26" borderId="10" xfId="51" applyFont="1" applyFill="1" applyBorder="1" applyAlignment="1">
      <alignment horizontal="center" vertical="center"/>
    </xf>
    <xf numFmtId="0" fontId="71" fillId="0" borderId="0" xfId="51" applyFont="1" applyFill="1" applyBorder="1" applyAlignment="1">
      <alignment horizontal="center" vertical="center" wrapText="1"/>
    </xf>
    <xf numFmtId="0" fontId="1" fillId="0" borderId="0" xfId="51" applyAlignment="1">
      <alignment horizontal="center" vertical="center"/>
    </xf>
    <xf numFmtId="0" fontId="1" fillId="0" borderId="0" xfId="51" applyFill="1" applyBorder="1"/>
    <xf numFmtId="0" fontId="38" fillId="0" borderId="0" xfId="51" applyFont="1" applyFill="1" applyBorder="1" applyAlignment="1">
      <alignment horizontal="left" vertical="center" wrapText="1"/>
    </xf>
    <xf numFmtId="0" fontId="34" fillId="0" borderId="0" xfId="51" applyFont="1" applyFill="1" applyBorder="1" applyAlignment="1">
      <alignment horizontal="left" vertical="center" wrapText="1"/>
    </xf>
    <xf numFmtId="0" fontId="1" fillId="0" borderId="0" xfId="51" applyAlignment="1">
      <alignment wrapText="1"/>
    </xf>
    <xf numFmtId="0" fontId="1" fillId="0" borderId="0" xfId="51" applyFill="1" applyBorder="1" applyAlignment="1">
      <alignment horizontal="center" vertical="center" wrapText="1"/>
    </xf>
    <xf numFmtId="0" fontId="1" fillId="0" borderId="0" xfId="51" applyBorder="1" applyAlignment="1">
      <alignment horizontal="center" vertical="center" wrapText="1"/>
    </xf>
    <xf numFmtId="0" fontId="70" fillId="50" borderId="10" xfId="51" applyFont="1" applyFill="1" applyBorder="1" applyAlignment="1">
      <alignment horizontal="center" vertical="center"/>
    </xf>
    <xf numFmtId="0" fontId="70" fillId="0" borderId="0" xfId="51" applyFont="1" applyFill="1" applyBorder="1" applyAlignment="1">
      <alignment horizontal="center" vertical="center"/>
    </xf>
    <xf numFmtId="0" fontId="56" fillId="0" borderId="54" xfId="45" applyFont="1" applyFill="1" applyBorder="1" applyAlignment="1" applyProtection="1">
      <alignment horizontal="center" vertical="center" wrapText="1"/>
      <protection locked="0"/>
    </xf>
    <xf numFmtId="0" fontId="56" fillId="0" borderId="53" xfId="45" applyFont="1" applyFill="1" applyBorder="1" applyAlignment="1" applyProtection="1">
      <alignment horizontal="center" vertical="center" wrapText="1"/>
      <protection locked="0"/>
    </xf>
    <xf numFmtId="14" fontId="56" fillId="0" borderId="77" xfId="45" applyNumberFormat="1" applyFont="1" applyFill="1" applyBorder="1" applyAlignment="1" applyProtection="1">
      <alignment horizontal="center" vertical="center" wrapText="1"/>
      <protection locked="0"/>
    </xf>
    <xf numFmtId="0" fontId="56" fillId="0" borderId="54" xfId="45" applyFont="1" applyFill="1" applyBorder="1" applyAlignment="1" applyProtection="1">
      <alignment horizontal="left" vertical="top" wrapText="1"/>
      <protection locked="0"/>
    </xf>
    <xf numFmtId="0" fontId="56" fillId="0" borderId="46" xfId="45" applyFont="1" applyFill="1" applyBorder="1" applyAlignment="1" applyProtection="1">
      <alignment horizontal="center" vertical="center" wrapText="1"/>
      <protection locked="0"/>
    </xf>
    <xf numFmtId="0" fontId="56" fillId="34" borderId="81" xfId="45" applyFont="1" applyFill="1" applyBorder="1" applyAlignment="1" applyProtection="1">
      <alignment horizontal="right" vertical="center" wrapText="1" indent="1"/>
    </xf>
    <xf numFmtId="0" fontId="56" fillId="34" borderId="82" xfId="45" applyFont="1" applyFill="1" applyBorder="1" applyAlignment="1" applyProtection="1">
      <alignment horizontal="right" vertical="center" wrapText="1" indent="1"/>
    </xf>
    <xf numFmtId="0" fontId="56" fillId="34" borderId="83" xfId="45" applyFont="1" applyFill="1" applyBorder="1" applyAlignment="1" applyProtection="1">
      <alignment horizontal="center" vertical="center" wrapText="1"/>
    </xf>
    <xf numFmtId="0" fontId="56" fillId="0" borderId="77" xfId="45" applyFont="1" applyFill="1" applyBorder="1" applyAlignment="1" applyProtection="1">
      <alignment horizontal="center" vertical="center" wrapText="1"/>
      <protection locked="0"/>
    </xf>
    <xf numFmtId="0" fontId="45" fillId="38" borderId="84" xfId="45" applyFont="1" applyFill="1" applyBorder="1" applyAlignment="1" applyProtection="1">
      <alignment horizontal="center" vertical="center"/>
    </xf>
    <xf numFmtId="0" fontId="56" fillId="40" borderId="85" xfId="45" applyFont="1" applyFill="1" applyBorder="1" applyAlignment="1" applyProtection="1">
      <alignment horizontal="right" vertical="center" wrapText="1" indent="1"/>
    </xf>
    <xf numFmtId="0" fontId="61" fillId="38" borderId="47" xfId="45" applyFont="1" applyFill="1" applyBorder="1" applyAlignment="1" applyProtection="1">
      <alignment horizontal="center" vertical="center" wrapText="1"/>
      <protection locked="0"/>
    </xf>
    <xf numFmtId="0" fontId="6" fillId="24" borderId="14" xfId="0" applyFont="1" applyFill="1" applyBorder="1" applyAlignment="1" applyProtection="1">
      <alignment horizontal="center" vertical="center"/>
    </xf>
    <xf numFmtId="0" fontId="6" fillId="24" borderId="12" xfId="0" applyFont="1" applyFill="1" applyBorder="1" applyAlignment="1" applyProtection="1">
      <alignment horizontal="center" vertical="center"/>
    </xf>
    <xf numFmtId="0" fontId="56" fillId="40" borderId="87" xfId="45" applyFont="1" applyFill="1" applyBorder="1" applyAlignment="1" applyProtection="1">
      <alignment horizontal="right" vertical="center" wrapText="1" indent="1"/>
    </xf>
    <xf numFmtId="0" fontId="61" fillId="38" borderId="88" xfId="45" applyFont="1" applyFill="1" applyBorder="1" applyAlignment="1" applyProtection="1">
      <alignment horizontal="center" vertical="center" wrapText="1"/>
    </xf>
    <xf numFmtId="0" fontId="61" fillId="38" borderId="91" xfId="45" applyFont="1" applyFill="1" applyBorder="1" applyAlignment="1" applyProtection="1">
      <alignment horizontal="center" vertical="center" wrapText="1"/>
    </xf>
    <xf numFmtId="0" fontId="67" fillId="0" borderId="10" xfId="0" applyFont="1" applyBorder="1" applyAlignment="1">
      <alignment horizontal="center" vertical="center"/>
    </xf>
    <xf numFmtId="0" fontId="6" fillId="0" borderId="10" xfId="0" applyNumberFormat="1" applyFont="1" applyBorder="1" applyAlignment="1" applyProtection="1">
      <alignment horizontal="center" vertical="center" wrapText="1"/>
    </xf>
    <xf numFmtId="0" fontId="61" fillId="0" borderId="47" xfId="45" applyFont="1" applyFill="1" applyBorder="1" applyAlignment="1" applyProtection="1">
      <alignment horizontal="center" vertical="center" wrapText="1"/>
    </xf>
    <xf numFmtId="0" fontId="61" fillId="38" borderId="89" xfId="45" applyFont="1" applyFill="1" applyBorder="1" applyAlignment="1" applyProtection="1">
      <alignment horizontal="center" vertical="center" wrapText="1"/>
    </xf>
    <xf numFmtId="0" fontId="61" fillId="38" borderId="90" xfId="45" applyFont="1" applyFill="1" applyBorder="1" applyAlignment="1" applyProtection="1">
      <alignment horizontal="center" vertical="center" wrapText="1"/>
    </xf>
    <xf numFmtId="0" fontId="56" fillId="45" borderId="86" xfId="45" applyFont="1" applyFill="1" applyBorder="1" applyAlignment="1" applyProtection="1">
      <alignment horizontal="center" vertical="center" wrapText="1"/>
    </xf>
    <xf numFmtId="0" fontId="56" fillId="45" borderId="56" xfId="45" applyFont="1" applyFill="1" applyBorder="1" applyAlignment="1" applyProtection="1">
      <alignment horizontal="center" vertical="center" wrapText="1"/>
    </xf>
    <xf numFmtId="0" fontId="61" fillId="38" borderId="92" xfId="45" applyFont="1" applyFill="1" applyBorder="1" applyAlignment="1" applyProtection="1">
      <alignment horizontal="center" vertical="center" wrapText="1"/>
    </xf>
    <xf numFmtId="0" fontId="61" fillId="38" borderId="93" xfId="45" applyFont="1" applyFill="1" applyBorder="1" applyAlignment="1" applyProtection="1">
      <alignment horizontal="center" vertical="center" wrapText="1"/>
    </xf>
    <xf numFmtId="0" fontId="56" fillId="45" borderId="94" xfId="45" applyFont="1" applyFill="1" applyBorder="1" applyAlignment="1" applyProtection="1">
      <alignment horizontal="center" vertical="center" wrapText="1"/>
    </xf>
    <xf numFmtId="0" fontId="56" fillId="45" borderId="95" xfId="45" applyFont="1" applyFill="1" applyBorder="1" applyAlignment="1" applyProtection="1">
      <alignment horizontal="center" vertical="center" wrapText="1"/>
    </xf>
    <xf numFmtId="0" fontId="60" fillId="44" borderId="44" xfId="45" applyFont="1" applyFill="1" applyBorder="1" applyAlignment="1" applyProtection="1">
      <alignment horizontal="center" vertical="center" wrapText="1"/>
    </xf>
    <xf numFmtId="0" fontId="60" fillId="44" borderId="45" xfId="45" applyFont="1" applyFill="1" applyBorder="1" applyAlignment="1" applyProtection="1">
      <alignment horizontal="center" vertical="center" wrapText="1"/>
    </xf>
    <xf numFmtId="0" fontId="60" fillId="44" borderId="56" xfId="45" applyFont="1" applyFill="1" applyBorder="1" applyAlignment="1" applyProtection="1">
      <alignment horizontal="center" vertical="center" wrapText="1"/>
    </xf>
    <xf numFmtId="0" fontId="45" fillId="38" borderId="48" xfId="45" applyFont="1" applyFill="1" applyBorder="1" applyAlignment="1" applyProtection="1">
      <alignment horizontal="center" vertical="center"/>
    </xf>
    <xf numFmtId="0" fontId="45" fillId="38" borderId="0" xfId="45" applyFont="1" applyFill="1" applyBorder="1" applyAlignment="1" applyProtection="1">
      <alignment horizontal="center" vertical="center"/>
    </xf>
    <xf numFmtId="0" fontId="60" fillId="44" borderId="60" xfId="45" applyFont="1" applyFill="1" applyBorder="1" applyAlignment="1" applyProtection="1">
      <alignment horizontal="center" vertical="center" wrapText="1"/>
    </xf>
    <xf numFmtId="0" fontId="60" fillId="44" borderId="67" xfId="45" applyFont="1" applyFill="1" applyBorder="1" applyAlignment="1" applyProtection="1">
      <alignment horizontal="center" vertical="center" wrapText="1"/>
    </xf>
    <xf numFmtId="0" fontId="60" fillId="44" borderId="68" xfId="45" applyFont="1" applyFill="1" applyBorder="1" applyAlignment="1" applyProtection="1">
      <alignment horizontal="center" vertical="center" wrapText="1"/>
    </xf>
    <xf numFmtId="0" fontId="60" fillId="44" borderId="69" xfId="45" applyFont="1" applyFill="1" applyBorder="1" applyAlignment="1" applyProtection="1">
      <alignment horizontal="center" vertical="center" wrapText="1"/>
    </xf>
    <xf numFmtId="0" fontId="60" fillId="39" borderId="64" xfId="45" applyFont="1" applyFill="1" applyBorder="1" applyAlignment="1" applyProtection="1">
      <alignment horizontal="center" vertical="center" wrapText="1"/>
    </xf>
    <xf numFmtId="0" fontId="60" fillId="39" borderId="65" xfId="45" applyFont="1" applyFill="1" applyBorder="1" applyAlignment="1" applyProtection="1">
      <alignment horizontal="center" vertical="center" wrapText="1"/>
    </xf>
    <xf numFmtId="0" fontId="60" fillId="39" borderId="66" xfId="45" applyFont="1" applyFill="1" applyBorder="1" applyAlignment="1" applyProtection="1">
      <alignment horizontal="center" vertical="center" wrapText="1"/>
    </xf>
    <xf numFmtId="0" fontId="56" fillId="0" borderId="71" xfId="45" applyFont="1" applyFill="1" applyBorder="1" applyAlignment="1" applyProtection="1">
      <alignment horizontal="center" vertical="center" wrapText="1"/>
      <protection locked="0"/>
    </xf>
    <xf numFmtId="0" fontId="56" fillId="0" borderId="78" xfId="45" applyFont="1" applyFill="1" applyBorder="1" applyAlignment="1" applyProtection="1">
      <alignment horizontal="center" vertical="center" wrapText="1"/>
      <protection locked="0"/>
    </xf>
    <xf numFmtId="0" fontId="60" fillId="46" borderId="44" xfId="45" applyFont="1" applyFill="1" applyBorder="1" applyAlignment="1" applyProtection="1">
      <alignment horizontal="center" vertical="center" wrapText="1"/>
    </xf>
    <xf numFmtId="0" fontId="0" fillId="46" borderId="56" xfId="0" applyFill="1" applyBorder="1"/>
    <xf numFmtId="0" fontId="56" fillId="0" borderId="41" xfId="45" applyFont="1" applyFill="1" applyBorder="1" applyAlignment="1" applyProtection="1">
      <alignment horizontal="center" vertical="center" wrapText="1"/>
      <protection locked="0"/>
    </xf>
    <xf numFmtId="0" fontId="56" fillId="0" borderId="42" xfId="45" applyFont="1" applyFill="1" applyBorder="1" applyAlignment="1" applyProtection="1">
      <alignment horizontal="center" vertical="center" wrapText="1"/>
      <protection locked="0"/>
    </xf>
    <xf numFmtId="0" fontId="60" fillId="46" borderId="67" xfId="45" applyFont="1" applyFill="1" applyBorder="1" applyAlignment="1" applyProtection="1">
      <alignment horizontal="center" vertical="center" wrapText="1"/>
    </xf>
    <xf numFmtId="0" fontId="0" fillId="46" borderId="76" xfId="0" applyFill="1" applyBorder="1"/>
    <xf numFmtId="0" fontId="60" fillId="46" borderId="80" xfId="45" applyFont="1" applyFill="1" applyBorder="1" applyAlignment="1" applyProtection="1">
      <alignment horizontal="center" vertical="center" wrapText="1"/>
    </xf>
    <xf numFmtId="0" fontId="60" fillId="46" borderId="76" xfId="45" applyFont="1" applyFill="1" applyBorder="1" applyAlignment="1" applyProtection="1">
      <alignment horizontal="center" vertical="center" wrapText="1"/>
    </xf>
    <xf numFmtId="0" fontId="56" fillId="34" borderId="59" xfId="45" applyFont="1" applyFill="1" applyBorder="1" applyAlignment="1" applyProtection="1">
      <alignment horizontal="center" vertical="center" wrapText="1"/>
    </xf>
    <xf numFmtId="0" fontId="56" fillId="34" borderId="79" xfId="45" applyFont="1" applyFill="1" applyBorder="1" applyAlignment="1" applyProtection="1">
      <alignment horizontal="center" vertical="center" wrapText="1"/>
    </xf>
    <xf numFmtId="0" fontId="56" fillId="34" borderId="0" xfId="45" applyFont="1" applyFill="1" applyBorder="1" applyAlignment="1" applyProtection="1">
      <alignment horizontal="center" vertical="center" wrapText="1"/>
    </xf>
    <xf numFmtId="0" fontId="56" fillId="34" borderId="52" xfId="45" applyFont="1" applyFill="1" applyBorder="1" applyAlignment="1" applyProtection="1">
      <alignment horizontal="center" vertical="center" wrapText="1"/>
    </xf>
    <xf numFmtId="0" fontId="56" fillId="34" borderId="50" xfId="45" applyFont="1" applyFill="1" applyBorder="1" applyAlignment="1" applyProtection="1">
      <alignment horizontal="center" vertical="center" wrapText="1"/>
    </xf>
    <xf numFmtId="0" fontId="56" fillId="34" borderId="51" xfId="45" applyFont="1" applyFill="1" applyBorder="1" applyAlignment="1" applyProtection="1">
      <alignment horizontal="center" vertical="center" wrapText="1"/>
    </xf>
    <xf numFmtId="0" fontId="60" fillId="46" borderId="62" xfId="45" applyFont="1" applyFill="1" applyBorder="1" applyAlignment="1" applyProtection="1">
      <alignment horizontal="center" vertical="center" wrapText="1"/>
    </xf>
    <xf numFmtId="0" fontId="60" fillId="46" borderId="63" xfId="45" applyFont="1" applyFill="1" applyBorder="1" applyAlignment="1" applyProtection="1">
      <alignment horizontal="center" vertical="center" wrapText="1"/>
    </xf>
    <xf numFmtId="0" fontId="60" fillId="46" borderId="45" xfId="45" applyFont="1" applyFill="1" applyBorder="1" applyAlignment="1" applyProtection="1">
      <alignment horizontal="center" vertical="center" wrapText="1"/>
    </xf>
    <xf numFmtId="0" fontId="60" fillId="46" borderId="56" xfId="45" applyFont="1" applyFill="1" applyBorder="1" applyAlignment="1" applyProtection="1">
      <alignment horizontal="center" vertical="center" wrapText="1"/>
    </xf>
    <xf numFmtId="0" fontId="60" fillId="47" borderId="64" xfId="45" applyFont="1" applyFill="1" applyBorder="1" applyAlignment="1" applyProtection="1">
      <alignment horizontal="center" vertical="center" wrapText="1"/>
    </xf>
    <xf numFmtId="0" fontId="60" fillId="47" borderId="65" xfId="45" applyFont="1" applyFill="1" applyBorder="1" applyAlignment="1" applyProtection="1">
      <alignment horizontal="center" vertical="center" wrapText="1"/>
    </xf>
    <xf numFmtId="0" fontId="60" fillId="47" borderId="66" xfId="45" applyFont="1" applyFill="1" applyBorder="1" applyAlignment="1" applyProtection="1">
      <alignment horizontal="center" vertical="center" wrapText="1"/>
    </xf>
    <xf numFmtId="0" fontId="34" fillId="0" borderId="0" xfId="45" applyFont="1" applyFill="1" applyAlignment="1">
      <alignment horizontal="left" vertical="top" wrapText="1"/>
    </xf>
    <xf numFmtId="0" fontId="55" fillId="43" borderId="0" xfId="45" applyNumberFormat="1" applyFont="1" applyFill="1" applyBorder="1" applyAlignment="1" applyProtection="1">
      <alignment horizontal="left" vertical="center"/>
    </xf>
    <xf numFmtId="0" fontId="46" fillId="39" borderId="21" xfId="46" applyFont="1" applyFill="1" applyBorder="1" applyAlignment="1" applyProtection="1">
      <alignment horizontal="center" vertical="center" textRotation="90"/>
    </xf>
    <xf numFmtId="0" fontId="46" fillId="39" borderId="0" xfId="46" applyFont="1" applyFill="1" applyAlignment="1" applyProtection="1">
      <alignment horizontal="center" vertical="center"/>
    </xf>
    <xf numFmtId="0" fontId="53" fillId="37" borderId="0" xfId="45" applyFont="1" applyFill="1" applyAlignment="1">
      <alignment horizontal="center" vertical="center"/>
    </xf>
    <xf numFmtId="0" fontId="53" fillId="37" borderId="17" xfId="45" applyFont="1" applyFill="1" applyBorder="1" applyAlignment="1">
      <alignment horizontal="center" vertical="center"/>
    </xf>
    <xf numFmtId="0" fontId="50" fillId="42" borderId="26" xfId="45" applyFont="1" applyFill="1" applyBorder="1" applyAlignment="1">
      <alignment horizontal="center" vertical="center" wrapText="1"/>
    </xf>
    <xf numFmtId="0" fontId="50" fillId="42" borderId="30" xfId="45" applyFont="1" applyFill="1" applyBorder="1" applyAlignment="1">
      <alignment horizontal="center" vertical="center" wrapText="1"/>
    </xf>
    <xf numFmtId="0" fontId="50" fillId="42" borderId="33" xfId="45" applyFont="1" applyFill="1" applyBorder="1" applyAlignment="1">
      <alignment horizontal="center" vertical="center" wrapText="1"/>
    </xf>
    <xf numFmtId="0" fontId="51" fillId="0" borderId="40" xfId="45" applyFont="1" applyFill="1" applyBorder="1" applyAlignment="1">
      <alignment horizontal="center" vertical="center" wrapText="1"/>
    </xf>
    <xf numFmtId="0" fontId="51" fillId="0" borderId="13" xfId="45" applyFont="1" applyFill="1" applyBorder="1" applyAlignment="1">
      <alignment horizontal="center" vertical="center" wrapText="1"/>
    </xf>
    <xf numFmtId="0" fontId="51" fillId="0" borderId="39" xfId="45" applyFont="1" applyFill="1" applyBorder="1" applyAlignment="1">
      <alignment horizontal="center" vertical="center" wrapText="1"/>
    </xf>
    <xf numFmtId="0" fontId="51" fillId="0" borderId="29" xfId="45" applyFont="1" applyFill="1" applyBorder="1" applyAlignment="1">
      <alignment horizontal="center" vertical="center" wrapText="1"/>
    </xf>
    <xf numFmtId="0" fontId="51" fillId="0" borderId="24" xfId="45" applyFont="1" applyFill="1" applyBorder="1" applyAlignment="1">
      <alignment horizontal="center" vertical="center" wrapText="1"/>
    </xf>
    <xf numFmtId="0" fontId="51" fillId="0" borderId="32" xfId="45" applyFont="1" applyFill="1" applyBorder="1" applyAlignment="1">
      <alignment horizontal="center" vertical="center" wrapText="1"/>
    </xf>
    <xf numFmtId="0" fontId="51" fillId="0" borderId="12" xfId="45" applyFont="1" applyFill="1" applyBorder="1" applyAlignment="1">
      <alignment horizontal="center" vertical="center" wrapText="1"/>
    </xf>
    <xf numFmtId="0" fontId="51" fillId="0" borderId="11" xfId="45" applyFont="1" applyFill="1" applyBorder="1" applyAlignment="1">
      <alignment horizontal="center" vertical="center" wrapText="1"/>
    </xf>
    <xf numFmtId="0" fontId="43" fillId="39" borderId="0" xfId="46" applyFont="1" applyFill="1" applyAlignment="1" applyProtection="1">
      <alignment horizontal="center" vertical="center"/>
    </xf>
    <xf numFmtId="0" fontId="31" fillId="40" borderId="18" xfId="45" applyFont="1" applyFill="1" applyBorder="1" applyAlignment="1">
      <alignment horizontal="center" vertical="center" wrapText="1"/>
    </xf>
    <xf numFmtId="0" fontId="31" fillId="40" borderId="19" xfId="45" applyFont="1" applyFill="1" applyBorder="1" applyAlignment="1">
      <alignment horizontal="center" vertical="center" wrapText="1"/>
    </xf>
    <xf numFmtId="0" fontId="31" fillId="40" borderId="20" xfId="45" applyFont="1" applyFill="1" applyBorder="1" applyAlignment="1">
      <alignment horizontal="center" vertical="center" wrapText="1"/>
    </xf>
    <xf numFmtId="0" fontId="31" fillId="40" borderId="21" xfId="45" applyFont="1" applyFill="1" applyBorder="1" applyAlignment="1">
      <alignment horizontal="center" vertical="center" wrapText="1"/>
    </xf>
    <xf numFmtId="0" fontId="31" fillId="40" borderId="0" xfId="45" applyFont="1" applyFill="1" applyBorder="1" applyAlignment="1">
      <alignment horizontal="center" vertical="center" wrapText="1"/>
    </xf>
    <xf numFmtId="0" fontId="31" fillId="40" borderId="17" xfId="45" applyFont="1" applyFill="1" applyBorder="1" applyAlignment="1">
      <alignment horizontal="center" vertical="center" wrapText="1"/>
    </xf>
    <xf numFmtId="0" fontId="48" fillId="36" borderId="22" xfId="45" applyFont="1" applyFill="1" applyBorder="1" applyAlignment="1">
      <alignment horizontal="center" vertical="center" wrapText="1"/>
    </xf>
    <xf numFmtId="0" fontId="48" fillId="36" borderId="23" xfId="45" applyFont="1" applyFill="1" applyBorder="1" applyAlignment="1">
      <alignment horizontal="center" vertical="center" wrapText="1"/>
    </xf>
    <xf numFmtId="0" fontId="49" fillId="26" borderId="10" xfId="45" applyFont="1" applyFill="1" applyBorder="1" applyAlignment="1">
      <alignment horizontal="center" vertical="center" wrapText="1"/>
    </xf>
    <xf numFmtId="0" fontId="49" fillId="26" borderId="12" xfId="45" applyFont="1" applyFill="1" applyBorder="1" applyAlignment="1">
      <alignment horizontal="center" vertical="center" wrapText="1"/>
    </xf>
    <xf numFmtId="0" fontId="49" fillId="35" borderId="10" xfId="45" applyFont="1" applyFill="1" applyBorder="1" applyAlignment="1">
      <alignment horizontal="center" vertical="center" wrapText="1"/>
    </xf>
    <xf numFmtId="0" fontId="49" fillId="35" borderId="12" xfId="45" applyFont="1" applyFill="1" applyBorder="1" applyAlignment="1">
      <alignment horizontal="center" vertical="center" wrapText="1"/>
    </xf>
    <xf numFmtId="0" fontId="49" fillId="29" borderId="10" xfId="45" applyFont="1" applyFill="1" applyBorder="1" applyAlignment="1">
      <alignment horizontal="center" vertical="center" wrapText="1"/>
    </xf>
    <xf numFmtId="0" fontId="49" fillId="29" borderId="12" xfId="45" applyFont="1" applyFill="1" applyBorder="1" applyAlignment="1">
      <alignment horizontal="center" vertical="center" wrapText="1"/>
    </xf>
    <xf numFmtId="0" fontId="49" fillId="30" borderId="10" xfId="45" applyFont="1" applyFill="1" applyBorder="1" applyAlignment="1">
      <alignment horizontal="center" vertical="center" wrapText="1"/>
    </xf>
    <xf numFmtId="0" fontId="49" fillId="30" borderId="12" xfId="45" applyFont="1" applyFill="1" applyBorder="1" applyAlignment="1">
      <alignment horizontal="center" vertical="center" wrapText="1"/>
    </xf>
    <xf numFmtId="0" fontId="49" fillId="32" borderId="10" xfId="45" applyFont="1" applyFill="1" applyBorder="1" applyAlignment="1">
      <alignment horizontal="center" vertical="center" wrapText="1"/>
    </xf>
    <xf numFmtId="0" fontId="49" fillId="32" borderId="12" xfId="45" applyFont="1" applyFill="1" applyBorder="1" applyAlignment="1">
      <alignment horizontal="center" vertical="center" wrapText="1"/>
    </xf>
    <xf numFmtId="0" fontId="48" fillId="41" borderId="24" xfId="45" applyFont="1" applyFill="1" applyBorder="1" applyAlignment="1">
      <alignment horizontal="center" vertical="center" wrapText="1"/>
    </xf>
    <xf numFmtId="0" fontId="48" fillId="41" borderId="25" xfId="45" applyFont="1" applyFill="1" applyBorder="1" applyAlignment="1">
      <alignment horizontal="center" vertical="center" wrapText="1"/>
    </xf>
    <xf numFmtId="0" fontId="50" fillId="42" borderId="36" xfId="45" applyFont="1" applyFill="1" applyBorder="1" applyAlignment="1">
      <alignment horizontal="center" vertical="center" wrapText="1"/>
    </xf>
    <xf numFmtId="0" fontId="50" fillId="42" borderId="37" xfId="45" applyFont="1" applyFill="1" applyBorder="1" applyAlignment="1">
      <alignment horizontal="center" vertical="center" wrapText="1"/>
    </xf>
    <xf numFmtId="0" fontId="50" fillId="42" borderId="38" xfId="45" applyFont="1" applyFill="1" applyBorder="1" applyAlignment="1">
      <alignment horizontal="center" vertical="center" wrapText="1"/>
    </xf>
    <xf numFmtId="0" fontId="51" fillId="0" borderId="27" xfId="45" applyFont="1" applyFill="1" applyBorder="1" applyAlignment="1">
      <alignment horizontal="center" vertical="center" wrapText="1"/>
    </xf>
    <xf numFmtId="0" fontId="51" fillId="0" borderId="10" xfId="45" applyFont="1" applyFill="1" applyBorder="1" applyAlignment="1">
      <alignment horizontal="center" vertical="center" wrapText="1"/>
    </xf>
    <xf numFmtId="0" fontId="51" fillId="0" borderId="34" xfId="45" applyFont="1" applyFill="1" applyBorder="1" applyAlignment="1">
      <alignment horizontal="center" vertical="center" wrapText="1"/>
    </xf>
    <xf numFmtId="0" fontId="51" fillId="0" borderId="12" xfId="49" applyFont="1" applyBorder="1" applyAlignment="1">
      <alignment horizontal="center" vertical="center" wrapText="1"/>
    </xf>
    <xf numFmtId="0" fontId="51" fillId="0" borderId="13" xfId="49" applyFont="1" applyBorder="1" applyAlignment="1">
      <alignment horizontal="center" vertical="center" wrapText="1"/>
    </xf>
    <xf numFmtId="0" fontId="51" fillId="0" borderId="11" xfId="49" applyFont="1" applyBorder="1" applyAlignment="1">
      <alignment horizontal="center" vertical="center" wrapText="1"/>
    </xf>
    <xf numFmtId="0" fontId="62" fillId="0" borderId="0" xfId="0" applyFont="1" applyAlignment="1">
      <alignment horizontal="center" vertical="center"/>
    </xf>
    <xf numFmtId="0" fontId="8" fillId="0" borderId="12" xfId="0" applyFont="1" applyBorder="1" applyAlignment="1">
      <alignment horizontal="center" vertical="center" textRotation="90"/>
    </xf>
    <xf numFmtId="0" fontId="8" fillId="0" borderId="13" xfId="0" applyFont="1" applyBorder="1" applyAlignment="1">
      <alignment horizontal="center" vertical="center" textRotation="90"/>
    </xf>
    <xf numFmtId="0" fontId="8" fillId="0" borderId="11" xfId="0" applyFont="1" applyBorder="1" applyAlignment="1">
      <alignment horizontal="center" vertical="center" textRotation="90"/>
    </xf>
    <xf numFmtId="0" fontId="8" fillId="0" borderId="10" xfId="0" applyFont="1" applyBorder="1" applyAlignment="1">
      <alignment horizontal="center" vertical="center"/>
    </xf>
    <xf numFmtId="0" fontId="8" fillId="0" borderId="10" xfId="0" applyFont="1" applyBorder="1" applyAlignment="1">
      <alignment horizontal="center" vertical="center" textRotation="90"/>
    </xf>
    <xf numFmtId="0" fontId="65" fillId="0" borderId="0" xfId="0" applyFont="1" applyAlignment="1">
      <alignment horizontal="center" vertical="center"/>
    </xf>
    <xf numFmtId="0" fontId="65" fillId="0" borderId="22" xfId="0" applyFont="1" applyBorder="1" applyAlignment="1">
      <alignment horizontal="center" vertical="center"/>
    </xf>
    <xf numFmtId="0" fontId="63" fillId="0" borderId="10" xfId="0" applyFont="1" applyBorder="1" applyAlignment="1">
      <alignment horizontal="center" vertical="center" textRotation="90"/>
    </xf>
    <xf numFmtId="0" fontId="32" fillId="0" borderId="12" xfId="0" applyFont="1" applyFill="1" applyBorder="1" applyAlignment="1">
      <alignment horizontal="center" vertical="center" textRotation="90"/>
    </xf>
    <xf numFmtId="0" fontId="32" fillId="0" borderId="13" xfId="0" applyFont="1" applyFill="1" applyBorder="1" applyAlignment="1">
      <alignment horizontal="center" vertical="center" textRotation="90"/>
    </xf>
    <xf numFmtId="0" fontId="32" fillId="0" borderId="11" xfId="0" applyFont="1" applyFill="1" applyBorder="1" applyAlignment="1">
      <alignment horizontal="center" vertical="center" textRotation="90"/>
    </xf>
    <xf numFmtId="0" fontId="8" fillId="0" borderId="10" xfId="0" applyFont="1" applyBorder="1" applyAlignment="1">
      <alignment horizontal="center" vertical="center" textRotation="90" wrapText="1"/>
    </xf>
    <xf numFmtId="0" fontId="70" fillId="52" borderId="10" xfId="51" applyFont="1" applyFill="1" applyBorder="1" applyAlignment="1">
      <alignment horizontal="center" vertical="center" wrapText="1"/>
    </xf>
    <xf numFmtId="0" fontId="71" fillId="51" borderId="10" xfId="51" applyFont="1" applyFill="1" applyBorder="1" applyAlignment="1">
      <alignment horizontal="center" vertical="center" wrapText="1"/>
    </xf>
    <xf numFmtId="0" fontId="70" fillId="32" borderId="10" xfId="51" applyFont="1" applyFill="1" applyBorder="1" applyAlignment="1">
      <alignment horizontal="center" vertical="center"/>
    </xf>
    <xf numFmtId="0" fontId="70" fillId="30" borderId="10" xfId="51" applyFont="1" applyFill="1" applyBorder="1" applyAlignment="1">
      <alignment horizontal="center" vertical="center"/>
    </xf>
    <xf numFmtId="0" fontId="70" fillId="29" borderId="10" xfId="51" applyFont="1" applyFill="1" applyBorder="1" applyAlignment="1">
      <alignment horizontal="center" vertical="center"/>
    </xf>
    <xf numFmtId="0" fontId="70" fillId="26" borderId="10" xfId="51" applyFont="1" applyFill="1" applyBorder="1" applyAlignment="1">
      <alignment horizontal="center" vertical="center"/>
    </xf>
    <xf numFmtId="0" fontId="70" fillId="49" borderId="10" xfId="51" applyFont="1" applyFill="1" applyBorder="1" applyAlignment="1">
      <alignment horizontal="center" vertical="center"/>
    </xf>
    <xf numFmtId="0" fontId="70" fillId="0" borderId="10" xfId="51" applyFont="1" applyBorder="1" applyAlignment="1">
      <alignment horizontal="center" vertical="center" wrapText="1"/>
    </xf>
    <xf numFmtId="0" fontId="70" fillId="26" borderId="10" xfId="51" applyFont="1" applyFill="1" applyBorder="1" applyAlignment="1">
      <alignment horizontal="center" vertical="center" wrapText="1"/>
    </xf>
    <xf numFmtId="0" fontId="70" fillId="35" borderId="10" xfId="51" applyFont="1" applyFill="1" applyBorder="1" applyAlignment="1">
      <alignment horizontal="center" vertical="center" wrapText="1"/>
    </xf>
    <xf numFmtId="0" fontId="70" fillId="29" borderId="10" xfId="51" applyFont="1" applyFill="1" applyBorder="1" applyAlignment="1">
      <alignment horizontal="center" vertical="center" wrapText="1"/>
    </xf>
    <xf numFmtId="0" fontId="70" fillId="30" borderId="10" xfId="51" applyFont="1" applyFill="1" applyBorder="1" applyAlignment="1">
      <alignment horizontal="center" vertical="center" wrapText="1"/>
    </xf>
    <xf numFmtId="0" fontId="1" fillId="35" borderId="10" xfId="51" applyFill="1" applyBorder="1" applyAlignment="1">
      <alignment horizontal="center"/>
    </xf>
    <xf numFmtId="0" fontId="1" fillId="0" borderId="10" xfId="51" applyBorder="1" applyAlignment="1">
      <alignment horizontal="center"/>
    </xf>
    <xf numFmtId="0" fontId="1" fillId="0" borderId="10" xfId="51" applyFill="1" applyBorder="1" applyAlignment="1">
      <alignment horizontal="center" vertical="center" wrapText="1"/>
    </xf>
    <xf numFmtId="0" fontId="1" fillId="0" borderId="10" xfId="51" applyBorder="1" applyAlignment="1">
      <alignment horizontal="center" vertical="center" wrapText="1"/>
    </xf>
    <xf numFmtId="0" fontId="69" fillId="0" borderId="10" xfId="51" applyFont="1" applyBorder="1" applyAlignment="1">
      <alignment horizontal="center" vertical="center"/>
    </xf>
    <xf numFmtId="0" fontId="1" fillId="48" borderId="12" xfId="51" applyFill="1" applyBorder="1" applyAlignment="1">
      <alignment horizontal="center" vertical="center" textRotation="90" wrapText="1"/>
    </xf>
    <xf numFmtId="0" fontId="1" fillId="48" borderId="13" xfId="51" applyFill="1" applyBorder="1" applyAlignment="1">
      <alignment horizontal="center" vertical="center" textRotation="90" wrapText="1"/>
    </xf>
    <xf numFmtId="0" fontId="1" fillId="48" borderId="11" xfId="51" applyFill="1" applyBorder="1" applyAlignment="1">
      <alignment horizontal="center" vertical="center" textRotation="90" wrapText="1"/>
    </xf>
    <xf numFmtId="0" fontId="1" fillId="51" borderId="10" xfId="51" applyFill="1" applyBorder="1" applyAlignment="1">
      <alignment horizontal="center"/>
    </xf>
    <xf numFmtId="0" fontId="1" fillId="52" borderId="10" xfId="51" applyFill="1" applyBorder="1" applyAlignment="1">
      <alignment horizontal="center"/>
    </xf>
    <xf numFmtId="0" fontId="1" fillId="30" borderId="10" xfId="51" applyFill="1" applyBorder="1" applyAlignment="1">
      <alignment horizontal="center"/>
    </xf>
    <xf numFmtId="0" fontId="1" fillId="53" borderId="10" xfId="51" applyFill="1" applyBorder="1" applyAlignment="1">
      <alignment horizontal="center"/>
    </xf>
    <xf numFmtId="0" fontId="1" fillId="26" borderId="10" xfId="51" applyFill="1" applyBorder="1" applyAlignment="1">
      <alignment horizontal="center"/>
    </xf>
    <xf numFmtId="0" fontId="69" fillId="0" borderId="31" xfId="51" applyFont="1" applyBorder="1" applyAlignment="1">
      <alignment horizontal="center" vertical="center"/>
    </xf>
    <xf numFmtId="0" fontId="69" fillId="0" borderId="73" xfId="51" applyFont="1" applyBorder="1" applyAlignment="1">
      <alignment horizontal="center" vertical="center"/>
    </xf>
    <xf numFmtId="0" fontId="69" fillId="0" borderId="72" xfId="51" applyFont="1" applyBorder="1" applyAlignment="1">
      <alignment horizontal="center" vertical="center"/>
    </xf>
    <xf numFmtId="0" fontId="69" fillId="0" borderId="74" xfId="51" applyFont="1" applyBorder="1" applyAlignment="1">
      <alignment horizontal="center" vertical="center"/>
    </xf>
    <xf numFmtId="0" fontId="69" fillId="0" borderId="22" xfId="51" applyFont="1" applyBorder="1" applyAlignment="1">
      <alignment horizontal="center" vertical="center"/>
    </xf>
    <xf numFmtId="0" fontId="69" fillId="0" borderId="75" xfId="51" applyFont="1" applyBorder="1" applyAlignment="1">
      <alignment horizontal="center" vertical="center"/>
    </xf>
    <xf numFmtId="0" fontId="70" fillId="48" borderId="10" xfId="51" applyFont="1" applyFill="1" applyBorder="1" applyAlignment="1">
      <alignment horizontal="center" vertical="center" textRotation="90" wrapText="1"/>
    </xf>
    <xf numFmtId="0" fontId="70" fillId="48" borderId="10" xfId="51" applyFont="1" applyFill="1" applyBorder="1" applyAlignment="1">
      <alignment horizontal="center" vertical="center" textRotation="90"/>
    </xf>
    <xf numFmtId="0" fontId="70" fillId="49" borderId="14" xfId="51" applyFont="1" applyFill="1" applyBorder="1" applyAlignment="1">
      <alignment horizontal="center" vertical="center"/>
    </xf>
    <xf numFmtId="0" fontId="70" fillId="49" borderId="15" xfId="51" applyFont="1" applyFill="1" applyBorder="1" applyAlignment="1">
      <alignment horizontal="center" vertical="center"/>
    </xf>
    <xf numFmtId="0" fontId="70" fillId="49" borderId="16" xfId="51" applyFont="1" applyFill="1" applyBorder="1" applyAlignment="1">
      <alignment horizontal="center" vertical="center"/>
    </xf>
    <xf numFmtId="0" fontId="70" fillId="50" borderId="10" xfId="51" applyFont="1" applyFill="1" applyBorder="1" applyAlignment="1">
      <alignment horizontal="center" vertical="center"/>
    </xf>
    <xf numFmtId="166" fontId="31" fillId="32" borderId="10" xfId="0" applyNumberFormat="1" applyFont="1" applyFill="1" applyBorder="1" applyAlignment="1">
      <alignment horizontal="center" vertical="center" wrapText="1"/>
    </xf>
    <xf numFmtId="166" fontId="31" fillId="25" borderId="10" xfId="0" applyNumberFormat="1" applyFont="1" applyFill="1" applyBorder="1" applyAlignment="1">
      <alignment horizontal="center" vertical="center" wrapText="1"/>
    </xf>
    <xf numFmtId="166" fontId="31" fillId="31" borderId="10" xfId="0" applyNumberFormat="1" applyFont="1" applyFill="1" applyBorder="1" applyAlignment="1">
      <alignment horizontal="center" vertical="center" wrapText="1"/>
    </xf>
    <xf numFmtId="166" fontId="31" fillId="29" borderId="10" xfId="0" applyNumberFormat="1" applyFont="1" applyFill="1" applyBorder="1" applyAlignment="1">
      <alignment horizontal="center" vertical="center" wrapText="1"/>
    </xf>
    <xf numFmtId="166" fontId="31" fillId="24" borderId="10" xfId="0" applyNumberFormat="1" applyFont="1" applyFill="1" applyBorder="1" applyAlignment="1">
      <alignment horizontal="center" vertical="center" wrapText="1"/>
    </xf>
    <xf numFmtId="166" fontId="31" fillId="26" borderId="10" xfId="0" applyNumberFormat="1" applyFont="1" applyFill="1" applyBorder="1" applyAlignment="1">
      <alignment horizontal="center" vertical="center" wrapText="1"/>
    </xf>
    <xf numFmtId="0" fontId="42" fillId="0" borderId="0" xfId="46" applyAlignment="1" applyProtection="1"/>
  </cellXfs>
  <cellStyles count="5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Lien hypertexte" xfId="46" builtinId="8"/>
    <cellStyle name="Monétaire 2" xfId="48"/>
    <cellStyle name="Neutre" xfId="31" builtinId="28" customBuiltin="1"/>
    <cellStyle name="Normal" xfId="0" builtinId="0"/>
    <cellStyle name="Normal 2" xfId="43"/>
    <cellStyle name="Normal 3" xfId="32"/>
    <cellStyle name="Normal 4" xfId="44"/>
    <cellStyle name="Normal 4 2" xfId="49"/>
    <cellStyle name="Normal 5" xfId="45"/>
    <cellStyle name="Normal 6" xfId="50"/>
    <cellStyle name="Normal 7" xfId="51"/>
    <cellStyle name="Pourcentage 2" xfId="47"/>
    <cellStyle name="Satisfaisant" xfId="33" builtinId="26" customBuiltin="1"/>
    <cellStyle name="Sortie" xfId="34" builtinId="21" customBuiltin="1"/>
    <cellStyle name="Texte explicatif" xfId="35" builtinId="53" customBuiltin="1"/>
    <cellStyle name="Titre" xfId="36" builtinId="15" customBuiltin="1"/>
    <cellStyle name="Titre 1" xfId="37" builtinId="16" customBuiltin="1"/>
    <cellStyle name="Titre 2" xfId="38" builtinId="17" customBuiltin="1"/>
    <cellStyle name="Titre 3" xfId="39" builtinId="18" customBuiltin="1"/>
    <cellStyle name="Titre 4" xfId="40" builtinId="19" customBuiltin="1"/>
    <cellStyle name="Total" xfId="41" builtinId="25" customBuiltin="1"/>
    <cellStyle name="Vérification" xfId="42" builtinId="23" customBuiltin="1"/>
  </cellStyles>
  <dxfs count="268">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92D050"/>
        </patternFill>
      </fill>
    </dxf>
    <dxf>
      <font>
        <b/>
        <i val="0"/>
      </font>
      <fill>
        <patternFill>
          <bgColor rgb="FFFFFF00"/>
        </patternFill>
      </fill>
    </dxf>
    <dxf>
      <font>
        <b/>
        <i val="0"/>
      </font>
      <fill>
        <patternFill>
          <bgColor rgb="FFFFC000"/>
        </patternFill>
      </fill>
    </dxf>
    <dxf>
      <font>
        <b/>
        <i val="0"/>
      </font>
      <fill>
        <patternFill>
          <bgColor rgb="FFFF0000"/>
        </patternFill>
      </fill>
    </dxf>
    <dxf>
      <font>
        <b/>
        <i val="0"/>
        <color theme="0"/>
      </font>
      <fill>
        <patternFill>
          <bgColor theme="1" tint="4.9989318521683403E-2"/>
        </patternFill>
      </fill>
    </dxf>
    <dxf>
      <font>
        <b/>
        <i val="0"/>
      </font>
      <fill>
        <patternFill>
          <bgColor rgb="FF00B050"/>
        </patternFill>
      </fill>
    </dxf>
    <dxf>
      <font>
        <b/>
        <i val="0"/>
      </font>
      <fill>
        <patternFill>
          <bgColor rgb="FF92D050"/>
        </patternFill>
      </fill>
    </dxf>
    <dxf>
      <font>
        <b/>
        <i val="0"/>
      </font>
      <fill>
        <patternFill>
          <bgColor rgb="FFFFFF00"/>
        </patternFill>
      </fill>
    </dxf>
    <dxf>
      <font>
        <b/>
        <i val="0"/>
      </font>
      <fill>
        <patternFill>
          <bgColor rgb="FFFFC000"/>
        </patternFill>
      </fill>
    </dxf>
    <dxf>
      <font>
        <b/>
        <i val="0"/>
      </font>
      <fill>
        <patternFill>
          <bgColor rgb="FFFF0000"/>
        </patternFill>
      </fill>
    </dxf>
    <dxf>
      <font>
        <b/>
        <i val="0"/>
        <color theme="0"/>
      </font>
      <fill>
        <patternFill>
          <bgColor theme="1" tint="4.9989318521683403E-2"/>
        </patternFill>
      </fill>
    </dxf>
    <dxf>
      <font>
        <b/>
        <i val="0"/>
      </font>
      <fill>
        <patternFill>
          <bgColor rgb="FF00B050"/>
        </patternFill>
      </fill>
    </dxf>
    <dxf>
      <font>
        <b/>
        <i val="0"/>
      </font>
      <fill>
        <patternFill>
          <bgColor rgb="FF92D050"/>
        </patternFill>
      </fill>
    </dxf>
    <dxf>
      <font>
        <b/>
        <i val="0"/>
      </font>
      <fill>
        <patternFill>
          <bgColor theme="5" tint="0.59996337778862885"/>
        </patternFill>
      </fill>
    </dxf>
    <dxf>
      <font>
        <b/>
        <i val="0"/>
      </font>
      <fill>
        <patternFill>
          <bgColor rgb="FFFFFF00"/>
        </patternFill>
      </fill>
    </dxf>
    <dxf>
      <font>
        <b/>
        <i val="0"/>
      </font>
      <fill>
        <patternFill>
          <bgColor theme="9"/>
        </patternFill>
      </fill>
    </dxf>
    <dxf>
      <font>
        <b/>
        <i val="0"/>
      </font>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92D050"/>
        </patternFill>
      </fill>
    </dxf>
    <dxf>
      <font>
        <b/>
        <i val="0"/>
      </font>
      <fill>
        <patternFill>
          <bgColor theme="5" tint="0.59996337778862885"/>
        </patternFill>
      </fill>
    </dxf>
    <dxf>
      <font>
        <b/>
        <i val="0"/>
      </font>
      <fill>
        <patternFill>
          <bgColor rgb="FFFFFF00"/>
        </patternFill>
      </fill>
    </dxf>
    <dxf>
      <font>
        <b/>
        <i val="0"/>
      </font>
      <fill>
        <patternFill>
          <bgColor theme="9"/>
        </patternFill>
      </fill>
    </dxf>
    <dxf>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ont>
        <b/>
        <i val="0"/>
      </font>
      <fill>
        <patternFill>
          <bgColor rgb="FF00B050"/>
        </patternFill>
      </fill>
    </dxf>
    <dxf>
      <font>
        <b/>
        <i val="0"/>
      </font>
      <fill>
        <patternFill>
          <bgColor rgb="FF92D050"/>
        </patternFill>
      </fill>
    </dxf>
    <dxf>
      <font>
        <b/>
        <i val="0"/>
      </font>
      <fill>
        <patternFill>
          <bgColor rgb="FFFFFF00"/>
        </patternFill>
      </fill>
    </dxf>
    <dxf>
      <font>
        <b/>
        <i val="0"/>
      </font>
      <fill>
        <patternFill>
          <bgColor rgb="FFFFC000"/>
        </patternFill>
      </fill>
    </dxf>
    <dxf>
      <font>
        <b/>
        <i val="0"/>
      </font>
      <fill>
        <patternFill>
          <bgColor rgb="FFFF0000"/>
        </patternFill>
      </fill>
    </dxf>
    <dxf>
      <font>
        <b/>
        <i val="0"/>
        <color theme="0"/>
      </font>
      <fill>
        <patternFill>
          <bgColor theme="1" tint="4.9989318521683403E-2"/>
        </patternFill>
      </fill>
    </dxf>
    <dxf>
      <font>
        <b/>
        <i val="0"/>
      </font>
      <fill>
        <patternFill>
          <bgColor rgb="FF00B050"/>
        </patternFill>
      </fill>
    </dxf>
    <dxf>
      <font>
        <b/>
        <i val="0"/>
      </font>
      <fill>
        <patternFill>
          <bgColor rgb="FF92D050"/>
        </patternFill>
      </fill>
    </dxf>
    <dxf>
      <font>
        <b/>
        <i val="0"/>
      </font>
      <fill>
        <patternFill>
          <bgColor rgb="FFFFFF00"/>
        </patternFill>
      </fill>
    </dxf>
    <dxf>
      <font>
        <b/>
        <i val="0"/>
      </font>
      <fill>
        <patternFill>
          <bgColor rgb="FFFFC000"/>
        </patternFill>
      </fill>
    </dxf>
    <dxf>
      <font>
        <b/>
        <i val="0"/>
      </font>
      <fill>
        <patternFill>
          <bgColor rgb="FFFF0000"/>
        </patternFill>
      </fill>
    </dxf>
    <dxf>
      <font>
        <b/>
        <i val="0"/>
        <color theme="0"/>
      </font>
      <fill>
        <patternFill>
          <bgColor theme="1" tint="4.9989318521683403E-2"/>
        </patternFill>
      </fill>
    </dxf>
    <dxf>
      <font>
        <b/>
        <i val="0"/>
      </font>
      <fill>
        <patternFill>
          <bgColor rgb="FF00B050"/>
        </patternFill>
      </fill>
    </dxf>
    <dxf>
      <font>
        <b/>
        <i val="0"/>
      </font>
      <fill>
        <patternFill>
          <bgColor rgb="FF92D050"/>
        </patternFill>
      </fill>
    </dxf>
    <dxf>
      <font>
        <b/>
        <i val="0"/>
      </font>
      <fill>
        <patternFill>
          <bgColor theme="5" tint="0.59996337778862885"/>
        </patternFill>
      </fill>
    </dxf>
    <dxf>
      <font>
        <b/>
        <i val="0"/>
      </font>
      <fill>
        <patternFill>
          <bgColor rgb="FFFFFF00"/>
        </patternFill>
      </fill>
    </dxf>
    <dxf>
      <font>
        <b/>
        <i val="0"/>
      </font>
      <fill>
        <patternFill>
          <bgColor theme="9"/>
        </patternFill>
      </fill>
    </dxf>
    <dxf>
      <font>
        <b/>
        <i val="0"/>
      </font>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FFC000"/>
        </patternFill>
      </fill>
    </dxf>
    <dxf>
      <fill>
        <patternFill>
          <bgColor rgb="FF00B050"/>
        </patternFill>
      </fill>
    </dxf>
    <dxf>
      <fill>
        <patternFill>
          <bgColor rgb="FFFFFF00"/>
        </patternFill>
      </fill>
    </dxf>
    <dxf>
      <fill>
        <patternFill>
          <bgColor rgb="FFFFC000"/>
        </patternFill>
      </fill>
    </dxf>
    <dxf>
      <fill>
        <patternFill>
          <bgColor rgb="FFFF0000"/>
        </patternFill>
      </fill>
    </dxf>
    <dxf>
      <font>
        <color theme="0"/>
      </font>
      <fill>
        <patternFill>
          <bgColor theme="1"/>
        </patternFill>
      </fill>
    </dxf>
    <dxf>
      <fill>
        <patternFill>
          <bgColor rgb="FFFFC000"/>
        </patternFill>
      </fill>
    </dxf>
    <dxf>
      <fill>
        <patternFill>
          <bgColor rgb="FF00B050"/>
        </patternFill>
      </fill>
    </dxf>
    <dxf>
      <fill>
        <patternFill>
          <bgColor rgb="FFFFFF00"/>
        </patternFill>
      </fill>
    </dxf>
    <dxf>
      <fill>
        <patternFill>
          <bgColor rgb="FF92D050"/>
        </patternFill>
      </fill>
    </dxf>
    <dxf>
      <fill>
        <patternFill>
          <bgColor rgb="FF00B050"/>
        </patternFill>
      </fill>
    </dxf>
    <dxf>
      <fill>
        <patternFill>
          <bgColor rgb="FFFF0000"/>
        </patternFill>
      </fill>
    </dxf>
    <dxf>
      <font>
        <color theme="0"/>
      </font>
      <fill>
        <patternFill>
          <bgColor theme="1" tint="4.9989318521683403E-2"/>
        </patternFill>
      </fill>
    </dxf>
    <dxf>
      <fill>
        <patternFill>
          <bgColor rgb="FF92D050"/>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gradientFill type="path" left="0.5" right="0.5" top="0.5" bottom="0.5">
          <stop position="0">
            <color rgb="FF00B050"/>
          </stop>
          <stop position="1">
            <color theme="0"/>
          </stop>
        </gradientFill>
      </fill>
    </dxf>
    <dxf>
      <fill>
        <gradientFill type="path" left="0.5" right="0.5" top="0.5" bottom="0.5">
          <stop position="0">
            <color rgb="FF92D050"/>
          </stop>
          <stop position="1">
            <color theme="0"/>
          </stop>
        </gradientFill>
      </fill>
    </dxf>
    <dxf>
      <fill>
        <gradientFill type="path" left="0.5" right="0.5" top="0.5" bottom="0.5">
          <stop position="0">
            <color rgb="FFFFFF00"/>
          </stop>
          <stop position="1">
            <color theme="0"/>
          </stop>
        </gradientFill>
      </fill>
    </dxf>
    <dxf>
      <fill>
        <gradientFill type="path" left="0.5" right="0.5" top="0.5" bottom="0.5">
          <stop position="0">
            <color rgb="FFCC6600"/>
          </stop>
          <stop position="1">
            <color theme="0"/>
          </stop>
        </gradientFill>
      </fill>
    </dxf>
    <dxf>
      <fill>
        <gradientFill type="path" left="0.5" right="0.5" top="0.5" bottom="0.5">
          <stop position="0">
            <color rgb="FFFF0000"/>
          </stop>
          <stop position="1">
            <color theme="0"/>
          </stop>
        </gradientFill>
      </fill>
    </dxf>
    <dxf>
      <font>
        <color theme="0"/>
      </font>
      <fill>
        <gradientFill type="path" left="0.5" right="0.5" top="0.5" bottom="0.5">
          <stop position="0">
            <color theme="1"/>
          </stop>
          <stop position="1">
            <color theme="0"/>
          </stop>
        </gradientFill>
      </fill>
    </dxf>
    <dxf>
      <fill>
        <patternFill>
          <bgColor rgb="FF00B050"/>
        </patternFill>
      </fill>
    </dxf>
    <dxf>
      <fill>
        <patternFill>
          <bgColor rgb="FFFFFF00"/>
        </patternFill>
      </fill>
    </dxf>
    <dxf>
      <fill>
        <patternFill>
          <bgColor rgb="FFFFC000"/>
        </patternFill>
      </fill>
    </dxf>
    <dxf>
      <fill>
        <patternFill>
          <bgColor rgb="FFFF0000"/>
        </patternFill>
      </fill>
    </dxf>
    <dxf>
      <font>
        <color theme="0"/>
      </font>
      <fill>
        <patternFill>
          <bgColor theme="1"/>
        </patternFill>
      </fill>
    </dxf>
    <dxf>
      <fill>
        <patternFill>
          <bgColor rgb="FFFFC000"/>
        </patternFill>
      </fill>
    </dxf>
    <dxf>
      <fill>
        <patternFill>
          <bgColor rgb="FF00B050"/>
        </patternFill>
      </fill>
    </dxf>
    <dxf>
      <fill>
        <patternFill>
          <bgColor rgb="FFFFFF00"/>
        </patternFill>
      </fill>
    </dxf>
    <dxf>
      <fill>
        <patternFill>
          <bgColor rgb="FF92D050"/>
        </patternFill>
      </fill>
    </dxf>
    <dxf>
      <fill>
        <patternFill>
          <bgColor rgb="FF00B050"/>
        </patternFill>
      </fill>
    </dxf>
    <dxf>
      <fill>
        <patternFill>
          <bgColor rgb="FFFF0000"/>
        </patternFill>
      </fill>
    </dxf>
    <dxf>
      <font>
        <color theme="0"/>
      </font>
      <fill>
        <patternFill>
          <bgColor theme="1" tint="4.9989318521683403E-2"/>
        </patternFill>
      </fill>
    </dxf>
    <dxf>
      <fill>
        <patternFill>
          <bgColor rgb="FF92D050"/>
        </patternFill>
      </fill>
    </dxf>
    <dxf>
      <fill>
        <patternFill>
          <bgColor rgb="FFFF0000"/>
        </patternFill>
      </fill>
    </dxf>
    <dxf>
      <fill>
        <patternFill>
          <bgColor rgb="FF00B050"/>
        </patternFill>
      </fill>
    </dxf>
    <dxf>
      <fill>
        <patternFill>
          <bgColor rgb="FF92D050"/>
        </patternFill>
      </fill>
    </dxf>
    <dxf>
      <fill>
        <patternFill>
          <bgColor rgb="FFFFFF00"/>
        </patternFill>
      </fill>
    </dxf>
    <dxf>
      <fill>
        <patternFill>
          <bgColor rgb="FFFFC000"/>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00B050"/>
        </patternFill>
      </fill>
    </dxf>
    <dxf>
      <fill>
        <patternFill>
          <bgColor rgb="FF92D050"/>
        </patternFill>
      </fill>
    </dxf>
    <dxf>
      <fill>
        <patternFill>
          <bgColor rgb="FFFFFF00"/>
        </patternFill>
      </fill>
    </dxf>
    <dxf>
      <fill>
        <patternFill>
          <bgColor theme="5" tint="0.39994506668294322"/>
        </patternFill>
      </fill>
    </dxf>
    <dxf>
      <fill>
        <patternFill>
          <bgColor rgb="FFFFC000"/>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00B050"/>
        </patternFill>
      </fill>
    </dxf>
    <dxf>
      <fill>
        <patternFill>
          <bgColor rgb="FF92D050"/>
        </patternFill>
      </fill>
    </dxf>
    <dxf>
      <fill>
        <patternFill>
          <bgColor rgb="FFFFFF00"/>
        </patternFill>
      </fill>
    </dxf>
    <dxf>
      <fill>
        <patternFill>
          <bgColor theme="5" tint="0.39994506668294322"/>
        </patternFill>
      </fill>
    </dxf>
    <dxf>
      <fill>
        <patternFill>
          <bgColor rgb="FFFFC000"/>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theme="5" tint="0.39994506668294322"/>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92D050"/>
        </patternFill>
      </fill>
    </dxf>
    <dxf>
      <fill>
        <patternFill>
          <bgColor rgb="FFFFC000"/>
        </patternFill>
      </fill>
    </dxf>
    <dxf>
      <fill>
        <gradientFill type="path" left="0.5" right="0.5" top="0.5" bottom="0.5">
          <stop position="0">
            <color rgb="FF00B050"/>
          </stop>
          <stop position="1">
            <color theme="0"/>
          </stop>
        </gradientFill>
      </fill>
    </dxf>
    <dxf>
      <fill>
        <gradientFill type="path" left="0.5" right="0.5" top="0.5" bottom="0.5">
          <stop position="0">
            <color rgb="FF92D050"/>
          </stop>
          <stop position="1">
            <color theme="0"/>
          </stop>
        </gradientFill>
      </fill>
    </dxf>
    <dxf>
      <fill>
        <gradientFill type="path" left="0.5" right="0.5" top="0.5" bottom="0.5">
          <stop position="0">
            <color rgb="FFFFFF00"/>
          </stop>
          <stop position="1">
            <color theme="0"/>
          </stop>
        </gradientFill>
      </fill>
    </dxf>
    <dxf>
      <fill>
        <gradientFill type="path" left="0.5" right="0.5" top="0.5" bottom="0.5">
          <stop position="0">
            <color rgb="FFCC6600"/>
          </stop>
          <stop position="1">
            <color theme="0"/>
          </stop>
        </gradientFill>
      </fill>
    </dxf>
    <dxf>
      <fill>
        <gradientFill type="path" left="0.5" right="0.5" top="0.5" bottom="0.5">
          <stop position="0">
            <color rgb="FFFF0000"/>
          </stop>
          <stop position="1">
            <color theme="0"/>
          </stop>
        </gradientFill>
      </fill>
    </dxf>
    <dxf>
      <font>
        <color theme="0"/>
      </font>
      <fill>
        <gradientFill type="path" left="0.5" right="0.5" top="0.5" bottom="0.5">
          <stop position="0">
            <color theme="1"/>
          </stop>
          <stop position="1">
            <color theme="0"/>
          </stop>
        </gradientFill>
      </fill>
    </dxf>
    <dxf>
      <fill>
        <patternFill>
          <bgColor rgb="FF00B050"/>
        </patternFill>
      </fill>
    </dxf>
    <dxf>
      <fill>
        <patternFill>
          <bgColor rgb="FFFFFF00"/>
        </patternFill>
      </fill>
    </dxf>
    <dxf>
      <fill>
        <patternFill>
          <bgColor rgb="FFFFC000"/>
        </patternFill>
      </fill>
    </dxf>
    <dxf>
      <fill>
        <patternFill>
          <bgColor rgb="FFFF0000"/>
        </patternFill>
      </fill>
    </dxf>
    <dxf>
      <font>
        <color theme="0"/>
      </font>
      <fill>
        <patternFill>
          <bgColor theme="1"/>
        </patternFill>
      </fill>
    </dxf>
    <dxf>
      <fill>
        <patternFill>
          <bgColor rgb="FFFFC000"/>
        </patternFill>
      </fill>
    </dxf>
    <dxf>
      <fill>
        <patternFill>
          <bgColor rgb="FF00B050"/>
        </patternFill>
      </fill>
    </dxf>
    <dxf>
      <fill>
        <patternFill>
          <bgColor rgb="FFFFFF00"/>
        </patternFill>
      </fill>
    </dxf>
    <dxf>
      <fill>
        <patternFill>
          <bgColor rgb="FF92D050"/>
        </patternFill>
      </fill>
    </dxf>
    <dxf>
      <fill>
        <patternFill>
          <bgColor rgb="FF00B050"/>
        </patternFill>
      </fill>
    </dxf>
    <dxf>
      <fill>
        <patternFill>
          <bgColor rgb="FFFF0000"/>
        </patternFill>
      </fill>
    </dxf>
    <dxf>
      <font>
        <color theme="0"/>
      </font>
      <fill>
        <patternFill>
          <bgColor theme="1" tint="4.9989318521683403E-2"/>
        </patternFill>
      </fill>
    </dxf>
    <dxf>
      <fill>
        <patternFill>
          <bgColor rgb="FF92D050"/>
        </patternFill>
      </fill>
    </dxf>
    <dxf>
      <fill>
        <patternFill>
          <bgColor rgb="FFFF0000"/>
        </patternFill>
      </fill>
    </dxf>
    <dxf>
      <fill>
        <gradientFill degree="90">
          <stop position="0">
            <color theme="0"/>
          </stop>
          <stop position="1">
            <color theme="9"/>
          </stop>
        </gradientFill>
      </fill>
    </dxf>
    <dxf>
      <fill>
        <gradientFill degree="90">
          <stop position="0">
            <color theme="0"/>
          </stop>
          <stop position="1">
            <color rgb="FF00B05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theme="6"/>
          </stop>
        </gradientFill>
      </fill>
    </dxf>
    <dxf>
      <fill>
        <gradientFill degree="90">
          <stop position="0">
            <color theme="0"/>
          </stop>
          <stop position="1">
            <color theme="6"/>
          </stop>
        </gradient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gradientFill degree="90">
          <stop position="0">
            <color theme="0"/>
          </stop>
          <stop position="1">
            <color rgb="FFFFC000"/>
          </stop>
        </gradientFill>
      </fill>
    </dxf>
    <dxf>
      <fill>
        <gradientFill degree="90">
          <stop position="0">
            <color theme="0"/>
          </stop>
          <stop position="1">
            <color theme="9"/>
          </stop>
        </gradientFill>
      </fill>
    </dxf>
    <dxf>
      <fill>
        <gradientFill degree="90">
          <stop position="0">
            <color theme="0"/>
          </stop>
          <stop position="1">
            <color rgb="FF00B05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theme="6"/>
          </stop>
        </gradientFill>
      </fill>
    </dxf>
    <dxf>
      <fill>
        <gradientFill degree="90">
          <stop position="0">
            <color theme="0"/>
          </stop>
          <stop position="1">
            <color rgb="FF00B050"/>
          </stop>
        </gradientFill>
      </fill>
    </dxf>
    <dxf>
      <fill>
        <gradientFill degree="90">
          <stop position="0">
            <color theme="0"/>
          </stop>
          <stop position="1">
            <color theme="6"/>
          </stop>
        </gradientFill>
      </fill>
    </dxf>
    <dxf>
      <fill>
        <gradientFill degree="90">
          <stop position="0">
            <color theme="0"/>
          </stop>
          <stop position="1">
            <color rgb="FF00B050"/>
          </stop>
        </gradientFill>
      </fill>
    </dxf>
    <dxf>
      <fill>
        <gradientFill degree="90">
          <stop position="0">
            <color theme="0"/>
          </stop>
          <stop position="1">
            <color theme="6"/>
          </stop>
        </gradientFill>
      </fill>
    </dxf>
    <dxf>
      <fill>
        <gradientFill degree="90">
          <stop position="0">
            <color theme="0"/>
          </stop>
          <stop position="1">
            <color rgb="FFFFC00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rgb="FF00B050"/>
          </stop>
        </gradientFill>
      </fill>
    </dxf>
    <dxf>
      <fill>
        <gradientFill degree="90">
          <stop position="0">
            <color theme="0"/>
          </stop>
          <stop position="1">
            <color rgb="FF92D050"/>
          </stop>
        </gradientFill>
      </fill>
    </dxf>
    <dxf>
      <fill>
        <gradientFill degree="90">
          <stop position="0">
            <color theme="0"/>
          </stop>
          <stop position="1">
            <color rgb="FFFFFF00"/>
          </stop>
        </gradientFill>
      </fill>
    </dxf>
    <dxf>
      <fill>
        <gradientFill degree="90">
          <stop position="0">
            <color theme="0"/>
          </stop>
          <stop position="1">
            <color rgb="FFCC660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rgb="FF00B050"/>
          </stop>
        </gradientFill>
      </fill>
    </dxf>
    <dxf>
      <fill>
        <gradientFill degree="90">
          <stop position="0">
            <color theme="0"/>
          </stop>
          <stop position="1">
            <color rgb="FFFF0000"/>
          </stop>
        </gradientFill>
      </fill>
    </dxf>
    <dxf>
      <fill>
        <gradientFill degree="90">
          <stop position="0">
            <color theme="0"/>
          </stop>
          <stop position="1">
            <color rgb="FFFFFF00"/>
          </stop>
        </gradientFill>
      </fill>
    </dxf>
    <dxf>
      <fill>
        <patternFill>
          <bgColor rgb="FF00B050"/>
        </patternFill>
      </fill>
    </dxf>
    <dxf>
      <fill>
        <patternFill>
          <bgColor rgb="FF92D050"/>
        </patternFill>
      </fill>
    </dxf>
    <dxf>
      <fill>
        <patternFill>
          <bgColor rgb="FFFFFF00"/>
        </patternFill>
      </fill>
    </dxf>
    <dxf>
      <fill>
        <patternFill>
          <bgColor rgb="FFFFC000"/>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00B050"/>
        </patternFill>
      </fill>
    </dxf>
    <dxf>
      <fill>
        <patternFill>
          <bgColor rgb="FF92D050"/>
        </patternFill>
      </fill>
    </dxf>
    <dxf>
      <fill>
        <patternFill>
          <bgColor rgb="FFFFFF00"/>
        </patternFill>
      </fill>
    </dxf>
    <dxf>
      <fill>
        <patternFill>
          <bgColor theme="5" tint="0.39994506668294322"/>
        </patternFill>
      </fill>
    </dxf>
    <dxf>
      <fill>
        <patternFill>
          <bgColor rgb="FFFFC000"/>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00B050"/>
        </patternFill>
      </fill>
    </dxf>
    <dxf>
      <fill>
        <patternFill>
          <bgColor rgb="FF92D050"/>
        </patternFill>
      </fill>
    </dxf>
    <dxf>
      <fill>
        <patternFill>
          <bgColor rgb="FFFFFF00"/>
        </patternFill>
      </fill>
    </dxf>
    <dxf>
      <fill>
        <patternFill>
          <bgColor theme="5" tint="0.39994506668294322"/>
        </patternFill>
      </fill>
    </dxf>
    <dxf>
      <fill>
        <patternFill>
          <bgColor rgb="FFFFC000"/>
        </patternFill>
      </fill>
    </dxf>
    <dxf>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theme="5" tint="0.39994506668294322"/>
        </patternFill>
      </fill>
    </dxf>
    <dxf>
      <fill>
        <patternFill>
          <bgColor rgb="FF00B050"/>
        </patternFill>
      </fill>
    </dxf>
    <dxf>
      <fill>
        <patternFill>
          <bgColor rgb="FFFFFF00"/>
        </patternFill>
      </fill>
    </dxf>
    <dxf>
      <fill>
        <patternFill>
          <bgColor theme="9"/>
        </patternFill>
      </fill>
    </dxf>
    <dxf>
      <fill>
        <patternFill>
          <bgColor rgb="FFFF0000"/>
        </patternFill>
      </fill>
    </dxf>
    <dxf>
      <fill>
        <gradientFill degree="90">
          <stop position="0">
            <color theme="0"/>
          </stop>
          <stop position="1">
            <color theme="6"/>
          </stop>
        </gradientFill>
      </fill>
    </dxf>
    <dxf>
      <fill>
        <gradientFill degree="90">
          <stop position="0">
            <color theme="0"/>
          </stop>
          <stop position="1">
            <color rgb="FF00B050"/>
          </stop>
        </gradientFill>
      </fill>
    </dxf>
    <dxf>
      <fill>
        <gradientFill degree="90">
          <stop position="0">
            <color theme="0"/>
          </stop>
          <stop position="1">
            <color theme="6"/>
          </stop>
        </gradientFill>
      </fill>
    </dxf>
    <dxf>
      <fill>
        <gradientFill degree="90">
          <stop position="0">
            <color theme="0"/>
          </stop>
          <stop position="1">
            <color rgb="FF00B050"/>
          </stop>
        </gradientFill>
      </fill>
    </dxf>
    <dxf>
      <fill>
        <gradientFill degree="90">
          <stop position="0">
            <color theme="0"/>
          </stop>
          <stop position="1">
            <color theme="6"/>
          </stop>
        </gradientFill>
      </fill>
    </dxf>
    <dxf>
      <fill>
        <gradientFill degree="90">
          <stop position="0">
            <color theme="0"/>
          </stop>
          <stop position="1">
            <color rgb="FFFFC00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rgb="FF00B050"/>
          </stop>
        </gradientFill>
      </fill>
    </dxf>
    <dxf>
      <fill>
        <gradientFill degree="90">
          <stop position="0">
            <color theme="0"/>
          </stop>
          <stop position="1">
            <color rgb="FF92D050"/>
          </stop>
        </gradientFill>
      </fill>
    </dxf>
    <dxf>
      <fill>
        <gradientFill degree="90">
          <stop position="0">
            <color theme="0"/>
          </stop>
          <stop position="1">
            <color rgb="FFFFFF00"/>
          </stop>
        </gradientFill>
      </fill>
    </dxf>
    <dxf>
      <fill>
        <gradientFill degree="90">
          <stop position="0">
            <color theme="0"/>
          </stop>
          <stop position="1">
            <color rgb="FFCC660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rgb="FF00B050"/>
          </stop>
        </gradientFill>
      </fill>
    </dxf>
    <dxf>
      <fill>
        <gradientFill degree="90">
          <stop position="0">
            <color theme="0"/>
          </stop>
          <stop position="1">
            <color rgb="FFFF0000"/>
          </stop>
        </gradientFill>
      </fill>
    </dxf>
    <dxf>
      <fill>
        <gradientFill degree="90">
          <stop position="0">
            <color theme="0"/>
          </stop>
          <stop position="1">
            <color rgb="FFFFFF00"/>
          </stop>
        </gradientFill>
      </fill>
    </dxf>
  </dxfs>
  <tableStyles count="0" defaultTableStyle="TableStyleMedium9" defaultPivotStyle="PivotStyleLight16"/>
  <colors>
    <mruColors>
      <color rgb="FFFBF69B"/>
      <color rgb="FFF7F8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onnections" Target="connections.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1514475</xdr:colOff>
          <xdr:row>16</xdr:row>
          <xdr:rowOff>66675</xdr:rowOff>
        </xdr:from>
        <xdr:to>
          <xdr:col>17</xdr:col>
          <xdr:colOff>1533525</xdr:colOff>
          <xdr:row>21</xdr:row>
          <xdr:rowOff>95250</xdr:rowOff>
        </xdr:to>
        <xdr:sp macro="" textlink="">
          <xdr:nvSpPr>
            <xdr:cNvPr id="4097" name="Button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Cliquez ici pour la cotation automatique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561975</xdr:colOff>
          <xdr:row>17</xdr:row>
          <xdr:rowOff>9525</xdr:rowOff>
        </xdr:from>
        <xdr:to>
          <xdr:col>7</xdr:col>
          <xdr:colOff>581025</xdr:colOff>
          <xdr:row>22</xdr:row>
          <xdr:rowOff>38100</xdr:rowOff>
        </xdr:to>
        <xdr:sp macro="" textlink="">
          <xdr:nvSpPr>
            <xdr:cNvPr id="4098" name="Button 2" hidden="1">
              <a:extLst>
                <a:ext uri="{63B3BB69-23CF-44E3-9099-C40C66FF867C}">
                  <a14:compatExt spid="_x0000_s409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Cliquez ici pour la cotation automatique</a:t>
              </a:r>
            </a:p>
          </xdr:txBody>
        </xdr:sp>
        <xdr:clientData fPrintsWithSheet="0"/>
      </xdr:twoCellAnchor>
    </mc:Choice>
    <mc:Fallback/>
  </mc:AlternateContent>
</xdr:wsDr>
</file>

<file path=xl/queryTables/queryTable1.xml><?xml version="1.0" encoding="utf-8"?>
<queryTable xmlns="http://schemas.openxmlformats.org/spreadsheetml/2006/main" name="Classeur1_1"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queryTable" Target="../queryTables/queryTable1.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9.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6"/>
  <sheetViews>
    <sheetView zoomScale="130" zoomScaleNormal="130" workbookViewId="0">
      <selection activeCell="C20" sqref="C20"/>
    </sheetView>
  </sheetViews>
  <sheetFormatPr baseColWidth="10" defaultColWidth="11.42578125" defaultRowHeight="11.25" x14ac:dyDescent="0.2"/>
  <cols>
    <col min="1" max="1" width="11" style="21" bestFit="1" customWidth="1"/>
    <col min="2" max="2" width="6.42578125" style="21" bestFit="1" customWidth="1"/>
    <col min="3" max="3" width="8.5703125" style="21" bestFit="1" customWidth="1"/>
    <col min="4" max="4" width="11.5703125" style="21" bestFit="1" customWidth="1"/>
    <col min="5" max="16384" width="11.42578125" style="21"/>
  </cols>
  <sheetData>
    <row r="1" spans="1:4" x14ac:dyDescent="0.2">
      <c r="A1" s="21" t="s">
        <v>27</v>
      </c>
      <c r="B1" s="21" t="s">
        <v>28</v>
      </c>
      <c r="C1" s="21" t="s">
        <v>29</v>
      </c>
      <c r="D1" s="21" t="s">
        <v>30</v>
      </c>
    </row>
    <row r="2" spans="1:4" ht="14.25" customHeight="1" x14ac:dyDescent="0.2">
      <c r="A2" s="22" t="s">
        <v>25</v>
      </c>
      <c r="B2" s="22" t="s">
        <v>20</v>
      </c>
      <c r="C2" s="23" t="s">
        <v>19</v>
      </c>
      <c r="D2" s="23" t="s">
        <v>8</v>
      </c>
    </row>
    <row r="3" spans="1:4" x14ac:dyDescent="0.2">
      <c r="A3" s="22" t="s">
        <v>4</v>
      </c>
      <c r="B3" s="22" t="s">
        <v>10</v>
      </c>
      <c r="C3" s="23" t="s">
        <v>9</v>
      </c>
      <c r="D3" s="23" t="s">
        <v>9</v>
      </c>
    </row>
    <row r="4" spans="1:4" x14ac:dyDescent="0.2">
      <c r="A4" s="22" t="s">
        <v>5</v>
      </c>
      <c r="B4" s="22" t="s">
        <v>11</v>
      </c>
      <c r="C4" s="23" t="s">
        <v>17</v>
      </c>
      <c r="D4" s="23" t="s">
        <v>10</v>
      </c>
    </row>
    <row r="5" spans="1:4" x14ac:dyDescent="0.2">
      <c r="A5" s="22" t="s">
        <v>6</v>
      </c>
      <c r="B5" s="22" t="s">
        <v>12</v>
      </c>
      <c r="C5" s="23" t="s">
        <v>49</v>
      </c>
      <c r="D5" s="23" t="s">
        <v>11</v>
      </c>
    </row>
    <row r="6" spans="1:4" x14ac:dyDescent="0.2">
      <c r="A6" s="22" t="s">
        <v>26</v>
      </c>
      <c r="D6" s="23" t="s">
        <v>12</v>
      </c>
    </row>
    <row r="7" spans="1:4" x14ac:dyDescent="0.2">
      <c r="A7" s="22" t="s">
        <v>7</v>
      </c>
      <c r="D7" s="23" t="s">
        <v>13</v>
      </c>
    </row>
    <row r="10" spans="1:4" x14ac:dyDescent="0.2">
      <c r="A10" s="21" t="s">
        <v>84</v>
      </c>
    </row>
    <row r="11" spans="1:4" x14ac:dyDescent="0.2">
      <c r="A11" s="24" t="s">
        <v>86</v>
      </c>
    </row>
    <row r="12" spans="1:4" x14ac:dyDescent="0.2">
      <c r="A12" s="24" t="s">
        <v>87</v>
      </c>
    </row>
    <row r="13" spans="1:4" x14ac:dyDescent="0.2">
      <c r="A13" s="24" t="s">
        <v>88</v>
      </c>
    </row>
    <row r="14" spans="1:4" x14ac:dyDescent="0.2">
      <c r="A14" s="24" t="s">
        <v>89</v>
      </c>
    </row>
    <row r="15" spans="1:4" x14ac:dyDescent="0.2">
      <c r="A15" s="24" t="s">
        <v>90</v>
      </c>
    </row>
    <row r="16" spans="1:4" x14ac:dyDescent="0.2">
      <c r="A16" s="25" t="s">
        <v>91</v>
      </c>
    </row>
  </sheetData>
  <sheetProtection selectLockedCells="1" selectUnlockedCells="1"/>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002060"/>
  </sheetPr>
  <dimension ref="A1:BM16"/>
  <sheetViews>
    <sheetView showZeros="0" zoomScale="120" zoomScaleNormal="120" workbookViewId="0">
      <pane ySplit="1" topLeftCell="A2" activePane="bottomLeft" state="frozenSplit"/>
      <selection activeCell="C18" sqref="C18:D18"/>
      <selection pane="bottomLeft" activeCell="D4" sqref="D4"/>
    </sheetView>
  </sheetViews>
  <sheetFormatPr baseColWidth="10" defaultColWidth="11.5703125" defaultRowHeight="12" x14ac:dyDescent="0.2"/>
  <cols>
    <col min="1" max="20" width="13.28515625" style="129" customWidth="1"/>
    <col min="21" max="32" width="11.42578125" style="129" customWidth="1"/>
    <col min="33" max="36" width="11.5703125" style="129"/>
    <col min="37" max="48" width="11.42578125" style="129" customWidth="1"/>
    <col min="49" max="50" width="11.5703125" style="129"/>
    <col min="51" max="51" width="11.140625" style="129" customWidth="1"/>
    <col min="52" max="55" width="12.85546875" style="129" customWidth="1"/>
    <col min="56" max="56" width="11.5703125" style="129"/>
    <col min="57" max="60" width="12.85546875" style="129" customWidth="1"/>
    <col min="61" max="61" width="11.5703125" style="129"/>
    <col min="62" max="62" width="12.85546875" style="129" customWidth="1"/>
    <col min="63" max="63" width="12.7109375" style="129" customWidth="1"/>
    <col min="64" max="64" width="18.140625" style="129" customWidth="1"/>
    <col min="65" max="16384" width="11.5703125" style="129"/>
  </cols>
  <sheetData>
    <row r="1" spans="1:65" s="124" customFormat="1" ht="36.6" customHeight="1" thickBot="1" x14ac:dyDescent="0.25">
      <c r="A1" s="123" t="s">
        <v>646</v>
      </c>
      <c r="B1" s="205" t="s">
        <v>648</v>
      </c>
      <c r="C1" s="205" t="s">
        <v>647</v>
      </c>
      <c r="D1" s="205" t="s">
        <v>800</v>
      </c>
      <c r="E1" s="205" t="s">
        <v>799</v>
      </c>
      <c r="F1" s="205" t="s">
        <v>867</v>
      </c>
      <c r="G1" s="205" t="s">
        <v>886</v>
      </c>
      <c r="H1" s="205" t="s">
        <v>888</v>
      </c>
      <c r="I1" s="205" t="s">
        <v>649</v>
      </c>
      <c r="J1" s="205" t="s">
        <v>889</v>
      </c>
      <c r="K1" s="205" t="s">
        <v>866</v>
      </c>
      <c r="L1" s="205" t="s">
        <v>672</v>
      </c>
      <c r="M1" s="205" t="s">
        <v>69</v>
      </c>
      <c r="N1" s="205" t="s">
        <v>77</v>
      </c>
      <c r="O1" s="205" t="s">
        <v>941</v>
      </c>
      <c r="P1" s="205" t="s">
        <v>942</v>
      </c>
      <c r="Q1" s="205" t="s">
        <v>943</v>
      </c>
      <c r="R1" s="205" t="s">
        <v>944</v>
      </c>
      <c r="S1" s="205" t="s">
        <v>945</v>
      </c>
      <c r="T1" s="205" t="s">
        <v>946</v>
      </c>
      <c r="U1" s="205" t="s">
        <v>947</v>
      </c>
      <c r="V1" s="205" t="s">
        <v>947</v>
      </c>
      <c r="W1" s="205" t="s">
        <v>948</v>
      </c>
      <c r="X1" s="205" t="s">
        <v>948</v>
      </c>
      <c r="Y1" s="205" t="s">
        <v>949</v>
      </c>
      <c r="Z1" s="205" t="s">
        <v>949</v>
      </c>
      <c r="AA1" s="205" t="s">
        <v>950</v>
      </c>
      <c r="AB1" s="205" t="s">
        <v>950</v>
      </c>
      <c r="AC1" s="205" t="s">
        <v>951</v>
      </c>
      <c r="AD1" s="205" t="s">
        <v>951</v>
      </c>
      <c r="AE1" s="205" t="s">
        <v>952</v>
      </c>
      <c r="AF1" s="205" t="s">
        <v>952</v>
      </c>
      <c r="AG1" s="206" t="s">
        <v>893</v>
      </c>
      <c r="AH1" s="206" t="s">
        <v>894</v>
      </c>
      <c r="AI1" s="206" t="s">
        <v>895</v>
      </c>
      <c r="AJ1" s="206" t="s">
        <v>896</v>
      </c>
      <c r="AK1" s="205" t="s">
        <v>953</v>
      </c>
      <c r="AL1" s="205" t="s">
        <v>953</v>
      </c>
      <c r="AM1" s="205" t="s">
        <v>954</v>
      </c>
      <c r="AN1" s="205" t="s">
        <v>954</v>
      </c>
      <c r="AO1" s="205" t="s">
        <v>955</v>
      </c>
      <c r="AP1" s="205" t="s">
        <v>955</v>
      </c>
      <c r="AQ1" s="205" t="s">
        <v>956</v>
      </c>
      <c r="AR1" s="205" t="s">
        <v>956</v>
      </c>
      <c r="AS1" s="205" t="s">
        <v>957</v>
      </c>
      <c r="AT1" s="205" t="s">
        <v>957</v>
      </c>
      <c r="AU1" s="205" t="s">
        <v>958</v>
      </c>
      <c r="AV1" s="205" t="s">
        <v>958</v>
      </c>
      <c r="AW1" s="182" t="s">
        <v>650</v>
      </c>
      <c r="AX1" s="182" t="s">
        <v>651</v>
      </c>
      <c r="AY1" s="123" t="s">
        <v>807</v>
      </c>
      <c r="AZ1" s="123" t="s">
        <v>858</v>
      </c>
      <c r="BA1" s="123" t="s">
        <v>859</v>
      </c>
      <c r="BB1" s="123" t="s">
        <v>860</v>
      </c>
      <c r="BC1" s="123" t="s">
        <v>22</v>
      </c>
      <c r="BD1" s="182" t="s">
        <v>652</v>
      </c>
      <c r="BE1" s="123" t="s">
        <v>861</v>
      </c>
      <c r="BF1" s="123" t="s">
        <v>862</v>
      </c>
      <c r="BG1" s="123" t="s">
        <v>863</v>
      </c>
      <c r="BH1" s="123" t="s">
        <v>864</v>
      </c>
      <c r="BI1" s="182" t="s">
        <v>92</v>
      </c>
      <c r="BJ1" s="182" t="s">
        <v>653</v>
      </c>
      <c r="BK1" s="123" t="s">
        <v>959</v>
      </c>
      <c r="BL1" s="123" t="s">
        <v>960</v>
      </c>
    </row>
    <row r="2" spans="1:65" s="128" customFormat="1" ht="56.25" customHeight="1" thickBot="1" x14ac:dyDescent="0.25">
      <c r="A2" s="267" t="str">
        <f ca="1">'Risk N°1'!B4</f>
        <v>Risk N°1</v>
      </c>
      <c r="B2" s="126" t="str">
        <f ca="1">IF(ISBLANK($A2),"",INDIRECT("'"&amp;$A2&amp;"'!b7"))</f>
        <v>Tes-test-01</v>
      </c>
      <c r="C2" s="125" t="str">
        <f ca="1">IF(ISBLANK($A2),"",INDIRECT("'"&amp;$A2&amp;"'!b8"))</f>
        <v>Bla</v>
      </c>
      <c r="D2" s="125" t="str">
        <f ca="1">IF(ISBLANK($A2),"",INDIRECT("'"&amp;$A2&amp;"'!b9"))</f>
        <v>Oui</v>
      </c>
      <c r="E2" s="125" t="str">
        <f ca="1">IF(ISBLANK($A2),"",INDIRECT("'"&amp;$A2&amp;"'!b10"))</f>
        <v>Non</v>
      </c>
      <c r="F2" s="125" t="str">
        <f ca="1">IF(ISBLANK($A2),"",INDIRECT("'"&amp;$A2&amp;"'!b11"))</f>
        <v>Base d'incidents</v>
      </c>
      <c r="G2" s="125" t="str">
        <f ca="1">IF(ISBLANK($A2),"",INDIRECT("'"&amp;$A2&amp;"'!b12"))</f>
        <v>Blablablabla</v>
      </c>
      <c r="H2" s="125" t="str">
        <f ca="1">IF(ISBLANK($A2),"",INDIRECT("'"&amp;$A2&amp;"'!d7"))</f>
        <v>Département_Act_Soc_Cult</v>
      </c>
      <c r="I2" s="125" t="str">
        <f ca="1">IF(ISBLANK($A2),"",INDIRECT("'"&amp;$A2&amp;"'!d8"))</f>
        <v>Test1</v>
      </c>
      <c r="J2" s="125" t="str">
        <f ca="1">IF(ISBLANK($A2),"",INDIRECT("'"&amp;$A2&amp;"'!d9"))</f>
        <v>Test 2</v>
      </c>
      <c r="K2" s="125" t="str">
        <f ca="1">IF(ISBLANK($A2),"",INDIRECT("'"&amp;$A2&amp;"'!d10"))</f>
        <v>Oui</v>
      </c>
      <c r="L2" s="125" t="str">
        <f ca="1">IF(ISBLANK($A2),"",INDIRECT("'"&amp;$A2&amp;"'!d11"))</f>
        <v>Non</v>
      </c>
      <c r="M2" s="125" t="str">
        <f ca="1">IF(ISBLANK($A2),"",INDIRECT("'"&amp;$A2&amp;"'!d12"))</f>
        <v>Oui</v>
      </c>
      <c r="N2" s="125" t="str">
        <f ca="1">IF(ISBLANK($A2),"",INDIRECT("'"&amp;$A2&amp;"'!d13"))</f>
        <v>Non</v>
      </c>
      <c r="O2" s="125" t="str">
        <f ca="1">IF(ISBLANK($A2),"",INDIRECT("'"&amp;$A2&amp;"'!d14"))</f>
        <v>Oui</v>
      </c>
      <c r="P2" s="125" t="str">
        <f ca="1">IF(ISBLANK($A2),"",INDIRECT("'"&amp;$A2&amp;"'!d15"))</f>
        <v>Non</v>
      </c>
      <c r="Q2" s="125" t="str">
        <f ca="1">IF(ISBLANK($A2),"",INDIRECT("'"&amp;$A2&amp;"'!d16"))</f>
        <v>Oui</v>
      </c>
      <c r="R2" s="125" t="str">
        <f ca="1">IF(ISBLANK($A2),"",INDIRECT("'"&amp;$A2&amp;"'!d17"))</f>
        <v>Oui</v>
      </c>
      <c r="S2" s="125" t="str">
        <f ca="1">IF(ISBLANK($A2),"",INDIRECT("'"&amp;$A2&amp;"'!d18"))</f>
        <v>Non</v>
      </c>
      <c r="T2" s="125" t="str">
        <f ca="1">IF(ISBLANK($A2),"",INDIRECT("'"&amp;$A2&amp;"'!d19"))</f>
        <v>Oui</v>
      </c>
      <c r="U2" s="125" t="str">
        <f ca="1">IF(ISBLANK($A2),"",INDIRECT("'"&amp;$A2&amp;"'!E7"))</f>
        <v>Externes</v>
      </c>
      <c r="V2" s="125" t="str">
        <f ca="1">IF(ISBLANK($A2),"",INDIRECT("'"&amp;$A2&amp;"'!f7"))</f>
        <v>Autres évènements / actions externes</v>
      </c>
      <c r="W2" s="125" t="str">
        <f ca="1">IF(ISBLANK($A2),"",INDIRECT("'"&amp;$A2&amp;"'!E8"))</f>
        <v>SI</v>
      </c>
      <c r="X2" s="125" t="str">
        <f ca="1">IF(ISBLANK($A2),"",INDIRECT("'"&amp;$A2&amp;"'!f8"))</f>
        <v>Qualité des données</v>
      </c>
      <c r="Y2" s="125" t="str">
        <f ca="1">IF(ISBLANK($A2),"",INDIRECT("'"&amp;$A2&amp;"'!E9"))</f>
        <v>Processus_Procédure</v>
      </c>
      <c r="Z2" s="125" t="str">
        <f ca="1">IF(ISBLANK($A2),"",INDIRECT("'"&amp;$A2&amp;"'!f9"))</f>
        <v>Défaillance dans la conception du processus/ procédures</v>
      </c>
      <c r="AA2" s="125" t="str">
        <f ca="1">IF(ISBLANK($A2),"",INDIRECT("'"&amp;$A2&amp;"'!E10"))</f>
        <v>Ressources_humaines</v>
      </c>
      <c r="AB2" s="125" t="str">
        <f ca="1">IF(ISBLANK($A2),"",INDIRECT("'"&amp;$A2&amp;"'!f10"))</f>
        <v>Compétence/ formation</v>
      </c>
      <c r="AC2" s="125" t="str">
        <f ca="1">IF(ISBLANK($A2),"",INDIRECT("'"&amp;$A2&amp;"'!E11"))</f>
        <v>SI</v>
      </c>
      <c r="AD2" s="125" t="str">
        <f ca="1">IF(ISBLANK($A2),"",INDIRECT("'"&amp;$A2&amp;"'!f11"))</f>
        <v>Matériels</v>
      </c>
      <c r="AE2" s="125" t="str">
        <f ca="1">IF(ISBLANK($A2),"",INDIRECT("'"&amp;$A2&amp;"'!E12"))</f>
        <v>Processus_Procédure</v>
      </c>
      <c r="AF2" s="125" t="str">
        <f ca="1">IF(ISBLANK($A2),"",INDIRECT("'"&amp;$A2&amp;"'!f12"))</f>
        <v>Défaillance dans la réalisation du processus/ procédure</v>
      </c>
      <c r="AG2" s="125" t="str">
        <f ca="1">IF(ISBLANK($A2),"",INDIRECT("'"&amp;$A2&amp;"'!f14"))</f>
        <v>Condamnation civile ou pénale d'un dirigeant et / ou d'un organisme</v>
      </c>
      <c r="AH2" s="125" t="str">
        <f ca="1">IF(ISBLANK($A2),"",INDIRECT("'"&amp;$A2&amp;"'!f15"))</f>
        <v>Coût ETP, fraudes</v>
      </c>
      <c r="AI2" s="125" t="str">
        <f ca="1">IF(ISBLANK($A2),"",INDIRECT("'"&amp;$A2&amp;"'!f16"))</f>
        <v>Coût logiciel, données</v>
      </c>
      <c r="AJ2" s="125" t="str">
        <f ca="1">IF(ISBLANK($A2),"",INDIRECT("'"&amp;$A2&amp;"'!f17"))</f>
        <v>Litige réglé par transaction amiable ou judiciaire</v>
      </c>
      <c r="AK2" s="125" t="str">
        <f ca="1">IF(ISBLANK($A2),"",INDIRECT("'"&amp;$A2&amp;"'!E14"))</f>
        <v>Conformité_Réglementaire</v>
      </c>
      <c r="AL2" s="125" t="str">
        <f ca="1">IF(ISBLANK($A2),"",INDIRECT("'"&amp;$A2&amp;"'!f14"))</f>
        <v>Condamnation civile ou pénale d'un dirigeant et / ou d'un organisme</v>
      </c>
      <c r="AM2" s="125" t="str">
        <f ca="1">IF(ISBLANK($A2),"",INDIRECT("'"&amp;$A2&amp;"'!E15"))</f>
        <v>Financier</v>
      </c>
      <c r="AN2" s="125" t="str">
        <f ca="1">IF(ISBLANK($A2),"",INDIRECT("'"&amp;$A2&amp;"'!f15"))</f>
        <v>Coût ETP, fraudes</v>
      </c>
      <c r="AO2" s="125" t="str">
        <f ca="1">IF(ISBLANK($A2),"",INDIRECT("'"&amp;$A2&amp;"'!E16"))</f>
        <v>Financier</v>
      </c>
      <c r="AP2" s="125" t="str">
        <f ca="1">IF(ISBLANK($A2),"",INDIRECT("'"&amp;$A2&amp;"'!f16"))</f>
        <v>Coût logiciel, données</v>
      </c>
      <c r="AQ2" s="125" t="str">
        <f ca="1">IF(ISBLANK($A2),"",INDIRECT("'"&amp;$A2&amp;"'!E17"))</f>
        <v>Conformité_Réglementaire</v>
      </c>
      <c r="AR2" s="125" t="str">
        <f ca="1">IF(ISBLANK($A2),"",INDIRECT("'"&amp;$A2&amp;"'!f17"))</f>
        <v>Litige réglé par transaction amiable ou judiciaire</v>
      </c>
      <c r="AS2" s="125" t="str">
        <f ca="1">IF(ISBLANK($A2),"",INDIRECT("'"&amp;$A2&amp;"'!E18"))</f>
        <v>Financier</v>
      </c>
      <c r="AT2" s="125" t="str">
        <f ca="1">IF(ISBLANK($A2),"",INDIRECT("'"&amp;$A2&amp;"'!f18"))</f>
        <v>Coût remplacement/ réparation</v>
      </c>
      <c r="AU2" s="125" t="str">
        <f ca="1">IF(ISBLANK($A2),"",INDIRECT("'"&amp;$A2&amp;"'!E19"))</f>
        <v>Client_Image_Réputation</v>
      </c>
      <c r="AV2" s="125" t="str">
        <f ca="1">IF(ISBLANK($A2),"",INDIRECT("'"&amp;$A2&amp;"'!f19"))</f>
        <v>Nombreux clients clés impactés (VIP, groupes,…)</v>
      </c>
      <c r="AW2" s="125" t="str">
        <f ca="1">IF(ISBLANK($A2),"",INDIRECT("'"&amp;$A2&amp;"'!H23"))</f>
        <v>Exceptionnelle</v>
      </c>
      <c r="AX2" s="125" t="str">
        <f ca="1">IF(ISBLANK($A2),"",INDIRECT("'"&amp;$A2&amp;"'!H25"))</f>
        <v>Critique</v>
      </c>
      <c r="AY2" s="125" t="str">
        <f ca="1">IF(ISBLANK($A2),"",INDIRECT("'"&amp;$A2&amp;"'!H27"))</f>
        <v>Modéré</v>
      </c>
      <c r="AZ2" s="125" t="str">
        <f ca="1">IF(ISBLANK($A2),"",INDIRECT("'"&amp;$A2&amp;"'!H28"))</f>
        <v>Critique</v>
      </c>
      <c r="BA2" s="125" t="str">
        <f ca="1">IF(ISBLANK($A2),"",INDIRECT("'"&amp;$A2&amp;"'!H29"))</f>
        <v>Critique</v>
      </c>
      <c r="BB2" s="125" t="str">
        <f ca="1">IF(ISBLANK($A2),"",INDIRECT("'"&amp;$A2&amp;"'!H30"))</f>
        <v>Critique</v>
      </c>
      <c r="BC2" s="125" t="str">
        <f ca="1">IF(ISBLANK($A2),"",INDIRECT("'"&amp;$A2&amp;"'!H34"))</f>
        <v>Mineur</v>
      </c>
      <c r="BD2" s="125" t="str">
        <f ca="1">IF(ISBLANK($A2),"",INDIRECT("'"&amp;$A2&amp;"'!H37"))</f>
        <v>Maîtrisé</v>
      </c>
      <c r="BE2" s="125" t="str">
        <f ca="1">IF(ISBLANK($A2),"",INDIRECT("'"&amp;$A2&amp;"'!H39"))</f>
        <v>Maîtrisé</v>
      </c>
      <c r="BF2" s="125" t="str">
        <f ca="1">IF(ISBLANK($A2),"",INDIRECT("'"&amp;$A2&amp;"'!H40"))</f>
        <v>Acceptable</v>
      </c>
      <c r="BG2" s="125" t="str">
        <f ca="1">IF(ISBLANK($A2),"",INDIRECT("'"&amp;$A2&amp;"'!H41"))</f>
        <v>Maîtrisé</v>
      </c>
      <c r="BH2" s="125" t="str">
        <f ca="1">IF(ISBLANK($A2),"",INDIRECT("'"&amp;$A2&amp;"'!H42"))</f>
        <v>Maîtrisé</v>
      </c>
      <c r="BI2" s="125" t="str">
        <f ca="1">IF(ISBLANK($A2),"",INDIRECT("'"&amp;$A2&amp;"'!H44"))</f>
        <v>Elevée</v>
      </c>
      <c r="BJ2" s="125" t="str">
        <f ca="1">IF(ISBLANK($A2),"",INDIRECT("'"&amp;$A2&amp;"'!H45"))</f>
        <v>Catastrophique</v>
      </c>
      <c r="BK2" s="125" t="str">
        <f ca="1">IF(ISBLANK($A2),"",INDIRECT("'"&amp;$A2&amp;"'!H47"))</f>
        <v>Très élevée</v>
      </c>
      <c r="BL2" s="266" t="str">
        <f ca="1">IF(ISBLANK($A2),"",INDIRECT("'"&amp;$A2&amp;"'!B49"))</f>
        <v>Zone de criticité élevée /Surveillance soutenue</v>
      </c>
      <c r="BM2" s="127"/>
    </row>
    <row r="3" spans="1:65" ht="41.45" customHeight="1" thickTop="1" x14ac:dyDescent="0.2">
      <c r="A3" s="156"/>
      <c r="B3" s="126" t="str">
        <f t="shared" ref="B3:B16" ca="1" si="0">IF(ISBLANK($A3),"",INDIRECT("'"&amp;$A3&amp;"'!b7"))</f>
        <v/>
      </c>
      <c r="C3" s="125" t="str">
        <f t="shared" ref="C3:C16" ca="1" si="1">IF(ISBLANK($A3),"",INDIRECT("'"&amp;$A3&amp;"'!b8"))</f>
        <v/>
      </c>
      <c r="D3" s="125" t="str">
        <f t="shared" ref="D3:D16" ca="1" si="2">IF(ISBLANK($A3),"",INDIRECT("'"&amp;$A3&amp;"'!b9"))</f>
        <v/>
      </c>
      <c r="E3" s="125" t="str">
        <f t="shared" ref="E3:E16" ca="1" si="3">IF(ISBLANK($A3),"",INDIRECT("'"&amp;$A3&amp;"'!b10"))</f>
        <v/>
      </c>
      <c r="F3" s="125" t="str">
        <f t="shared" ref="F3:F16" ca="1" si="4">IF(ISBLANK($A3),"",INDIRECT("'"&amp;$A3&amp;"'!b11"))</f>
        <v/>
      </c>
      <c r="G3" s="125" t="str">
        <f t="shared" ref="G3:G16" ca="1" si="5">IF(ISBLANK($A3),"",INDIRECT("'"&amp;$A3&amp;"'!b12"))</f>
        <v/>
      </c>
      <c r="H3" s="125" t="str">
        <f t="shared" ref="H3:H16" ca="1" si="6">IF(ISBLANK($A3),"",INDIRECT("'"&amp;$A3&amp;"'!d7"))</f>
        <v/>
      </c>
      <c r="I3" s="125" t="str">
        <f t="shared" ref="I3:I16" ca="1" si="7">IF(ISBLANK($A3),"",INDIRECT("'"&amp;$A3&amp;"'!d8"))</f>
        <v/>
      </c>
      <c r="J3" s="125" t="str">
        <f t="shared" ref="J3:J16" ca="1" si="8">IF(ISBLANK($A3),"",INDIRECT("'"&amp;$A3&amp;"'!d9"))</f>
        <v/>
      </c>
      <c r="K3" s="125" t="str">
        <f t="shared" ref="K3:K16" ca="1" si="9">IF(ISBLANK($A3),"",INDIRECT("'"&amp;$A3&amp;"'!d10"))</f>
        <v/>
      </c>
      <c r="L3" s="125" t="str">
        <f t="shared" ref="L3:L16" ca="1" si="10">IF(ISBLANK($A3),"",INDIRECT("'"&amp;$A3&amp;"'!d11"))</f>
        <v/>
      </c>
      <c r="M3" s="125" t="str">
        <f t="shared" ref="M3:M16" ca="1" si="11">IF(ISBLANK($A3),"",INDIRECT("'"&amp;$A3&amp;"'!d12"))</f>
        <v/>
      </c>
      <c r="N3" s="125" t="str">
        <f t="shared" ref="N3:N16" ca="1" si="12">IF(ISBLANK($A3),"",INDIRECT("'"&amp;$A3&amp;"'!d13"))</f>
        <v/>
      </c>
      <c r="O3" s="125" t="str">
        <f t="shared" ref="O3:O16" ca="1" si="13">IF(ISBLANK($A3),"",INDIRECT("'"&amp;$A3&amp;"'!d14"))</f>
        <v/>
      </c>
      <c r="P3" s="125" t="str">
        <f t="shared" ref="P3:P16" ca="1" si="14">IF(ISBLANK($A3),"",INDIRECT("'"&amp;$A3&amp;"'!d15"))</f>
        <v/>
      </c>
      <c r="Q3" s="125" t="str">
        <f t="shared" ref="Q3:Q16" ca="1" si="15">IF(ISBLANK($A3),"",INDIRECT("'"&amp;$A3&amp;"'!d16"))</f>
        <v/>
      </c>
      <c r="R3" s="125" t="str">
        <f t="shared" ref="R3:R16" ca="1" si="16">IF(ISBLANK($A3),"",INDIRECT("'"&amp;$A3&amp;"'!d17"))</f>
        <v/>
      </c>
      <c r="S3" s="125" t="str">
        <f t="shared" ref="S3:S16" ca="1" si="17">IF(ISBLANK($A3),"",INDIRECT("'"&amp;$A3&amp;"'!d18"))</f>
        <v/>
      </c>
      <c r="T3" s="125" t="str">
        <f t="shared" ref="T3:T16" ca="1" si="18">IF(ISBLANK($A3),"",INDIRECT("'"&amp;$A3&amp;"'!d19"))</f>
        <v/>
      </c>
      <c r="U3" s="125" t="str">
        <f t="shared" ref="U3:U16" ca="1" si="19">IF(ISBLANK($A3),"",INDIRECT("'"&amp;$A3&amp;"'!E7"))</f>
        <v/>
      </c>
      <c r="V3" s="125" t="str">
        <f t="shared" ref="V3:V16" ca="1" si="20">IF(ISBLANK($A3),"",INDIRECT("'"&amp;$A3&amp;"'!f7"))</f>
        <v/>
      </c>
      <c r="W3" s="125" t="str">
        <f t="shared" ref="W3:W16" ca="1" si="21">IF(ISBLANK($A3),"",INDIRECT("'"&amp;$A3&amp;"'!E8"))</f>
        <v/>
      </c>
      <c r="X3" s="125" t="str">
        <f t="shared" ref="X3:X16" ca="1" si="22">IF(ISBLANK($A3),"",INDIRECT("'"&amp;$A3&amp;"'!f8"))</f>
        <v/>
      </c>
      <c r="Y3" s="125" t="str">
        <f t="shared" ref="Y3:Y16" ca="1" si="23">IF(ISBLANK($A3),"",INDIRECT("'"&amp;$A3&amp;"'!E9"))</f>
        <v/>
      </c>
      <c r="Z3" s="125" t="str">
        <f t="shared" ref="Z3:Z16" ca="1" si="24">IF(ISBLANK($A3),"",INDIRECT("'"&amp;$A3&amp;"'!f9"))</f>
        <v/>
      </c>
      <c r="AA3" s="125" t="str">
        <f t="shared" ref="AA3:AA16" ca="1" si="25">IF(ISBLANK($A3),"",INDIRECT("'"&amp;$A3&amp;"'!E10"))</f>
        <v/>
      </c>
      <c r="AB3" s="125" t="str">
        <f t="shared" ref="AB3:AB16" ca="1" si="26">IF(ISBLANK($A3),"",INDIRECT("'"&amp;$A3&amp;"'!f10"))</f>
        <v/>
      </c>
      <c r="AC3" s="125" t="str">
        <f t="shared" ref="AC3:AC16" ca="1" si="27">IF(ISBLANK($A3),"",INDIRECT("'"&amp;$A3&amp;"'!E11"))</f>
        <v/>
      </c>
      <c r="AD3" s="125" t="str">
        <f t="shared" ref="AD3:AD16" ca="1" si="28">IF(ISBLANK($A3),"",INDIRECT("'"&amp;$A3&amp;"'!f11"))</f>
        <v/>
      </c>
      <c r="AE3" s="125" t="str">
        <f t="shared" ref="AE3:AE16" ca="1" si="29">IF(ISBLANK($A3),"",INDIRECT("'"&amp;$A3&amp;"'!E12"))</f>
        <v/>
      </c>
      <c r="AF3" s="125" t="str">
        <f t="shared" ref="AF3:AF16" ca="1" si="30">IF(ISBLANK($A3),"",INDIRECT("'"&amp;$A3&amp;"'!f12"))</f>
        <v/>
      </c>
      <c r="AG3" s="125" t="str">
        <f t="shared" ref="AG3:AG16" ca="1" si="31">IF(ISBLANK($A3),"",INDIRECT("'"&amp;$A3&amp;"'!f14"))</f>
        <v/>
      </c>
      <c r="AH3" s="125" t="str">
        <f t="shared" ref="AH3:AH16" ca="1" si="32">IF(ISBLANK($A3),"",INDIRECT("'"&amp;$A3&amp;"'!f15"))</f>
        <v/>
      </c>
      <c r="AI3" s="125" t="str">
        <f t="shared" ref="AI3:AI16" ca="1" si="33">IF(ISBLANK($A3),"",INDIRECT("'"&amp;$A3&amp;"'!f16"))</f>
        <v/>
      </c>
      <c r="AJ3" s="125" t="str">
        <f t="shared" ref="AJ3:AJ16" ca="1" si="34">IF(ISBLANK($A3),"",INDIRECT("'"&amp;$A3&amp;"'!f17"))</f>
        <v/>
      </c>
      <c r="AK3" s="125" t="str">
        <f t="shared" ref="AK3:AK16" ca="1" si="35">IF(ISBLANK($A3),"",INDIRECT("'"&amp;$A3&amp;"'!E14"))</f>
        <v/>
      </c>
      <c r="AL3" s="125" t="str">
        <f t="shared" ref="AL3:AL16" ca="1" si="36">IF(ISBLANK($A3),"",INDIRECT("'"&amp;$A3&amp;"'!f14"))</f>
        <v/>
      </c>
      <c r="AM3" s="125" t="str">
        <f t="shared" ref="AM3:AM16" ca="1" si="37">IF(ISBLANK($A3),"",INDIRECT("'"&amp;$A3&amp;"'!E15"))</f>
        <v/>
      </c>
      <c r="AN3" s="125" t="str">
        <f t="shared" ref="AN3:AN16" ca="1" si="38">IF(ISBLANK($A3),"",INDIRECT("'"&amp;$A3&amp;"'!f15"))</f>
        <v/>
      </c>
      <c r="AO3" s="125" t="str">
        <f t="shared" ref="AO3:AO16" ca="1" si="39">IF(ISBLANK($A3),"",INDIRECT("'"&amp;$A3&amp;"'!E16"))</f>
        <v/>
      </c>
      <c r="AP3" s="125" t="str">
        <f t="shared" ref="AP3:AP16" ca="1" si="40">IF(ISBLANK($A3),"",INDIRECT("'"&amp;$A3&amp;"'!f16"))</f>
        <v/>
      </c>
      <c r="AQ3" s="125" t="str">
        <f t="shared" ref="AQ3:AQ16" ca="1" si="41">IF(ISBLANK($A3),"",INDIRECT("'"&amp;$A3&amp;"'!E17"))</f>
        <v/>
      </c>
      <c r="AR3" s="125" t="str">
        <f t="shared" ref="AR3:AR16" ca="1" si="42">IF(ISBLANK($A3),"",INDIRECT("'"&amp;$A3&amp;"'!f17"))</f>
        <v/>
      </c>
      <c r="AS3" s="125" t="str">
        <f t="shared" ref="AS3:AS16" ca="1" si="43">IF(ISBLANK($A3),"",INDIRECT("'"&amp;$A3&amp;"'!E18"))</f>
        <v/>
      </c>
      <c r="AT3" s="125" t="str">
        <f t="shared" ref="AT3:AT16" ca="1" si="44">IF(ISBLANK($A3),"",INDIRECT("'"&amp;$A3&amp;"'!f18"))</f>
        <v/>
      </c>
      <c r="AU3" s="125" t="str">
        <f t="shared" ref="AU3:AU16" ca="1" si="45">IF(ISBLANK($A3),"",INDIRECT("'"&amp;$A3&amp;"'!E19"))</f>
        <v/>
      </c>
      <c r="AV3" s="125" t="str">
        <f t="shared" ref="AV3:AV16" ca="1" si="46">IF(ISBLANK($A3),"",INDIRECT("'"&amp;$A3&amp;"'!f19"))</f>
        <v/>
      </c>
      <c r="AW3" s="125" t="str">
        <f t="shared" ref="AW3:AW16" ca="1" si="47">IF(ISBLANK($A3),"",INDIRECT("'"&amp;$A3&amp;"'!b23"))</f>
        <v/>
      </c>
      <c r="AX3" s="125" t="str">
        <f t="shared" ref="AX3:AX16" ca="1" si="48">IF(ISBLANK($A3),"",INDIRECT("'"&amp;$A3&amp;"'!b25"))</f>
        <v/>
      </c>
      <c r="AY3" s="125" t="str">
        <f t="shared" ref="AY3:AY16" ca="1" si="49">IF(ISBLANK($A3),"",INDIRECT("'"&amp;$A3&amp;"'!B27"))</f>
        <v/>
      </c>
      <c r="AZ3" s="125" t="str">
        <f t="shared" ref="AZ3:AZ16" ca="1" si="50">IF(ISBLANK($A3),"",INDIRECT("'"&amp;$A3&amp;"'!B28"))</f>
        <v/>
      </c>
      <c r="BA3" s="125" t="str">
        <f t="shared" ref="BA3:BA16" ca="1" si="51">IF(ISBLANK($A3),"",INDIRECT("'"&amp;$A3&amp;"'!B29"))</f>
        <v/>
      </c>
      <c r="BB3" s="125" t="str">
        <f t="shared" ref="BB3:BB16" ca="1" si="52">IF(ISBLANK($A3),"",INDIRECT("'"&amp;$A3&amp;"'!B30"))</f>
        <v/>
      </c>
      <c r="BC3" s="125" t="str">
        <f t="shared" ref="BC3:BC16" ca="1" si="53">IF(ISBLANK($A3),"",INDIRECT("'"&amp;$A3&amp;"'!B34"))</f>
        <v/>
      </c>
      <c r="BD3" s="125" t="str">
        <f t="shared" ref="BD3:BD16" ca="1" si="54">IF(ISBLANK($A3),"",INDIRECT("'"&amp;$A3&amp;"'!b36"))</f>
        <v/>
      </c>
      <c r="BE3" s="125" t="str">
        <f t="shared" ref="BE3:BE16" ca="1" si="55">IF(ISBLANK($A3),"",INDIRECT("'"&amp;$A3&amp;"'!B38"))</f>
        <v/>
      </c>
      <c r="BF3" s="125" t="str">
        <f t="shared" ref="BF3:BF16" ca="1" si="56">IF(ISBLANK($A3),"",INDIRECT("'"&amp;$A3&amp;"'!B39"))</f>
        <v/>
      </c>
      <c r="BG3" s="125" t="str">
        <f t="shared" ref="BG3:BG16" ca="1" si="57">IF(ISBLANK($A3),"",INDIRECT("'"&amp;$A3&amp;"'!B40"))</f>
        <v/>
      </c>
      <c r="BH3" s="125" t="str">
        <f t="shared" ref="BH3:BH16" ca="1" si="58">IF(ISBLANK($A3),"",INDIRECT("'"&amp;$A3&amp;"'!B41"))</f>
        <v/>
      </c>
      <c r="BI3" s="125" t="str">
        <f t="shared" ref="BI3:BI16" ca="1" si="59">IF(ISBLANK($A3),"",INDIRECT("'"&amp;$A3&amp;"'!b43"))</f>
        <v/>
      </c>
      <c r="BJ3" s="125" t="str">
        <f t="shared" ref="BJ3:BJ16" ca="1" si="60">IF(ISBLANK($A3),"",INDIRECT("'"&amp;$A3&amp;"'!B44"))</f>
        <v/>
      </c>
      <c r="BK3" s="125" t="str">
        <f t="shared" ref="BK3:BK16" ca="1" si="61">IF(ISBLANK($A3),"",INDIRECT("'"&amp;$A3&amp;"'!B47"))</f>
        <v/>
      </c>
      <c r="BL3" s="125" t="str">
        <f t="shared" ref="BL3:BL16" ca="1" si="62">IF(ISBLANK($A3),"",INDIRECT("'"&amp;$A3&amp;"'!B46"))</f>
        <v/>
      </c>
    </row>
    <row r="4" spans="1:65" ht="41.45" customHeight="1" x14ac:dyDescent="0.2">
      <c r="A4" s="156"/>
      <c r="B4" s="126" t="str">
        <f t="shared" ca="1" si="0"/>
        <v/>
      </c>
      <c r="C4" s="125" t="str">
        <f t="shared" ca="1" si="1"/>
        <v/>
      </c>
      <c r="D4" s="125" t="str">
        <f t="shared" ca="1" si="2"/>
        <v/>
      </c>
      <c r="E4" s="125" t="str">
        <f t="shared" ca="1" si="3"/>
        <v/>
      </c>
      <c r="F4" s="125" t="str">
        <f t="shared" ca="1" si="4"/>
        <v/>
      </c>
      <c r="G4" s="125" t="str">
        <f t="shared" ca="1" si="5"/>
        <v/>
      </c>
      <c r="H4" s="125" t="str">
        <f t="shared" ca="1" si="6"/>
        <v/>
      </c>
      <c r="I4" s="125" t="str">
        <f t="shared" ca="1" si="7"/>
        <v/>
      </c>
      <c r="J4" s="125" t="str">
        <f t="shared" ca="1" si="8"/>
        <v/>
      </c>
      <c r="K4" s="125" t="str">
        <f t="shared" ca="1" si="9"/>
        <v/>
      </c>
      <c r="L4" s="125" t="str">
        <f t="shared" ca="1" si="10"/>
        <v/>
      </c>
      <c r="M4" s="125" t="str">
        <f t="shared" ca="1" si="11"/>
        <v/>
      </c>
      <c r="N4" s="125" t="str">
        <f t="shared" ca="1" si="12"/>
        <v/>
      </c>
      <c r="O4" s="125" t="str">
        <f t="shared" ca="1" si="13"/>
        <v/>
      </c>
      <c r="P4" s="125" t="str">
        <f t="shared" ca="1" si="14"/>
        <v/>
      </c>
      <c r="Q4" s="125" t="str">
        <f t="shared" ca="1" si="15"/>
        <v/>
      </c>
      <c r="R4" s="125" t="str">
        <f t="shared" ca="1" si="16"/>
        <v/>
      </c>
      <c r="S4" s="125" t="str">
        <f t="shared" ca="1" si="17"/>
        <v/>
      </c>
      <c r="T4" s="125" t="str">
        <f t="shared" ca="1" si="18"/>
        <v/>
      </c>
      <c r="U4" s="125" t="str">
        <f t="shared" ca="1" si="19"/>
        <v/>
      </c>
      <c r="V4" s="125" t="str">
        <f t="shared" ca="1" si="20"/>
        <v/>
      </c>
      <c r="W4" s="125" t="str">
        <f t="shared" ca="1" si="21"/>
        <v/>
      </c>
      <c r="X4" s="125" t="str">
        <f t="shared" ca="1" si="22"/>
        <v/>
      </c>
      <c r="Y4" s="125" t="str">
        <f t="shared" ca="1" si="23"/>
        <v/>
      </c>
      <c r="Z4" s="125" t="str">
        <f t="shared" ca="1" si="24"/>
        <v/>
      </c>
      <c r="AA4" s="125" t="str">
        <f t="shared" ca="1" si="25"/>
        <v/>
      </c>
      <c r="AB4" s="125" t="str">
        <f t="shared" ca="1" si="26"/>
        <v/>
      </c>
      <c r="AC4" s="125" t="str">
        <f t="shared" ca="1" si="27"/>
        <v/>
      </c>
      <c r="AD4" s="125" t="str">
        <f t="shared" ca="1" si="28"/>
        <v/>
      </c>
      <c r="AE4" s="125" t="str">
        <f t="shared" ca="1" si="29"/>
        <v/>
      </c>
      <c r="AF4" s="125" t="str">
        <f t="shared" ca="1" si="30"/>
        <v/>
      </c>
      <c r="AG4" s="125" t="str">
        <f t="shared" ca="1" si="31"/>
        <v/>
      </c>
      <c r="AH4" s="125" t="str">
        <f t="shared" ca="1" si="32"/>
        <v/>
      </c>
      <c r="AI4" s="125" t="str">
        <f t="shared" ca="1" si="33"/>
        <v/>
      </c>
      <c r="AJ4" s="125" t="str">
        <f t="shared" ca="1" si="34"/>
        <v/>
      </c>
      <c r="AK4" s="125" t="str">
        <f t="shared" ca="1" si="35"/>
        <v/>
      </c>
      <c r="AL4" s="125" t="str">
        <f t="shared" ca="1" si="36"/>
        <v/>
      </c>
      <c r="AM4" s="125" t="str">
        <f t="shared" ca="1" si="37"/>
        <v/>
      </c>
      <c r="AN4" s="125" t="str">
        <f t="shared" ca="1" si="38"/>
        <v/>
      </c>
      <c r="AO4" s="125" t="str">
        <f t="shared" ca="1" si="39"/>
        <v/>
      </c>
      <c r="AP4" s="125" t="str">
        <f t="shared" ca="1" si="40"/>
        <v/>
      </c>
      <c r="AQ4" s="125" t="str">
        <f t="shared" ca="1" si="41"/>
        <v/>
      </c>
      <c r="AR4" s="125" t="str">
        <f t="shared" ca="1" si="42"/>
        <v/>
      </c>
      <c r="AS4" s="125" t="str">
        <f t="shared" ca="1" si="43"/>
        <v/>
      </c>
      <c r="AT4" s="125" t="str">
        <f t="shared" ca="1" si="44"/>
        <v/>
      </c>
      <c r="AU4" s="125" t="str">
        <f t="shared" ca="1" si="45"/>
        <v/>
      </c>
      <c r="AV4" s="125" t="str">
        <f t="shared" ca="1" si="46"/>
        <v/>
      </c>
      <c r="AW4" s="125" t="str">
        <f t="shared" ca="1" si="47"/>
        <v/>
      </c>
      <c r="AX4" s="125" t="str">
        <f t="shared" ca="1" si="48"/>
        <v/>
      </c>
      <c r="AY4" s="125" t="str">
        <f t="shared" ca="1" si="49"/>
        <v/>
      </c>
      <c r="AZ4" s="125" t="str">
        <f t="shared" ca="1" si="50"/>
        <v/>
      </c>
      <c r="BA4" s="125" t="str">
        <f t="shared" ca="1" si="51"/>
        <v/>
      </c>
      <c r="BB4" s="125" t="str">
        <f t="shared" ca="1" si="52"/>
        <v/>
      </c>
      <c r="BC4" s="125" t="str">
        <f t="shared" ca="1" si="53"/>
        <v/>
      </c>
      <c r="BD4" s="125" t="str">
        <f t="shared" ca="1" si="54"/>
        <v/>
      </c>
      <c r="BE4" s="125" t="str">
        <f t="shared" ca="1" si="55"/>
        <v/>
      </c>
      <c r="BF4" s="125" t="str">
        <f t="shared" ca="1" si="56"/>
        <v/>
      </c>
      <c r="BG4" s="125" t="str">
        <f t="shared" ca="1" si="57"/>
        <v/>
      </c>
      <c r="BH4" s="125" t="str">
        <f t="shared" ca="1" si="58"/>
        <v/>
      </c>
      <c r="BI4" s="125" t="str">
        <f t="shared" ca="1" si="59"/>
        <v/>
      </c>
      <c r="BJ4" s="125" t="str">
        <f t="shared" ca="1" si="60"/>
        <v/>
      </c>
      <c r="BK4" s="125" t="str">
        <f t="shared" ca="1" si="61"/>
        <v/>
      </c>
      <c r="BL4" s="125" t="str">
        <f t="shared" ca="1" si="62"/>
        <v/>
      </c>
    </row>
    <row r="5" spans="1:65" ht="41.45" customHeight="1" x14ac:dyDescent="0.2">
      <c r="A5" s="156"/>
      <c r="B5" s="126" t="str">
        <f t="shared" ca="1" si="0"/>
        <v/>
      </c>
      <c r="C5" s="125" t="str">
        <f t="shared" ca="1" si="1"/>
        <v/>
      </c>
      <c r="D5" s="125" t="str">
        <f t="shared" ca="1" si="2"/>
        <v/>
      </c>
      <c r="E5" s="125" t="str">
        <f t="shared" ca="1" si="3"/>
        <v/>
      </c>
      <c r="F5" s="125" t="str">
        <f t="shared" ca="1" si="4"/>
        <v/>
      </c>
      <c r="G5" s="125" t="str">
        <f t="shared" ca="1" si="5"/>
        <v/>
      </c>
      <c r="H5" s="125" t="str">
        <f t="shared" ca="1" si="6"/>
        <v/>
      </c>
      <c r="I5" s="125" t="str">
        <f t="shared" ca="1" si="7"/>
        <v/>
      </c>
      <c r="J5" s="125" t="str">
        <f t="shared" ca="1" si="8"/>
        <v/>
      </c>
      <c r="K5" s="125" t="str">
        <f t="shared" ca="1" si="9"/>
        <v/>
      </c>
      <c r="L5" s="125" t="str">
        <f t="shared" ca="1" si="10"/>
        <v/>
      </c>
      <c r="M5" s="125" t="str">
        <f t="shared" ca="1" si="11"/>
        <v/>
      </c>
      <c r="N5" s="125" t="str">
        <f t="shared" ca="1" si="12"/>
        <v/>
      </c>
      <c r="O5" s="125" t="str">
        <f t="shared" ca="1" si="13"/>
        <v/>
      </c>
      <c r="P5" s="125" t="str">
        <f t="shared" ca="1" si="14"/>
        <v/>
      </c>
      <c r="Q5" s="125" t="str">
        <f t="shared" ca="1" si="15"/>
        <v/>
      </c>
      <c r="R5" s="125" t="str">
        <f t="shared" ca="1" si="16"/>
        <v/>
      </c>
      <c r="S5" s="125" t="str">
        <f t="shared" ca="1" si="17"/>
        <v/>
      </c>
      <c r="T5" s="125" t="str">
        <f t="shared" ca="1" si="18"/>
        <v/>
      </c>
      <c r="U5" s="125" t="str">
        <f t="shared" ca="1" si="19"/>
        <v/>
      </c>
      <c r="V5" s="125" t="str">
        <f t="shared" ca="1" si="20"/>
        <v/>
      </c>
      <c r="W5" s="125" t="str">
        <f t="shared" ca="1" si="21"/>
        <v/>
      </c>
      <c r="X5" s="125" t="str">
        <f t="shared" ca="1" si="22"/>
        <v/>
      </c>
      <c r="Y5" s="125" t="str">
        <f t="shared" ca="1" si="23"/>
        <v/>
      </c>
      <c r="Z5" s="125" t="str">
        <f t="shared" ca="1" si="24"/>
        <v/>
      </c>
      <c r="AA5" s="125" t="str">
        <f t="shared" ca="1" si="25"/>
        <v/>
      </c>
      <c r="AB5" s="125" t="str">
        <f t="shared" ca="1" si="26"/>
        <v/>
      </c>
      <c r="AC5" s="125" t="str">
        <f t="shared" ca="1" si="27"/>
        <v/>
      </c>
      <c r="AD5" s="125" t="str">
        <f t="shared" ca="1" si="28"/>
        <v/>
      </c>
      <c r="AE5" s="125" t="str">
        <f t="shared" ca="1" si="29"/>
        <v/>
      </c>
      <c r="AF5" s="125" t="str">
        <f t="shared" ca="1" si="30"/>
        <v/>
      </c>
      <c r="AG5" s="125" t="str">
        <f t="shared" ca="1" si="31"/>
        <v/>
      </c>
      <c r="AH5" s="125" t="str">
        <f t="shared" ca="1" si="32"/>
        <v/>
      </c>
      <c r="AI5" s="125" t="str">
        <f t="shared" ca="1" si="33"/>
        <v/>
      </c>
      <c r="AJ5" s="125" t="str">
        <f t="shared" ca="1" si="34"/>
        <v/>
      </c>
      <c r="AK5" s="125" t="str">
        <f t="shared" ca="1" si="35"/>
        <v/>
      </c>
      <c r="AL5" s="125" t="str">
        <f t="shared" ca="1" si="36"/>
        <v/>
      </c>
      <c r="AM5" s="125" t="str">
        <f t="shared" ca="1" si="37"/>
        <v/>
      </c>
      <c r="AN5" s="125" t="str">
        <f t="shared" ca="1" si="38"/>
        <v/>
      </c>
      <c r="AO5" s="125" t="str">
        <f t="shared" ca="1" si="39"/>
        <v/>
      </c>
      <c r="AP5" s="125" t="str">
        <f t="shared" ca="1" si="40"/>
        <v/>
      </c>
      <c r="AQ5" s="125" t="str">
        <f t="shared" ca="1" si="41"/>
        <v/>
      </c>
      <c r="AR5" s="125" t="str">
        <f t="shared" ca="1" si="42"/>
        <v/>
      </c>
      <c r="AS5" s="125" t="str">
        <f t="shared" ca="1" si="43"/>
        <v/>
      </c>
      <c r="AT5" s="125" t="str">
        <f t="shared" ca="1" si="44"/>
        <v/>
      </c>
      <c r="AU5" s="125" t="str">
        <f t="shared" ca="1" si="45"/>
        <v/>
      </c>
      <c r="AV5" s="125" t="str">
        <f t="shared" ca="1" si="46"/>
        <v/>
      </c>
      <c r="AW5" s="125" t="str">
        <f t="shared" ca="1" si="47"/>
        <v/>
      </c>
      <c r="AX5" s="125" t="str">
        <f t="shared" ca="1" si="48"/>
        <v/>
      </c>
      <c r="AY5" s="125" t="str">
        <f t="shared" ca="1" si="49"/>
        <v/>
      </c>
      <c r="AZ5" s="125" t="str">
        <f t="shared" ca="1" si="50"/>
        <v/>
      </c>
      <c r="BA5" s="125" t="str">
        <f t="shared" ca="1" si="51"/>
        <v/>
      </c>
      <c r="BB5" s="125" t="str">
        <f t="shared" ca="1" si="52"/>
        <v/>
      </c>
      <c r="BC5" s="125" t="str">
        <f t="shared" ca="1" si="53"/>
        <v/>
      </c>
      <c r="BD5" s="125" t="str">
        <f t="shared" ca="1" si="54"/>
        <v/>
      </c>
      <c r="BE5" s="125" t="str">
        <f t="shared" ca="1" si="55"/>
        <v/>
      </c>
      <c r="BF5" s="125" t="str">
        <f t="shared" ca="1" si="56"/>
        <v/>
      </c>
      <c r="BG5" s="125" t="str">
        <f t="shared" ca="1" si="57"/>
        <v/>
      </c>
      <c r="BH5" s="125" t="str">
        <f t="shared" ca="1" si="58"/>
        <v/>
      </c>
      <c r="BI5" s="125" t="str">
        <f t="shared" ca="1" si="59"/>
        <v/>
      </c>
      <c r="BJ5" s="125" t="str">
        <f t="shared" ca="1" si="60"/>
        <v/>
      </c>
      <c r="BK5" s="125" t="str">
        <f t="shared" ca="1" si="61"/>
        <v/>
      </c>
      <c r="BL5" s="125" t="str">
        <f t="shared" ca="1" si="62"/>
        <v/>
      </c>
    </row>
    <row r="6" spans="1:65" ht="41.45" customHeight="1" x14ac:dyDescent="0.2">
      <c r="A6" s="156"/>
      <c r="B6" s="126" t="str">
        <f t="shared" ca="1" si="0"/>
        <v/>
      </c>
      <c r="C6" s="125" t="str">
        <f t="shared" ca="1" si="1"/>
        <v/>
      </c>
      <c r="D6" s="125" t="str">
        <f t="shared" ca="1" si="2"/>
        <v/>
      </c>
      <c r="E6" s="125" t="str">
        <f t="shared" ca="1" si="3"/>
        <v/>
      </c>
      <c r="F6" s="125" t="str">
        <f t="shared" ca="1" si="4"/>
        <v/>
      </c>
      <c r="G6" s="125" t="str">
        <f t="shared" ca="1" si="5"/>
        <v/>
      </c>
      <c r="H6" s="125" t="str">
        <f t="shared" ca="1" si="6"/>
        <v/>
      </c>
      <c r="I6" s="125" t="str">
        <f t="shared" ca="1" si="7"/>
        <v/>
      </c>
      <c r="J6" s="125" t="str">
        <f t="shared" ca="1" si="8"/>
        <v/>
      </c>
      <c r="K6" s="125" t="str">
        <f t="shared" ca="1" si="9"/>
        <v/>
      </c>
      <c r="L6" s="125" t="str">
        <f t="shared" ca="1" si="10"/>
        <v/>
      </c>
      <c r="M6" s="125" t="str">
        <f t="shared" ca="1" si="11"/>
        <v/>
      </c>
      <c r="N6" s="125" t="str">
        <f t="shared" ca="1" si="12"/>
        <v/>
      </c>
      <c r="O6" s="125" t="str">
        <f t="shared" ca="1" si="13"/>
        <v/>
      </c>
      <c r="P6" s="125" t="str">
        <f t="shared" ca="1" si="14"/>
        <v/>
      </c>
      <c r="Q6" s="125" t="str">
        <f t="shared" ca="1" si="15"/>
        <v/>
      </c>
      <c r="R6" s="125" t="str">
        <f t="shared" ca="1" si="16"/>
        <v/>
      </c>
      <c r="S6" s="125" t="str">
        <f t="shared" ca="1" si="17"/>
        <v/>
      </c>
      <c r="T6" s="125" t="str">
        <f t="shared" ca="1" si="18"/>
        <v/>
      </c>
      <c r="U6" s="125" t="str">
        <f t="shared" ca="1" si="19"/>
        <v/>
      </c>
      <c r="V6" s="125" t="str">
        <f t="shared" ca="1" si="20"/>
        <v/>
      </c>
      <c r="W6" s="125" t="str">
        <f t="shared" ca="1" si="21"/>
        <v/>
      </c>
      <c r="X6" s="125" t="str">
        <f t="shared" ca="1" si="22"/>
        <v/>
      </c>
      <c r="Y6" s="125" t="str">
        <f t="shared" ca="1" si="23"/>
        <v/>
      </c>
      <c r="Z6" s="125" t="str">
        <f t="shared" ca="1" si="24"/>
        <v/>
      </c>
      <c r="AA6" s="125" t="str">
        <f t="shared" ca="1" si="25"/>
        <v/>
      </c>
      <c r="AB6" s="125" t="str">
        <f t="shared" ca="1" si="26"/>
        <v/>
      </c>
      <c r="AC6" s="125" t="str">
        <f t="shared" ca="1" si="27"/>
        <v/>
      </c>
      <c r="AD6" s="125" t="str">
        <f t="shared" ca="1" si="28"/>
        <v/>
      </c>
      <c r="AE6" s="125" t="str">
        <f t="shared" ca="1" si="29"/>
        <v/>
      </c>
      <c r="AF6" s="125" t="str">
        <f t="shared" ca="1" si="30"/>
        <v/>
      </c>
      <c r="AG6" s="125" t="str">
        <f t="shared" ca="1" si="31"/>
        <v/>
      </c>
      <c r="AH6" s="125" t="str">
        <f t="shared" ca="1" si="32"/>
        <v/>
      </c>
      <c r="AI6" s="125" t="str">
        <f t="shared" ca="1" si="33"/>
        <v/>
      </c>
      <c r="AJ6" s="125" t="str">
        <f t="shared" ca="1" si="34"/>
        <v/>
      </c>
      <c r="AK6" s="125" t="str">
        <f t="shared" ca="1" si="35"/>
        <v/>
      </c>
      <c r="AL6" s="125" t="str">
        <f t="shared" ca="1" si="36"/>
        <v/>
      </c>
      <c r="AM6" s="125" t="str">
        <f t="shared" ca="1" si="37"/>
        <v/>
      </c>
      <c r="AN6" s="125" t="str">
        <f t="shared" ca="1" si="38"/>
        <v/>
      </c>
      <c r="AO6" s="125" t="str">
        <f t="shared" ca="1" si="39"/>
        <v/>
      </c>
      <c r="AP6" s="125" t="str">
        <f t="shared" ca="1" si="40"/>
        <v/>
      </c>
      <c r="AQ6" s="125" t="str">
        <f t="shared" ca="1" si="41"/>
        <v/>
      </c>
      <c r="AR6" s="125" t="str">
        <f t="shared" ca="1" si="42"/>
        <v/>
      </c>
      <c r="AS6" s="125" t="str">
        <f t="shared" ca="1" si="43"/>
        <v/>
      </c>
      <c r="AT6" s="125" t="str">
        <f t="shared" ca="1" si="44"/>
        <v/>
      </c>
      <c r="AU6" s="125" t="str">
        <f t="shared" ca="1" si="45"/>
        <v/>
      </c>
      <c r="AV6" s="125" t="str">
        <f t="shared" ca="1" si="46"/>
        <v/>
      </c>
      <c r="AW6" s="125" t="str">
        <f t="shared" ca="1" si="47"/>
        <v/>
      </c>
      <c r="AX6" s="125" t="str">
        <f t="shared" ca="1" si="48"/>
        <v/>
      </c>
      <c r="AY6" s="125" t="str">
        <f t="shared" ca="1" si="49"/>
        <v/>
      </c>
      <c r="AZ6" s="125" t="str">
        <f t="shared" ca="1" si="50"/>
        <v/>
      </c>
      <c r="BA6" s="125" t="str">
        <f t="shared" ca="1" si="51"/>
        <v/>
      </c>
      <c r="BB6" s="125" t="str">
        <f t="shared" ca="1" si="52"/>
        <v/>
      </c>
      <c r="BC6" s="125" t="str">
        <f t="shared" ca="1" si="53"/>
        <v/>
      </c>
      <c r="BD6" s="125" t="str">
        <f t="shared" ca="1" si="54"/>
        <v/>
      </c>
      <c r="BE6" s="125" t="str">
        <f t="shared" ca="1" si="55"/>
        <v/>
      </c>
      <c r="BF6" s="125" t="str">
        <f t="shared" ca="1" si="56"/>
        <v/>
      </c>
      <c r="BG6" s="125" t="str">
        <f t="shared" ca="1" si="57"/>
        <v/>
      </c>
      <c r="BH6" s="125" t="str">
        <f t="shared" ca="1" si="58"/>
        <v/>
      </c>
      <c r="BI6" s="125" t="str">
        <f t="shared" ca="1" si="59"/>
        <v/>
      </c>
      <c r="BJ6" s="125" t="str">
        <f t="shared" ca="1" si="60"/>
        <v/>
      </c>
      <c r="BK6" s="125" t="str">
        <f t="shared" ca="1" si="61"/>
        <v/>
      </c>
      <c r="BL6" s="125" t="str">
        <f t="shared" ca="1" si="62"/>
        <v/>
      </c>
    </row>
    <row r="7" spans="1:65" ht="41.45" customHeight="1" x14ac:dyDescent="0.2">
      <c r="A7" s="156"/>
      <c r="B7" s="126" t="str">
        <f t="shared" ca="1" si="0"/>
        <v/>
      </c>
      <c r="C7" s="125" t="str">
        <f t="shared" ca="1" si="1"/>
        <v/>
      </c>
      <c r="D7" s="125" t="str">
        <f t="shared" ca="1" si="2"/>
        <v/>
      </c>
      <c r="E7" s="125" t="str">
        <f t="shared" ca="1" si="3"/>
        <v/>
      </c>
      <c r="F7" s="125" t="str">
        <f t="shared" ca="1" si="4"/>
        <v/>
      </c>
      <c r="G7" s="125" t="str">
        <f t="shared" ca="1" si="5"/>
        <v/>
      </c>
      <c r="H7" s="125" t="str">
        <f t="shared" ca="1" si="6"/>
        <v/>
      </c>
      <c r="I7" s="125" t="str">
        <f t="shared" ca="1" si="7"/>
        <v/>
      </c>
      <c r="J7" s="125" t="str">
        <f t="shared" ca="1" si="8"/>
        <v/>
      </c>
      <c r="K7" s="125" t="str">
        <f t="shared" ca="1" si="9"/>
        <v/>
      </c>
      <c r="L7" s="125" t="str">
        <f t="shared" ca="1" si="10"/>
        <v/>
      </c>
      <c r="M7" s="125" t="str">
        <f t="shared" ca="1" si="11"/>
        <v/>
      </c>
      <c r="N7" s="125" t="str">
        <f t="shared" ca="1" si="12"/>
        <v/>
      </c>
      <c r="O7" s="125" t="str">
        <f t="shared" ca="1" si="13"/>
        <v/>
      </c>
      <c r="P7" s="125" t="str">
        <f t="shared" ca="1" si="14"/>
        <v/>
      </c>
      <c r="Q7" s="125" t="str">
        <f t="shared" ca="1" si="15"/>
        <v/>
      </c>
      <c r="R7" s="125" t="str">
        <f t="shared" ca="1" si="16"/>
        <v/>
      </c>
      <c r="S7" s="125" t="str">
        <f t="shared" ca="1" si="17"/>
        <v/>
      </c>
      <c r="T7" s="125" t="str">
        <f t="shared" ca="1" si="18"/>
        <v/>
      </c>
      <c r="U7" s="125" t="str">
        <f t="shared" ca="1" si="19"/>
        <v/>
      </c>
      <c r="V7" s="125" t="str">
        <f t="shared" ca="1" si="20"/>
        <v/>
      </c>
      <c r="W7" s="125" t="str">
        <f t="shared" ca="1" si="21"/>
        <v/>
      </c>
      <c r="X7" s="125" t="str">
        <f t="shared" ca="1" si="22"/>
        <v/>
      </c>
      <c r="Y7" s="125" t="str">
        <f t="shared" ca="1" si="23"/>
        <v/>
      </c>
      <c r="Z7" s="125" t="str">
        <f t="shared" ca="1" si="24"/>
        <v/>
      </c>
      <c r="AA7" s="125" t="str">
        <f t="shared" ca="1" si="25"/>
        <v/>
      </c>
      <c r="AB7" s="125" t="str">
        <f t="shared" ca="1" si="26"/>
        <v/>
      </c>
      <c r="AC7" s="125" t="str">
        <f t="shared" ca="1" si="27"/>
        <v/>
      </c>
      <c r="AD7" s="125" t="str">
        <f t="shared" ca="1" si="28"/>
        <v/>
      </c>
      <c r="AE7" s="125" t="str">
        <f t="shared" ca="1" si="29"/>
        <v/>
      </c>
      <c r="AF7" s="125" t="str">
        <f t="shared" ca="1" si="30"/>
        <v/>
      </c>
      <c r="AG7" s="125" t="str">
        <f t="shared" ca="1" si="31"/>
        <v/>
      </c>
      <c r="AH7" s="125" t="str">
        <f t="shared" ca="1" si="32"/>
        <v/>
      </c>
      <c r="AI7" s="125" t="str">
        <f t="shared" ca="1" si="33"/>
        <v/>
      </c>
      <c r="AJ7" s="125" t="str">
        <f t="shared" ca="1" si="34"/>
        <v/>
      </c>
      <c r="AK7" s="125" t="str">
        <f t="shared" ca="1" si="35"/>
        <v/>
      </c>
      <c r="AL7" s="125" t="str">
        <f t="shared" ca="1" si="36"/>
        <v/>
      </c>
      <c r="AM7" s="125" t="str">
        <f t="shared" ca="1" si="37"/>
        <v/>
      </c>
      <c r="AN7" s="125" t="str">
        <f t="shared" ca="1" si="38"/>
        <v/>
      </c>
      <c r="AO7" s="125" t="str">
        <f t="shared" ca="1" si="39"/>
        <v/>
      </c>
      <c r="AP7" s="125" t="str">
        <f t="shared" ca="1" si="40"/>
        <v/>
      </c>
      <c r="AQ7" s="125" t="str">
        <f t="shared" ca="1" si="41"/>
        <v/>
      </c>
      <c r="AR7" s="125" t="str">
        <f t="shared" ca="1" si="42"/>
        <v/>
      </c>
      <c r="AS7" s="125" t="str">
        <f t="shared" ca="1" si="43"/>
        <v/>
      </c>
      <c r="AT7" s="125" t="str">
        <f t="shared" ca="1" si="44"/>
        <v/>
      </c>
      <c r="AU7" s="125" t="str">
        <f t="shared" ca="1" si="45"/>
        <v/>
      </c>
      <c r="AV7" s="125" t="str">
        <f t="shared" ca="1" si="46"/>
        <v/>
      </c>
      <c r="AW7" s="125" t="str">
        <f t="shared" ca="1" si="47"/>
        <v/>
      </c>
      <c r="AX7" s="125" t="str">
        <f t="shared" ca="1" si="48"/>
        <v/>
      </c>
      <c r="AY7" s="125" t="str">
        <f t="shared" ca="1" si="49"/>
        <v/>
      </c>
      <c r="AZ7" s="125" t="str">
        <f t="shared" ca="1" si="50"/>
        <v/>
      </c>
      <c r="BA7" s="125" t="str">
        <f t="shared" ca="1" si="51"/>
        <v/>
      </c>
      <c r="BB7" s="125" t="str">
        <f t="shared" ca="1" si="52"/>
        <v/>
      </c>
      <c r="BC7" s="125" t="str">
        <f t="shared" ca="1" si="53"/>
        <v/>
      </c>
      <c r="BD7" s="125" t="str">
        <f t="shared" ca="1" si="54"/>
        <v/>
      </c>
      <c r="BE7" s="125" t="str">
        <f t="shared" ca="1" si="55"/>
        <v/>
      </c>
      <c r="BF7" s="125" t="str">
        <f t="shared" ca="1" si="56"/>
        <v/>
      </c>
      <c r="BG7" s="125" t="str">
        <f t="shared" ca="1" si="57"/>
        <v/>
      </c>
      <c r="BH7" s="125" t="str">
        <f t="shared" ca="1" si="58"/>
        <v/>
      </c>
      <c r="BI7" s="125" t="str">
        <f t="shared" ca="1" si="59"/>
        <v/>
      </c>
      <c r="BJ7" s="125" t="str">
        <f t="shared" ca="1" si="60"/>
        <v/>
      </c>
      <c r="BK7" s="125" t="str">
        <f t="shared" ca="1" si="61"/>
        <v/>
      </c>
      <c r="BL7" s="125" t="str">
        <f t="shared" ca="1" si="62"/>
        <v/>
      </c>
    </row>
    <row r="8" spans="1:65" ht="41.45" customHeight="1" x14ac:dyDescent="0.2">
      <c r="A8" s="156"/>
      <c r="B8" s="126" t="str">
        <f t="shared" ca="1" si="0"/>
        <v/>
      </c>
      <c r="C8" s="125" t="str">
        <f t="shared" ca="1" si="1"/>
        <v/>
      </c>
      <c r="D8" s="125" t="str">
        <f t="shared" ca="1" si="2"/>
        <v/>
      </c>
      <c r="E8" s="125" t="str">
        <f t="shared" ca="1" si="3"/>
        <v/>
      </c>
      <c r="F8" s="125" t="str">
        <f t="shared" ca="1" si="4"/>
        <v/>
      </c>
      <c r="G8" s="125" t="str">
        <f t="shared" ca="1" si="5"/>
        <v/>
      </c>
      <c r="H8" s="125" t="str">
        <f t="shared" ca="1" si="6"/>
        <v/>
      </c>
      <c r="I8" s="125" t="str">
        <f t="shared" ca="1" si="7"/>
        <v/>
      </c>
      <c r="J8" s="125" t="str">
        <f t="shared" ca="1" si="8"/>
        <v/>
      </c>
      <c r="K8" s="125" t="str">
        <f t="shared" ca="1" si="9"/>
        <v/>
      </c>
      <c r="L8" s="125" t="str">
        <f t="shared" ca="1" si="10"/>
        <v/>
      </c>
      <c r="M8" s="125" t="str">
        <f t="shared" ca="1" si="11"/>
        <v/>
      </c>
      <c r="N8" s="125" t="str">
        <f t="shared" ca="1" si="12"/>
        <v/>
      </c>
      <c r="O8" s="125" t="str">
        <f t="shared" ca="1" si="13"/>
        <v/>
      </c>
      <c r="P8" s="125" t="str">
        <f t="shared" ca="1" si="14"/>
        <v/>
      </c>
      <c r="Q8" s="125" t="str">
        <f t="shared" ca="1" si="15"/>
        <v/>
      </c>
      <c r="R8" s="125" t="str">
        <f t="shared" ca="1" si="16"/>
        <v/>
      </c>
      <c r="S8" s="125" t="str">
        <f t="shared" ca="1" si="17"/>
        <v/>
      </c>
      <c r="T8" s="125" t="str">
        <f t="shared" ca="1" si="18"/>
        <v/>
      </c>
      <c r="U8" s="125" t="str">
        <f t="shared" ca="1" si="19"/>
        <v/>
      </c>
      <c r="V8" s="125" t="str">
        <f t="shared" ca="1" si="20"/>
        <v/>
      </c>
      <c r="W8" s="125" t="str">
        <f t="shared" ca="1" si="21"/>
        <v/>
      </c>
      <c r="X8" s="125" t="str">
        <f t="shared" ca="1" si="22"/>
        <v/>
      </c>
      <c r="Y8" s="125" t="str">
        <f t="shared" ca="1" si="23"/>
        <v/>
      </c>
      <c r="Z8" s="125" t="str">
        <f t="shared" ca="1" si="24"/>
        <v/>
      </c>
      <c r="AA8" s="125" t="str">
        <f t="shared" ca="1" si="25"/>
        <v/>
      </c>
      <c r="AB8" s="125" t="str">
        <f t="shared" ca="1" si="26"/>
        <v/>
      </c>
      <c r="AC8" s="125" t="str">
        <f t="shared" ca="1" si="27"/>
        <v/>
      </c>
      <c r="AD8" s="125" t="str">
        <f t="shared" ca="1" si="28"/>
        <v/>
      </c>
      <c r="AE8" s="125" t="str">
        <f t="shared" ca="1" si="29"/>
        <v/>
      </c>
      <c r="AF8" s="125" t="str">
        <f t="shared" ca="1" si="30"/>
        <v/>
      </c>
      <c r="AG8" s="125" t="str">
        <f t="shared" ca="1" si="31"/>
        <v/>
      </c>
      <c r="AH8" s="125" t="str">
        <f t="shared" ca="1" si="32"/>
        <v/>
      </c>
      <c r="AI8" s="125" t="str">
        <f t="shared" ca="1" si="33"/>
        <v/>
      </c>
      <c r="AJ8" s="125" t="str">
        <f t="shared" ca="1" si="34"/>
        <v/>
      </c>
      <c r="AK8" s="125" t="str">
        <f t="shared" ca="1" si="35"/>
        <v/>
      </c>
      <c r="AL8" s="125" t="str">
        <f t="shared" ca="1" si="36"/>
        <v/>
      </c>
      <c r="AM8" s="125" t="str">
        <f t="shared" ca="1" si="37"/>
        <v/>
      </c>
      <c r="AN8" s="125" t="str">
        <f t="shared" ca="1" si="38"/>
        <v/>
      </c>
      <c r="AO8" s="125" t="str">
        <f t="shared" ca="1" si="39"/>
        <v/>
      </c>
      <c r="AP8" s="125" t="str">
        <f t="shared" ca="1" si="40"/>
        <v/>
      </c>
      <c r="AQ8" s="125" t="str">
        <f t="shared" ca="1" si="41"/>
        <v/>
      </c>
      <c r="AR8" s="125" t="str">
        <f t="shared" ca="1" si="42"/>
        <v/>
      </c>
      <c r="AS8" s="125" t="str">
        <f t="shared" ca="1" si="43"/>
        <v/>
      </c>
      <c r="AT8" s="125" t="str">
        <f t="shared" ca="1" si="44"/>
        <v/>
      </c>
      <c r="AU8" s="125" t="str">
        <f t="shared" ca="1" si="45"/>
        <v/>
      </c>
      <c r="AV8" s="125" t="str">
        <f t="shared" ca="1" si="46"/>
        <v/>
      </c>
      <c r="AW8" s="125" t="str">
        <f t="shared" ca="1" si="47"/>
        <v/>
      </c>
      <c r="AX8" s="125" t="str">
        <f t="shared" ca="1" si="48"/>
        <v/>
      </c>
      <c r="AY8" s="125" t="str">
        <f t="shared" ca="1" si="49"/>
        <v/>
      </c>
      <c r="AZ8" s="125" t="str">
        <f t="shared" ca="1" si="50"/>
        <v/>
      </c>
      <c r="BA8" s="125" t="str">
        <f t="shared" ca="1" si="51"/>
        <v/>
      </c>
      <c r="BB8" s="125" t="str">
        <f t="shared" ca="1" si="52"/>
        <v/>
      </c>
      <c r="BC8" s="125" t="str">
        <f t="shared" ca="1" si="53"/>
        <v/>
      </c>
      <c r="BD8" s="125" t="str">
        <f t="shared" ca="1" si="54"/>
        <v/>
      </c>
      <c r="BE8" s="125" t="str">
        <f t="shared" ca="1" si="55"/>
        <v/>
      </c>
      <c r="BF8" s="125" t="str">
        <f t="shared" ca="1" si="56"/>
        <v/>
      </c>
      <c r="BG8" s="125" t="str">
        <f t="shared" ca="1" si="57"/>
        <v/>
      </c>
      <c r="BH8" s="125" t="str">
        <f t="shared" ca="1" si="58"/>
        <v/>
      </c>
      <c r="BI8" s="125" t="str">
        <f t="shared" ca="1" si="59"/>
        <v/>
      </c>
      <c r="BJ8" s="125" t="str">
        <f t="shared" ca="1" si="60"/>
        <v/>
      </c>
      <c r="BK8" s="125" t="str">
        <f t="shared" ca="1" si="61"/>
        <v/>
      </c>
      <c r="BL8" s="125" t="str">
        <f t="shared" ca="1" si="62"/>
        <v/>
      </c>
    </row>
    <row r="9" spans="1:65" ht="41.45" customHeight="1" x14ac:dyDescent="0.2">
      <c r="A9" s="156"/>
      <c r="B9" s="126" t="str">
        <f t="shared" ca="1" si="0"/>
        <v/>
      </c>
      <c r="C9" s="125" t="str">
        <f t="shared" ca="1" si="1"/>
        <v/>
      </c>
      <c r="D9" s="125" t="str">
        <f t="shared" ca="1" si="2"/>
        <v/>
      </c>
      <c r="E9" s="125" t="str">
        <f t="shared" ca="1" si="3"/>
        <v/>
      </c>
      <c r="F9" s="125" t="str">
        <f t="shared" ca="1" si="4"/>
        <v/>
      </c>
      <c r="G9" s="125" t="str">
        <f t="shared" ca="1" si="5"/>
        <v/>
      </c>
      <c r="H9" s="125" t="str">
        <f t="shared" ca="1" si="6"/>
        <v/>
      </c>
      <c r="I9" s="125" t="str">
        <f t="shared" ca="1" si="7"/>
        <v/>
      </c>
      <c r="J9" s="125" t="str">
        <f t="shared" ca="1" si="8"/>
        <v/>
      </c>
      <c r="K9" s="125" t="str">
        <f t="shared" ca="1" si="9"/>
        <v/>
      </c>
      <c r="L9" s="125" t="str">
        <f t="shared" ca="1" si="10"/>
        <v/>
      </c>
      <c r="M9" s="125" t="str">
        <f t="shared" ca="1" si="11"/>
        <v/>
      </c>
      <c r="N9" s="125" t="str">
        <f t="shared" ca="1" si="12"/>
        <v/>
      </c>
      <c r="O9" s="125" t="str">
        <f t="shared" ca="1" si="13"/>
        <v/>
      </c>
      <c r="P9" s="125" t="str">
        <f t="shared" ca="1" si="14"/>
        <v/>
      </c>
      <c r="Q9" s="125" t="str">
        <f t="shared" ca="1" si="15"/>
        <v/>
      </c>
      <c r="R9" s="125" t="str">
        <f t="shared" ca="1" si="16"/>
        <v/>
      </c>
      <c r="S9" s="125" t="str">
        <f t="shared" ca="1" si="17"/>
        <v/>
      </c>
      <c r="T9" s="125" t="str">
        <f t="shared" ca="1" si="18"/>
        <v/>
      </c>
      <c r="U9" s="125" t="str">
        <f t="shared" ca="1" si="19"/>
        <v/>
      </c>
      <c r="V9" s="125" t="str">
        <f t="shared" ca="1" si="20"/>
        <v/>
      </c>
      <c r="W9" s="125" t="str">
        <f t="shared" ca="1" si="21"/>
        <v/>
      </c>
      <c r="X9" s="125" t="str">
        <f t="shared" ca="1" si="22"/>
        <v/>
      </c>
      <c r="Y9" s="125" t="str">
        <f t="shared" ca="1" si="23"/>
        <v/>
      </c>
      <c r="Z9" s="125" t="str">
        <f t="shared" ca="1" si="24"/>
        <v/>
      </c>
      <c r="AA9" s="125" t="str">
        <f t="shared" ca="1" si="25"/>
        <v/>
      </c>
      <c r="AB9" s="125" t="str">
        <f t="shared" ca="1" si="26"/>
        <v/>
      </c>
      <c r="AC9" s="125" t="str">
        <f t="shared" ca="1" si="27"/>
        <v/>
      </c>
      <c r="AD9" s="125" t="str">
        <f t="shared" ca="1" si="28"/>
        <v/>
      </c>
      <c r="AE9" s="125" t="str">
        <f t="shared" ca="1" si="29"/>
        <v/>
      </c>
      <c r="AF9" s="125" t="str">
        <f t="shared" ca="1" si="30"/>
        <v/>
      </c>
      <c r="AG9" s="125" t="str">
        <f t="shared" ca="1" si="31"/>
        <v/>
      </c>
      <c r="AH9" s="125" t="str">
        <f t="shared" ca="1" si="32"/>
        <v/>
      </c>
      <c r="AI9" s="125" t="str">
        <f t="shared" ca="1" si="33"/>
        <v/>
      </c>
      <c r="AJ9" s="125" t="str">
        <f t="shared" ca="1" si="34"/>
        <v/>
      </c>
      <c r="AK9" s="125" t="str">
        <f t="shared" ca="1" si="35"/>
        <v/>
      </c>
      <c r="AL9" s="125" t="str">
        <f t="shared" ca="1" si="36"/>
        <v/>
      </c>
      <c r="AM9" s="125" t="str">
        <f t="shared" ca="1" si="37"/>
        <v/>
      </c>
      <c r="AN9" s="125" t="str">
        <f t="shared" ca="1" si="38"/>
        <v/>
      </c>
      <c r="AO9" s="125" t="str">
        <f t="shared" ca="1" si="39"/>
        <v/>
      </c>
      <c r="AP9" s="125" t="str">
        <f t="shared" ca="1" si="40"/>
        <v/>
      </c>
      <c r="AQ9" s="125" t="str">
        <f t="shared" ca="1" si="41"/>
        <v/>
      </c>
      <c r="AR9" s="125" t="str">
        <f t="shared" ca="1" si="42"/>
        <v/>
      </c>
      <c r="AS9" s="125" t="str">
        <f t="shared" ca="1" si="43"/>
        <v/>
      </c>
      <c r="AT9" s="125" t="str">
        <f t="shared" ca="1" si="44"/>
        <v/>
      </c>
      <c r="AU9" s="125" t="str">
        <f t="shared" ca="1" si="45"/>
        <v/>
      </c>
      <c r="AV9" s="125" t="str">
        <f t="shared" ca="1" si="46"/>
        <v/>
      </c>
      <c r="AW9" s="125" t="str">
        <f t="shared" ca="1" si="47"/>
        <v/>
      </c>
      <c r="AX9" s="125" t="str">
        <f t="shared" ca="1" si="48"/>
        <v/>
      </c>
      <c r="AY9" s="125" t="str">
        <f t="shared" ca="1" si="49"/>
        <v/>
      </c>
      <c r="AZ9" s="125" t="str">
        <f t="shared" ca="1" si="50"/>
        <v/>
      </c>
      <c r="BA9" s="125" t="str">
        <f t="shared" ca="1" si="51"/>
        <v/>
      </c>
      <c r="BB9" s="125" t="str">
        <f t="shared" ca="1" si="52"/>
        <v/>
      </c>
      <c r="BC9" s="125" t="str">
        <f t="shared" ca="1" si="53"/>
        <v/>
      </c>
      <c r="BD9" s="125" t="str">
        <f t="shared" ca="1" si="54"/>
        <v/>
      </c>
      <c r="BE9" s="125" t="str">
        <f t="shared" ca="1" si="55"/>
        <v/>
      </c>
      <c r="BF9" s="125" t="str">
        <f t="shared" ca="1" si="56"/>
        <v/>
      </c>
      <c r="BG9" s="125" t="str">
        <f t="shared" ca="1" si="57"/>
        <v/>
      </c>
      <c r="BH9" s="125" t="str">
        <f t="shared" ca="1" si="58"/>
        <v/>
      </c>
      <c r="BI9" s="125" t="str">
        <f t="shared" ca="1" si="59"/>
        <v/>
      </c>
      <c r="BJ9" s="125" t="str">
        <f t="shared" ca="1" si="60"/>
        <v/>
      </c>
      <c r="BK9" s="125" t="str">
        <f t="shared" ca="1" si="61"/>
        <v/>
      </c>
      <c r="BL9" s="125" t="str">
        <f t="shared" ca="1" si="62"/>
        <v/>
      </c>
    </row>
    <row r="10" spans="1:65" ht="41.45" customHeight="1" x14ac:dyDescent="0.2">
      <c r="A10" s="156"/>
      <c r="B10" s="126" t="str">
        <f t="shared" ca="1" si="0"/>
        <v/>
      </c>
      <c r="C10" s="125" t="str">
        <f t="shared" ca="1" si="1"/>
        <v/>
      </c>
      <c r="D10" s="125" t="str">
        <f t="shared" ca="1" si="2"/>
        <v/>
      </c>
      <c r="E10" s="125" t="str">
        <f t="shared" ca="1" si="3"/>
        <v/>
      </c>
      <c r="F10" s="125" t="str">
        <f t="shared" ca="1" si="4"/>
        <v/>
      </c>
      <c r="G10" s="125" t="str">
        <f t="shared" ca="1" si="5"/>
        <v/>
      </c>
      <c r="H10" s="125" t="str">
        <f t="shared" ca="1" si="6"/>
        <v/>
      </c>
      <c r="I10" s="125" t="str">
        <f t="shared" ca="1" si="7"/>
        <v/>
      </c>
      <c r="J10" s="125" t="str">
        <f t="shared" ca="1" si="8"/>
        <v/>
      </c>
      <c r="K10" s="125" t="str">
        <f t="shared" ca="1" si="9"/>
        <v/>
      </c>
      <c r="L10" s="125" t="str">
        <f t="shared" ca="1" si="10"/>
        <v/>
      </c>
      <c r="M10" s="125" t="str">
        <f t="shared" ca="1" si="11"/>
        <v/>
      </c>
      <c r="N10" s="125" t="str">
        <f t="shared" ca="1" si="12"/>
        <v/>
      </c>
      <c r="O10" s="125" t="str">
        <f t="shared" ca="1" si="13"/>
        <v/>
      </c>
      <c r="P10" s="125" t="str">
        <f t="shared" ca="1" si="14"/>
        <v/>
      </c>
      <c r="Q10" s="125" t="str">
        <f t="shared" ca="1" si="15"/>
        <v/>
      </c>
      <c r="R10" s="125" t="str">
        <f t="shared" ca="1" si="16"/>
        <v/>
      </c>
      <c r="S10" s="125" t="str">
        <f t="shared" ca="1" si="17"/>
        <v/>
      </c>
      <c r="T10" s="125" t="str">
        <f t="shared" ca="1" si="18"/>
        <v/>
      </c>
      <c r="U10" s="125" t="str">
        <f t="shared" ca="1" si="19"/>
        <v/>
      </c>
      <c r="V10" s="125" t="str">
        <f t="shared" ca="1" si="20"/>
        <v/>
      </c>
      <c r="W10" s="125" t="str">
        <f t="shared" ca="1" si="21"/>
        <v/>
      </c>
      <c r="X10" s="125" t="str">
        <f t="shared" ca="1" si="22"/>
        <v/>
      </c>
      <c r="Y10" s="125" t="str">
        <f t="shared" ca="1" si="23"/>
        <v/>
      </c>
      <c r="Z10" s="125" t="str">
        <f t="shared" ca="1" si="24"/>
        <v/>
      </c>
      <c r="AA10" s="125" t="str">
        <f t="shared" ca="1" si="25"/>
        <v/>
      </c>
      <c r="AB10" s="125" t="str">
        <f t="shared" ca="1" si="26"/>
        <v/>
      </c>
      <c r="AC10" s="125" t="str">
        <f t="shared" ca="1" si="27"/>
        <v/>
      </c>
      <c r="AD10" s="125" t="str">
        <f t="shared" ca="1" si="28"/>
        <v/>
      </c>
      <c r="AE10" s="125" t="str">
        <f t="shared" ca="1" si="29"/>
        <v/>
      </c>
      <c r="AF10" s="125" t="str">
        <f t="shared" ca="1" si="30"/>
        <v/>
      </c>
      <c r="AG10" s="125" t="str">
        <f t="shared" ca="1" si="31"/>
        <v/>
      </c>
      <c r="AH10" s="125" t="str">
        <f t="shared" ca="1" si="32"/>
        <v/>
      </c>
      <c r="AI10" s="125" t="str">
        <f t="shared" ca="1" si="33"/>
        <v/>
      </c>
      <c r="AJ10" s="125" t="str">
        <f t="shared" ca="1" si="34"/>
        <v/>
      </c>
      <c r="AK10" s="125" t="str">
        <f t="shared" ca="1" si="35"/>
        <v/>
      </c>
      <c r="AL10" s="125" t="str">
        <f t="shared" ca="1" si="36"/>
        <v/>
      </c>
      <c r="AM10" s="125" t="str">
        <f t="shared" ca="1" si="37"/>
        <v/>
      </c>
      <c r="AN10" s="125" t="str">
        <f t="shared" ca="1" si="38"/>
        <v/>
      </c>
      <c r="AO10" s="125" t="str">
        <f t="shared" ca="1" si="39"/>
        <v/>
      </c>
      <c r="AP10" s="125" t="str">
        <f t="shared" ca="1" si="40"/>
        <v/>
      </c>
      <c r="AQ10" s="125" t="str">
        <f t="shared" ca="1" si="41"/>
        <v/>
      </c>
      <c r="AR10" s="125" t="str">
        <f t="shared" ca="1" si="42"/>
        <v/>
      </c>
      <c r="AS10" s="125" t="str">
        <f t="shared" ca="1" si="43"/>
        <v/>
      </c>
      <c r="AT10" s="125" t="str">
        <f t="shared" ca="1" si="44"/>
        <v/>
      </c>
      <c r="AU10" s="125" t="str">
        <f t="shared" ca="1" si="45"/>
        <v/>
      </c>
      <c r="AV10" s="125" t="str">
        <f t="shared" ca="1" si="46"/>
        <v/>
      </c>
      <c r="AW10" s="125" t="str">
        <f t="shared" ca="1" si="47"/>
        <v/>
      </c>
      <c r="AX10" s="125" t="str">
        <f t="shared" ca="1" si="48"/>
        <v/>
      </c>
      <c r="AY10" s="125" t="str">
        <f t="shared" ca="1" si="49"/>
        <v/>
      </c>
      <c r="AZ10" s="125" t="str">
        <f t="shared" ca="1" si="50"/>
        <v/>
      </c>
      <c r="BA10" s="125" t="str">
        <f t="shared" ca="1" si="51"/>
        <v/>
      </c>
      <c r="BB10" s="125" t="str">
        <f t="shared" ca="1" si="52"/>
        <v/>
      </c>
      <c r="BC10" s="125" t="str">
        <f t="shared" ca="1" si="53"/>
        <v/>
      </c>
      <c r="BD10" s="125" t="str">
        <f t="shared" ca="1" si="54"/>
        <v/>
      </c>
      <c r="BE10" s="125" t="str">
        <f t="shared" ca="1" si="55"/>
        <v/>
      </c>
      <c r="BF10" s="125" t="str">
        <f t="shared" ca="1" si="56"/>
        <v/>
      </c>
      <c r="BG10" s="125" t="str">
        <f t="shared" ca="1" si="57"/>
        <v/>
      </c>
      <c r="BH10" s="125" t="str">
        <f t="shared" ca="1" si="58"/>
        <v/>
      </c>
      <c r="BI10" s="125" t="str">
        <f t="shared" ca="1" si="59"/>
        <v/>
      </c>
      <c r="BJ10" s="125" t="str">
        <f t="shared" ca="1" si="60"/>
        <v/>
      </c>
      <c r="BK10" s="125" t="str">
        <f t="shared" ca="1" si="61"/>
        <v/>
      </c>
      <c r="BL10" s="125" t="str">
        <f t="shared" ca="1" si="62"/>
        <v/>
      </c>
    </row>
    <row r="11" spans="1:65" ht="41.45" customHeight="1" x14ac:dyDescent="0.2">
      <c r="A11" s="156"/>
      <c r="B11" s="126" t="str">
        <f t="shared" ca="1" si="0"/>
        <v/>
      </c>
      <c r="C11" s="125" t="str">
        <f t="shared" ca="1" si="1"/>
        <v/>
      </c>
      <c r="D11" s="125" t="str">
        <f t="shared" ca="1" si="2"/>
        <v/>
      </c>
      <c r="E11" s="125" t="str">
        <f t="shared" ca="1" si="3"/>
        <v/>
      </c>
      <c r="F11" s="125" t="str">
        <f t="shared" ca="1" si="4"/>
        <v/>
      </c>
      <c r="G11" s="125" t="str">
        <f t="shared" ca="1" si="5"/>
        <v/>
      </c>
      <c r="H11" s="125" t="str">
        <f t="shared" ca="1" si="6"/>
        <v/>
      </c>
      <c r="I11" s="125" t="str">
        <f t="shared" ca="1" si="7"/>
        <v/>
      </c>
      <c r="J11" s="125" t="str">
        <f t="shared" ca="1" si="8"/>
        <v/>
      </c>
      <c r="K11" s="125" t="str">
        <f t="shared" ca="1" si="9"/>
        <v/>
      </c>
      <c r="L11" s="125" t="str">
        <f t="shared" ca="1" si="10"/>
        <v/>
      </c>
      <c r="M11" s="125" t="str">
        <f t="shared" ca="1" si="11"/>
        <v/>
      </c>
      <c r="N11" s="125" t="str">
        <f t="shared" ca="1" si="12"/>
        <v/>
      </c>
      <c r="O11" s="125" t="str">
        <f t="shared" ca="1" si="13"/>
        <v/>
      </c>
      <c r="P11" s="125" t="str">
        <f t="shared" ca="1" si="14"/>
        <v/>
      </c>
      <c r="Q11" s="125" t="str">
        <f t="shared" ca="1" si="15"/>
        <v/>
      </c>
      <c r="R11" s="125" t="str">
        <f t="shared" ca="1" si="16"/>
        <v/>
      </c>
      <c r="S11" s="125" t="str">
        <f t="shared" ca="1" si="17"/>
        <v/>
      </c>
      <c r="T11" s="125" t="str">
        <f t="shared" ca="1" si="18"/>
        <v/>
      </c>
      <c r="U11" s="125" t="str">
        <f t="shared" ca="1" si="19"/>
        <v/>
      </c>
      <c r="V11" s="125" t="str">
        <f t="shared" ca="1" si="20"/>
        <v/>
      </c>
      <c r="W11" s="125" t="str">
        <f t="shared" ca="1" si="21"/>
        <v/>
      </c>
      <c r="X11" s="125" t="str">
        <f t="shared" ca="1" si="22"/>
        <v/>
      </c>
      <c r="Y11" s="125" t="str">
        <f t="shared" ca="1" si="23"/>
        <v/>
      </c>
      <c r="Z11" s="125" t="str">
        <f t="shared" ca="1" si="24"/>
        <v/>
      </c>
      <c r="AA11" s="125" t="str">
        <f t="shared" ca="1" si="25"/>
        <v/>
      </c>
      <c r="AB11" s="125" t="str">
        <f t="shared" ca="1" si="26"/>
        <v/>
      </c>
      <c r="AC11" s="125" t="str">
        <f t="shared" ca="1" si="27"/>
        <v/>
      </c>
      <c r="AD11" s="125" t="str">
        <f t="shared" ca="1" si="28"/>
        <v/>
      </c>
      <c r="AE11" s="125" t="str">
        <f t="shared" ca="1" si="29"/>
        <v/>
      </c>
      <c r="AF11" s="125" t="str">
        <f t="shared" ca="1" si="30"/>
        <v/>
      </c>
      <c r="AG11" s="125" t="str">
        <f t="shared" ca="1" si="31"/>
        <v/>
      </c>
      <c r="AH11" s="125" t="str">
        <f t="shared" ca="1" si="32"/>
        <v/>
      </c>
      <c r="AI11" s="125" t="str">
        <f t="shared" ca="1" si="33"/>
        <v/>
      </c>
      <c r="AJ11" s="125" t="str">
        <f t="shared" ca="1" si="34"/>
        <v/>
      </c>
      <c r="AK11" s="125" t="str">
        <f t="shared" ca="1" si="35"/>
        <v/>
      </c>
      <c r="AL11" s="125" t="str">
        <f t="shared" ca="1" si="36"/>
        <v/>
      </c>
      <c r="AM11" s="125" t="str">
        <f t="shared" ca="1" si="37"/>
        <v/>
      </c>
      <c r="AN11" s="125" t="str">
        <f t="shared" ca="1" si="38"/>
        <v/>
      </c>
      <c r="AO11" s="125" t="str">
        <f t="shared" ca="1" si="39"/>
        <v/>
      </c>
      <c r="AP11" s="125" t="str">
        <f t="shared" ca="1" si="40"/>
        <v/>
      </c>
      <c r="AQ11" s="125" t="str">
        <f t="shared" ca="1" si="41"/>
        <v/>
      </c>
      <c r="AR11" s="125" t="str">
        <f t="shared" ca="1" si="42"/>
        <v/>
      </c>
      <c r="AS11" s="125" t="str">
        <f t="shared" ca="1" si="43"/>
        <v/>
      </c>
      <c r="AT11" s="125" t="str">
        <f t="shared" ca="1" si="44"/>
        <v/>
      </c>
      <c r="AU11" s="125" t="str">
        <f t="shared" ca="1" si="45"/>
        <v/>
      </c>
      <c r="AV11" s="125" t="str">
        <f t="shared" ca="1" si="46"/>
        <v/>
      </c>
      <c r="AW11" s="125" t="str">
        <f t="shared" ca="1" si="47"/>
        <v/>
      </c>
      <c r="AX11" s="125" t="str">
        <f t="shared" ca="1" si="48"/>
        <v/>
      </c>
      <c r="AY11" s="125" t="str">
        <f t="shared" ca="1" si="49"/>
        <v/>
      </c>
      <c r="AZ11" s="125" t="str">
        <f t="shared" ca="1" si="50"/>
        <v/>
      </c>
      <c r="BA11" s="125" t="str">
        <f t="shared" ca="1" si="51"/>
        <v/>
      </c>
      <c r="BB11" s="125" t="str">
        <f t="shared" ca="1" si="52"/>
        <v/>
      </c>
      <c r="BC11" s="125" t="str">
        <f t="shared" ca="1" si="53"/>
        <v/>
      </c>
      <c r="BD11" s="125" t="str">
        <f t="shared" ca="1" si="54"/>
        <v/>
      </c>
      <c r="BE11" s="125" t="str">
        <f t="shared" ca="1" si="55"/>
        <v/>
      </c>
      <c r="BF11" s="125" t="str">
        <f t="shared" ca="1" si="56"/>
        <v/>
      </c>
      <c r="BG11" s="125" t="str">
        <f t="shared" ca="1" si="57"/>
        <v/>
      </c>
      <c r="BH11" s="125" t="str">
        <f t="shared" ca="1" si="58"/>
        <v/>
      </c>
      <c r="BI11" s="125" t="str">
        <f t="shared" ca="1" si="59"/>
        <v/>
      </c>
      <c r="BJ11" s="125" t="str">
        <f t="shared" ca="1" si="60"/>
        <v/>
      </c>
      <c r="BK11" s="125" t="str">
        <f t="shared" ca="1" si="61"/>
        <v/>
      </c>
      <c r="BL11" s="125" t="str">
        <f t="shared" ca="1" si="62"/>
        <v/>
      </c>
    </row>
    <row r="12" spans="1:65" ht="41.45" customHeight="1" x14ac:dyDescent="0.2">
      <c r="A12" s="156"/>
      <c r="B12" s="126" t="str">
        <f t="shared" ca="1" si="0"/>
        <v/>
      </c>
      <c r="C12" s="125" t="str">
        <f t="shared" ca="1" si="1"/>
        <v/>
      </c>
      <c r="D12" s="125" t="str">
        <f t="shared" ca="1" si="2"/>
        <v/>
      </c>
      <c r="E12" s="125" t="str">
        <f t="shared" ca="1" si="3"/>
        <v/>
      </c>
      <c r="F12" s="125" t="str">
        <f t="shared" ca="1" si="4"/>
        <v/>
      </c>
      <c r="G12" s="125" t="str">
        <f t="shared" ca="1" si="5"/>
        <v/>
      </c>
      <c r="H12" s="125" t="str">
        <f t="shared" ca="1" si="6"/>
        <v/>
      </c>
      <c r="I12" s="125" t="str">
        <f t="shared" ca="1" si="7"/>
        <v/>
      </c>
      <c r="J12" s="125" t="str">
        <f t="shared" ca="1" si="8"/>
        <v/>
      </c>
      <c r="K12" s="125" t="str">
        <f t="shared" ca="1" si="9"/>
        <v/>
      </c>
      <c r="L12" s="125" t="str">
        <f t="shared" ca="1" si="10"/>
        <v/>
      </c>
      <c r="M12" s="125" t="str">
        <f t="shared" ca="1" si="11"/>
        <v/>
      </c>
      <c r="N12" s="125" t="str">
        <f t="shared" ca="1" si="12"/>
        <v/>
      </c>
      <c r="O12" s="125" t="str">
        <f t="shared" ca="1" si="13"/>
        <v/>
      </c>
      <c r="P12" s="125" t="str">
        <f t="shared" ca="1" si="14"/>
        <v/>
      </c>
      <c r="Q12" s="125" t="str">
        <f t="shared" ca="1" si="15"/>
        <v/>
      </c>
      <c r="R12" s="125" t="str">
        <f t="shared" ca="1" si="16"/>
        <v/>
      </c>
      <c r="S12" s="125" t="str">
        <f t="shared" ca="1" si="17"/>
        <v/>
      </c>
      <c r="T12" s="125" t="str">
        <f t="shared" ca="1" si="18"/>
        <v/>
      </c>
      <c r="U12" s="125" t="str">
        <f t="shared" ca="1" si="19"/>
        <v/>
      </c>
      <c r="V12" s="125" t="str">
        <f t="shared" ca="1" si="20"/>
        <v/>
      </c>
      <c r="W12" s="125" t="str">
        <f t="shared" ca="1" si="21"/>
        <v/>
      </c>
      <c r="X12" s="125" t="str">
        <f t="shared" ca="1" si="22"/>
        <v/>
      </c>
      <c r="Y12" s="125" t="str">
        <f t="shared" ca="1" si="23"/>
        <v/>
      </c>
      <c r="Z12" s="125" t="str">
        <f t="shared" ca="1" si="24"/>
        <v/>
      </c>
      <c r="AA12" s="125" t="str">
        <f t="shared" ca="1" si="25"/>
        <v/>
      </c>
      <c r="AB12" s="125" t="str">
        <f t="shared" ca="1" si="26"/>
        <v/>
      </c>
      <c r="AC12" s="125" t="str">
        <f t="shared" ca="1" si="27"/>
        <v/>
      </c>
      <c r="AD12" s="125" t="str">
        <f t="shared" ca="1" si="28"/>
        <v/>
      </c>
      <c r="AE12" s="125" t="str">
        <f t="shared" ca="1" si="29"/>
        <v/>
      </c>
      <c r="AF12" s="125" t="str">
        <f t="shared" ca="1" si="30"/>
        <v/>
      </c>
      <c r="AG12" s="125" t="str">
        <f t="shared" ca="1" si="31"/>
        <v/>
      </c>
      <c r="AH12" s="125" t="str">
        <f t="shared" ca="1" si="32"/>
        <v/>
      </c>
      <c r="AI12" s="125" t="str">
        <f t="shared" ca="1" si="33"/>
        <v/>
      </c>
      <c r="AJ12" s="125" t="str">
        <f t="shared" ca="1" si="34"/>
        <v/>
      </c>
      <c r="AK12" s="125" t="str">
        <f t="shared" ca="1" si="35"/>
        <v/>
      </c>
      <c r="AL12" s="125" t="str">
        <f t="shared" ca="1" si="36"/>
        <v/>
      </c>
      <c r="AM12" s="125" t="str">
        <f t="shared" ca="1" si="37"/>
        <v/>
      </c>
      <c r="AN12" s="125" t="str">
        <f t="shared" ca="1" si="38"/>
        <v/>
      </c>
      <c r="AO12" s="125" t="str">
        <f t="shared" ca="1" si="39"/>
        <v/>
      </c>
      <c r="AP12" s="125" t="str">
        <f t="shared" ca="1" si="40"/>
        <v/>
      </c>
      <c r="AQ12" s="125" t="str">
        <f t="shared" ca="1" si="41"/>
        <v/>
      </c>
      <c r="AR12" s="125" t="str">
        <f t="shared" ca="1" si="42"/>
        <v/>
      </c>
      <c r="AS12" s="125" t="str">
        <f t="shared" ca="1" si="43"/>
        <v/>
      </c>
      <c r="AT12" s="125" t="str">
        <f t="shared" ca="1" si="44"/>
        <v/>
      </c>
      <c r="AU12" s="125" t="str">
        <f t="shared" ca="1" si="45"/>
        <v/>
      </c>
      <c r="AV12" s="125" t="str">
        <f t="shared" ca="1" si="46"/>
        <v/>
      </c>
      <c r="AW12" s="125" t="str">
        <f t="shared" ca="1" si="47"/>
        <v/>
      </c>
      <c r="AX12" s="125" t="str">
        <f t="shared" ca="1" si="48"/>
        <v/>
      </c>
      <c r="AY12" s="125" t="str">
        <f t="shared" ca="1" si="49"/>
        <v/>
      </c>
      <c r="AZ12" s="125" t="str">
        <f t="shared" ca="1" si="50"/>
        <v/>
      </c>
      <c r="BA12" s="125" t="str">
        <f t="shared" ca="1" si="51"/>
        <v/>
      </c>
      <c r="BB12" s="125" t="str">
        <f t="shared" ca="1" si="52"/>
        <v/>
      </c>
      <c r="BC12" s="125" t="str">
        <f t="shared" ca="1" si="53"/>
        <v/>
      </c>
      <c r="BD12" s="125" t="str">
        <f t="shared" ca="1" si="54"/>
        <v/>
      </c>
      <c r="BE12" s="125" t="str">
        <f t="shared" ca="1" si="55"/>
        <v/>
      </c>
      <c r="BF12" s="125" t="str">
        <f t="shared" ca="1" si="56"/>
        <v/>
      </c>
      <c r="BG12" s="125" t="str">
        <f t="shared" ca="1" si="57"/>
        <v/>
      </c>
      <c r="BH12" s="125" t="str">
        <f t="shared" ca="1" si="58"/>
        <v/>
      </c>
      <c r="BI12" s="125" t="str">
        <f t="shared" ca="1" si="59"/>
        <v/>
      </c>
      <c r="BJ12" s="125" t="str">
        <f t="shared" ca="1" si="60"/>
        <v/>
      </c>
      <c r="BK12" s="125" t="str">
        <f t="shared" ca="1" si="61"/>
        <v/>
      </c>
      <c r="BL12" s="125" t="str">
        <f t="shared" ca="1" si="62"/>
        <v/>
      </c>
    </row>
    <row r="13" spans="1:65" ht="41.45" customHeight="1" x14ac:dyDescent="0.2">
      <c r="A13" s="156"/>
      <c r="B13" s="126" t="str">
        <f t="shared" ca="1" si="0"/>
        <v/>
      </c>
      <c r="C13" s="125" t="str">
        <f t="shared" ca="1" si="1"/>
        <v/>
      </c>
      <c r="D13" s="125" t="str">
        <f t="shared" ca="1" si="2"/>
        <v/>
      </c>
      <c r="E13" s="125" t="str">
        <f t="shared" ca="1" si="3"/>
        <v/>
      </c>
      <c r="F13" s="125" t="str">
        <f t="shared" ca="1" si="4"/>
        <v/>
      </c>
      <c r="G13" s="125" t="str">
        <f t="shared" ca="1" si="5"/>
        <v/>
      </c>
      <c r="H13" s="125" t="str">
        <f t="shared" ca="1" si="6"/>
        <v/>
      </c>
      <c r="I13" s="125" t="str">
        <f t="shared" ca="1" si="7"/>
        <v/>
      </c>
      <c r="J13" s="125" t="str">
        <f t="shared" ca="1" si="8"/>
        <v/>
      </c>
      <c r="K13" s="125" t="str">
        <f t="shared" ca="1" si="9"/>
        <v/>
      </c>
      <c r="L13" s="125" t="str">
        <f t="shared" ca="1" si="10"/>
        <v/>
      </c>
      <c r="M13" s="125" t="str">
        <f t="shared" ca="1" si="11"/>
        <v/>
      </c>
      <c r="N13" s="125" t="str">
        <f t="shared" ca="1" si="12"/>
        <v/>
      </c>
      <c r="O13" s="125" t="str">
        <f t="shared" ca="1" si="13"/>
        <v/>
      </c>
      <c r="P13" s="125" t="str">
        <f t="shared" ca="1" si="14"/>
        <v/>
      </c>
      <c r="Q13" s="125" t="str">
        <f t="shared" ca="1" si="15"/>
        <v/>
      </c>
      <c r="R13" s="125" t="str">
        <f t="shared" ca="1" si="16"/>
        <v/>
      </c>
      <c r="S13" s="125" t="str">
        <f t="shared" ca="1" si="17"/>
        <v/>
      </c>
      <c r="T13" s="125" t="str">
        <f t="shared" ca="1" si="18"/>
        <v/>
      </c>
      <c r="U13" s="125" t="str">
        <f t="shared" ca="1" si="19"/>
        <v/>
      </c>
      <c r="V13" s="125" t="str">
        <f t="shared" ca="1" si="20"/>
        <v/>
      </c>
      <c r="W13" s="125" t="str">
        <f t="shared" ca="1" si="21"/>
        <v/>
      </c>
      <c r="X13" s="125" t="str">
        <f t="shared" ca="1" si="22"/>
        <v/>
      </c>
      <c r="Y13" s="125" t="str">
        <f t="shared" ca="1" si="23"/>
        <v/>
      </c>
      <c r="Z13" s="125" t="str">
        <f t="shared" ca="1" si="24"/>
        <v/>
      </c>
      <c r="AA13" s="125" t="str">
        <f t="shared" ca="1" si="25"/>
        <v/>
      </c>
      <c r="AB13" s="125" t="str">
        <f t="shared" ca="1" si="26"/>
        <v/>
      </c>
      <c r="AC13" s="125" t="str">
        <f t="shared" ca="1" si="27"/>
        <v/>
      </c>
      <c r="AD13" s="125" t="str">
        <f t="shared" ca="1" si="28"/>
        <v/>
      </c>
      <c r="AE13" s="125" t="str">
        <f t="shared" ca="1" si="29"/>
        <v/>
      </c>
      <c r="AF13" s="125" t="str">
        <f t="shared" ca="1" si="30"/>
        <v/>
      </c>
      <c r="AG13" s="125" t="str">
        <f t="shared" ca="1" si="31"/>
        <v/>
      </c>
      <c r="AH13" s="125" t="str">
        <f t="shared" ca="1" si="32"/>
        <v/>
      </c>
      <c r="AI13" s="125" t="str">
        <f t="shared" ca="1" si="33"/>
        <v/>
      </c>
      <c r="AJ13" s="125" t="str">
        <f t="shared" ca="1" si="34"/>
        <v/>
      </c>
      <c r="AK13" s="125" t="str">
        <f t="shared" ca="1" si="35"/>
        <v/>
      </c>
      <c r="AL13" s="125" t="str">
        <f t="shared" ca="1" si="36"/>
        <v/>
      </c>
      <c r="AM13" s="125" t="str">
        <f t="shared" ca="1" si="37"/>
        <v/>
      </c>
      <c r="AN13" s="125" t="str">
        <f t="shared" ca="1" si="38"/>
        <v/>
      </c>
      <c r="AO13" s="125" t="str">
        <f t="shared" ca="1" si="39"/>
        <v/>
      </c>
      <c r="AP13" s="125" t="str">
        <f t="shared" ca="1" si="40"/>
        <v/>
      </c>
      <c r="AQ13" s="125" t="str">
        <f t="shared" ca="1" si="41"/>
        <v/>
      </c>
      <c r="AR13" s="125" t="str">
        <f t="shared" ca="1" si="42"/>
        <v/>
      </c>
      <c r="AS13" s="125" t="str">
        <f t="shared" ca="1" si="43"/>
        <v/>
      </c>
      <c r="AT13" s="125" t="str">
        <f t="shared" ca="1" si="44"/>
        <v/>
      </c>
      <c r="AU13" s="125" t="str">
        <f t="shared" ca="1" si="45"/>
        <v/>
      </c>
      <c r="AV13" s="125" t="str">
        <f t="shared" ca="1" si="46"/>
        <v/>
      </c>
      <c r="AW13" s="125" t="str">
        <f t="shared" ca="1" si="47"/>
        <v/>
      </c>
      <c r="AX13" s="125" t="str">
        <f t="shared" ca="1" si="48"/>
        <v/>
      </c>
      <c r="AY13" s="125" t="str">
        <f t="shared" ca="1" si="49"/>
        <v/>
      </c>
      <c r="AZ13" s="125" t="str">
        <f t="shared" ca="1" si="50"/>
        <v/>
      </c>
      <c r="BA13" s="125" t="str">
        <f t="shared" ca="1" si="51"/>
        <v/>
      </c>
      <c r="BB13" s="125" t="str">
        <f t="shared" ca="1" si="52"/>
        <v/>
      </c>
      <c r="BC13" s="125" t="str">
        <f t="shared" ca="1" si="53"/>
        <v/>
      </c>
      <c r="BD13" s="125" t="str">
        <f t="shared" ca="1" si="54"/>
        <v/>
      </c>
      <c r="BE13" s="125" t="str">
        <f t="shared" ca="1" si="55"/>
        <v/>
      </c>
      <c r="BF13" s="125" t="str">
        <f t="shared" ca="1" si="56"/>
        <v/>
      </c>
      <c r="BG13" s="125" t="str">
        <f t="shared" ca="1" si="57"/>
        <v/>
      </c>
      <c r="BH13" s="125" t="str">
        <f t="shared" ca="1" si="58"/>
        <v/>
      </c>
      <c r="BI13" s="125" t="str">
        <f t="shared" ca="1" si="59"/>
        <v/>
      </c>
      <c r="BJ13" s="125" t="str">
        <f t="shared" ca="1" si="60"/>
        <v/>
      </c>
      <c r="BK13" s="125" t="str">
        <f t="shared" ca="1" si="61"/>
        <v/>
      </c>
      <c r="BL13" s="125" t="str">
        <f t="shared" ca="1" si="62"/>
        <v/>
      </c>
    </row>
    <row r="14" spans="1:65" ht="41.45" customHeight="1" x14ac:dyDescent="0.2">
      <c r="A14" s="156"/>
      <c r="B14" s="126" t="str">
        <f t="shared" ca="1" si="0"/>
        <v/>
      </c>
      <c r="C14" s="125" t="str">
        <f t="shared" ca="1" si="1"/>
        <v/>
      </c>
      <c r="D14" s="125" t="str">
        <f t="shared" ca="1" si="2"/>
        <v/>
      </c>
      <c r="E14" s="125" t="str">
        <f t="shared" ca="1" si="3"/>
        <v/>
      </c>
      <c r="F14" s="125" t="str">
        <f t="shared" ca="1" si="4"/>
        <v/>
      </c>
      <c r="G14" s="125" t="str">
        <f t="shared" ca="1" si="5"/>
        <v/>
      </c>
      <c r="H14" s="125" t="str">
        <f t="shared" ca="1" si="6"/>
        <v/>
      </c>
      <c r="I14" s="125" t="str">
        <f t="shared" ca="1" si="7"/>
        <v/>
      </c>
      <c r="J14" s="125" t="str">
        <f t="shared" ca="1" si="8"/>
        <v/>
      </c>
      <c r="K14" s="125" t="str">
        <f t="shared" ca="1" si="9"/>
        <v/>
      </c>
      <c r="L14" s="125" t="str">
        <f t="shared" ca="1" si="10"/>
        <v/>
      </c>
      <c r="M14" s="125" t="str">
        <f t="shared" ca="1" si="11"/>
        <v/>
      </c>
      <c r="N14" s="125" t="str">
        <f t="shared" ca="1" si="12"/>
        <v/>
      </c>
      <c r="O14" s="125" t="str">
        <f t="shared" ca="1" si="13"/>
        <v/>
      </c>
      <c r="P14" s="125" t="str">
        <f t="shared" ca="1" si="14"/>
        <v/>
      </c>
      <c r="Q14" s="125" t="str">
        <f t="shared" ca="1" si="15"/>
        <v/>
      </c>
      <c r="R14" s="125" t="str">
        <f t="shared" ca="1" si="16"/>
        <v/>
      </c>
      <c r="S14" s="125" t="str">
        <f t="shared" ca="1" si="17"/>
        <v/>
      </c>
      <c r="T14" s="125" t="str">
        <f t="shared" ca="1" si="18"/>
        <v/>
      </c>
      <c r="U14" s="125" t="str">
        <f t="shared" ca="1" si="19"/>
        <v/>
      </c>
      <c r="V14" s="125" t="str">
        <f t="shared" ca="1" si="20"/>
        <v/>
      </c>
      <c r="W14" s="125" t="str">
        <f t="shared" ca="1" si="21"/>
        <v/>
      </c>
      <c r="X14" s="125" t="str">
        <f t="shared" ca="1" si="22"/>
        <v/>
      </c>
      <c r="Y14" s="125" t="str">
        <f t="shared" ca="1" si="23"/>
        <v/>
      </c>
      <c r="Z14" s="125" t="str">
        <f t="shared" ca="1" si="24"/>
        <v/>
      </c>
      <c r="AA14" s="125" t="str">
        <f t="shared" ca="1" si="25"/>
        <v/>
      </c>
      <c r="AB14" s="125" t="str">
        <f t="shared" ca="1" si="26"/>
        <v/>
      </c>
      <c r="AC14" s="125" t="str">
        <f t="shared" ca="1" si="27"/>
        <v/>
      </c>
      <c r="AD14" s="125" t="str">
        <f t="shared" ca="1" si="28"/>
        <v/>
      </c>
      <c r="AE14" s="125" t="str">
        <f t="shared" ca="1" si="29"/>
        <v/>
      </c>
      <c r="AF14" s="125" t="str">
        <f t="shared" ca="1" si="30"/>
        <v/>
      </c>
      <c r="AG14" s="125" t="str">
        <f t="shared" ca="1" si="31"/>
        <v/>
      </c>
      <c r="AH14" s="125" t="str">
        <f t="shared" ca="1" si="32"/>
        <v/>
      </c>
      <c r="AI14" s="125" t="str">
        <f t="shared" ca="1" si="33"/>
        <v/>
      </c>
      <c r="AJ14" s="125" t="str">
        <f t="shared" ca="1" si="34"/>
        <v/>
      </c>
      <c r="AK14" s="125" t="str">
        <f t="shared" ca="1" si="35"/>
        <v/>
      </c>
      <c r="AL14" s="125" t="str">
        <f t="shared" ca="1" si="36"/>
        <v/>
      </c>
      <c r="AM14" s="125" t="str">
        <f t="shared" ca="1" si="37"/>
        <v/>
      </c>
      <c r="AN14" s="125" t="str">
        <f t="shared" ca="1" si="38"/>
        <v/>
      </c>
      <c r="AO14" s="125" t="str">
        <f t="shared" ca="1" si="39"/>
        <v/>
      </c>
      <c r="AP14" s="125" t="str">
        <f t="shared" ca="1" si="40"/>
        <v/>
      </c>
      <c r="AQ14" s="125" t="str">
        <f t="shared" ca="1" si="41"/>
        <v/>
      </c>
      <c r="AR14" s="125" t="str">
        <f t="shared" ca="1" si="42"/>
        <v/>
      </c>
      <c r="AS14" s="125" t="str">
        <f t="shared" ca="1" si="43"/>
        <v/>
      </c>
      <c r="AT14" s="125" t="str">
        <f t="shared" ca="1" si="44"/>
        <v/>
      </c>
      <c r="AU14" s="125" t="str">
        <f t="shared" ca="1" si="45"/>
        <v/>
      </c>
      <c r="AV14" s="125" t="str">
        <f t="shared" ca="1" si="46"/>
        <v/>
      </c>
      <c r="AW14" s="125" t="str">
        <f t="shared" ca="1" si="47"/>
        <v/>
      </c>
      <c r="AX14" s="125" t="str">
        <f t="shared" ca="1" si="48"/>
        <v/>
      </c>
      <c r="AY14" s="125" t="str">
        <f t="shared" ca="1" si="49"/>
        <v/>
      </c>
      <c r="AZ14" s="125" t="str">
        <f t="shared" ca="1" si="50"/>
        <v/>
      </c>
      <c r="BA14" s="125" t="str">
        <f t="shared" ca="1" si="51"/>
        <v/>
      </c>
      <c r="BB14" s="125" t="str">
        <f t="shared" ca="1" si="52"/>
        <v/>
      </c>
      <c r="BC14" s="125" t="str">
        <f t="shared" ca="1" si="53"/>
        <v/>
      </c>
      <c r="BD14" s="125" t="str">
        <f t="shared" ca="1" si="54"/>
        <v/>
      </c>
      <c r="BE14" s="125" t="str">
        <f t="shared" ca="1" si="55"/>
        <v/>
      </c>
      <c r="BF14" s="125" t="str">
        <f t="shared" ca="1" si="56"/>
        <v/>
      </c>
      <c r="BG14" s="125" t="str">
        <f t="shared" ca="1" si="57"/>
        <v/>
      </c>
      <c r="BH14" s="125" t="str">
        <f t="shared" ca="1" si="58"/>
        <v/>
      </c>
      <c r="BI14" s="125" t="str">
        <f t="shared" ca="1" si="59"/>
        <v/>
      </c>
      <c r="BJ14" s="125" t="str">
        <f t="shared" ca="1" si="60"/>
        <v/>
      </c>
      <c r="BK14" s="125" t="str">
        <f t="shared" ca="1" si="61"/>
        <v/>
      </c>
      <c r="BL14" s="125" t="str">
        <f t="shared" ca="1" si="62"/>
        <v/>
      </c>
    </row>
    <row r="15" spans="1:65" ht="41.45" customHeight="1" x14ac:dyDescent="0.2">
      <c r="A15" s="156"/>
      <c r="B15" s="126" t="str">
        <f t="shared" ca="1" si="0"/>
        <v/>
      </c>
      <c r="C15" s="125" t="str">
        <f t="shared" ca="1" si="1"/>
        <v/>
      </c>
      <c r="D15" s="125" t="str">
        <f t="shared" ca="1" si="2"/>
        <v/>
      </c>
      <c r="E15" s="125" t="str">
        <f t="shared" ca="1" si="3"/>
        <v/>
      </c>
      <c r="F15" s="125" t="str">
        <f t="shared" ca="1" si="4"/>
        <v/>
      </c>
      <c r="G15" s="125" t="str">
        <f t="shared" ca="1" si="5"/>
        <v/>
      </c>
      <c r="H15" s="125" t="str">
        <f t="shared" ca="1" si="6"/>
        <v/>
      </c>
      <c r="I15" s="125" t="str">
        <f t="shared" ca="1" si="7"/>
        <v/>
      </c>
      <c r="J15" s="125" t="str">
        <f t="shared" ca="1" si="8"/>
        <v/>
      </c>
      <c r="K15" s="125" t="str">
        <f t="shared" ca="1" si="9"/>
        <v/>
      </c>
      <c r="L15" s="125" t="str">
        <f t="shared" ca="1" si="10"/>
        <v/>
      </c>
      <c r="M15" s="125" t="str">
        <f t="shared" ca="1" si="11"/>
        <v/>
      </c>
      <c r="N15" s="125" t="str">
        <f t="shared" ca="1" si="12"/>
        <v/>
      </c>
      <c r="O15" s="125" t="str">
        <f t="shared" ca="1" si="13"/>
        <v/>
      </c>
      <c r="P15" s="125" t="str">
        <f t="shared" ca="1" si="14"/>
        <v/>
      </c>
      <c r="Q15" s="125" t="str">
        <f t="shared" ca="1" si="15"/>
        <v/>
      </c>
      <c r="R15" s="125" t="str">
        <f t="shared" ca="1" si="16"/>
        <v/>
      </c>
      <c r="S15" s="125" t="str">
        <f t="shared" ca="1" si="17"/>
        <v/>
      </c>
      <c r="T15" s="125" t="str">
        <f t="shared" ca="1" si="18"/>
        <v/>
      </c>
      <c r="U15" s="125" t="str">
        <f t="shared" ca="1" si="19"/>
        <v/>
      </c>
      <c r="V15" s="125" t="str">
        <f t="shared" ca="1" si="20"/>
        <v/>
      </c>
      <c r="W15" s="125" t="str">
        <f t="shared" ca="1" si="21"/>
        <v/>
      </c>
      <c r="X15" s="125" t="str">
        <f t="shared" ca="1" si="22"/>
        <v/>
      </c>
      <c r="Y15" s="125" t="str">
        <f t="shared" ca="1" si="23"/>
        <v/>
      </c>
      <c r="Z15" s="125" t="str">
        <f t="shared" ca="1" si="24"/>
        <v/>
      </c>
      <c r="AA15" s="125" t="str">
        <f t="shared" ca="1" si="25"/>
        <v/>
      </c>
      <c r="AB15" s="125" t="str">
        <f t="shared" ca="1" si="26"/>
        <v/>
      </c>
      <c r="AC15" s="125" t="str">
        <f t="shared" ca="1" si="27"/>
        <v/>
      </c>
      <c r="AD15" s="125" t="str">
        <f t="shared" ca="1" si="28"/>
        <v/>
      </c>
      <c r="AE15" s="125" t="str">
        <f t="shared" ca="1" si="29"/>
        <v/>
      </c>
      <c r="AF15" s="125" t="str">
        <f t="shared" ca="1" si="30"/>
        <v/>
      </c>
      <c r="AG15" s="125" t="str">
        <f t="shared" ca="1" si="31"/>
        <v/>
      </c>
      <c r="AH15" s="125" t="str">
        <f t="shared" ca="1" si="32"/>
        <v/>
      </c>
      <c r="AI15" s="125" t="str">
        <f t="shared" ca="1" si="33"/>
        <v/>
      </c>
      <c r="AJ15" s="125" t="str">
        <f t="shared" ca="1" si="34"/>
        <v/>
      </c>
      <c r="AK15" s="125" t="str">
        <f t="shared" ca="1" si="35"/>
        <v/>
      </c>
      <c r="AL15" s="125" t="str">
        <f t="shared" ca="1" si="36"/>
        <v/>
      </c>
      <c r="AM15" s="125" t="str">
        <f t="shared" ca="1" si="37"/>
        <v/>
      </c>
      <c r="AN15" s="125" t="str">
        <f t="shared" ca="1" si="38"/>
        <v/>
      </c>
      <c r="AO15" s="125" t="str">
        <f t="shared" ca="1" si="39"/>
        <v/>
      </c>
      <c r="AP15" s="125" t="str">
        <f t="shared" ca="1" si="40"/>
        <v/>
      </c>
      <c r="AQ15" s="125" t="str">
        <f t="shared" ca="1" si="41"/>
        <v/>
      </c>
      <c r="AR15" s="125" t="str">
        <f t="shared" ca="1" si="42"/>
        <v/>
      </c>
      <c r="AS15" s="125" t="str">
        <f t="shared" ca="1" si="43"/>
        <v/>
      </c>
      <c r="AT15" s="125" t="str">
        <f t="shared" ca="1" si="44"/>
        <v/>
      </c>
      <c r="AU15" s="125" t="str">
        <f t="shared" ca="1" si="45"/>
        <v/>
      </c>
      <c r="AV15" s="125" t="str">
        <f t="shared" ca="1" si="46"/>
        <v/>
      </c>
      <c r="AW15" s="125" t="str">
        <f t="shared" ca="1" si="47"/>
        <v/>
      </c>
      <c r="AX15" s="125" t="str">
        <f t="shared" ca="1" si="48"/>
        <v/>
      </c>
      <c r="AY15" s="125" t="str">
        <f t="shared" ca="1" si="49"/>
        <v/>
      </c>
      <c r="AZ15" s="125" t="str">
        <f t="shared" ca="1" si="50"/>
        <v/>
      </c>
      <c r="BA15" s="125" t="str">
        <f t="shared" ca="1" si="51"/>
        <v/>
      </c>
      <c r="BB15" s="125" t="str">
        <f t="shared" ca="1" si="52"/>
        <v/>
      </c>
      <c r="BC15" s="125" t="str">
        <f t="shared" ca="1" si="53"/>
        <v/>
      </c>
      <c r="BD15" s="125" t="str">
        <f t="shared" ca="1" si="54"/>
        <v/>
      </c>
      <c r="BE15" s="125" t="str">
        <f t="shared" ca="1" si="55"/>
        <v/>
      </c>
      <c r="BF15" s="125" t="str">
        <f t="shared" ca="1" si="56"/>
        <v/>
      </c>
      <c r="BG15" s="125" t="str">
        <f t="shared" ca="1" si="57"/>
        <v/>
      </c>
      <c r="BH15" s="125" t="str">
        <f t="shared" ca="1" si="58"/>
        <v/>
      </c>
      <c r="BI15" s="125" t="str">
        <f t="shared" ca="1" si="59"/>
        <v/>
      </c>
      <c r="BJ15" s="125" t="str">
        <f t="shared" ca="1" si="60"/>
        <v/>
      </c>
      <c r="BK15" s="125" t="str">
        <f t="shared" ca="1" si="61"/>
        <v/>
      </c>
      <c r="BL15" s="125" t="str">
        <f t="shared" ca="1" si="62"/>
        <v/>
      </c>
    </row>
    <row r="16" spans="1:65" ht="41.45" customHeight="1" x14ac:dyDescent="0.2">
      <c r="A16" s="156"/>
      <c r="B16" s="126" t="str">
        <f t="shared" ca="1" si="0"/>
        <v/>
      </c>
      <c r="C16" s="125" t="str">
        <f t="shared" ca="1" si="1"/>
        <v/>
      </c>
      <c r="D16" s="125" t="str">
        <f t="shared" ca="1" si="2"/>
        <v/>
      </c>
      <c r="E16" s="125" t="str">
        <f t="shared" ca="1" si="3"/>
        <v/>
      </c>
      <c r="F16" s="125" t="str">
        <f t="shared" ca="1" si="4"/>
        <v/>
      </c>
      <c r="G16" s="125" t="str">
        <f t="shared" ca="1" si="5"/>
        <v/>
      </c>
      <c r="H16" s="125" t="str">
        <f t="shared" ca="1" si="6"/>
        <v/>
      </c>
      <c r="I16" s="125" t="str">
        <f t="shared" ca="1" si="7"/>
        <v/>
      </c>
      <c r="J16" s="125" t="str">
        <f t="shared" ca="1" si="8"/>
        <v/>
      </c>
      <c r="K16" s="125" t="str">
        <f t="shared" ca="1" si="9"/>
        <v/>
      </c>
      <c r="L16" s="125" t="str">
        <f t="shared" ca="1" si="10"/>
        <v/>
      </c>
      <c r="M16" s="125" t="str">
        <f t="shared" ca="1" si="11"/>
        <v/>
      </c>
      <c r="N16" s="125" t="str">
        <f t="shared" ca="1" si="12"/>
        <v/>
      </c>
      <c r="O16" s="125" t="str">
        <f t="shared" ca="1" si="13"/>
        <v/>
      </c>
      <c r="P16" s="125" t="str">
        <f t="shared" ca="1" si="14"/>
        <v/>
      </c>
      <c r="Q16" s="125" t="str">
        <f t="shared" ca="1" si="15"/>
        <v/>
      </c>
      <c r="R16" s="125" t="str">
        <f t="shared" ca="1" si="16"/>
        <v/>
      </c>
      <c r="S16" s="125" t="str">
        <f t="shared" ca="1" si="17"/>
        <v/>
      </c>
      <c r="T16" s="125" t="str">
        <f t="shared" ca="1" si="18"/>
        <v/>
      </c>
      <c r="U16" s="125" t="str">
        <f t="shared" ca="1" si="19"/>
        <v/>
      </c>
      <c r="V16" s="125" t="str">
        <f t="shared" ca="1" si="20"/>
        <v/>
      </c>
      <c r="W16" s="125" t="str">
        <f t="shared" ca="1" si="21"/>
        <v/>
      </c>
      <c r="X16" s="125" t="str">
        <f t="shared" ca="1" si="22"/>
        <v/>
      </c>
      <c r="Y16" s="125" t="str">
        <f t="shared" ca="1" si="23"/>
        <v/>
      </c>
      <c r="Z16" s="125" t="str">
        <f t="shared" ca="1" si="24"/>
        <v/>
      </c>
      <c r="AA16" s="125" t="str">
        <f t="shared" ca="1" si="25"/>
        <v/>
      </c>
      <c r="AB16" s="125" t="str">
        <f t="shared" ca="1" si="26"/>
        <v/>
      </c>
      <c r="AC16" s="125" t="str">
        <f t="shared" ca="1" si="27"/>
        <v/>
      </c>
      <c r="AD16" s="125" t="str">
        <f t="shared" ca="1" si="28"/>
        <v/>
      </c>
      <c r="AE16" s="125" t="str">
        <f t="shared" ca="1" si="29"/>
        <v/>
      </c>
      <c r="AF16" s="125" t="str">
        <f t="shared" ca="1" si="30"/>
        <v/>
      </c>
      <c r="AG16" s="125" t="str">
        <f t="shared" ca="1" si="31"/>
        <v/>
      </c>
      <c r="AH16" s="125" t="str">
        <f t="shared" ca="1" si="32"/>
        <v/>
      </c>
      <c r="AI16" s="125" t="str">
        <f t="shared" ca="1" si="33"/>
        <v/>
      </c>
      <c r="AJ16" s="125" t="str">
        <f t="shared" ca="1" si="34"/>
        <v/>
      </c>
      <c r="AK16" s="125" t="str">
        <f t="shared" ca="1" si="35"/>
        <v/>
      </c>
      <c r="AL16" s="125" t="str">
        <f t="shared" ca="1" si="36"/>
        <v/>
      </c>
      <c r="AM16" s="125" t="str">
        <f t="shared" ca="1" si="37"/>
        <v/>
      </c>
      <c r="AN16" s="125" t="str">
        <f t="shared" ca="1" si="38"/>
        <v/>
      </c>
      <c r="AO16" s="125" t="str">
        <f t="shared" ca="1" si="39"/>
        <v/>
      </c>
      <c r="AP16" s="125" t="str">
        <f t="shared" ca="1" si="40"/>
        <v/>
      </c>
      <c r="AQ16" s="125" t="str">
        <f t="shared" ca="1" si="41"/>
        <v/>
      </c>
      <c r="AR16" s="125" t="str">
        <f t="shared" ca="1" si="42"/>
        <v/>
      </c>
      <c r="AS16" s="125" t="str">
        <f t="shared" ca="1" si="43"/>
        <v/>
      </c>
      <c r="AT16" s="125" t="str">
        <f t="shared" ca="1" si="44"/>
        <v/>
      </c>
      <c r="AU16" s="125" t="str">
        <f t="shared" ca="1" si="45"/>
        <v/>
      </c>
      <c r="AV16" s="125" t="str">
        <f t="shared" ca="1" si="46"/>
        <v/>
      </c>
      <c r="AW16" s="125" t="str">
        <f t="shared" ca="1" si="47"/>
        <v/>
      </c>
      <c r="AX16" s="125" t="str">
        <f t="shared" ca="1" si="48"/>
        <v/>
      </c>
      <c r="AY16" s="125" t="str">
        <f t="shared" ca="1" si="49"/>
        <v/>
      </c>
      <c r="AZ16" s="125" t="str">
        <f t="shared" ca="1" si="50"/>
        <v/>
      </c>
      <c r="BA16" s="125" t="str">
        <f t="shared" ca="1" si="51"/>
        <v/>
      </c>
      <c r="BB16" s="125" t="str">
        <f t="shared" ca="1" si="52"/>
        <v/>
      </c>
      <c r="BC16" s="125" t="str">
        <f t="shared" ca="1" si="53"/>
        <v/>
      </c>
      <c r="BD16" s="125" t="str">
        <f t="shared" ca="1" si="54"/>
        <v/>
      </c>
      <c r="BE16" s="125" t="str">
        <f t="shared" ca="1" si="55"/>
        <v/>
      </c>
      <c r="BF16" s="125" t="str">
        <f t="shared" ca="1" si="56"/>
        <v/>
      </c>
      <c r="BG16" s="125" t="str">
        <f t="shared" ca="1" si="57"/>
        <v/>
      </c>
      <c r="BH16" s="125" t="str">
        <f t="shared" ca="1" si="58"/>
        <v/>
      </c>
      <c r="BI16" s="125" t="str">
        <f t="shared" ca="1" si="59"/>
        <v/>
      </c>
      <c r="BJ16" s="125" t="str">
        <f t="shared" ca="1" si="60"/>
        <v/>
      </c>
      <c r="BK16" s="125" t="str">
        <f t="shared" ca="1" si="61"/>
        <v/>
      </c>
      <c r="BL16" s="125" t="str">
        <f t="shared" ca="1" si="62"/>
        <v/>
      </c>
    </row>
  </sheetData>
  <autoFilter ref="A1:BL16"/>
  <conditionalFormatting sqref="AW2:AX16 BL2:BL16 AY1:BK1048576">
    <cfRule type="cellIs" dxfId="267" priority="83" operator="equal">
      <formula>"Modérée"</formula>
    </cfRule>
    <cfRule type="cellIs" dxfId="266" priority="84" operator="equal">
      <formula>"Insuffisant"</formula>
    </cfRule>
    <cfRule type="cellIs" dxfId="265" priority="85" operator="equal">
      <formula>"Exceptionnelle"</formula>
    </cfRule>
    <cfRule type="cellIs" dxfId="264" priority="86" operator="equal">
      <formula>"Catastrophique"</formula>
    </cfRule>
    <cfRule type="cellIs" dxfId="263" priority="87" operator="equal">
      <formula>"Critique"</formula>
    </cfRule>
    <cfRule type="cellIs" dxfId="262" priority="88" operator="equal">
      <formula>"Elevé"</formula>
    </cfRule>
    <cfRule type="cellIs" dxfId="261" priority="89" operator="equal">
      <formula>"Modéré"</formula>
    </cfRule>
    <cfRule type="cellIs" dxfId="260" priority="90" operator="equal">
      <formula>"Faible"</formula>
    </cfRule>
    <cfRule type="cellIs" dxfId="259" priority="91" operator="equal">
      <formula>"Marginal"</formula>
    </cfRule>
  </conditionalFormatting>
  <conditionalFormatting sqref="AW1:AW1048576">
    <cfRule type="cellIs" dxfId="258" priority="79" operator="equal">
      <formula>"Permanente"</formula>
    </cfRule>
    <cfRule type="cellIs" dxfId="257" priority="80" operator="equal">
      <formula>"Récurrente"</formula>
    </cfRule>
    <cfRule type="cellIs" dxfId="256" priority="82" operator="equal">
      <formula>"Elevée"</formula>
    </cfRule>
  </conditionalFormatting>
  <conditionalFormatting sqref="BD1:BD1048576">
    <cfRule type="cellIs" dxfId="255" priority="77" operator="equal">
      <formula>"Acceptable"</formula>
    </cfRule>
    <cfRule type="cellIs" dxfId="254" priority="78" operator="equal">
      <formula>"Maîtrisé"</formula>
    </cfRule>
  </conditionalFormatting>
  <conditionalFormatting sqref="BI1:BI16 AW1:AW1048576">
    <cfRule type="cellIs" dxfId="253" priority="81" operator="equal">
      <formula>"Rare"</formula>
    </cfRule>
  </conditionalFormatting>
  <conditionalFormatting sqref="BE2:BH16">
    <cfRule type="cellIs" dxfId="252" priority="75" operator="equal">
      <formula>"Maîtrisé"</formula>
    </cfRule>
    <cfRule type="cellIs" dxfId="251" priority="76" operator="equal">
      <formula>"Acceptable"</formula>
    </cfRule>
  </conditionalFormatting>
  <conditionalFormatting sqref="BI2">
    <cfRule type="iconSet" priority="74">
      <iconSet iconSet="3Arrows">
        <cfvo type="percent" val="0"/>
        <cfvo type="percent" val="33"/>
        <cfvo type="percent" val="67"/>
      </iconSet>
    </cfRule>
  </conditionalFormatting>
  <conditionalFormatting sqref="BL2">
    <cfRule type="cellIs" dxfId="250" priority="73" operator="equal">
      <formula>"Très élevée"</formula>
    </cfRule>
  </conditionalFormatting>
  <conditionalFormatting sqref="BL2">
    <cfRule type="cellIs" dxfId="249" priority="70" operator="equal">
      <formula>"Elevé"</formula>
    </cfRule>
    <cfRule type="cellIs" dxfId="248" priority="71" operator="equal">
      <formula>"Modéré"</formula>
    </cfRule>
    <cfRule type="cellIs" dxfId="247" priority="72" operator="equal">
      <formula>"Mineur"</formula>
    </cfRule>
  </conditionalFormatting>
  <conditionalFormatting sqref="BL2">
    <cfRule type="cellIs" dxfId="246" priority="68" operator="equal">
      <formula>"Zone de criticité élevée /Surveillance à renforcer"</formula>
    </cfRule>
    <cfRule type="cellIs" dxfId="245" priority="69" operator="equal">
      <formula>"Très élevée"</formula>
    </cfRule>
  </conditionalFormatting>
  <conditionalFormatting sqref="BL2">
    <cfRule type="cellIs" dxfId="244" priority="65" operator="equal">
      <formula>"Elevé"</formula>
    </cfRule>
    <cfRule type="cellIs" dxfId="243" priority="66" operator="equal">
      <formula>"Modéré"</formula>
    </cfRule>
    <cfRule type="cellIs" dxfId="242" priority="67" operator="equal">
      <formula>"Mineur"</formula>
    </cfRule>
  </conditionalFormatting>
  <conditionalFormatting sqref="BL2">
    <cfRule type="cellIs" dxfId="241" priority="59" operator="equal">
      <formula>"Criticité Très élevée"</formula>
    </cfRule>
    <cfRule type="cellIs" dxfId="240" priority="60" operator="equal">
      <formula>"Criticité élevée"</formula>
    </cfRule>
    <cfRule type="cellIs" dxfId="239" priority="61" operator="equal">
      <formula>"Surveillance à renforcer"</formula>
    </cfRule>
    <cfRule type="cellIs" dxfId="238" priority="62" operator="equal">
      <formula>"Surveillance Modérée"</formula>
    </cfRule>
    <cfRule type="cellIs" dxfId="237" priority="63" operator="equal">
      <formula>"Surveillance modérée"</formula>
    </cfRule>
    <cfRule type="cellIs" dxfId="236" priority="64" operator="equal">
      <formula>"Surveillance Faible"</formula>
    </cfRule>
  </conditionalFormatting>
  <conditionalFormatting sqref="BL2">
    <cfRule type="cellIs" dxfId="235" priority="58" operator="equal">
      <formula>"Très élevée"</formula>
    </cfRule>
  </conditionalFormatting>
  <conditionalFormatting sqref="BL2">
    <cfRule type="cellIs" dxfId="234" priority="55" operator="equal">
      <formula>"Elevé"</formula>
    </cfRule>
    <cfRule type="cellIs" dxfId="233" priority="56" operator="equal">
      <formula>"Modéré"</formula>
    </cfRule>
    <cfRule type="cellIs" dxfId="232" priority="57" operator="equal">
      <formula>"Mineur"</formula>
    </cfRule>
  </conditionalFormatting>
  <conditionalFormatting sqref="BL2">
    <cfRule type="cellIs" dxfId="231" priority="49" operator="equal">
      <formula>"Criticité Très élevée"</formula>
    </cfRule>
    <cfRule type="cellIs" dxfId="230" priority="50" operator="equal">
      <formula>"Criticité élevée"</formula>
    </cfRule>
    <cfRule type="cellIs" dxfId="229" priority="51" operator="equal">
      <formula>"Surveillance à renforcer"</formula>
    </cfRule>
    <cfRule type="cellIs" dxfId="228" priority="52" operator="equal">
      <formula>"Surveillance Modérée"</formula>
    </cfRule>
    <cfRule type="cellIs" dxfId="227" priority="53" operator="equal">
      <formula>"Surveillance modérée"</formula>
    </cfRule>
    <cfRule type="cellIs" dxfId="226" priority="54" operator="equal">
      <formula>"Surveillance Faible"</formula>
    </cfRule>
  </conditionalFormatting>
  <conditionalFormatting sqref="BL2">
    <cfRule type="cellIs" dxfId="225" priority="48" operator="equal">
      <formula>"Très élevée"</formula>
    </cfRule>
  </conditionalFormatting>
  <conditionalFormatting sqref="BL2">
    <cfRule type="cellIs" dxfId="224" priority="45" operator="equal">
      <formula>"Elevé"</formula>
    </cfRule>
    <cfRule type="cellIs" dxfId="223" priority="46" operator="equal">
      <formula>"Modéré"</formula>
    </cfRule>
    <cfRule type="cellIs" dxfId="222" priority="47" operator="equal">
      <formula>"Mineur"</formula>
    </cfRule>
  </conditionalFormatting>
  <conditionalFormatting sqref="BL2">
    <cfRule type="cellIs" dxfId="221" priority="40" operator="equal">
      <formula>"Zone de criticité très élevée /Surveillance insuffisante"</formula>
    </cfRule>
    <cfRule type="cellIs" dxfId="220" priority="41" operator="equal">
      <formula>"Zone de criticité élevée /Surveillance soutenue"</formula>
    </cfRule>
    <cfRule type="cellIs" dxfId="219" priority="42" operator="equal">
      <formula>"Zone de criticité modérée /Surveillance modérée"</formula>
    </cfRule>
    <cfRule type="cellIs" dxfId="218" priority="43" operator="equal">
      <formula>"Zone de criticité faible /Surveillance modérée"</formula>
    </cfRule>
    <cfRule type="cellIs" dxfId="217" priority="44" operator="equal">
      <formula>"Zone de criticité faible /Surveillance faible"</formula>
    </cfRule>
  </conditionalFormatting>
  <conditionalFormatting sqref="AW2:BK2">
    <cfRule type="cellIs" dxfId="216" priority="31" operator="equal">
      <formula>"Modérée"</formula>
    </cfRule>
    <cfRule type="cellIs" dxfId="215" priority="32" operator="equal">
      <formula>"Insuffisant"</formula>
    </cfRule>
    <cfRule type="cellIs" dxfId="214" priority="33" operator="equal">
      <formula>"Exceptionnelle"</formula>
    </cfRule>
    <cfRule type="cellIs" dxfId="213" priority="34" operator="equal">
      <formula>"Catastrophique"</formula>
    </cfRule>
    <cfRule type="cellIs" dxfId="212" priority="35" operator="equal">
      <formula>"Critique"</formula>
    </cfRule>
    <cfRule type="cellIs" dxfId="211" priority="36" operator="equal">
      <formula>"Elevé"</formula>
    </cfRule>
    <cfRule type="cellIs" dxfId="210" priority="37" operator="equal">
      <formula>"Modéré"</formula>
    </cfRule>
    <cfRule type="cellIs" dxfId="209" priority="38" operator="equal">
      <formula>"Faible"</formula>
    </cfRule>
    <cfRule type="cellIs" dxfId="208" priority="39" operator="equal">
      <formula>"Marginal"</formula>
    </cfRule>
  </conditionalFormatting>
  <conditionalFormatting sqref="AW2">
    <cfRule type="cellIs" dxfId="207" priority="28" operator="equal">
      <formula>"Permanente"</formula>
    </cfRule>
    <cfRule type="cellIs" dxfId="206" priority="29" operator="equal">
      <formula>"Récurrente"</formula>
    </cfRule>
    <cfRule type="cellIs" dxfId="205" priority="30" operator="equal">
      <formula>"Elevée"</formula>
    </cfRule>
  </conditionalFormatting>
  <conditionalFormatting sqref="BD2">
    <cfRule type="cellIs" dxfId="204" priority="26" operator="equal">
      <formula>"Acceptable"</formula>
    </cfRule>
    <cfRule type="cellIs" dxfId="203" priority="27" operator="equal">
      <formula>"Maîtrisé"</formula>
    </cfRule>
  </conditionalFormatting>
  <conditionalFormatting sqref="BI2 AW2">
    <cfRule type="cellIs" dxfId="202" priority="25" operator="equal">
      <formula>"Rare"</formula>
    </cfRule>
  </conditionalFormatting>
  <conditionalFormatting sqref="BE2:BH2">
    <cfRule type="cellIs" dxfId="201" priority="23" operator="equal">
      <formula>"Maîtrisé"</formula>
    </cfRule>
    <cfRule type="cellIs" dxfId="200" priority="24" operator="equal">
      <formula>"Acceptable"</formula>
    </cfRule>
  </conditionalFormatting>
  <conditionalFormatting sqref="BI2">
    <cfRule type="cellIs" dxfId="199" priority="20" operator="equal">
      <formula>"Permanente"</formula>
    </cfRule>
    <cfRule type="cellIs" dxfId="198" priority="21" operator="equal">
      <formula>"Récurrente"</formula>
    </cfRule>
    <cfRule type="iconSet" priority="22">
      <iconSet iconSet="3Arrows">
        <cfvo type="percent" val="0"/>
        <cfvo type="percent" val="33"/>
        <cfvo type="percent" val="67"/>
      </iconSet>
    </cfRule>
  </conditionalFormatting>
  <conditionalFormatting sqref="BC2 BI2">
    <cfRule type="cellIs" dxfId="197" priority="19" operator="equal">
      <formula>"Mineur"</formula>
    </cfRule>
  </conditionalFormatting>
  <conditionalFormatting sqref="BI2 BC2">
    <cfRule type="cellIs" dxfId="196" priority="18" operator="equal">
      <formula>"Elevée"</formula>
    </cfRule>
  </conditionalFormatting>
  <conditionalFormatting sqref="BK2">
    <cfRule type="cellIs" dxfId="195" priority="17" operator="equal">
      <formula>"Elevée"</formula>
    </cfRule>
  </conditionalFormatting>
  <conditionalFormatting sqref="BK2">
    <cfRule type="cellIs" dxfId="194" priority="16" operator="equal">
      <formula>"Très élevée"</formula>
    </cfRule>
  </conditionalFormatting>
  <conditionalFormatting sqref="BK2">
    <cfRule type="cellIs" dxfId="193" priority="13" operator="equal">
      <formula>"Elevé"</formula>
    </cfRule>
    <cfRule type="cellIs" dxfId="192" priority="14" operator="equal">
      <formula>"Modéré"</formula>
    </cfRule>
    <cfRule type="cellIs" dxfId="191" priority="15" operator="equal">
      <formula>"Mineur"</formula>
    </cfRule>
  </conditionalFormatting>
  <conditionalFormatting sqref="BK2">
    <cfRule type="cellIs" dxfId="190" priority="12" operator="equal">
      <formula>"Très élevée"</formula>
    </cfRule>
  </conditionalFormatting>
  <conditionalFormatting sqref="BK2">
    <cfRule type="cellIs" dxfId="189" priority="9" operator="equal">
      <formula>"Elevé"</formula>
    </cfRule>
    <cfRule type="cellIs" dxfId="188" priority="10" operator="equal">
      <formula>"Modéré"</formula>
    </cfRule>
    <cfRule type="cellIs" dxfId="187" priority="11" operator="equal">
      <formula>"Mineur"</formula>
    </cfRule>
  </conditionalFormatting>
  <conditionalFormatting sqref="BK2">
    <cfRule type="cellIs" dxfId="186" priority="8" operator="equal">
      <formula>"Rare"</formula>
    </cfRule>
  </conditionalFormatting>
  <conditionalFormatting sqref="BK2">
    <cfRule type="iconSet" priority="7">
      <iconSet iconSet="3Arrows">
        <cfvo type="percent" val="0"/>
        <cfvo type="percent" val="33"/>
        <cfvo type="percent" val="67"/>
      </iconSet>
    </cfRule>
  </conditionalFormatting>
  <conditionalFormatting sqref="BK2">
    <cfRule type="cellIs" dxfId="185" priority="6" operator="equal">
      <formula>"Rare"</formula>
    </cfRule>
  </conditionalFormatting>
  <conditionalFormatting sqref="BK2">
    <cfRule type="cellIs" dxfId="184" priority="3" operator="equal">
      <formula>"Permanente"</formula>
    </cfRule>
    <cfRule type="cellIs" dxfId="183" priority="4" operator="equal">
      <formula>"Récurrente"</formula>
    </cfRule>
    <cfRule type="iconSet" priority="5">
      <iconSet iconSet="3Arrows">
        <cfvo type="percent" val="0"/>
        <cfvo type="percent" val="33"/>
        <cfvo type="percent" val="67"/>
      </iconSet>
    </cfRule>
  </conditionalFormatting>
  <conditionalFormatting sqref="BK2">
    <cfRule type="cellIs" dxfId="182" priority="2" operator="equal">
      <formula>"Mineur"</formula>
    </cfRule>
  </conditionalFormatting>
  <conditionalFormatting sqref="BK2">
    <cfRule type="cellIs" dxfId="181" priority="1" operator="equal">
      <formula>"Elevée"</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00B0F0"/>
    <pageSetUpPr fitToPage="1"/>
  </sheetPr>
  <dimension ref="A1:I50"/>
  <sheetViews>
    <sheetView showGridLines="0" zoomScale="90" zoomScaleNormal="90" workbookViewId="0">
      <pane ySplit="3" topLeftCell="A4" activePane="bottomLeft" state="frozenSplit"/>
      <selection activeCell="C18" sqref="C18:D18"/>
      <selection pane="bottomLeft" activeCell="J8" sqref="J8"/>
    </sheetView>
  </sheetViews>
  <sheetFormatPr baseColWidth="10" defaultColWidth="24.7109375" defaultRowHeight="12" outlineLevelCol="1" x14ac:dyDescent="0.2"/>
  <cols>
    <col min="1" max="1" width="19.42578125" style="142" customWidth="1"/>
    <col min="2" max="3" width="20.7109375" style="142" customWidth="1"/>
    <col min="4" max="4" width="17.42578125" style="142" customWidth="1"/>
    <col min="5" max="5" width="21.5703125" style="142" customWidth="1"/>
    <col min="6" max="6" width="31.85546875" style="132" customWidth="1"/>
    <col min="7" max="7" width="16.7109375" style="131" customWidth="1"/>
    <col min="8" max="8" width="24.7109375" style="132" hidden="1" customWidth="1" outlineLevel="1"/>
    <col min="9" max="9" width="24.7109375" style="132" collapsed="1"/>
    <col min="10" max="16384" width="24.7109375" style="132"/>
  </cols>
  <sheetData>
    <row r="1" spans="1:8" ht="4.5" customHeight="1" thickTop="1" x14ac:dyDescent="0.2">
      <c r="A1" s="177"/>
      <c r="B1" s="177"/>
      <c r="C1" s="177"/>
      <c r="D1" s="177"/>
      <c r="E1" s="177"/>
      <c r="F1" s="178"/>
    </row>
    <row r="2" spans="1:8" ht="24" customHeight="1" x14ac:dyDescent="0.2">
      <c r="A2" s="138" t="s">
        <v>654</v>
      </c>
      <c r="B2" s="294" t="s">
        <v>129</v>
      </c>
      <c r="C2" s="295"/>
      <c r="D2" s="134"/>
      <c r="E2" s="130"/>
      <c r="F2" s="172"/>
      <c r="G2" s="131" t="str">
        <f>$B$2&amp;"Risk"</f>
        <v>Direction_Action_Sociale_Culturelle.Risk</v>
      </c>
      <c r="H2" s="132" t="str">
        <f>$B$2&amp;"Ctrl"</f>
        <v>Direction_Action_Sociale_Culturelle.Ctrl</v>
      </c>
    </row>
    <row r="3" spans="1:8" ht="0.75" customHeight="1" x14ac:dyDescent="0.2">
      <c r="A3" s="133"/>
      <c r="B3" s="135"/>
      <c r="C3" s="136"/>
      <c r="D3" s="137"/>
      <c r="E3" s="138"/>
      <c r="F3" s="173"/>
    </row>
    <row r="4" spans="1:8" ht="0.75" customHeight="1" thickBot="1" x14ac:dyDescent="0.25">
      <c r="A4" s="197" t="s">
        <v>655</v>
      </c>
      <c r="B4" s="198" t="str">
        <f ca="1">MID(CELL("nomfichier",A2),FIND("]",CELL("nomfichier",A2))+1,20)</f>
        <v>Risk N°1</v>
      </c>
      <c r="C4" s="136"/>
      <c r="D4" s="137"/>
      <c r="E4" s="138"/>
      <c r="F4" s="173"/>
    </row>
    <row r="5" spans="1:8" ht="24" customHeight="1" thickTop="1" thickBot="1" x14ac:dyDescent="0.25">
      <c r="A5" s="310" t="s">
        <v>872</v>
      </c>
      <c r="B5" s="311"/>
      <c r="C5" s="311"/>
      <c r="D5" s="311"/>
      <c r="E5" s="311"/>
      <c r="F5" s="312"/>
    </row>
    <row r="6" spans="1:8" ht="24" customHeight="1" thickTop="1" thickBot="1" x14ac:dyDescent="0.25">
      <c r="A6" s="296" t="s">
        <v>870</v>
      </c>
      <c r="B6" s="297"/>
      <c r="C6" s="298" t="s">
        <v>868</v>
      </c>
      <c r="D6" s="299"/>
      <c r="E6" s="306" t="s">
        <v>871</v>
      </c>
      <c r="F6" s="307"/>
    </row>
    <row r="7" spans="1:8" ht="39.950000000000003" customHeight="1" thickBot="1" x14ac:dyDescent="0.25">
      <c r="A7" s="199" t="s">
        <v>798</v>
      </c>
      <c r="B7" s="252" t="s">
        <v>929</v>
      </c>
      <c r="C7" s="255" t="s">
        <v>873</v>
      </c>
      <c r="D7" s="258" t="s">
        <v>140</v>
      </c>
      <c r="E7" s="254" t="s">
        <v>34</v>
      </c>
      <c r="F7" s="251" t="s">
        <v>105</v>
      </c>
    </row>
    <row r="8" spans="1:8" ht="39.950000000000003" customHeight="1" thickBot="1" x14ac:dyDescent="0.25">
      <c r="A8" s="199" t="s">
        <v>796</v>
      </c>
      <c r="B8" s="253" t="s">
        <v>930</v>
      </c>
      <c r="C8" s="255" t="s">
        <v>795</v>
      </c>
      <c r="D8" s="250" t="s">
        <v>932</v>
      </c>
      <c r="E8" s="254" t="s">
        <v>37</v>
      </c>
      <c r="F8" s="251" t="s">
        <v>63</v>
      </c>
      <c r="G8" s="131" t="str">
        <f>$B$2&amp;"PO"</f>
        <v>Direction_Action_Sociale_Culturelle.PO</v>
      </c>
      <c r="H8" s="132" t="str">
        <f>$B$2&amp;"PM"</f>
        <v>Direction_Action_Sociale_Culturelle.PM</v>
      </c>
    </row>
    <row r="9" spans="1:8" ht="39.950000000000003" customHeight="1" thickBot="1" x14ac:dyDescent="0.25">
      <c r="A9" s="199" t="s">
        <v>794</v>
      </c>
      <c r="B9" s="250" t="s">
        <v>114</v>
      </c>
      <c r="C9" s="255" t="s">
        <v>797</v>
      </c>
      <c r="D9" s="250" t="s">
        <v>933</v>
      </c>
      <c r="E9" s="254" t="s">
        <v>36</v>
      </c>
      <c r="F9" s="251" t="s">
        <v>53</v>
      </c>
      <c r="G9" s="131" t="str">
        <f>$B$2&amp;"Act"</f>
        <v>Direction_Action_Sociale_Culturelle.Act</v>
      </c>
    </row>
    <row r="10" spans="1:8" ht="39.950000000000003" customHeight="1" thickBot="1" x14ac:dyDescent="0.25">
      <c r="A10" s="199" t="s">
        <v>793</v>
      </c>
      <c r="B10" s="250" t="s">
        <v>115</v>
      </c>
      <c r="C10" s="255" t="s">
        <v>881</v>
      </c>
      <c r="D10" s="250" t="s">
        <v>114</v>
      </c>
      <c r="E10" s="254" t="s">
        <v>35</v>
      </c>
      <c r="F10" s="251" t="s">
        <v>52</v>
      </c>
    </row>
    <row r="11" spans="1:8" ht="39.950000000000003" customHeight="1" thickBot="1" x14ac:dyDescent="0.25">
      <c r="A11" s="199" t="s">
        <v>869</v>
      </c>
      <c r="B11" s="250" t="s">
        <v>878</v>
      </c>
      <c r="C11" s="255" t="s">
        <v>882</v>
      </c>
      <c r="D11" s="250" t="s">
        <v>115</v>
      </c>
      <c r="E11" s="254" t="s">
        <v>37</v>
      </c>
      <c r="F11" s="251" t="s">
        <v>54</v>
      </c>
    </row>
    <row r="12" spans="1:8" ht="39.950000000000003" customHeight="1" thickBot="1" x14ac:dyDescent="0.25">
      <c r="A12" s="199" t="s">
        <v>887</v>
      </c>
      <c r="B12" s="290" t="s">
        <v>931</v>
      </c>
      <c r="C12" s="255" t="s">
        <v>883</v>
      </c>
      <c r="D12" s="250" t="s">
        <v>114</v>
      </c>
      <c r="E12" s="254" t="s">
        <v>36</v>
      </c>
      <c r="F12" s="251" t="s">
        <v>62</v>
      </c>
    </row>
    <row r="13" spans="1:8" ht="39.950000000000003" customHeight="1" thickBot="1" x14ac:dyDescent="0.25">
      <c r="A13" s="199"/>
      <c r="B13" s="291"/>
      <c r="C13" s="255" t="s">
        <v>884</v>
      </c>
      <c r="D13" s="250" t="s">
        <v>115</v>
      </c>
      <c r="E13" s="308" t="s">
        <v>874</v>
      </c>
      <c r="F13" s="309"/>
    </row>
    <row r="14" spans="1:8" ht="39.950000000000003" customHeight="1" thickBot="1" x14ac:dyDescent="0.25">
      <c r="A14" s="292" t="s">
        <v>879</v>
      </c>
      <c r="B14" s="293"/>
      <c r="C14" s="255" t="s">
        <v>97</v>
      </c>
      <c r="D14" s="250" t="s">
        <v>114</v>
      </c>
      <c r="E14" s="254" t="s">
        <v>102</v>
      </c>
      <c r="F14" s="251" t="s">
        <v>46</v>
      </c>
    </row>
    <row r="15" spans="1:8" ht="39.950000000000003" customHeight="1" thickBot="1" x14ac:dyDescent="0.25">
      <c r="A15" s="300"/>
      <c r="B15" s="301"/>
      <c r="C15" s="255" t="s">
        <v>101</v>
      </c>
      <c r="D15" s="250" t="s">
        <v>115</v>
      </c>
      <c r="E15" s="254" t="s">
        <v>39</v>
      </c>
      <c r="F15" s="251" t="s">
        <v>57</v>
      </c>
    </row>
    <row r="16" spans="1:8" ht="39.950000000000003" customHeight="1" thickBot="1" x14ac:dyDescent="0.25">
      <c r="A16" s="302"/>
      <c r="B16" s="303"/>
      <c r="C16" s="255" t="s">
        <v>41</v>
      </c>
      <c r="D16" s="250" t="s">
        <v>114</v>
      </c>
      <c r="E16" s="254" t="s">
        <v>39</v>
      </c>
      <c r="F16" s="251" t="s">
        <v>66</v>
      </c>
    </row>
    <row r="17" spans="1:8" ht="39.950000000000003" customHeight="1" thickBot="1" x14ac:dyDescent="0.25">
      <c r="A17" s="302"/>
      <c r="B17" s="303"/>
      <c r="C17" s="255" t="s">
        <v>50</v>
      </c>
      <c r="D17" s="250" t="s">
        <v>114</v>
      </c>
      <c r="E17" s="254" t="s">
        <v>102</v>
      </c>
      <c r="F17" s="251" t="s">
        <v>56</v>
      </c>
    </row>
    <row r="18" spans="1:8" ht="39.950000000000003" customHeight="1" thickBot="1" x14ac:dyDescent="0.25">
      <c r="A18" s="302"/>
      <c r="B18" s="303"/>
      <c r="C18" s="255" t="s">
        <v>60</v>
      </c>
      <c r="D18" s="250" t="s">
        <v>115</v>
      </c>
      <c r="E18" s="254" t="s">
        <v>39</v>
      </c>
      <c r="F18" s="251" t="s">
        <v>74</v>
      </c>
    </row>
    <row r="19" spans="1:8" ht="39" customHeight="1" thickBot="1" x14ac:dyDescent="0.25">
      <c r="A19" s="302"/>
      <c r="B19" s="303"/>
      <c r="C19" s="255" t="s">
        <v>109</v>
      </c>
      <c r="D19" s="250" t="s">
        <v>114</v>
      </c>
      <c r="E19" s="254" t="s">
        <v>103</v>
      </c>
      <c r="F19" s="251" t="s">
        <v>75</v>
      </c>
    </row>
    <row r="20" spans="1:8" ht="7.15" customHeight="1" thickBot="1" x14ac:dyDescent="0.25">
      <c r="A20" s="304"/>
      <c r="B20" s="305"/>
      <c r="C20" s="256"/>
      <c r="D20" s="257"/>
      <c r="E20" s="222"/>
      <c r="F20" s="200"/>
    </row>
    <row r="21" spans="1:8" ht="24" customHeight="1" thickTop="1" thickBot="1" x14ac:dyDescent="0.25">
      <c r="A21" s="287" t="s">
        <v>928</v>
      </c>
      <c r="B21" s="288" t="s">
        <v>806</v>
      </c>
      <c r="C21" s="288"/>
      <c r="D21" s="288"/>
      <c r="E21" s="288" t="s">
        <v>656</v>
      </c>
      <c r="F21" s="289" t="s">
        <v>657</v>
      </c>
    </row>
    <row r="22" spans="1:8" ht="24" customHeight="1" thickTop="1" thickBot="1" x14ac:dyDescent="0.25">
      <c r="A22" s="284" t="s">
        <v>890</v>
      </c>
      <c r="B22" s="285"/>
      <c r="C22" s="285"/>
      <c r="D22" s="286"/>
      <c r="E22" s="140" t="s">
        <v>656</v>
      </c>
      <c r="F22" s="174" t="s">
        <v>805</v>
      </c>
    </row>
    <row r="23" spans="1:8" ht="63.95" customHeight="1" thickBot="1" x14ac:dyDescent="0.25">
      <c r="A23" s="139" t="s">
        <v>658</v>
      </c>
      <c r="B23" s="201" t="s">
        <v>6</v>
      </c>
      <c r="C23" s="281" t="s">
        <v>659</v>
      </c>
      <c r="D23" s="282"/>
      <c r="E23" s="202" t="s">
        <v>25</v>
      </c>
      <c r="F23" s="203" t="str">
        <f>IF(ISBLANK(B23),"",IF(OR(B23=E23,E23=""),VLOOKUP(B23,Proba_Brut2,2,FALSE),VLOOKUP(E23,Proba_Brut2,2,FALSE)))</f>
        <v>Évènement extrêmement rare</v>
      </c>
      <c r="H23" s="132" t="str">
        <f>IF(E23&lt;&gt;"",E23,B23)</f>
        <v>Exceptionnelle</v>
      </c>
    </row>
    <row r="24" spans="1:8" ht="24" customHeight="1" thickBot="1" x14ac:dyDescent="0.25">
      <c r="A24" s="283" t="s">
        <v>891</v>
      </c>
      <c r="B24" s="283"/>
      <c r="C24" s="283"/>
      <c r="D24" s="283"/>
      <c r="E24" s="204" t="s">
        <v>656</v>
      </c>
      <c r="F24" s="174" t="s">
        <v>805</v>
      </c>
    </row>
    <row r="25" spans="1:8" ht="73.5" customHeight="1" x14ac:dyDescent="0.2">
      <c r="A25" s="139" t="s">
        <v>660</v>
      </c>
      <c r="B25" s="141" t="s">
        <v>12</v>
      </c>
      <c r="C25" s="281" t="s">
        <v>659</v>
      </c>
      <c r="D25" s="282"/>
      <c r="E25" s="171"/>
      <c r="F25" s="175" t="str">
        <f>IF(ISBLANK(B25),"",IF(OR(B25=E25,E25=""),VLOOKUP(B25,Impact_Brut2,2,FALSE),VLOOKUP(E25,Impact_Brut2,2,FALSE)))</f>
        <v>Impacts dont la gravité peut provoquer : 
- l'arrêt total ou partiel des processus clés/sensibles
- un dégradation jugée importante du chiffre d'affaire, et ou des fonds propres ayant des conséquences majeurs pour l'entreprise.</v>
      </c>
      <c r="H25" s="132" t="str">
        <f>IF(E25&lt;&gt;"",E25,B25)</f>
        <v>Critique</v>
      </c>
    </row>
    <row r="26" spans="1:8" ht="15.75" customHeight="1" x14ac:dyDescent="0.2">
      <c r="A26" s="139"/>
      <c r="B26" s="139"/>
      <c r="C26" s="196"/>
      <c r="D26" s="196"/>
      <c r="E26" s="196"/>
      <c r="F26" s="259"/>
    </row>
    <row r="27" spans="1:8" ht="63.95" customHeight="1" x14ac:dyDescent="0.2">
      <c r="A27" s="139" t="s">
        <v>801</v>
      </c>
      <c r="B27" s="141" t="s">
        <v>10</v>
      </c>
      <c r="C27" s="281" t="s">
        <v>659</v>
      </c>
      <c r="D27" s="282"/>
      <c r="E27" s="170"/>
      <c r="F27" s="176" t="str">
        <f>IF(ISBLANK(B27),"",IF(OR(B27=E27,E27=""),VLOOKUP(B27,Impacts_Financiers,2,FALSE),VLOOKUP(E27,Impacts_Financiers,2,FALSE)))</f>
        <v>Coût ayant un impact probable sur le résultat</v>
      </c>
      <c r="H27" s="132" t="str">
        <f t="shared" ref="H27:H30" si="0">IF(E27&lt;&gt;"",E27,B27)</f>
        <v>Modéré</v>
      </c>
    </row>
    <row r="28" spans="1:8" ht="63.95" customHeight="1" x14ac:dyDescent="0.2">
      <c r="A28" s="139" t="s">
        <v>802</v>
      </c>
      <c r="B28" s="141" t="s">
        <v>12</v>
      </c>
      <c r="C28" s="281" t="s">
        <v>659</v>
      </c>
      <c r="D28" s="282"/>
      <c r="E28" s="170"/>
      <c r="F28" s="176" t="str">
        <f>IF(ISBLANK(B28),"",IF(OR(B28=E28,E28=""),VLOOKUP(B28,Impacts_Clients,2,FALSE),VLOOKUP(E28,Impacts_Clients,2,FALSE)))</f>
        <v>Perte d'un client du top 10
Augmentation entre &gt; 400% et 1000% des appels téléphoniques / Augmentation entre 200% et 500% des réclamations clients
 &gt;  5000 à 10000assurés / allocataires touchés
 &gt; 500 à 5000 entreprises clientes touchés
Médiatisation de grande ampleur par tous les médias nationaux (hors internet et réseaux sociaux)</v>
      </c>
      <c r="H28" s="132" t="str">
        <f t="shared" si="0"/>
        <v>Critique</v>
      </c>
    </row>
    <row r="29" spans="1:8" ht="63.95" customHeight="1" x14ac:dyDescent="0.2">
      <c r="A29" s="139" t="s">
        <v>803</v>
      </c>
      <c r="B29" s="141" t="s">
        <v>12</v>
      </c>
      <c r="C29" s="281" t="s">
        <v>659</v>
      </c>
      <c r="D29" s="282"/>
      <c r="E29" s="170"/>
      <c r="F29" s="176" t="str">
        <f>IF(ISBLANK(B29),"",IF(OR(B29=E29,E29=""),VLOOKUP(B29,Impacts_Conformité,2,FALSE),VLOOKUP(E29,Impacts_Conformité,2,FALSE)))</f>
        <v>Condamnation pénale d'un dirigeant ou d'une personne morale</v>
      </c>
      <c r="H29" s="132" t="str">
        <f t="shared" si="0"/>
        <v>Critique</v>
      </c>
    </row>
    <row r="30" spans="1:8" ht="63.95" customHeight="1" thickBot="1" x14ac:dyDescent="0.25">
      <c r="A30" s="139" t="s">
        <v>804</v>
      </c>
      <c r="B30" s="141" t="s">
        <v>12</v>
      </c>
      <c r="C30" s="281" t="s">
        <v>659</v>
      </c>
      <c r="D30" s="282"/>
      <c r="E30" s="170"/>
      <c r="F30" s="176" t="str">
        <f>IF(ISBLANK(B30),"",IF(OR(B30=E30,E30=""),VLOOKUP(B30,Impacts_Stratégie,2,FALSE),VLOOKUP(E30,Impacts_Stratégie,2,FALSE)))</f>
        <v>Remise en cause du Plan stratégique d'une entité ou d'une branche d'activité du groupe 
Remise en cause de la pérennité d'une entité ou d'une branche d'activité du groupe
Remise en cause de la pérennité des SI
Remise en cause du développement du groupe</v>
      </c>
      <c r="H30" s="132" t="str">
        <f t="shared" si="0"/>
        <v>Critique</v>
      </c>
    </row>
    <row r="31" spans="1:8" ht="24" customHeight="1" thickBot="1" x14ac:dyDescent="0.25">
      <c r="A31" s="278" t="s">
        <v>965</v>
      </c>
      <c r="B31" s="279"/>
      <c r="C31" s="279"/>
      <c r="D31" s="279"/>
      <c r="E31" s="279"/>
      <c r="F31" s="280"/>
    </row>
    <row r="32" spans="1:8" ht="66.75" customHeight="1" thickBot="1" x14ac:dyDescent="0.25">
      <c r="A32" s="264" t="s">
        <v>962</v>
      </c>
      <c r="B32" s="265" t="str">
        <f ca="1">'Tableau des risques brut'!F3</f>
        <v>Très élevée</v>
      </c>
      <c r="C32" s="270" t="s">
        <v>963</v>
      </c>
      <c r="D32" s="271"/>
      <c r="E32" s="272" t="s">
        <v>898</v>
      </c>
      <c r="F32" s="273"/>
    </row>
    <row r="33" spans="1:8" ht="24" customHeight="1" thickBot="1" x14ac:dyDescent="0.25">
      <c r="A33" s="283" t="s">
        <v>966</v>
      </c>
      <c r="B33" s="283"/>
      <c r="C33" s="283"/>
      <c r="D33" s="283"/>
      <c r="E33" s="204" t="s">
        <v>656</v>
      </c>
      <c r="F33" s="174" t="s">
        <v>805</v>
      </c>
    </row>
    <row r="34" spans="1:8" ht="87.75" customHeight="1" thickBot="1" x14ac:dyDescent="0.25">
      <c r="A34" s="139" t="s">
        <v>892</v>
      </c>
      <c r="B34" s="141" t="s">
        <v>20</v>
      </c>
      <c r="C34" s="281" t="s">
        <v>659</v>
      </c>
      <c r="D34" s="282"/>
      <c r="E34" s="171"/>
      <c r="F34" s="175" t="s">
        <v>898</v>
      </c>
      <c r="H34" s="132" t="str">
        <f>IF(E34&lt;&gt;"",E34,B34)</f>
        <v>Mineur</v>
      </c>
    </row>
    <row r="35" spans="1:8" ht="25.5" customHeight="1" thickTop="1" thickBot="1" x14ac:dyDescent="0.25">
      <c r="A35" s="287" t="s">
        <v>899</v>
      </c>
      <c r="B35" s="288" t="s">
        <v>806</v>
      </c>
      <c r="C35" s="288"/>
      <c r="D35" s="288"/>
      <c r="E35" s="288" t="s">
        <v>656</v>
      </c>
      <c r="F35" s="289" t="s">
        <v>657</v>
      </c>
    </row>
    <row r="36" spans="1:8" ht="24" customHeight="1" thickTop="1" thickBot="1" x14ac:dyDescent="0.25">
      <c r="A36" s="284" t="s">
        <v>964</v>
      </c>
      <c r="B36" s="285"/>
      <c r="C36" s="285"/>
      <c r="D36" s="286"/>
      <c r="E36" s="204" t="s">
        <v>656</v>
      </c>
      <c r="F36" s="174" t="s">
        <v>805</v>
      </c>
    </row>
    <row r="37" spans="1:8" ht="83.25" customHeight="1" x14ac:dyDescent="0.2">
      <c r="A37" s="139" t="s">
        <v>661</v>
      </c>
      <c r="B37" s="141" t="s">
        <v>49</v>
      </c>
      <c r="C37" s="281" t="s">
        <v>659</v>
      </c>
      <c r="D37" s="282"/>
      <c r="E37" s="171"/>
      <c r="F37" s="175" t="str">
        <f>IF(ISBLANK(B37),"",IF(OR(B37=E37,E37=""),VLOOKUP(B37,Cotation_DMR2,2,FALSE),VLOOKUP(E37,Cotation_DMR2,2,FALSE)))</f>
        <v>Dispositifs mis en place permettant de réduire la fréquence ou l’impact du risque à un niveau satisfaisant : règles écrites et détaillées, contrôles formalisés et appliqués (indicateurs de suivi et de contrôle, évaluation des procédures, etc.).</v>
      </c>
      <c r="H37" s="132" t="str">
        <f>IF(E37&lt;&gt;"",E37,B37)</f>
        <v>Maîtrisé</v>
      </c>
    </row>
    <row r="38" spans="1:8" ht="17.25" customHeight="1" x14ac:dyDescent="0.2">
      <c r="A38" s="139"/>
      <c r="B38" s="196"/>
      <c r="C38" s="196"/>
      <c r="D38" s="196"/>
      <c r="E38" s="196"/>
      <c r="F38" s="259"/>
    </row>
    <row r="39" spans="1:8" ht="63.75" customHeight="1" x14ac:dyDescent="0.2">
      <c r="A39" s="139" t="s">
        <v>937</v>
      </c>
      <c r="B39" s="261" t="s">
        <v>49</v>
      </c>
      <c r="C39" s="281" t="s">
        <v>659</v>
      </c>
      <c r="D39" s="282"/>
      <c r="E39" s="171"/>
      <c r="F39" s="175" t="str">
        <f>IF(ISBLANK(B39),"",IF(OR(B39=E39,E39=""),VLOOKUP(B39,DMR_Homme,2,FALSE),VLOOKUP(E39,DMR_Homme,2,FALSE)))</f>
        <v>Organisation pleinement satisfaisante. Ressources adaptées, suffisantes</v>
      </c>
      <c r="H39" s="132" t="str">
        <f t="shared" ref="H39:H41" si="1">IF(E39&lt;&gt;"",E39,B39)</f>
        <v>Maîtrisé</v>
      </c>
    </row>
    <row r="40" spans="1:8" ht="63.75" customHeight="1" x14ac:dyDescent="0.2">
      <c r="A40" s="139" t="s">
        <v>938</v>
      </c>
      <c r="B40" s="261" t="s">
        <v>17</v>
      </c>
      <c r="C40" s="281" t="s">
        <v>659</v>
      </c>
      <c r="D40" s="282"/>
      <c r="E40" s="171"/>
      <c r="F40" s="175" t="str">
        <f>IF(ISBLANK(B40),"",IF(OR(B40=E40,E40=""),VLOOKUP(B40,DMR_SI,2,FALSE),VLOOKUP(E40,DMR_SI,2,FALSE)))</f>
        <v>Système d'information satisfaisant (aux besoins utilisateurs, peu de bugs...).</v>
      </c>
      <c r="H40" s="132" t="str">
        <f t="shared" si="1"/>
        <v>Acceptable</v>
      </c>
    </row>
    <row r="41" spans="1:8" ht="63.75" customHeight="1" x14ac:dyDescent="0.2">
      <c r="A41" s="139" t="s">
        <v>939</v>
      </c>
      <c r="B41" s="261" t="s">
        <v>49</v>
      </c>
      <c r="C41" s="281" t="s">
        <v>659</v>
      </c>
      <c r="D41" s="282"/>
      <c r="E41" s="171"/>
      <c r="F41" s="175" t="str">
        <f>IF(ISBLANK(B41),"",IF(OR(B41=E41,E41=""),VLOOKUP(B41,DMR_Procedure,2,FALSE),VLOOKUP(E41,DMR_Procedure,2,FALSE)))</f>
        <v>Processus formalisé,  procédure et mis à jour régulièrement. Processus avec très peu de dysfonctionnements (en général mineurs)</v>
      </c>
      <c r="H41" s="132" t="str">
        <f t="shared" si="1"/>
        <v>Maîtrisé</v>
      </c>
    </row>
    <row r="42" spans="1:8" ht="63.75" customHeight="1" thickBot="1" x14ac:dyDescent="0.25">
      <c r="A42" s="139" t="s">
        <v>940</v>
      </c>
      <c r="B42" s="261" t="s">
        <v>49</v>
      </c>
      <c r="C42" s="281" t="s">
        <v>659</v>
      </c>
      <c r="D42" s="282"/>
      <c r="E42" s="171"/>
      <c r="F42" s="175" t="str">
        <f>IF(ISBLANK(B42),"",IF(OR(B42=E42,E42=""),VLOOKUP(B42,DMR_Reglementaire,2,FALSE),VLOOKUP(E42,DMR_Reglementaire,2,FALSE)))</f>
        <v>Non-conformité  anticipées au fil de l'eau et actions de mises en conformités planifiées</v>
      </c>
      <c r="H42" s="132" t="str">
        <f>IF(E42&lt;&gt;"",E42,B42)</f>
        <v>Maîtrisé</v>
      </c>
    </row>
    <row r="43" spans="1:8" ht="24" customHeight="1" thickBot="1" x14ac:dyDescent="0.25">
      <c r="A43" s="283" t="s">
        <v>928</v>
      </c>
      <c r="B43" s="283"/>
      <c r="C43" s="283"/>
      <c r="D43" s="283"/>
      <c r="E43" s="204" t="s">
        <v>656</v>
      </c>
      <c r="F43" s="174" t="s">
        <v>805</v>
      </c>
    </row>
    <row r="44" spans="1:8" ht="63.75" customHeight="1" x14ac:dyDescent="0.2">
      <c r="A44" s="139" t="s">
        <v>662</v>
      </c>
      <c r="B44" s="141" t="s">
        <v>6</v>
      </c>
      <c r="C44" s="281" t="s">
        <v>659</v>
      </c>
      <c r="D44" s="282"/>
      <c r="E44" s="170"/>
      <c r="F44" s="176" t="str">
        <f>IF(ISBLANK(B44),"",IF(OR(B44=E44,E44=""),VLOOKUP(B44,Proba_Brut2,2,FALSE),VLOOKUP(E44,Proba_Brut2,2,FALSE)))</f>
        <v>Évènement pouvant se produire souvent du fait du volume et/ou de l'acteur de l'acte de gestion</v>
      </c>
      <c r="H44" s="132" t="str">
        <f t="shared" ref="H44:H45" si="2">IF(E44&lt;&gt;"",E44,B44)</f>
        <v>Elevée</v>
      </c>
    </row>
    <row r="45" spans="1:8" ht="63.75" customHeight="1" thickBot="1" x14ac:dyDescent="0.25">
      <c r="A45" s="139" t="s">
        <v>663</v>
      </c>
      <c r="B45" s="141" t="s">
        <v>13</v>
      </c>
      <c r="C45" s="281" t="s">
        <v>659</v>
      </c>
      <c r="D45" s="282"/>
      <c r="E45" s="170"/>
      <c r="F45" s="176" t="str">
        <f>IF(ISBLANK(B45),"",IF(OR(B45=E45,E45=""),VLOOKUP(B45,Impact_Brut2,2,FALSE),VLOOKUP(E45,Impact_Brut2,2,FALSE)))</f>
        <v>Impacts dont l'extrême  gravité peut entrainer à court ou moyen terme la disparition de l'entreprise</v>
      </c>
      <c r="H45" s="132" t="str">
        <f t="shared" si="2"/>
        <v>Catastrophique</v>
      </c>
    </row>
    <row r="46" spans="1:8" ht="24" customHeight="1" thickBot="1" x14ac:dyDescent="0.25">
      <c r="A46" s="278" t="s">
        <v>935</v>
      </c>
      <c r="B46" s="279"/>
      <c r="C46" s="279"/>
      <c r="D46" s="279"/>
      <c r="E46" s="279"/>
      <c r="F46" s="280"/>
    </row>
    <row r="47" spans="1:8" ht="63.75" customHeight="1" thickBot="1" x14ac:dyDescent="0.25">
      <c r="A47" s="139" t="s">
        <v>936</v>
      </c>
      <c r="B47" s="269" t="str">
        <f ca="1">'Tableau des risques net'!F3</f>
        <v>Très élevée</v>
      </c>
      <c r="C47" s="270" t="s">
        <v>963</v>
      </c>
      <c r="D47" s="271"/>
      <c r="E47" s="272"/>
      <c r="F47" s="273"/>
      <c r="H47" s="132" t="str">
        <f ca="1">IF(E47&lt;&gt;"",E47,B47)</f>
        <v>Très élevée</v>
      </c>
    </row>
    <row r="48" spans="1:8" ht="34.5" customHeight="1" thickBot="1" x14ac:dyDescent="0.25">
      <c r="A48" s="278" t="s">
        <v>934</v>
      </c>
      <c r="B48" s="279"/>
      <c r="C48" s="279"/>
      <c r="D48" s="279"/>
      <c r="E48" s="279" t="s">
        <v>656</v>
      </c>
      <c r="F48" s="280" t="s">
        <v>805</v>
      </c>
    </row>
    <row r="49" spans="1:6" ht="93" customHeight="1" thickBot="1" x14ac:dyDescent="0.25">
      <c r="A49" s="260" t="s">
        <v>961</v>
      </c>
      <c r="B49" s="266" t="str">
        <f ca="1">'Tableau des risques net'!I3</f>
        <v>Zone de criticité élevée /Surveillance soutenue</v>
      </c>
      <c r="C49" s="274" t="s">
        <v>963</v>
      </c>
      <c r="D49" s="275"/>
      <c r="E49" s="276"/>
      <c r="F49" s="277"/>
    </row>
    <row r="50" spans="1:6" ht="12.75" thickTop="1" x14ac:dyDescent="0.2"/>
  </sheetData>
  <dataConsolidate/>
  <mergeCells count="39">
    <mergeCell ref="B12:B13"/>
    <mergeCell ref="A14:B14"/>
    <mergeCell ref="C45:D45"/>
    <mergeCell ref="B2:C2"/>
    <mergeCell ref="C23:D23"/>
    <mergeCell ref="C25:D25"/>
    <mergeCell ref="C37:D37"/>
    <mergeCell ref="C44:D44"/>
    <mergeCell ref="A6:B6"/>
    <mergeCell ref="C6:D6"/>
    <mergeCell ref="A31:F31"/>
    <mergeCell ref="A15:B20"/>
    <mergeCell ref="E6:F6"/>
    <mergeCell ref="E13:F13"/>
    <mergeCell ref="A5:F5"/>
    <mergeCell ref="A21:F21"/>
    <mergeCell ref="A24:D24"/>
    <mergeCell ref="C27:D27"/>
    <mergeCell ref="C28:D28"/>
    <mergeCell ref="C29:D29"/>
    <mergeCell ref="A22:D22"/>
    <mergeCell ref="A46:F46"/>
    <mergeCell ref="C30:D30"/>
    <mergeCell ref="C41:D41"/>
    <mergeCell ref="C42:D42"/>
    <mergeCell ref="A43:D43"/>
    <mergeCell ref="A36:D36"/>
    <mergeCell ref="A33:D33"/>
    <mergeCell ref="C39:D39"/>
    <mergeCell ref="C40:D40"/>
    <mergeCell ref="C34:D34"/>
    <mergeCell ref="E32:F32"/>
    <mergeCell ref="C32:D32"/>
    <mergeCell ref="A35:F35"/>
    <mergeCell ref="C47:D47"/>
    <mergeCell ref="E47:F47"/>
    <mergeCell ref="C49:D49"/>
    <mergeCell ref="E49:F49"/>
    <mergeCell ref="A48:F48"/>
  </mergeCells>
  <conditionalFormatting sqref="B34 B37:B42 B23 E23 E27:E30 B25 E25 B27:B30 B44:B45 E44:E45 E47 B47 E37:E42 E34">
    <cfRule type="cellIs" dxfId="180" priority="211" operator="equal">
      <formula>"Insuffisant"</formula>
    </cfRule>
    <cfRule type="cellIs" dxfId="179" priority="212" operator="equal">
      <formula>"Acceptable"</formula>
    </cfRule>
    <cfRule type="cellIs" dxfId="178" priority="213" operator="equal">
      <formula>"Permanente"</formula>
    </cfRule>
    <cfRule type="cellIs" dxfId="177" priority="214" operator="equal">
      <formula>"Récurrente"</formula>
    </cfRule>
    <cfRule type="cellIs" dxfId="176" priority="215" operator="equal">
      <formula>"Exceptionnelle"</formula>
    </cfRule>
    <cfRule type="cellIs" dxfId="175" priority="216" operator="equal">
      <formula>"Rare"</formula>
    </cfRule>
    <cfRule type="cellIs" dxfId="174" priority="217" operator="equal">
      <formula>"Modérée"</formula>
    </cfRule>
    <cfRule type="cellIs" dxfId="173" priority="218" operator="equal">
      <formula>"Maîtrisé"</formula>
    </cfRule>
    <cfRule type="cellIs" dxfId="172" priority="219" operator="equal">
      <formula>"Elevée"</formula>
    </cfRule>
    <cfRule type="cellIs" dxfId="171" priority="220" operator="equal">
      <formula>"Catastrophique"</formula>
    </cfRule>
    <cfRule type="cellIs" dxfId="170" priority="221" operator="equal">
      <formula>"Critique"</formula>
    </cfRule>
    <cfRule type="cellIs" dxfId="169" priority="222" operator="equal">
      <formula>"Elevé"</formula>
    </cfRule>
    <cfRule type="cellIs" dxfId="168" priority="223" operator="equal">
      <formula>"Modéré"</formula>
    </cfRule>
    <cfRule type="cellIs" dxfId="167" priority="224" operator="equal">
      <formula>"Marginal"</formula>
    </cfRule>
  </conditionalFormatting>
  <conditionalFormatting sqref="E37:E42 E27:E30 E44:E45 E47 E34">
    <cfRule type="cellIs" dxfId="166" priority="205" operator="equal">
      <formula>"Catastrophique"</formula>
    </cfRule>
    <cfRule type="cellIs" dxfId="165" priority="206" operator="equal">
      <formula>"Critique"</formula>
    </cfRule>
    <cfRule type="cellIs" dxfId="164" priority="207" operator="equal">
      <formula>"Elevé"</formula>
    </cfRule>
    <cfRule type="cellIs" dxfId="163" priority="208" operator="equal">
      <formula>"Modéré"</formula>
    </cfRule>
    <cfRule type="cellIs" dxfId="162" priority="209" operator="equal">
      <formula>"Faible"</formula>
    </cfRule>
    <cfRule type="cellIs" dxfId="161" priority="210" operator="equal">
      <formula>"Marginal"</formula>
    </cfRule>
  </conditionalFormatting>
  <conditionalFormatting sqref="B47 B30 B37:B42 B34">
    <cfRule type="cellIs" dxfId="160" priority="204" operator="equal">
      <formula>"Faible"</formula>
    </cfRule>
  </conditionalFormatting>
  <conditionalFormatting sqref="B27:B30 B25 B45 B47 B39:B42">
    <cfRule type="cellIs" dxfId="159" priority="203" operator="equal">
      <formula>"Faible"</formula>
    </cfRule>
  </conditionalFormatting>
  <conditionalFormatting sqref="E34 B47:E47 B32:D32 B34 B49:D49">
    <cfRule type="cellIs" dxfId="158" priority="163" operator="equal">
      <formula>"Très élevée"</formula>
    </cfRule>
  </conditionalFormatting>
  <conditionalFormatting sqref="E34 B47:E47 B32:D32 B34 B49:D49">
    <cfRule type="cellIs" dxfId="157" priority="164" operator="equal">
      <formula>"Elevé"</formula>
    </cfRule>
    <cfRule type="cellIs" dxfId="156" priority="165" operator="equal">
      <formula>"Modéré"</formula>
    </cfRule>
    <cfRule type="cellIs" dxfId="155" priority="166" operator="equal">
      <formula>"Mineur"</formula>
    </cfRule>
  </conditionalFormatting>
  <conditionalFormatting sqref="B49">
    <cfRule type="cellIs" dxfId="154" priority="77" operator="equal">
      <formula>"Très élevée"</formula>
    </cfRule>
    <cfRule type="cellIs" dxfId="153" priority="50" operator="equal">
      <formula>"Zone de criticité élevée /Surveillance à renforcer"</formula>
    </cfRule>
  </conditionalFormatting>
  <conditionalFormatting sqref="B49">
    <cfRule type="cellIs" dxfId="152" priority="74" operator="equal">
      <formula>"Elevé"</formula>
    </cfRule>
    <cfRule type="cellIs" dxfId="151" priority="75" operator="equal">
      <formula>"Modéré"</formula>
    </cfRule>
    <cfRule type="cellIs" dxfId="150" priority="76" operator="equal">
      <formula>"Mineur"</formula>
    </cfRule>
  </conditionalFormatting>
  <conditionalFormatting sqref="B49">
    <cfRule type="cellIs" dxfId="149" priority="68" operator="equal">
      <formula>"Criticité Très élevée"</formula>
    </cfRule>
    <cfRule type="cellIs" dxfId="148" priority="69" operator="equal">
      <formula>"Criticité élevée"</formula>
    </cfRule>
    <cfRule type="cellIs" dxfId="147" priority="70" operator="equal">
      <formula>"Surveillance à renforcer"</formula>
    </cfRule>
    <cfRule type="cellIs" dxfId="146" priority="71" operator="equal">
      <formula>"Surveillance Modérée"</formula>
    </cfRule>
    <cfRule type="cellIs" dxfId="145" priority="72" operator="equal">
      <formula>"Surveillance modérée"</formula>
    </cfRule>
    <cfRule type="cellIs" dxfId="144" priority="73" operator="equal">
      <formula>"Surveillance Faible"</formula>
    </cfRule>
  </conditionalFormatting>
  <conditionalFormatting sqref="B49">
    <cfRule type="cellIs" dxfId="143" priority="67" operator="equal">
      <formula>"Très élevée"</formula>
    </cfRule>
  </conditionalFormatting>
  <conditionalFormatting sqref="B49">
    <cfRule type="cellIs" dxfId="142" priority="64" operator="equal">
      <formula>"Elevé"</formula>
    </cfRule>
    <cfRule type="cellIs" dxfId="141" priority="65" operator="equal">
      <formula>"Modéré"</formula>
    </cfRule>
    <cfRule type="cellIs" dxfId="140" priority="66" operator="equal">
      <formula>"Mineur"</formula>
    </cfRule>
  </conditionalFormatting>
  <conditionalFormatting sqref="B49">
    <cfRule type="cellIs" dxfId="139" priority="58" operator="equal">
      <formula>"Criticité Très élevée"</formula>
    </cfRule>
    <cfRule type="cellIs" dxfId="138" priority="59" operator="equal">
      <formula>"Criticité élevée"</formula>
    </cfRule>
    <cfRule type="cellIs" dxfId="137" priority="60" operator="equal">
      <formula>"Surveillance à renforcer"</formula>
    </cfRule>
    <cfRule type="cellIs" dxfId="136" priority="61" operator="equal">
      <formula>"Surveillance Modérée"</formula>
    </cfRule>
    <cfRule type="cellIs" dxfId="135" priority="62" operator="equal">
      <formula>"Surveillance modérée"</formula>
    </cfRule>
    <cfRule type="cellIs" dxfId="134" priority="63" operator="equal">
      <formula>"Surveillance Faible"</formula>
    </cfRule>
  </conditionalFormatting>
  <conditionalFormatting sqref="B49">
    <cfRule type="cellIs" dxfId="133" priority="57" operator="equal">
      <formula>"Très élevée"</formula>
    </cfRule>
  </conditionalFormatting>
  <conditionalFormatting sqref="B49">
    <cfRule type="cellIs" dxfId="132" priority="54" operator="equal">
      <formula>"Elevé"</formula>
    </cfRule>
    <cfRule type="cellIs" dxfId="131" priority="55" operator="equal">
      <formula>"Modéré"</formula>
    </cfRule>
    <cfRule type="cellIs" dxfId="130" priority="56" operator="equal">
      <formula>"Mineur"</formula>
    </cfRule>
  </conditionalFormatting>
  <conditionalFormatting sqref="B49">
    <cfRule type="cellIs" dxfId="129" priority="48" operator="equal">
      <formula>"Zone de criticité très élevée /Surveillance insuffisante"</formula>
    </cfRule>
    <cfRule type="cellIs" dxfId="128" priority="49" operator="equal">
      <formula>"Zone de criticité élevée /Surveillance soutenue"</formula>
    </cfRule>
    <cfRule type="cellIs" dxfId="127" priority="51" operator="equal">
      <formula>"Zone de criticité modérée /Surveillance modérée"</formula>
    </cfRule>
    <cfRule type="cellIs" dxfId="126" priority="52" operator="equal">
      <formula>"Zone de criticité faible /Surveillance modérée"</formula>
    </cfRule>
    <cfRule type="cellIs" dxfId="125" priority="53" operator="equal">
      <formula>"Zone de criticité faible /Surveillance faible"</formula>
    </cfRule>
  </conditionalFormatting>
  <conditionalFormatting sqref="E47">
    <cfRule type="cellIs" dxfId="124" priority="34" operator="equal">
      <formula>"Insuffisant"</formula>
    </cfRule>
    <cfRule type="cellIs" dxfId="123" priority="35" operator="equal">
      <formula>"Acceptable"</formula>
    </cfRule>
    <cfRule type="cellIs" dxfId="122" priority="36" operator="equal">
      <formula>"Permanente"</formula>
    </cfRule>
    <cfRule type="cellIs" dxfId="121" priority="37" operator="equal">
      <formula>"Récurrente"</formula>
    </cfRule>
    <cfRule type="cellIs" dxfId="120" priority="38" operator="equal">
      <formula>"Exceptionnelle"</formula>
    </cfRule>
    <cfRule type="cellIs" dxfId="119" priority="39" operator="equal">
      <formula>"Rare"</formula>
    </cfRule>
    <cfRule type="cellIs" dxfId="118" priority="40" operator="equal">
      <formula>"Modérée"</formula>
    </cfRule>
    <cfRule type="cellIs" dxfId="117" priority="41" operator="equal">
      <formula>"Maîtrisé"</formula>
    </cfRule>
    <cfRule type="cellIs" dxfId="116" priority="42" operator="equal">
      <formula>"Elevée"</formula>
    </cfRule>
    <cfRule type="cellIs" dxfId="115" priority="43" operator="equal">
      <formula>"Catastrophique"</formula>
    </cfRule>
    <cfRule type="cellIs" dxfId="114" priority="44" operator="equal">
      <formula>"Critique"</formula>
    </cfRule>
    <cfRule type="cellIs" dxfId="113" priority="45" operator="equal">
      <formula>"Elevé"</formula>
    </cfRule>
    <cfRule type="cellIs" dxfId="112" priority="46" operator="equal">
      <formula>"Modéré"</formula>
    </cfRule>
    <cfRule type="cellIs" dxfId="111" priority="47" operator="equal">
      <formula>"Marginal"</formula>
    </cfRule>
  </conditionalFormatting>
  <conditionalFormatting sqref="E47">
    <cfRule type="cellIs" dxfId="110" priority="28" operator="equal">
      <formula>"Catastrophique"</formula>
    </cfRule>
    <cfRule type="cellIs" dxfId="109" priority="29" operator="equal">
      <formula>"Critique"</formula>
    </cfRule>
    <cfRule type="cellIs" dxfId="108" priority="30" operator="equal">
      <formula>"Elevé"</formula>
    </cfRule>
    <cfRule type="cellIs" dxfId="107" priority="31" operator="equal">
      <formula>"Modéré"</formula>
    </cfRule>
    <cfRule type="cellIs" dxfId="106" priority="32" operator="equal">
      <formula>"Faible"</formula>
    </cfRule>
    <cfRule type="cellIs" dxfId="105" priority="33" operator="equal">
      <formula>"Marginal"</formula>
    </cfRule>
  </conditionalFormatting>
  <conditionalFormatting sqref="C47:E47">
    <cfRule type="cellIs" dxfId="104" priority="27" operator="equal">
      <formula>"Très élevée"</formula>
    </cfRule>
  </conditionalFormatting>
  <conditionalFormatting sqref="C47:E47">
    <cfRule type="cellIs" dxfId="103" priority="24" operator="equal">
      <formula>"Elevé"</formula>
    </cfRule>
    <cfRule type="cellIs" dxfId="102" priority="25" operator="equal">
      <formula>"Modéré"</formula>
    </cfRule>
    <cfRule type="cellIs" dxfId="101" priority="26" operator="equal">
      <formula>"Mineur"</formula>
    </cfRule>
  </conditionalFormatting>
  <conditionalFormatting sqref="B47">
    <cfRule type="cellIs" dxfId="100" priority="10" operator="equal">
      <formula>"Insuffisant"</formula>
    </cfRule>
    <cfRule type="cellIs" dxfId="99" priority="11" operator="equal">
      <formula>"Acceptable"</formula>
    </cfRule>
    <cfRule type="cellIs" dxfId="98" priority="12" operator="equal">
      <formula>"Permanente"</formula>
    </cfRule>
    <cfRule type="cellIs" dxfId="97" priority="13" operator="equal">
      <formula>"Récurrente"</formula>
    </cfRule>
    <cfRule type="cellIs" dxfId="96" priority="14" operator="equal">
      <formula>"Exceptionnelle"</formula>
    </cfRule>
    <cfRule type="cellIs" dxfId="95" priority="15" operator="equal">
      <formula>"Rare"</formula>
    </cfRule>
    <cfRule type="cellIs" dxfId="94" priority="16" operator="equal">
      <formula>"Modérée"</formula>
    </cfRule>
    <cfRule type="cellIs" dxfId="93" priority="17" operator="equal">
      <formula>"Maîtrisé"</formula>
    </cfRule>
    <cfRule type="cellIs" dxfId="92" priority="18" operator="equal">
      <formula>"Elevée"</formula>
    </cfRule>
    <cfRule type="cellIs" dxfId="91" priority="19" operator="equal">
      <formula>"Catastrophique"</formula>
    </cfRule>
    <cfRule type="cellIs" dxfId="90" priority="20" operator="equal">
      <formula>"Critique"</formula>
    </cfRule>
    <cfRule type="cellIs" dxfId="89" priority="21" operator="equal">
      <formula>"Elevé"</formula>
    </cfRule>
    <cfRule type="cellIs" dxfId="88" priority="22" operator="equal">
      <formula>"Modéré"</formula>
    </cfRule>
    <cfRule type="cellIs" dxfId="87" priority="23" operator="equal">
      <formula>"Marginal"</formula>
    </cfRule>
  </conditionalFormatting>
  <conditionalFormatting sqref="B47">
    <cfRule type="cellIs" dxfId="86" priority="9" operator="equal">
      <formula>"Faible"</formula>
    </cfRule>
  </conditionalFormatting>
  <conditionalFormatting sqref="B47">
    <cfRule type="cellIs" dxfId="85" priority="8" operator="equal">
      <formula>"Très élevée"</formula>
    </cfRule>
  </conditionalFormatting>
  <conditionalFormatting sqref="B47">
    <cfRule type="cellIs" dxfId="84" priority="5" operator="equal">
      <formula>"Elevé"</formula>
    </cfRule>
    <cfRule type="cellIs" dxfId="83" priority="6" operator="equal">
      <formula>"Modéré"</formula>
    </cfRule>
    <cfRule type="cellIs" dxfId="82" priority="7" operator="equal">
      <formula>"Mineur"</formula>
    </cfRule>
  </conditionalFormatting>
  <conditionalFormatting sqref="B32">
    <cfRule type="cellIs" dxfId="81" priority="4" operator="equal">
      <formula>"Très élevée"</formula>
    </cfRule>
  </conditionalFormatting>
  <conditionalFormatting sqref="B32">
    <cfRule type="cellIs" dxfId="80" priority="1" operator="equal">
      <formula>"Elevé"</formula>
    </cfRule>
    <cfRule type="cellIs" dxfId="79" priority="2" operator="equal">
      <formula>"Modéré"</formula>
    </cfRule>
    <cfRule type="cellIs" dxfId="78" priority="3" operator="equal">
      <formula>"Mineur"</formula>
    </cfRule>
  </conditionalFormatting>
  <dataValidations xWindow="587" yWindow="582" count="35">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25 B27:B30 B45">
      <formula1>Impact_Brut</formula1>
    </dataValidation>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44 B23">
      <formula1>Proba_Brut</formula1>
    </dataValidation>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37:B42">
      <formula1>Cotation_DMR</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38">
      <formula1>Impp</formula1>
    </dataValidation>
    <dataValidation allowBlank="1" showErrorMessage="1" sqref="A49 A37:A42 A44:A45 A27:A30 A47 A32 A34"/>
    <dataValidation type="list" allowBlank="1" showInputMessage="1" showErrorMessage="1" sqref="B47 B34">
      <formula1>Cotation_Gravité_Brute</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34">
      <formula1>Cotation_Gravité_Brute</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44 E23">
      <formula1>Proba_Brut</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45 E27:E30 E25">
      <formula1>Impact_Brut</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37 E39:E42">
      <formula1>Cotation_DMR</formula1>
    </dataValidation>
    <dataValidation type="list" allowBlank="1" showInputMessage="1" showErrorMessage="1" promptTitle="Qu'est ce qu'un risque majeur ?" prompt="_x000a_Un risque majeur est un risque, qui lorsqu'il survient peut mettre en jeu la pérénité de l'entreprise. Les risques majeurs font l'objet d'un suivi soutenu." sqref="B10">
      <formula1>Choix</formula1>
    </dataValidation>
    <dataValidation type="list" allowBlank="1" showInputMessage="1" showErrorMessage="1" promptTitle="Le risque est-il clé ?" prompt="_x000a_Un risque clé c'est un risque qui présente une importance significative au sein de votre activité sans toutefois être majeur." sqref="B9">
      <formula1>"Oui,Non"</formula1>
    </dataValidation>
    <dataValidation allowBlank="1" showInputMessage="1" showErrorMessage="1" promptTitle="Nom du risque" prompt="_x000a_Inscrire le nom de votre risque. Il doit permettre de comprendre globalement l'événement et de le retrouver rapidement." sqref="B8"/>
    <dataValidation allowBlank="1" showInputMessage="1" showErrorMessage="1" promptTitle="Code du risque" prompt="_x000a_Référez vous à la nomenclature." sqref="B7"/>
    <dataValidation type="list" allowBlank="1" showInputMessage="1" showErrorMessage="1" promptTitle="Sélectionner votre Direction" prompt="Sélectionner votre Direction dans la liste proposée" sqref="B2:C2">
      <formula1>Directions</formula1>
    </dataValidation>
    <dataValidation type="list" allowBlank="1" showInputMessage="1" showErrorMessage="1" promptTitle="Comment ?" prompt="_x000a_Par quels moyens avez vous pu identifier le risque ? " sqref="B11">
      <formula1>origine_de_détection</formula1>
    </dataValidation>
    <dataValidation allowBlank="1" showInputMessage="1" showErrorMessage="1" promptTitle="Décrivez le risque" prompt="_x000a_Décrivez dans cette zone de manière succinte votre risque." sqref="B12"/>
    <dataValidation type="list" allowBlank="1" showInputMessage="1" showErrorMessage="1" promptTitle="Votre département" prompt="_x000a_Choisir votre département dans la liste déroulante." sqref="D7">
      <formula1>INDIRECT($B$2)</formula1>
    </dataValidation>
    <dataValidation allowBlank="1" showInputMessage="1" promptTitle="Rattachement à un PM" prompt="_x000a_Précisez ici le processus auquel se rattache le risque : il peut être de niveau 2 ou 3." sqref="D8"/>
    <dataValidation allowBlank="1" showInputMessage="1" promptTitle="Rattachement à un PO" prompt="_x000a_Précisez ici le processus organisationnel auquel se rattache votre risque" sqref="D9"/>
    <dataValidation type="list" allowBlank="1" showInputMessage="1" showErrorMessage="1" sqref="D10:D19">
      <formula1>Choix</formula1>
    </dataValidation>
    <dataValidation type="list" allowBlank="1" showInputMessage="1" showErrorMessage="1" sqref="F12">
      <formula1>INDIRECT($E$12)</formula1>
    </dataValidation>
    <dataValidation type="list" allowBlank="1" showInputMessage="1" showErrorMessage="1" sqref="E7:E12">
      <formula1>Facteurs</formula1>
    </dataValidation>
    <dataValidation type="list" allowBlank="1" showInputMessage="1" showErrorMessage="1" sqref="F7">
      <formula1>INDIRECT($E$7)</formula1>
    </dataValidation>
    <dataValidation type="list" allowBlank="1" showInputMessage="1" showErrorMessage="1" sqref="F8">
      <formula1>INDIRECT($E$8)</formula1>
    </dataValidation>
    <dataValidation type="list" allowBlank="1" showInputMessage="1" showErrorMessage="1" sqref="F9">
      <formula1>INDIRECT($E$9)</formula1>
    </dataValidation>
    <dataValidation type="list" allowBlank="1" showInputMessage="1" showErrorMessage="1" sqref="F10">
      <formula1>INDIRECT($E$10)</formula1>
    </dataValidation>
    <dataValidation type="list" allowBlank="1" showInputMessage="1" showErrorMessage="1" sqref="F11">
      <formula1>INDIRECT($E$11)</formula1>
    </dataValidation>
    <dataValidation type="list" allowBlank="1" showInputMessage="1" showErrorMessage="1" sqref="E14:E19">
      <formula1>Conséquence</formula1>
    </dataValidation>
    <dataValidation type="list" allowBlank="1" showInputMessage="1" showErrorMessage="1" sqref="F14">
      <formula1>INDIRECT($E$14)</formula1>
    </dataValidation>
    <dataValidation type="list" allowBlank="1" showInputMessage="1" showErrorMessage="1" sqref="F15">
      <formula1>INDIRECT($E$15)</formula1>
    </dataValidation>
    <dataValidation type="list" allowBlank="1" showInputMessage="1" showErrorMessage="1" sqref="F16">
      <formula1>INDIRECT($E$16)</formula1>
    </dataValidation>
    <dataValidation type="list" allowBlank="1" showInputMessage="1" showErrorMessage="1" sqref="F17">
      <formula1>INDIRECT($E$17)</formula1>
    </dataValidation>
    <dataValidation type="list" allowBlank="1" showInputMessage="1" showErrorMessage="1" sqref="F18">
      <formula1>INDIRECT($E$18)</formula1>
    </dataValidation>
    <dataValidation type="list" allowBlank="1" showInputMessage="1" showErrorMessage="1" sqref="F19">
      <formula1>INDIRECT($E$19)</formula1>
    </dataValidation>
  </dataValidations>
  <pageMargins left="0.70866141732283472" right="0.70866141732283472" top="0.74803149606299213" bottom="0.74803149606299213" header="0.31496062992125984" footer="0.31496062992125984"/>
  <pageSetup paperSize="9" scale="36"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T73"/>
  <sheetViews>
    <sheetView topLeftCell="M1" zoomScale="110" zoomScaleNormal="110" workbookViewId="0">
      <selection activeCell="O14" sqref="O14"/>
    </sheetView>
  </sheetViews>
  <sheetFormatPr baseColWidth="10" defaultColWidth="11.42578125" defaultRowHeight="11.25" x14ac:dyDescent="0.2"/>
  <cols>
    <col min="1" max="1" width="9.7109375" style="50" bestFit="1" customWidth="1"/>
    <col min="2" max="2" width="6.42578125" style="50" bestFit="1" customWidth="1"/>
    <col min="3" max="3" width="24.5703125" style="50" bestFit="1" customWidth="1"/>
    <col min="4" max="4" width="23.42578125" style="50" bestFit="1" customWidth="1"/>
    <col min="5" max="6" width="12" style="50" customWidth="1"/>
    <col min="7" max="7" width="25.28515625" style="50" bestFit="1" customWidth="1"/>
    <col min="8" max="8" width="35.140625" style="50" customWidth="1"/>
    <col min="9" max="9" width="31.28515625" style="50" customWidth="1"/>
    <col min="10" max="10" width="27.5703125" style="50" customWidth="1"/>
    <col min="11" max="11" width="23.7109375" style="50" customWidth="1"/>
    <col min="12" max="12" width="22.28515625" style="50" customWidth="1"/>
    <col min="13" max="13" width="29.5703125" style="50" customWidth="1"/>
    <col min="14" max="14" width="51.7109375" style="50" customWidth="1"/>
    <col min="15" max="15" width="24.28515625" style="51" customWidth="1"/>
    <col min="16" max="16" width="22.5703125" style="51" customWidth="1"/>
    <col min="17" max="17" width="19.140625" style="51" customWidth="1"/>
    <col min="18" max="18" width="28" style="50" customWidth="1"/>
    <col min="19" max="20" width="22.5703125" style="50" customWidth="1"/>
    <col min="21" max="16384" width="11.42578125" style="50"/>
  </cols>
  <sheetData>
    <row r="1" spans="1:17" x14ac:dyDescent="0.2">
      <c r="A1" s="48" t="s">
        <v>93</v>
      </c>
      <c r="B1" s="49"/>
      <c r="C1" s="49"/>
      <c r="D1" s="48" t="s">
        <v>30</v>
      </c>
      <c r="E1" s="48" t="s">
        <v>94</v>
      </c>
      <c r="G1" s="48" t="s">
        <v>31</v>
      </c>
      <c r="H1" s="48" t="s">
        <v>95</v>
      </c>
    </row>
    <row r="2" spans="1:17" ht="14.25" customHeight="1" x14ac:dyDescent="0.2">
      <c r="A2" s="52">
        <v>43101</v>
      </c>
      <c r="B2" s="53"/>
      <c r="C2" s="54"/>
      <c r="D2" s="55" t="s">
        <v>8</v>
      </c>
      <c r="E2" s="56" t="s">
        <v>96</v>
      </c>
      <c r="F2" s="56"/>
      <c r="G2" s="53" t="s">
        <v>97</v>
      </c>
      <c r="H2" s="53" t="s">
        <v>877</v>
      </c>
      <c r="I2" s="48" t="s">
        <v>98</v>
      </c>
      <c r="J2" s="57"/>
      <c r="K2" s="57"/>
      <c r="L2" s="57"/>
      <c r="M2" s="57"/>
      <c r="N2" s="48" t="s">
        <v>99</v>
      </c>
      <c r="O2" s="57"/>
      <c r="P2" s="57"/>
      <c r="Q2" s="57"/>
    </row>
    <row r="3" spans="1:17" x14ac:dyDescent="0.2">
      <c r="A3" s="52">
        <v>43343</v>
      </c>
      <c r="B3" s="53"/>
      <c r="C3" s="54"/>
      <c r="D3" s="55" t="s">
        <v>9</v>
      </c>
      <c r="E3" s="56" t="s">
        <v>100</v>
      </c>
      <c r="F3" s="56"/>
      <c r="G3" s="53" t="s">
        <v>101</v>
      </c>
      <c r="H3" s="53" t="s">
        <v>878</v>
      </c>
      <c r="I3" s="58" t="s">
        <v>34</v>
      </c>
      <c r="J3" s="58" t="s">
        <v>35</v>
      </c>
      <c r="K3" s="58" t="s">
        <v>36</v>
      </c>
      <c r="L3" s="58" t="s">
        <v>37</v>
      </c>
      <c r="M3" s="58" t="s">
        <v>38</v>
      </c>
      <c r="N3" s="59" t="s">
        <v>102</v>
      </c>
      <c r="O3" s="59" t="s">
        <v>39</v>
      </c>
      <c r="P3" s="59" t="s">
        <v>103</v>
      </c>
      <c r="Q3" s="60" t="s">
        <v>40</v>
      </c>
    </row>
    <row r="4" spans="1:17" x14ac:dyDescent="0.2">
      <c r="A4" s="52"/>
      <c r="B4" s="53"/>
      <c r="C4" s="54"/>
      <c r="D4" s="55" t="s">
        <v>5</v>
      </c>
      <c r="E4" s="56" t="s">
        <v>104</v>
      </c>
      <c r="F4" s="56"/>
      <c r="G4" s="53" t="s">
        <v>41</v>
      </c>
      <c r="H4" s="53" t="s">
        <v>875</v>
      </c>
      <c r="I4" s="53" t="s">
        <v>105</v>
      </c>
      <c r="J4" s="53" t="s">
        <v>42</v>
      </c>
      <c r="K4" s="53" t="s">
        <v>43</v>
      </c>
      <c r="L4" s="53" t="s">
        <v>44</v>
      </c>
      <c r="M4" s="55" t="s">
        <v>45</v>
      </c>
      <c r="N4" s="55" t="s">
        <v>46</v>
      </c>
      <c r="O4" s="55" t="s">
        <v>106</v>
      </c>
      <c r="P4" s="55" t="s">
        <v>47</v>
      </c>
      <c r="Q4" s="61" t="s">
        <v>48</v>
      </c>
    </row>
    <row r="5" spans="1:17" x14ac:dyDescent="0.2">
      <c r="A5" s="52">
        <v>43403</v>
      </c>
      <c r="B5" s="313" t="s">
        <v>107</v>
      </c>
      <c r="C5" s="313"/>
      <c r="D5" s="55" t="s">
        <v>6</v>
      </c>
      <c r="F5" s="56"/>
      <c r="G5" s="53" t="s">
        <v>50</v>
      </c>
      <c r="H5" s="53" t="s">
        <v>876</v>
      </c>
      <c r="I5" s="53" t="s">
        <v>51</v>
      </c>
      <c r="J5" s="53" t="s">
        <v>52</v>
      </c>
      <c r="K5" s="53" t="s">
        <v>53</v>
      </c>
      <c r="L5" s="53" t="s">
        <v>54</v>
      </c>
      <c r="M5" s="55" t="s">
        <v>55</v>
      </c>
      <c r="N5" s="55" t="s">
        <v>56</v>
      </c>
      <c r="O5" s="55" t="s">
        <v>57</v>
      </c>
      <c r="P5" s="55" t="s">
        <v>58</v>
      </c>
      <c r="Q5" s="55" t="s">
        <v>59</v>
      </c>
    </row>
    <row r="6" spans="1:17" x14ac:dyDescent="0.2">
      <c r="B6" s="313"/>
      <c r="C6" s="313"/>
      <c r="D6" s="55" t="s">
        <v>12</v>
      </c>
      <c r="E6" s="56"/>
      <c r="F6" s="56"/>
      <c r="G6" s="53" t="s">
        <v>60</v>
      </c>
      <c r="H6" s="53"/>
      <c r="I6" s="53" t="s">
        <v>108</v>
      </c>
      <c r="J6" s="53" t="s">
        <v>61</v>
      </c>
      <c r="K6" s="53" t="s">
        <v>62</v>
      </c>
      <c r="L6" s="53" t="s">
        <v>63</v>
      </c>
      <c r="M6" s="55" t="s">
        <v>64</v>
      </c>
      <c r="N6" s="55" t="s">
        <v>65</v>
      </c>
      <c r="O6" s="55" t="s">
        <v>66</v>
      </c>
      <c r="P6" s="61" t="s">
        <v>67</v>
      </c>
      <c r="Q6" s="55" t="s">
        <v>68</v>
      </c>
    </row>
    <row r="7" spans="1:17" x14ac:dyDescent="0.2">
      <c r="A7" s="62" t="str">
        <f ca="1">IF(AND(TODAY()&gt;=A2,TODAY()&lt;=A3),"Vous utilisez le fichier de la période du "&amp;ROUNDUP(MONTH(A2)/3,0)&amp;" semestre "&amp;YEAR(A2),"Attention, vous n'utilisez pas la bonne version de fichier, contacter le Département Gestion des Risques")</f>
        <v>Vous utilisez le fichier de la période du 1 semestre 2018</v>
      </c>
      <c r="B7" s="63"/>
      <c r="C7" s="64"/>
      <c r="D7" s="55" t="s">
        <v>13</v>
      </c>
      <c r="G7" s="53" t="s">
        <v>109</v>
      </c>
      <c r="H7" s="53"/>
      <c r="I7" s="53" t="s">
        <v>70</v>
      </c>
      <c r="J7" s="53" t="s">
        <v>71</v>
      </c>
      <c r="K7" s="53"/>
      <c r="L7" s="53" t="s">
        <v>72</v>
      </c>
      <c r="M7" s="55" t="s">
        <v>73</v>
      </c>
      <c r="O7" s="55" t="s">
        <v>74</v>
      </c>
      <c r="P7" s="55" t="s">
        <v>75</v>
      </c>
      <c r="Q7" s="55" t="s">
        <v>76</v>
      </c>
    </row>
    <row r="8" spans="1:17" x14ac:dyDescent="0.2">
      <c r="A8" s="65"/>
      <c r="B8" s="65"/>
      <c r="G8" s="53" t="s">
        <v>69</v>
      </c>
      <c r="I8" s="53" t="s">
        <v>110</v>
      </c>
      <c r="J8" s="53" t="s">
        <v>111</v>
      </c>
      <c r="K8" s="53"/>
      <c r="L8" s="53"/>
      <c r="M8" s="55" t="s">
        <v>78</v>
      </c>
      <c r="O8" s="55" t="s">
        <v>79</v>
      </c>
      <c r="P8" s="55" t="s">
        <v>80</v>
      </c>
    </row>
    <row r="9" spans="1:17" x14ac:dyDescent="0.2">
      <c r="A9" s="65"/>
      <c r="B9" s="65"/>
      <c r="G9" s="50" t="s">
        <v>77</v>
      </c>
      <c r="I9" s="53" t="s">
        <v>81</v>
      </c>
      <c r="J9" s="53"/>
      <c r="K9" s="53"/>
      <c r="L9" s="53"/>
      <c r="M9" s="55" t="s">
        <v>82</v>
      </c>
      <c r="P9" s="61" t="s">
        <v>83</v>
      </c>
    </row>
    <row r="10" spans="1:17" x14ac:dyDescent="0.2">
      <c r="D10" s="48" t="s">
        <v>27</v>
      </c>
      <c r="G10" s="48" t="s">
        <v>113</v>
      </c>
      <c r="H10" s="48"/>
      <c r="I10" s="53" t="s">
        <v>85</v>
      </c>
      <c r="J10" s="53"/>
      <c r="K10" s="53"/>
      <c r="L10" s="53"/>
      <c r="M10" s="53"/>
    </row>
    <row r="11" spans="1:17" x14ac:dyDescent="0.2">
      <c r="D11" s="55" t="s">
        <v>25</v>
      </c>
      <c r="G11" s="50" t="s">
        <v>114</v>
      </c>
      <c r="J11" s="53"/>
      <c r="K11" s="53"/>
      <c r="L11" s="53"/>
      <c r="M11" s="53"/>
    </row>
    <row r="12" spans="1:17" x14ac:dyDescent="0.2">
      <c r="A12" s="66"/>
      <c r="B12" s="65"/>
      <c r="D12" s="55" t="s">
        <v>4</v>
      </c>
      <c r="G12" s="50" t="s">
        <v>115</v>
      </c>
      <c r="J12" s="53"/>
      <c r="K12" s="53"/>
      <c r="L12" s="53"/>
      <c r="M12" s="53"/>
    </row>
    <row r="13" spans="1:17" x14ac:dyDescent="0.2">
      <c r="A13" s="66"/>
      <c r="B13" s="65"/>
      <c r="D13" s="55" t="s">
        <v>5</v>
      </c>
      <c r="J13" s="53"/>
      <c r="K13" s="53"/>
      <c r="L13" s="53"/>
      <c r="M13" s="53"/>
    </row>
    <row r="14" spans="1:17" x14ac:dyDescent="0.2">
      <c r="A14" s="66"/>
      <c r="B14" s="65"/>
      <c r="D14" s="55" t="s">
        <v>6</v>
      </c>
      <c r="J14" s="53"/>
      <c r="K14" s="53"/>
      <c r="L14" s="53"/>
      <c r="M14" s="53"/>
    </row>
    <row r="15" spans="1:17" x14ac:dyDescent="0.2">
      <c r="A15" s="66"/>
      <c r="B15" s="65"/>
      <c r="D15" s="55" t="s">
        <v>15</v>
      </c>
      <c r="G15" s="48" t="s">
        <v>116</v>
      </c>
      <c r="H15" s="48"/>
      <c r="I15" s="66"/>
      <c r="J15" s="66"/>
      <c r="K15" s="66"/>
      <c r="L15" s="53"/>
      <c r="M15" s="53"/>
    </row>
    <row r="16" spans="1:17" x14ac:dyDescent="0.2">
      <c r="A16" s="66"/>
      <c r="B16" s="65"/>
      <c r="D16" s="55" t="s">
        <v>7</v>
      </c>
      <c r="G16" s="50" t="s">
        <v>117</v>
      </c>
      <c r="I16" s="66"/>
      <c r="J16" s="66"/>
      <c r="K16" s="66"/>
      <c r="L16" s="53"/>
      <c r="M16" s="53"/>
    </row>
    <row r="17" spans="3:20" x14ac:dyDescent="0.2">
      <c r="G17" s="50" t="s">
        <v>118</v>
      </c>
      <c r="I17" s="53"/>
      <c r="J17" s="53"/>
      <c r="K17" s="53"/>
      <c r="L17" s="53"/>
      <c r="M17" s="53"/>
    </row>
    <row r="18" spans="3:20" ht="15" x14ac:dyDescent="0.25">
      <c r="C18" s="67"/>
      <c r="D18" s="48" t="s">
        <v>119</v>
      </c>
      <c r="G18" s="50" t="s">
        <v>120</v>
      </c>
      <c r="I18" s="53"/>
      <c r="J18" s="53"/>
      <c r="K18" s="53"/>
      <c r="L18" s="53"/>
      <c r="M18" s="55"/>
    </row>
    <row r="19" spans="3:20" ht="10.15" customHeight="1" x14ac:dyDescent="0.2">
      <c r="C19" s="68"/>
      <c r="D19" s="55" t="s">
        <v>19</v>
      </c>
      <c r="G19" s="50" t="s">
        <v>121</v>
      </c>
      <c r="I19" s="53"/>
      <c r="J19" s="53"/>
      <c r="K19" s="53"/>
      <c r="L19" s="53"/>
      <c r="M19" s="55"/>
    </row>
    <row r="20" spans="3:20" ht="10.15" customHeight="1" x14ac:dyDescent="0.2">
      <c r="D20" s="55" t="s">
        <v>9</v>
      </c>
      <c r="G20" s="50" t="s">
        <v>122</v>
      </c>
      <c r="I20" s="48" t="s">
        <v>123</v>
      </c>
      <c r="J20" s="53"/>
      <c r="K20" s="53"/>
      <c r="L20" s="53"/>
      <c r="M20" s="55"/>
    </row>
    <row r="21" spans="3:20" ht="10.15" customHeight="1" x14ac:dyDescent="0.2">
      <c r="D21" s="55" t="s">
        <v>17</v>
      </c>
      <c r="G21" s="50" t="s">
        <v>112</v>
      </c>
      <c r="I21" s="69" t="s">
        <v>124</v>
      </c>
      <c r="J21" s="53"/>
      <c r="K21" s="53"/>
      <c r="L21" s="53"/>
      <c r="M21" s="55"/>
    </row>
    <row r="22" spans="3:20" ht="10.15" customHeight="1" x14ac:dyDescent="0.2">
      <c r="D22" s="55" t="s">
        <v>16</v>
      </c>
      <c r="I22" s="69" t="s">
        <v>125</v>
      </c>
      <c r="J22" s="53"/>
      <c r="K22" s="53"/>
      <c r="L22" s="53"/>
      <c r="M22" s="55"/>
    </row>
    <row r="23" spans="3:20" ht="10.15" customHeight="1" x14ac:dyDescent="0.2">
      <c r="D23" s="55"/>
      <c r="I23" s="69" t="s">
        <v>126</v>
      </c>
      <c r="J23" s="53"/>
      <c r="K23" s="53"/>
      <c r="L23" s="53"/>
      <c r="M23" s="55"/>
    </row>
    <row r="24" spans="3:20" ht="10.15" customHeight="1" x14ac:dyDescent="0.2">
      <c r="D24" s="55"/>
      <c r="G24" s="148"/>
      <c r="I24" s="69" t="s">
        <v>127</v>
      </c>
      <c r="J24" s="48" t="s">
        <v>126</v>
      </c>
      <c r="K24" s="48" t="s">
        <v>125</v>
      </c>
      <c r="L24" s="48" t="s">
        <v>124</v>
      </c>
      <c r="M24" s="48" t="s">
        <v>127</v>
      </c>
      <c r="N24" s="48" t="s">
        <v>128</v>
      </c>
      <c r="O24" s="48" t="s">
        <v>129</v>
      </c>
      <c r="P24" s="70" t="s">
        <v>130</v>
      </c>
      <c r="Q24" s="70" t="s">
        <v>131</v>
      </c>
      <c r="R24" s="70" t="s">
        <v>132</v>
      </c>
      <c r="S24" s="70" t="s">
        <v>133</v>
      </c>
      <c r="T24" s="70" t="s">
        <v>134</v>
      </c>
    </row>
    <row r="25" spans="3:20" ht="10.15" customHeight="1" x14ac:dyDescent="0.2">
      <c r="G25" s="148"/>
      <c r="I25" s="69" t="s">
        <v>128</v>
      </c>
      <c r="J25" s="69" t="s">
        <v>135</v>
      </c>
      <c r="K25" s="69" t="s">
        <v>136</v>
      </c>
      <c r="L25" s="69" t="s">
        <v>137</v>
      </c>
      <c r="M25" s="69" t="s">
        <v>138</v>
      </c>
      <c r="N25" s="69" t="s">
        <v>139</v>
      </c>
      <c r="O25" s="69" t="s">
        <v>140</v>
      </c>
      <c r="P25" s="69" t="s">
        <v>130</v>
      </c>
      <c r="Q25" s="51" t="s">
        <v>141</v>
      </c>
      <c r="R25" s="50" t="s">
        <v>142</v>
      </c>
      <c r="S25" s="50" t="s">
        <v>143</v>
      </c>
      <c r="T25" s="50" t="s">
        <v>144</v>
      </c>
    </row>
    <row r="26" spans="3:20" ht="10.15" customHeight="1" x14ac:dyDescent="0.2">
      <c r="C26" s="48" t="s">
        <v>672</v>
      </c>
      <c r="D26" s="48" t="s">
        <v>866</v>
      </c>
      <c r="E26" s="48" t="s">
        <v>69</v>
      </c>
      <c r="F26" s="48" t="s">
        <v>77</v>
      </c>
      <c r="G26" s="180"/>
      <c r="I26" s="69" t="s">
        <v>129</v>
      </c>
      <c r="J26" s="69" t="s">
        <v>145</v>
      </c>
      <c r="K26" s="69" t="s">
        <v>146</v>
      </c>
      <c r="L26" s="69" t="s">
        <v>147</v>
      </c>
      <c r="M26" s="69" t="s">
        <v>148</v>
      </c>
      <c r="N26" s="69" t="s">
        <v>149</v>
      </c>
      <c r="O26" s="71"/>
      <c r="P26" s="71"/>
      <c r="Q26" s="51" t="s">
        <v>150</v>
      </c>
      <c r="T26" s="50" t="s">
        <v>151</v>
      </c>
    </row>
    <row r="27" spans="3:20" ht="15" x14ac:dyDescent="0.2">
      <c r="C27" s="180" t="s">
        <v>33</v>
      </c>
      <c r="D27" s="180" t="s">
        <v>880</v>
      </c>
      <c r="E27" s="180" t="s">
        <v>69</v>
      </c>
      <c r="F27" s="179" t="s">
        <v>77</v>
      </c>
      <c r="G27" s="180"/>
      <c r="I27" s="69" t="s">
        <v>130</v>
      </c>
      <c r="J27" s="71"/>
      <c r="K27" s="69" t="s">
        <v>152</v>
      </c>
      <c r="L27" s="71"/>
      <c r="M27" s="69" t="s">
        <v>153</v>
      </c>
      <c r="N27" s="69" t="s">
        <v>154</v>
      </c>
      <c r="O27" s="71"/>
      <c r="P27" s="71"/>
      <c r="Q27" s="51" t="s">
        <v>155</v>
      </c>
      <c r="T27" s="50" t="s">
        <v>156</v>
      </c>
    </row>
    <row r="28" spans="3:20" ht="15" x14ac:dyDescent="0.2">
      <c r="C28" s="179" t="s">
        <v>32</v>
      </c>
      <c r="D28" s="181" t="s">
        <v>865</v>
      </c>
      <c r="E28" s="181"/>
      <c r="F28" s="181"/>
      <c r="G28" s="180"/>
      <c r="I28" s="69" t="s">
        <v>131</v>
      </c>
      <c r="J28" s="71"/>
      <c r="K28" s="71"/>
      <c r="L28" s="71"/>
      <c r="M28" s="71"/>
      <c r="N28" s="72" t="s">
        <v>157</v>
      </c>
      <c r="O28" s="71"/>
      <c r="P28" s="71"/>
      <c r="Q28" s="51" t="s">
        <v>158</v>
      </c>
      <c r="T28" s="50" t="s">
        <v>159</v>
      </c>
    </row>
    <row r="29" spans="3:20" ht="15" x14ac:dyDescent="0.2">
      <c r="D29" s="180" t="s">
        <v>60</v>
      </c>
      <c r="G29" s="148"/>
      <c r="I29" s="50" t="s">
        <v>132</v>
      </c>
      <c r="J29" s="71"/>
      <c r="K29" s="71"/>
      <c r="L29" s="71"/>
      <c r="M29" s="71"/>
      <c r="N29" s="72" t="s">
        <v>160</v>
      </c>
      <c r="O29" s="71"/>
      <c r="P29" s="71"/>
    </row>
    <row r="30" spans="3:20" ht="15" x14ac:dyDescent="0.2">
      <c r="G30" s="155"/>
      <c r="I30" s="50" t="s">
        <v>133</v>
      </c>
      <c r="J30" s="71"/>
      <c r="K30" s="71"/>
      <c r="M30" s="71"/>
      <c r="N30" s="72" t="s">
        <v>161</v>
      </c>
      <c r="O30" s="71"/>
      <c r="P30" s="71"/>
    </row>
    <row r="31" spans="3:20" ht="15" x14ac:dyDescent="0.2">
      <c r="C31" s="48" t="s">
        <v>113</v>
      </c>
      <c r="I31" s="50" t="s">
        <v>134</v>
      </c>
      <c r="J31" s="71"/>
      <c r="K31" s="71"/>
      <c r="M31" s="71"/>
      <c r="N31" s="71"/>
      <c r="O31" s="71"/>
      <c r="P31" s="71"/>
    </row>
    <row r="32" spans="3:20" x14ac:dyDescent="0.2">
      <c r="C32" s="181" t="s">
        <v>885</v>
      </c>
      <c r="J32" s="48" t="s">
        <v>162</v>
      </c>
      <c r="K32" s="48" t="s">
        <v>163</v>
      </c>
      <c r="L32" s="48" t="s">
        <v>164</v>
      </c>
      <c r="M32" s="48" t="s">
        <v>165</v>
      </c>
      <c r="N32" s="48" t="s">
        <v>166</v>
      </c>
      <c r="O32" s="48" t="s">
        <v>167</v>
      </c>
      <c r="P32" s="48" t="s">
        <v>168</v>
      </c>
    </row>
    <row r="33" spans="1:16" x14ac:dyDescent="0.2">
      <c r="G33" s="148"/>
      <c r="I33" s="69"/>
      <c r="J33" s="69" t="s">
        <v>169</v>
      </c>
      <c r="K33" s="69" t="s">
        <v>170</v>
      </c>
      <c r="L33" s="69" t="s">
        <v>171</v>
      </c>
      <c r="M33" s="69" t="s">
        <v>172</v>
      </c>
      <c r="N33" s="69" t="s">
        <v>173</v>
      </c>
      <c r="O33" s="69" t="s">
        <v>174</v>
      </c>
      <c r="P33" s="69" t="s">
        <v>175</v>
      </c>
    </row>
    <row r="34" spans="1:16" x14ac:dyDescent="0.2">
      <c r="G34" s="148"/>
      <c r="I34" s="69"/>
      <c r="J34" s="69" t="s">
        <v>176</v>
      </c>
      <c r="L34" s="72" t="s">
        <v>177</v>
      </c>
      <c r="M34" s="69" t="s">
        <v>178</v>
      </c>
      <c r="N34" s="69" t="s">
        <v>179</v>
      </c>
      <c r="O34" s="69" t="s">
        <v>180</v>
      </c>
      <c r="P34" s="69" t="s">
        <v>181</v>
      </c>
    </row>
    <row r="35" spans="1:16" x14ac:dyDescent="0.2">
      <c r="E35" s="65"/>
      <c r="F35" s="65"/>
      <c r="G35" s="148"/>
      <c r="I35" s="48" t="s">
        <v>182</v>
      </c>
      <c r="J35" s="69" t="s">
        <v>183</v>
      </c>
      <c r="N35" s="69"/>
      <c r="O35" s="50"/>
      <c r="P35" s="69"/>
    </row>
    <row r="36" spans="1:16" x14ac:dyDescent="0.2">
      <c r="E36" s="65"/>
      <c r="F36" s="65"/>
      <c r="G36" s="148"/>
      <c r="I36" s="69" t="s">
        <v>184</v>
      </c>
    </row>
    <row r="37" spans="1:16" x14ac:dyDescent="0.2">
      <c r="E37" s="65"/>
      <c r="F37" s="65"/>
      <c r="G37" s="148"/>
      <c r="I37" s="69" t="s">
        <v>185</v>
      </c>
    </row>
    <row r="38" spans="1:16" x14ac:dyDescent="0.2">
      <c r="E38" s="65"/>
      <c r="F38" s="65"/>
      <c r="G38" s="155"/>
      <c r="J38" s="48" t="s">
        <v>186</v>
      </c>
      <c r="K38" s="48" t="s">
        <v>187</v>
      </c>
      <c r="L38" s="48" t="s">
        <v>188</v>
      </c>
      <c r="M38" s="48" t="s">
        <v>189</v>
      </c>
      <c r="N38" s="48" t="s">
        <v>190</v>
      </c>
      <c r="O38" s="48" t="s">
        <v>191</v>
      </c>
    </row>
    <row r="39" spans="1:16" x14ac:dyDescent="0.2">
      <c r="E39" s="65"/>
      <c r="F39" s="65"/>
      <c r="G39" s="155"/>
      <c r="L39" s="50" t="s">
        <v>192</v>
      </c>
      <c r="M39" s="50" t="s">
        <v>193</v>
      </c>
    </row>
    <row r="40" spans="1:16" x14ac:dyDescent="0.2">
      <c r="E40" s="65"/>
      <c r="F40" s="65"/>
      <c r="L40" s="73" t="s">
        <v>194</v>
      </c>
      <c r="M40" s="50" t="s">
        <v>195</v>
      </c>
    </row>
    <row r="41" spans="1:16" x14ac:dyDescent="0.2">
      <c r="A41" s="74" t="s">
        <v>196</v>
      </c>
      <c r="B41" s="75"/>
      <c r="C41" s="76"/>
      <c r="E41" s="65"/>
      <c r="F41" s="65"/>
      <c r="M41" s="73" t="s">
        <v>194</v>
      </c>
    </row>
    <row r="42" spans="1:16" x14ac:dyDescent="0.2">
      <c r="A42" s="77" t="s">
        <v>197</v>
      </c>
      <c r="B42" s="65"/>
      <c r="C42" s="76"/>
    </row>
    <row r="47" spans="1:16" x14ac:dyDescent="0.2">
      <c r="J47" s="48" t="s">
        <v>198</v>
      </c>
      <c r="K47" s="48" t="s">
        <v>199</v>
      </c>
      <c r="L47" s="48" t="s">
        <v>200</v>
      </c>
      <c r="M47" s="48" t="s">
        <v>201</v>
      </c>
      <c r="N47" s="48" t="s">
        <v>202</v>
      </c>
      <c r="O47" s="48" t="s">
        <v>203</v>
      </c>
    </row>
    <row r="48" spans="1:16" x14ac:dyDescent="0.2">
      <c r="L48" s="50" t="s">
        <v>204</v>
      </c>
      <c r="M48" s="50" t="s">
        <v>205</v>
      </c>
    </row>
    <row r="49" spans="10:15" x14ac:dyDescent="0.2">
      <c r="L49" s="50" t="s">
        <v>206</v>
      </c>
      <c r="M49" s="50" t="s">
        <v>207</v>
      </c>
    </row>
    <row r="50" spans="10:15" x14ac:dyDescent="0.2">
      <c r="L50" s="73" t="s">
        <v>194</v>
      </c>
    </row>
    <row r="56" spans="10:15" x14ac:dyDescent="0.2">
      <c r="J56" s="48" t="s">
        <v>208</v>
      </c>
      <c r="K56" s="48" t="s">
        <v>209</v>
      </c>
      <c r="L56" s="48" t="s">
        <v>210</v>
      </c>
      <c r="M56" s="48" t="s">
        <v>211</v>
      </c>
      <c r="N56" s="48" t="s">
        <v>212</v>
      </c>
      <c r="O56" s="48" t="s">
        <v>213</v>
      </c>
    </row>
    <row r="57" spans="10:15" x14ac:dyDescent="0.2">
      <c r="L57" s="50" t="s">
        <v>214</v>
      </c>
      <c r="M57" s="50" t="s">
        <v>215</v>
      </c>
    </row>
    <row r="58" spans="10:15" x14ac:dyDescent="0.2">
      <c r="L58" s="50" t="s">
        <v>216</v>
      </c>
      <c r="M58" s="50" t="s">
        <v>217</v>
      </c>
    </row>
    <row r="59" spans="10:15" x14ac:dyDescent="0.2">
      <c r="L59" s="73" t="s">
        <v>194</v>
      </c>
    </row>
    <row r="63" spans="10:15" x14ac:dyDescent="0.2">
      <c r="J63" s="48" t="s">
        <v>218</v>
      </c>
      <c r="K63" s="48" t="s">
        <v>219</v>
      </c>
      <c r="L63" s="48" t="s">
        <v>220</v>
      </c>
      <c r="M63" s="48" t="s">
        <v>221</v>
      </c>
      <c r="N63" s="48" t="s">
        <v>222</v>
      </c>
      <c r="O63" s="48" t="s">
        <v>223</v>
      </c>
    </row>
    <row r="64" spans="10:15" ht="22.5" x14ac:dyDescent="0.2">
      <c r="L64" s="78" t="s">
        <v>224</v>
      </c>
      <c r="M64" s="50" t="s">
        <v>225</v>
      </c>
    </row>
    <row r="65" spans="10:15" x14ac:dyDescent="0.2">
      <c r="L65" s="50" t="s">
        <v>226</v>
      </c>
      <c r="M65" s="50" t="s">
        <v>227</v>
      </c>
    </row>
    <row r="66" spans="10:15" x14ac:dyDescent="0.2">
      <c r="L66" s="50" t="s">
        <v>228</v>
      </c>
      <c r="M66" s="50" t="s">
        <v>229</v>
      </c>
    </row>
    <row r="67" spans="10:15" x14ac:dyDescent="0.2">
      <c r="L67" s="50" t="s">
        <v>230</v>
      </c>
      <c r="M67" s="50" t="s">
        <v>231</v>
      </c>
    </row>
    <row r="71" spans="10:15" x14ac:dyDescent="0.2">
      <c r="J71" s="48" t="s">
        <v>232</v>
      </c>
      <c r="K71" s="48" t="s">
        <v>233</v>
      </c>
      <c r="L71" s="48" t="s">
        <v>234</v>
      </c>
      <c r="M71" s="48" t="s">
        <v>235</v>
      </c>
      <c r="N71" s="48" t="s">
        <v>236</v>
      </c>
      <c r="O71" s="48" t="s">
        <v>237</v>
      </c>
    </row>
    <row r="72" spans="10:15" x14ac:dyDescent="0.2">
      <c r="L72" s="50" t="s">
        <v>238</v>
      </c>
      <c r="M72" s="50" t="s">
        <v>239</v>
      </c>
    </row>
    <row r="73" spans="10:15" x14ac:dyDescent="0.2">
      <c r="L73" s="50" t="s">
        <v>240</v>
      </c>
      <c r="M73" s="50" t="s">
        <v>241</v>
      </c>
    </row>
  </sheetData>
  <dataConsolidate/>
  <mergeCells count="1">
    <mergeCell ref="B5:C6"/>
  </mergeCells>
  <dataValidations count="1">
    <dataValidation type="list" allowBlank="1" showInputMessage="1" showErrorMessage="1" sqref="H1">
      <formula1>origine_de_détection</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7030A0"/>
    <pageSetUpPr fitToPage="1"/>
  </sheetPr>
  <dimension ref="A1:J41"/>
  <sheetViews>
    <sheetView showGridLines="0" topLeftCell="D1" zoomScale="90" zoomScaleNormal="90" zoomScaleSheetLayoutView="100" workbookViewId="0">
      <pane ySplit="3" topLeftCell="A4" activePane="bottomLeft" state="frozen"/>
      <selection pane="bottomLeft" activeCell="H4" sqref="H4"/>
    </sheetView>
  </sheetViews>
  <sheetFormatPr baseColWidth="10" defaultRowHeight="12.75" x14ac:dyDescent="0.2"/>
  <cols>
    <col min="1" max="1" width="12.85546875" style="2" customWidth="1"/>
    <col min="2" max="2" width="34.140625" style="1" customWidth="1"/>
    <col min="3" max="4" width="24" style="1" customWidth="1"/>
    <col min="5" max="5" width="26.5703125" style="2" customWidth="1"/>
    <col min="6" max="6" width="16.7109375" style="3" customWidth="1"/>
    <col min="7" max="7" width="31.42578125" style="2" bestFit="1" customWidth="1"/>
    <col min="8" max="8" width="31.42578125" style="2" customWidth="1"/>
    <col min="9" max="9" width="30.5703125" style="2" customWidth="1"/>
    <col min="10" max="10" width="33.28515625" style="15" bestFit="1" customWidth="1"/>
  </cols>
  <sheetData>
    <row r="1" spans="1:10" s="3" customFormat="1" ht="27.75" customHeight="1" x14ac:dyDescent="0.2">
      <c r="A1" s="220" t="s">
        <v>970</v>
      </c>
      <c r="B1" s="221" t="s">
        <v>2</v>
      </c>
      <c r="C1" s="262" t="s">
        <v>900</v>
      </c>
      <c r="D1" s="262" t="s">
        <v>3</v>
      </c>
      <c r="E1" s="208" t="s">
        <v>903</v>
      </c>
      <c r="F1" s="208" t="s">
        <v>22</v>
      </c>
      <c r="G1" s="210" t="s">
        <v>0</v>
      </c>
      <c r="H1" s="210" t="s">
        <v>968</v>
      </c>
      <c r="I1" s="33" t="s">
        <v>967</v>
      </c>
      <c r="J1" s="207" t="s">
        <v>751</v>
      </c>
    </row>
    <row r="2" spans="1:10" ht="25.5" hidden="1" customHeight="1" x14ac:dyDescent="0.2">
      <c r="A2" s="38"/>
      <c r="B2" s="39"/>
      <c r="C2" s="39"/>
      <c r="D2" s="39"/>
      <c r="E2" s="40">
        <v>1</v>
      </c>
      <c r="F2" s="41"/>
      <c r="G2" s="38"/>
      <c r="H2" s="38"/>
      <c r="I2" s="40">
        <v>1</v>
      </c>
      <c r="J2" s="42" t="s">
        <v>24</v>
      </c>
    </row>
    <row r="3" spans="1:10" ht="24.95" customHeight="1" x14ac:dyDescent="0.2">
      <c r="A3" s="157" t="s">
        <v>674</v>
      </c>
      <c r="B3" s="43" t="str">
        <f ca="1">Conso!A2</f>
        <v>Risk N°1</v>
      </c>
      <c r="C3" s="162" t="str">
        <f ca="1">Conso!AX2</f>
        <v>Critique</v>
      </c>
      <c r="D3" s="162" t="str">
        <f ca="1">Conso!AW2</f>
        <v>Exceptionnelle</v>
      </c>
      <c r="E3" s="44" t="str">
        <f ca="1">IF(OR(C3="",D3=""),"",C3&amp;"/"&amp;D3)</f>
        <v>Critique/Exceptionnelle</v>
      </c>
      <c r="F3" s="46" t="str">
        <f ca="1">IFERROR(INDEX(Notes!$I$9:$N$14,7-VLOOKUP(Conso!AW2,Notes!$D$2:$E$7,2,FALSE),VLOOKUP(Conso!AX2,Notes!$A$2:$B$7,2,FALSE)),"")</f>
        <v>Très élevée</v>
      </c>
      <c r="G3" s="44" t="str">
        <f ca="1">IFERROR(Conso!BD2,"")</f>
        <v>Maîtrisé</v>
      </c>
      <c r="H3" s="44" t="str">
        <f ca="1">G3&amp;"/"&amp;F3</f>
        <v>Maîtrisé/Très élevée</v>
      </c>
      <c r="I3" s="268" t="str">
        <f ca="1">IFERROR(INDEX(Notes!$S$10:$V$13,5-VLOOKUP(F3,Notes!$G$2:$H$5,2,FALSE),VLOOKUP('Tableau des risques brut'!G3,Notes!$J$2:$K$5,2,FALSE)),"")</f>
        <v>Zone de criticité élevée /Surveillance soutenue</v>
      </c>
      <c r="J3" s="162" t="s">
        <v>752</v>
      </c>
    </row>
    <row r="4" spans="1:10" ht="24.95" customHeight="1" x14ac:dyDescent="0.2">
      <c r="A4" s="157" t="s">
        <v>675</v>
      </c>
      <c r="B4" s="43" t="e">
        <f>#REF!</f>
        <v>#REF!</v>
      </c>
      <c r="C4" s="162"/>
      <c r="D4" s="162"/>
      <c r="E4" s="44"/>
      <c r="F4" s="46"/>
      <c r="G4" s="44"/>
      <c r="H4" s="44"/>
      <c r="I4" s="268"/>
      <c r="J4" s="162" t="s">
        <v>753</v>
      </c>
    </row>
    <row r="5" spans="1:10" ht="24.95" customHeight="1" x14ac:dyDescent="0.2">
      <c r="A5" s="157" t="s">
        <v>676</v>
      </c>
      <c r="B5" s="43" t="e">
        <f>#REF!</f>
        <v>#REF!</v>
      </c>
      <c r="C5" s="162"/>
      <c r="D5" s="162"/>
      <c r="E5" s="44"/>
      <c r="F5" s="46"/>
      <c r="G5" s="44"/>
      <c r="H5" s="44"/>
      <c r="I5" s="268"/>
      <c r="J5" s="162" t="s">
        <v>754</v>
      </c>
    </row>
    <row r="6" spans="1:10" ht="24.95" customHeight="1" x14ac:dyDescent="0.2">
      <c r="A6" s="157" t="s">
        <v>677</v>
      </c>
      <c r="B6" s="43" t="e">
        <f>#REF!</f>
        <v>#REF!</v>
      </c>
      <c r="C6" s="162"/>
      <c r="D6" s="162"/>
      <c r="E6" s="44"/>
      <c r="F6" s="46"/>
      <c r="G6" s="44"/>
      <c r="H6" s="44"/>
      <c r="I6" s="268"/>
      <c r="J6" s="162" t="s">
        <v>755</v>
      </c>
    </row>
    <row r="7" spans="1:10" ht="24.95" customHeight="1" x14ac:dyDescent="0.2">
      <c r="A7" s="157" t="s">
        <v>678</v>
      </c>
      <c r="B7" s="43" t="e">
        <f>#REF!</f>
        <v>#REF!</v>
      </c>
      <c r="C7" s="162"/>
      <c r="D7" s="162"/>
      <c r="E7" s="44"/>
      <c r="F7" s="46"/>
      <c r="G7" s="44"/>
      <c r="H7" s="44"/>
      <c r="I7" s="268"/>
      <c r="J7" s="162" t="s">
        <v>756</v>
      </c>
    </row>
    <row r="8" spans="1:10" ht="24.95" customHeight="1" x14ac:dyDescent="0.2">
      <c r="A8" s="157" t="s">
        <v>679</v>
      </c>
      <c r="B8" s="43" t="e">
        <f>#REF!</f>
        <v>#REF!</v>
      </c>
      <c r="C8" s="162"/>
      <c r="D8" s="162"/>
      <c r="E8" s="44"/>
      <c r="F8" s="46"/>
      <c r="G8" s="44"/>
      <c r="H8" s="44"/>
      <c r="I8" s="268"/>
      <c r="J8" s="162" t="s">
        <v>757</v>
      </c>
    </row>
    <row r="9" spans="1:10" ht="24.95" customHeight="1" x14ac:dyDescent="0.2">
      <c r="A9" s="157" t="s">
        <v>680</v>
      </c>
      <c r="B9" s="43" t="e">
        <f>#REF!</f>
        <v>#REF!</v>
      </c>
      <c r="C9" s="162"/>
      <c r="D9" s="162"/>
      <c r="E9" s="44"/>
      <c r="F9" s="46"/>
      <c r="G9" s="44"/>
      <c r="H9" s="44"/>
      <c r="I9" s="268"/>
      <c r="J9" s="162" t="s">
        <v>758</v>
      </c>
    </row>
    <row r="10" spans="1:10" ht="24.95" customHeight="1" x14ac:dyDescent="0.2">
      <c r="A10" s="157" t="s">
        <v>681</v>
      </c>
      <c r="B10" s="43" t="e">
        <f>#REF!</f>
        <v>#REF!</v>
      </c>
      <c r="C10" s="162"/>
      <c r="D10" s="162"/>
      <c r="E10" s="44"/>
      <c r="F10" s="46"/>
      <c r="G10" s="44"/>
      <c r="H10" s="44"/>
      <c r="I10" s="268"/>
      <c r="J10" s="162" t="s">
        <v>759</v>
      </c>
    </row>
    <row r="11" spans="1:10" ht="24.95" customHeight="1" x14ac:dyDescent="0.2">
      <c r="A11" s="157" t="s">
        <v>682</v>
      </c>
      <c r="B11" s="43" t="e">
        <f>#REF!</f>
        <v>#REF!</v>
      </c>
      <c r="C11" s="162"/>
      <c r="D11" s="162"/>
      <c r="E11" s="44"/>
      <c r="F11" s="46"/>
      <c r="G11" s="44"/>
      <c r="H11" s="44"/>
      <c r="I11" s="268"/>
      <c r="J11" s="162" t="s">
        <v>760</v>
      </c>
    </row>
    <row r="12" spans="1:10" ht="24.95" customHeight="1" x14ac:dyDescent="0.2">
      <c r="A12" s="157" t="s">
        <v>683</v>
      </c>
      <c r="B12" s="43" t="e">
        <f>#REF!</f>
        <v>#REF!</v>
      </c>
      <c r="C12" s="162"/>
      <c r="D12" s="162"/>
      <c r="E12" s="44"/>
      <c r="F12" s="46"/>
      <c r="G12" s="44"/>
      <c r="H12" s="44"/>
      <c r="I12" s="268"/>
      <c r="J12" s="162" t="s">
        <v>761</v>
      </c>
    </row>
    <row r="13" spans="1:10" ht="24.95" customHeight="1" x14ac:dyDescent="0.2">
      <c r="A13" s="157" t="s">
        <v>684</v>
      </c>
      <c r="B13" s="43" t="e">
        <f>#REF!</f>
        <v>#REF!</v>
      </c>
      <c r="C13" s="162"/>
      <c r="D13" s="162"/>
      <c r="E13" s="44"/>
      <c r="F13" s="46"/>
      <c r="G13" s="44"/>
      <c r="H13" s="44"/>
      <c r="I13" s="268"/>
      <c r="J13" s="162" t="s">
        <v>762</v>
      </c>
    </row>
    <row r="14" spans="1:10" ht="24.95" customHeight="1" x14ac:dyDescent="0.2">
      <c r="A14" s="157" t="s">
        <v>685</v>
      </c>
      <c r="B14" s="43" t="e">
        <f>#REF!</f>
        <v>#REF!</v>
      </c>
      <c r="C14" s="162"/>
      <c r="D14" s="162"/>
      <c r="E14" s="44"/>
      <c r="F14" s="46"/>
      <c r="G14" s="44"/>
      <c r="H14" s="44"/>
      <c r="I14" s="268"/>
      <c r="J14" s="162" t="s">
        <v>763</v>
      </c>
    </row>
    <row r="15" spans="1:10" ht="24.95" customHeight="1" x14ac:dyDescent="0.2">
      <c r="A15" s="157" t="s">
        <v>686</v>
      </c>
      <c r="B15" s="43" t="e">
        <f>#REF!</f>
        <v>#REF!</v>
      </c>
      <c r="C15" s="162"/>
      <c r="D15" s="162"/>
      <c r="E15" s="44"/>
      <c r="F15" s="46"/>
      <c r="G15" s="44"/>
      <c r="H15" s="44"/>
      <c r="I15" s="268"/>
      <c r="J15" s="162" t="s">
        <v>764</v>
      </c>
    </row>
    <row r="16" spans="1:10" ht="24.95" customHeight="1" x14ac:dyDescent="0.2">
      <c r="A16" s="157" t="s">
        <v>687</v>
      </c>
      <c r="B16" s="43" t="e">
        <f>#REF!</f>
        <v>#REF!</v>
      </c>
      <c r="C16" s="162"/>
      <c r="D16" s="162"/>
      <c r="E16" s="44"/>
      <c r="F16" s="46"/>
      <c r="G16" s="44"/>
      <c r="H16" s="44"/>
      <c r="I16" s="268"/>
      <c r="J16" s="162" t="s">
        <v>765</v>
      </c>
    </row>
    <row r="17" spans="1:10" ht="24.95" customHeight="1" x14ac:dyDescent="0.2">
      <c r="A17" s="157" t="s">
        <v>688</v>
      </c>
      <c r="B17" s="43" t="e">
        <f>#REF!</f>
        <v>#REF!</v>
      </c>
      <c r="C17" s="162"/>
      <c r="D17" s="162"/>
      <c r="E17" s="44"/>
      <c r="F17" s="46"/>
      <c r="G17" s="44"/>
      <c r="H17" s="44"/>
      <c r="I17" s="268"/>
      <c r="J17" s="162" t="s">
        <v>766</v>
      </c>
    </row>
    <row r="18" spans="1:10" ht="24.95" customHeight="1" x14ac:dyDescent="0.2">
      <c r="A18" s="157" t="s">
        <v>689</v>
      </c>
      <c r="B18" s="43" t="e">
        <f>#REF!</f>
        <v>#REF!</v>
      </c>
      <c r="C18" s="162"/>
      <c r="D18" s="162"/>
      <c r="E18" s="44"/>
      <c r="F18" s="46"/>
      <c r="G18" s="44"/>
      <c r="H18" s="44"/>
      <c r="I18" s="268"/>
      <c r="J18" s="162" t="s">
        <v>767</v>
      </c>
    </row>
    <row r="19" spans="1:10" ht="24.95" customHeight="1" x14ac:dyDescent="0.2">
      <c r="A19" s="157" t="s">
        <v>690</v>
      </c>
      <c r="B19" s="43" t="e">
        <f>#REF!</f>
        <v>#REF!</v>
      </c>
      <c r="C19" s="162"/>
      <c r="D19" s="162"/>
      <c r="E19" s="44"/>
      <c r="F19" s="46"/>
      <c r="G19" s="44"/>
      <c r="H19" s="44"/>
      <c r="I19" s="268"/>
      <c r="J19" s="162" t="s">
        <v>768</v>
      </c>
    </row>
    <row r="20" spans="1:10" ht="24.95" customHeight="1" x14ac:dyDescent="0.2">
      <c r="A20" s="157" t="s">
        <v>691</v>
      </c>
      <c r="B20" s="43" t="e">
        <f>#REF!</f>
        <v>#REF!</v>
      </c>
      <c r="C20" s="162"/>
      <c r="D20" s="162"/>
      <c r="E20" s="44"/>
      <c r="F20" s="46"/>
      <c r="G20" s="44"/>
      <c r="H20" s="44"/>
      <c r="I20" s="268"/>
      <c r="J20" s="162" t="s">
        <v>769</v>
      </c>
    </row>
    <row r="21" spans="1:10" ht="24.95" customHeight="1" x14ac:dyDescent="0.2">
      <c r="A21" s="157" t="s">
        <v>692</v>
      </c>
      <c r="B21" s="43" t="e">
        <f>#REF!</f>
        <v>#REF!</v>
      </c>
      <c r="C21" s="162"/>
      <c r="D21" s="162"/>
      <c r="E21" s="44"/>
      <c r="F21" s="46"/>
      <c r="G21" s="44"/>
      <c r="H21" s="44"/>
      <c r="I21" s="268"/>
      <c r="J21" s="162" t="s">
        <v>770</v>
      </c>
    </row>
    <row r="22" spans="1:10" ht="24.95" customHeight="1" x14ac:dyDescent="0.2">
      <c r="A22" s="157" t="s">
        <v>693</v>
      </c>
      <c r="B22" s="43" t="e">
        <f>#REF!</f>
        <v>#REF!</v>
      </c>
      <c r="C22" s="162"/>
      <c r="D22" s="162"/>
      <c r="E22" s="44"/>
      <c r="F22" s="46"/>
      <c r="G22" s="44"/>
      <c r="H22" s="44"/>
      <c r="I22" s="268"/>
      <c r="J22" s="162" t="s">
        <v>771</v>
      </c>
    </row>
    <row r="23" spans="1:10" ht="24.95" customHeight="1" x14ac:dyDescent="0.2">
      <c r="A23" s="157" t="s">
        <v>694</v>
      </c>
      <c r="B23" s="43" t="e">
        <f>#REF!</f>
        <v>#REF!</v>
      </c>
      <c r="C23" s="162"/>
      <c r="D23" s="162"/>
      <c r="E23" s="44"/>
      <c r="F23" s="46"/>
      <c r="G23" s="44"/>
      <c r="H23" s="44"/>
      <c r="I23" s="268"/>
      <c r="J23" s="162" t="s">
        <v>772</v>
      </c>
    </row>
    <row r="24" spans="1:10" ht="24.95" customHeight="1" x14ac:dyDescent="0.2">
      <c r="A24" s="157" t="s">
        <v>695</v>
      </c>
      <c r="B24" s="43" t="e">
        <f>#REF!</f>
        <v>#REF!</v>
      </c>
      <c r="C24" s="162"/>
      <c r="D24" s="162"/>
      <c r="E24" s="44"/>
      <c r="F24" s="46"/>
      <c r="G24" s="44"/>
      <c r="H24" s="44"/>
      <c r="I24" s="268"/>
      <c r="J24" s="162" t="s">
        <v>773</v>
      </c>
    </row>
    <row r="25" spans="1:10" ht="24.95" customHeight="1" x14ac:dyDescent="0.2">
      <c r="A25" s="157" t="s">
        <v>696</v>
      </c>
      <c r="B25" s="43" t="e">
        <f>#REF!</f>
        <v>#REF!</v>
      </c>
      <c r="C25" s="162"/>
      <c r="D25" s="162"/>
      <c r="E25" s="44"/>
      <c r="F25" s="46"/>
      <c r="G25" s="44"/>
      <c r="H25" s="44"/>
      <c r="I25" s="268"/>
      <c r="J25" s="162" t="s">
        <v>774</v>
      </c>
    </row>
    <row r="26" spans="1:10" ht="24.95" customHeight="1" x14ac:dyDescent="0.2">
      <c r="A26" s="157" t="s">
        <v>697</v>
      </c>
      <c r="B26" s="43" t="e">
        <f>#REF!</f>
        <v>#REF!</v>
      </c>
      <c r="C26" s="162"/>
      <c r="D26" s="162"/>
      <c r="E26" s="44"/>
      <c r="F26" s="46"/>
      <c r="G26" s="44"/>
      <c r="H26" s="44"/>
      <c r="I26" s="268"/>
      <c r="J26" s="162" t="s">
        <v>775</v>
      </c>
    </row>
    <row r="27" spans="1:10" ht="24.95" customHeight="1" x14ac:dyDescent="0.2">
      <c r="A27" s="157" t="s">
        <v>698</v>
      </c>
      <c r="B27" s="43" t="e">
        <f>#REF!</f>
        <v>#REF!</v>
      </c>
      <c r="C27" s="162"/>
      <c r="D27" s="162"/>
      <c r="E27" s="44"/>
      <c r="F27" s="46"/>
      <c r="G27" s="44"/>
      <c r="H27" s="44"/>
      <c r="I27" s="268"/>
      <c r="J27" s="162" t="s">
        <v>776</v>
      </c>
    </row>
    <row r="28" spans="1:10" ht="24.95" customHeight="1" x14ac:dyDescent="0.2">
      <c r="A28" s="157" t="s">
        <v>699</v>
      </c>
      <c r="B28" s="43" t="e">
        <f>#REF!</f>
        <v>#REF!</v>
      </c>
      <c r="C28" s="162"/>
      <c r="D28" s="162"/>
      <c r="E28" s="44"/>
      <c r="F28" s="46"/>
      <c r="G28" s="44"/>
      <c r="H28" s="44"/>
      <c r="I28" s="268"/>
      <c r="J28" s="162" t="s">
        <v>777</v>
      </c>
    </row>
    <row r="29" spans="1:10" ht="24.95" customHeight="1" x14ac:dyDescent="0.2">
      <c r="A29" s="157" t="s">
        <v>700</v>
      </c>
      <c r="B29" s="43" t="e">
        <f>#REF!</f>
        <v>#REF!</v>
      </c>
      <c r="C29" s="162"/>
      <c r="D29" s="162"/>
      <c r="E29" s="44"/>
      <c r="F29" s="46"/>
      <c r="G29" s="44"/>
      <c r="H29" s="44"/>
      <c r="I29" s="268"/>
      <c r="J29" s="162" t="s">
        <v>778</v>
      </c>
    </row>
    <row r="30" spans="1:10" ht="24.95" customHeight="1" x14ac:dyDescent="0.2">
      <c r="A30" s="157" t="s">
        <v>701</v>
      </c>
      <c r="B30" s="43" t="e">
        <f>#REF!</f>
        <v>#REF!</v>
      </c>
      <c r="C30" s="162"/>
      <c r="D30" s="162"/>
      <c r="E30" s="44"/>
      <c r="F30" s="46"/>
      <c r="G30" s="44"/>
      <c r="H30" s="44"/>
      <c r="I30" s="268"/>
      <c r="J30" s="162" t="s">
        <v>779</v>
      </c>
    </row>
    <row r="31" spans="1:10" ht="24.95" customHeight="1" x14ac:dyDescent="0.2">
      <c r="A31" s="157" t="s">
        <v>702</v>
      </c>
      <c r="B31" s="43" t="e">
        <f>#REF!</f>
        <v>#REF!</v>
      </c>
      <c r="C31" s="162"/>
      <c r="D31" s="162"/>
      <c r="E31" s="44"/>
      <c r="F31" s="46"/>
      <c r="G31" s="44"/>
      <c r="H31" s="44"/>
      <c r="I31" s="268"/>
      <c r="J31" s="162" t="s">
        <v>780</v>
      </c>
    </row>
    <row r="32" spans="1:10" ht="24.95" customHeight="1" x14ac:dyDescent="0.2">
      <c r="A32" s="157" t="s">
        <v>703</v>
      </c>
      <c r="B32" s="43" t="e">
        <f>#REF!</f>
        <v>#REF!</v>
      </c>
      <c r="C32" s="162"/>
      <c r="D32" s="162"/>
      <c r="E32" s="44"/>
      <c r="F32" s="46"/>
      <c r="G32" s="44"/>
      <c r="H32" s="44"/>
      <c r="I32" s="268"/>
      <c r="J32" s="162" t="s">
        <v>781</v>
      </c>
    </row>
    <row r="33" spans="1:10" ht="24.95" customHeight="1" x14ac:dyDescent="0.2">
      <c r="A33" s="157" t="s">
        <v>704</v>
      </c>
      <c r="B33" s="43" t="e">
        <f>#REF!</f>
        <v>#REF!</v>
      </c>
      <c r="C33" s="162"/>
      <c r="D33" s="162"/>
      <c r="E33" s="44"/>
      <c r="F33" s="46"/>
      <c r="G33" s="44"/>
      <c r="H33" s="44"/>
      <c r="I33" s="268"/>
      <c r="J33" s="162" t="s">
        <v>782</v>
      </c>
    </row>
    <row r="34" spans="1:10" ht="24.95" customHeight="1" x14ac:dyDescent="0.2">
      <c r="A34" s="157" t="s">
        <v>705</v>
      </c>
      <c r="B34" s="43" t="e">
        <f>#REF!</f>
        <v>#REF!</v>
      </c>
      <c r="C34" s="162"/>
      <c r="D34" s="162"/>
      <c r="E34" s="44"/>
      <c r="F34" s="46"/>
      <c r="G34" s="44"/>
      <c r="H34" s="44"/>
      <c r="I34" s="268"/>
      <c r="J34" s="162" t="s">
        <v>783</v>
      </c>
    </row>
    <row r="35" spans="1:10" ht="24.95" customHeight="1" x14ac:dyDescent="0.2">
      <c r="A35" s="157" t="s">
        <v>706</v>
      </c>
      <c r="B35" s="43" t="e">
        <f>#REF!</f>
        <v>#REF!</v>
      </c>
      <c r="C35" s="162"/>
      <c r="D35" s="162"/>
      <c r="E35" s="44"/>
      <c r="F35" s="46"/>
      <c r="G35" s="44"/>
      <c r="H35" s="44"/>
      <c r="I35" s="268"/>
      <c r="J35" s="162" t="s">
        <v>784</v>
      </c>
    </row>
    <row r="36" spans="1:10" ht="24.95" customHeight="1" x14ac:dyDescent="0.2">
      <c r="A36" s="157" t="s">
        <v>707</v>
      </c>
      <c r="B36" s="43" t="e">
        <f>#REF!</f>
        <v>#REF!</v>
      </c>
      <c r="C36" s="162"/>
      <c r="D36" s="162"/>
      <c r="E36" s="44"/>
      <c r="F36" s="46"/>
      <c r="G36" s="44"/>
      <c r="H36" s="44"/>
      <c r="I36" s="268"/>
      <c r="J36" s="162" t="s">
        <v>785</v>
      </c>
    </row>
    <row r="37" spans="1:10" ht="24.95" customHeight="1" x14ac:dyDescent="0.2">
      <c r="A37" s="157" t="s">
        <v>708</v>
      </c>
      <c r="B37" s="43" t="e">
        <f>#REF!</f>
        <v>#REF!</v>
      </c>
      <c r="C37" s="162"/>
      <c r="D37" s="162"/>
      <c r="E37" s="44"/>
      <c r="F37" s="46"/>
      <c r="G37" s="44"/>
      <c r="H37" s="44"/>
      <c r="I37" s="268"/>
      <c r="J37" s="162" t="s">
        <v>786</v>
      </c>
    </row>
    <row r="38" spans="1:10" ht="24.95" customHeight="1" x14ac:dyDescent="0.2">
      <c r="A38" s="157" t="s">
        <v>709</v>
      </c>
      <c r="B38" s="43" t="e">
        <f>#REF!</f>
        <v>#REF!</v>
      </c>
      <c r="C38" s="162"/>
      <c r="D38" s="162"/>
      <c r="E38" s="44"/>
      <c r="F38" s="46"/>
      <c r="G38" s="44"/>
      <c r="H38" s="44"/>
      <c r="I38" s="268"/>
      <c r="J38" s="162" t="s">
        <v>787</v>
      </c>
    </row>
    <row r="39" spans="1:10" ht="24.95" customHeight="1" x14ac:dyDescent="0.2">
      <c r="A39" s="157" t="s">
        <v>710</v>
      </c>
      <c r="B39" s="43" t="e">
        <f>#REF!</f>
        <v>#REF!</v>
      </c>
      <c r="C39" s="162"/>
      <c r="D39" s="162"/>
      <c r="E39" s="44"/>
      <c r="F39" s="46"/>
      <c r="G39" s="44"/>
      <c r="H39" s="44"/>
      <c r="I39" s="268"/>
      <c r="J39" s="162" t="s">
        <v>788</v>
      </c>
    </row>
    <row r="40" spans="1:10" ht="24.95" customHeight="1" x14ac:dyDescent="0.2">
      <c r="A40" s="157" t="s">
        <v>710</v>
      </c>
      <c r="B40" s="43" t="e">
        <f>#REF!</f>
        <v>#REF!</v>
      </c>
      <c r="C40" s="162"/>
      <c r="D40" s="162"/>
      <c r="E40" s="44"/>
      <c r="F40" s="46"/>
      <c r="G40" s="44"/>
      <c r="H40" s="44"/>
      <c r="I40" s="268"/>
      <c r="J40" s="162" t="s">
        <v>789</v>
      </c>
    </row>
    <row r="41" spans="1:10" ht="24.95" customHeight="1" x14ac:dyDescent="0.2">
      <c r="A41" s="157" t="s">
        <v>710</v>
      </c>
      <c r="B41" s="43" t="e">
        <f>#REF!</f>
        <v>#REF!</v>
      </c>
      <c r="C41" s="162"/>
      <c r="D41" s="162"/>
      <c r="E41" s="44"/>
      <c r="F41" s="46"/>
      <c r="G41" s="44"/>
      <c r="H41" s="44"/>
      <c r="I41" s="268"/>
      <c r="J41" s="162" t="s">
        <v>790</v>
      </c>
    </row>
  </sheetData>
  <autoFilter ref="A1:J1"/>
  <phoneticPr fontId="7" type="noConversion"/>
  <conditionalFormatting sqref="E3:F41">
    <cfRule type="expression" dxfId="77" priority="23">
      <formula>$F3="Très élevée"</formula>
    </cfRule>
    <cfRule type="expression" dxfId="76" priority="24">
      <formula>$F3="Elevé"</formula>
    </cfRule>
    <cfRule type="expression" dxfId="75" priority="25">
      <formula>$F3="Modéré"</formula>
    </cfRule>
    <cfRule type="expression" dxfId="74" priority="26">
      <formula>$F3="Mineur"</formula>
    </cfRule>
  </conditionalFormatting>
  <conditionalFormatting sqref="G3:H41">
    <cfRule type="cellIs" dxfId="73" priority="19" operator="equal">
      <formula>"Maîtrisé"</formula>
    </cfRule>
    <cfRule type="cellIs" dxfId="72" priority="20" operator="equal">
      <formula>"Acceptable"</formula>
    </cfRule>
    <cfRule type="cellIs" dxfId="71" priority="21" operator="equal">
      <formula>"Faible"</formula>
    </cfRule>
    <cfRule type="cellIs" dxfId="70" priority="22" operator="equal">
      <formula>"Insuffisant"</formula>
    </cfRule>
  </conditionalFormatting>
  <conditionalFormatting sqref="I3:I41">
    <cfRule type="cellIs" dxfId="69" priority="13" operator="equal">
      <formula>"Zone de criticité très élevée /Surveillance insuffisante"</formula>
    </cfRule>
    <cfRule type="cellIs" dxfId="68" priority="14" operator="equal">
      <formula>"Zone de criticité élevée /Surveillance soutenue"</formula>
    </cfRule>
    <cfRule type="cellIs" dxfId="67" priority="15" operator="equal">
      <formula>"Zone de criticité modérée /Surveillance modérée"</formula>
    </cfRule>
    <cfRule type="cellIs" dxfId="66" priority="16" operator="equal">
      <formula>"Zone de criticité élevée /Surveillance à renforcer"</formula>
    </cfRule>
    <cfRule type="cellIs" dxfId="65" priority="17" operator="equal">
      <formula>"Zone de criticité faible /Surveillance modérée"</formula>
    </cfRule>
    <cfRule type="cellIs" dxfId="64" priority="18" operator="equal">
      <formula>"Zone de criticité faible /Surveillance faible"</formula>
    </cfRule>
  </conditionalFormatting>
  <conditionalFormatting sqref="D3:D41">
    <cfRule type="cellIs" dxfId="63" priority="7" operator="equal">
      <formula>"Permanente"</formula>
    </cfRule>
    <cfRule type="cellIs" dxfId="62" priority="8" operator="equal">
      <formula>"Récurrente"</formula>
    </cfRule>
    <cfRule type="cellIs" dxfId="61" priority="9" operator="equal">
      <formula>"Elevée"</formula>
    </cfRule>
    <cfRule type="cellIs" dxfId="60" priority="10" operator="equal">
      <formula>"Modérée"</formula>
    </cfRule>
    <cfRule type="cellIs" dxfId="59" priority="11" operator="equal">
      <formula>"Rare"</formula>
    </cfRule>
    <cfRule type="cellIs" dxfId="58" priority="12" operator="equal">
      <formula>"Exceptionnelle"</formula>
    </cfRule>
  </conditionalFormatting>
  <conditionalFormatting sqref="C3:C41">
    <cfRule type="cellIs" dxfId="57" priority="1" operator="equal">
      <formula>"Catastrophique"</formula>
    </cfRule>
    <cfRule type="cellIs" dxfId="56" priority="2" operator="equal">
      <formula>"Critique"</formula>
    </cfRule>
    <cfRule type="cellIs" dxfId="55" priority="3" operator="equal">
      <formula>"Elevé"</formula>
    </cfRule>
    <cfRule type="cellIs" dxfId="54" priority="4" operator="equal">
      <formula>"Modéré"</formula>
    </cfRule>
    <cfRule type="cellIs" dxfId="53" priority="5" operator="equal">
      <formula>"Faible"</formula>
    </cfRule>
    <cfRule type="cellIs" dxfId="52" priority="6" operator="equal">
      <formula>"Marginal"</formula>
    </cfRule>
  </conditionalFormatting>
  <pageMargins left="0.27" right="0.5" top="0.5" bottom="0.39" header="0.33" footer="0.21"/>
  <pageSetup paperSize="9" scale="38" orientation="landscape" r:id="rId1"/>
  <headerFooter alignWithMargins="0">
    <oddHeader>&amp;R&amp;"Arial,Italique"&amp;8&amp;D</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7030A0"/>
    <pageSetUpPr fitToPage="1"/>
  </sheetPr>
  <dimension ref="A1:J41"/>
  <sheetViews>
    <sheetView showGridLines="0" zoomScale="90" zoomScaleNormal="90" zoomScaleSheetLayoutView="100" workbookViewId="0">
      <selection activeCell="D27" sqref="D27"/>
    </sheetView>
  </sheetViews>
  <sheetFormatPr baseColWidth="10" defaultRowHeight="12.75" x14ac:dyDescent="0.2"/>
  <cols>
    <col min="1" max="1" width="12.85546875" style="2" customWidth="1"/>
    <col min="2" max="2" width="34.140625" style="1" customWidth="1"/>
    <col min="3" max="4" width="24" style="1" customWidth="1"/>
    <col min="5" max="5" width="26.5703125" style="2" customWidth="1"/>
    <col min="6" max="6" width="16.7109375" style="3" customWidth="1"/>
    <col min="7" max="7" width="31.42578125" style="2" bestFit="1" customWidth="1"/>
    <col min="8" max="8" width="31.42578125" style="2" customWidth="1"/>
    <col min="9" max="9" width="30.5703125" style="2" customWidth="1"/>
    <col min="10" max="10" width="33.28515625" style="15" bestFit="1" customWidth="1"/>
  </cols>
  <sheetData>
    <row r="1" spans="1:10" s="3" customFormat="1" ht="27.75" customHeight="1" x14ac:dyDescent="0.2">
      <c r="A1" s="220" t="s">
        <v>1</v>
      </c>
      <c r="B1" s="221" t="s">
        <v>971</v>
      </c>
      <c r="C1" s="262" t="s">
        <v>900</v>
      </c>
      <c r="D1" s="262" t="s">
        <v>3</v>
      </c>
      <c r="E1" s="262" t="s">
        <v>903</v>
      </c>
      <c r="F1" s="262" t="s">
        <v>959</v>
      </c>
      <c r="G1" s="210" t="s">
        <v>0</v>
      </c>
      <c r="H1" s="210" t="s">
        <v>968</v>
      </c>
      <c r="I1" s="33" t="s">
        <v>906</v>
      </c>
      <c r="J1" s="263" t="s">
        <v>751</v>
      </c>
    </row>
    <row r="2" spans="1:10" ht="25.5" hidden="1" customHeight="1" x14ac:dyDescent="0.2">
      <c r="A2" s="38"/>
      <c r="B2" s="39"/>
      <c r="C2" s="39"/>
      <c r="D2" s="39"/>
      <c r="E2" s="40">
        <v>1</v>
      </c>
      <c r="F2" s="41"/>
      <c r="G2" s="38"/>
      <c r="H2" s="38"/>
      <c r="I2" s="40">
        <v>1</v>
      </c>
      <c r="J2" s="42" t="s">
        <v>24</v>
      </c>
    </row>
    <row r="3" spans="1:10" ht="24.95" customHeight="1" x14ac:dyDescent="0.2">
      <c r="A3" s="157" t="s">
        <v>711</v>
      </c>
      <c r="B3" s="43" t="str">
        <f ca="1">Conso!A2</f>
        <v>Risk N°1</v>
      </c>
      <c r="C3" s="162" t="str">
        <f ca="1">Conso!BJ2</f>
        <v>Catastrophique</v>
      </c>
      <c r="D3" s="162" t="str">
        <f ca="1">Conso!BI2</f>
        <v>Elevée</v>
      </c>
      <c r="E3" s="44" t="str">
        <f ca="1">IF(OR(C3="",D3=""),"",C3&amp;"/"&amp;D3)</f>
        <v>Catastrophique/Elevée</v>
      </c>
      <c r="F3" s="46" t="str">
        <f ca="1">IFERROR(INDEX(Notes!$I$9:$N$14,7-VLOOKUP(Conso!BI2,Notes!$D$2:$E$7,2,FALSE),VLOOKUP(Conso!BJ2,Notes!$A$2:$B$7,2,FALSE)),"")</f>
        <v>Très élevée</v>
      </c>
      <c r="G3" s="44" t="str">
        <f ca="1">IFERROR(Conso!BD2,"")</f>
        <v>Maîtrisé</v>
      </c>
      <c r="H3" s="44" t="str">
        <f ca="1">G3&amp;"/"&amp;F3</f>
        <v>Maîtrisé/Très élevée</v>
      </c>
      <c r="I3" s="268" t="str">
        <f ca="1">IFERROR(INDEX(Notes!$S$10:$V$13,5-VLOOKUP(F3,Notes!$G$2:$H$5,2,FALSE),VLOOKUP('Tableau des risques brut'!G3,Notes!$J$2:$K$5,2,FALSE)),"")</f>
        <v>Zone de criticité élevée /Surveillance soutenue</v>
      </c>
      <c r="J3" s="162" t="s">
        <v>752</v>
      </c>
    </row>
    <row r="4" spans="1:10" ht="24.95" customHeight="1" x14ac:dyDescent="0.2">
      <c r="A4" s="157" t="s">
        <v>712</v>
      </c>
      <c r="B4" s="43" t="e">
        <f>#REF!</f>
        <v>#REF!</v>
      </c>
      <c r="C4" s="43"/>
      <c r="D4" s="43"/>
      <c r="E4" s="45" t="str">
        <f>IFERROR(Conso!#REF!&amp;"/"&amp;Conso!#REF!,"")</f>
        <v/>
      </c>
      <c r="F4" s="46" t="str">
        <f>IFERROR(INDEX(Notes!$I$9:$N$14,7-VLOOKUP(Conso!#REF!,Notes!$D$2:$E$7,2,FALSE),VLOOKUP(Conso!#REF!,Notes!$A$2:$B$7,2,FALSE)),"")</f>
        <v/>
      </c>
      <c r="G4" s="44" t="str">
        <f>IFERROR(Conso!#REF!,"")</f>
        <v/>
      </c>
      <c r="H4" s="44"/>
      <c r="I4" s="44" t="str">
        <f>IFERROR(INDEX(Notes!$S$10:$V$13,5-VLOOKUP(F4,Notes!$G$2:$H$5,2,FALSE),VLOOKUP('Tableau des risques net'!G4,Notes!$J$2:$K$5,2,FALSE)),"")</f>
        <v/>
      </c>
      <c r="J4" s="162" t="s">
        <v>753</v>
      </c>
    </row>
    <row r="5" spans="1:10" ht="24.95" customHeight="1" x14ac:dyDescent="0.2">
      <c r="A5" s="157" t="s">
        <v>713</v>
      </c>
      <c r="B5" s="43" t="e">
        <f>#REF!</f>
        <v>#REF!</v>
      </c>
      <c r="C5" s="43"/>
      <c r="D5" s="43"/>
      <c r="E5" s="45" t="str">
        <f>IFERROR(Conso!#REF!&amp;"/"&amp;Conso!#REF!,"")</f>
        <v/>
      </c>
      <c r="F5" s="46" t="str">
        <f>IFERROR(INDEX(Notes!$I$9:$N$14,7-VLOOKUP(Conso!#REF!,Notes!$D$2:$E$7,2,FALSE),VLOOKUP(Conso!#REF!,Notes!$A$2:$B$7,2,FALSE)),"")</f>
        <v/>
      </c>
      <c r="G5" s="44" t="str">
        <f>IFERROR(Conso!#REF!,"")</f>
        <v/>
      </c>
      <c r="H5" s="44"/>
      <c r="I5" s="44" t="str">
        <f>IFERROR(INDEX(Notes!$S$10:$V$13,5-VLOOKUP(F5,Notes!$G$2:$H$5,2,FALSE),VLOOKUP('Tableau des risques net'!G5,Notes!$J$2:$K$5,2,FALSE)),"")</f>
        <v/>
      </c>
      <c r="J5" s="162" t="s">
        <v>754</v>
      </c>
    </row>
    <row r="6" spans="1:10" ht="24.95" customHeight="1" x14ac:dyDescent="0.2">
      <c r="A6" s="157" t="s">
        <v>714</v>
      </c>
      <c r="B6" s="43" t="e">
        <f>#REF!</f>
        <v>#REF!</v>
      </c>
      <c r="C6" s="43"/>
      <c r="D6" s="43"/>
      <c r="E6" s="45" t="str">
        <f>IFERROR(Conso!#REF!&amp;"/"&amp;Conso!#REF!,"")</f>
        <v/>
      </c>
      <c r="F6" s="46" t="str">
        <f>IFERROR(INDEX(Notes!$I$9:$N$14,7-VLOOKUP(Conso!#REF!,Notes!$D$2:$E$7,2,FALSE),VLOOKUP(Conso!#REF!,Notes!$A$2:$B$7,2,FALSE)),"")</f>
        <v/>
      </c>
      <c r="G6" s="44" t="str">
        <f>IFERROR(Conso!#REF!,"")</f>
        <v/>
      </c>
      <c r="H6" s="44"/>
      <c r="I6" s="44" t="str">
        <f>IFERROR(INDEX(Notes!$S$10:$V$13,5-VLOOKUP(F6,Notes!$G$2:$H$5,2,FALSE),VLOOKUP('Tableau des risques net'!G6,Notes!$J$2:$K$5,2,FALSE)),"")</f>
        <v/>
      </c>
      <c r="J6" s="162" t="s">
        <v>755</v>
      </c>
    </row>
    <row r="7" spans="1:10" ht="24.95" customHeight="1" x14ac:dyDescent="0.2">
      <c r="A7" s="157" t="s">
        <v>715</v>
      </c>
      <c r="B7" s="43" t="e">
        <f>#REF!</f>
        <v>#REF!</v>
      </c>
      <c r="C7" s="43"/>
      <c r="D7" s="43"/>
      <c r="E7" s="45" t="str">
        <f>IFERROR(Conso!#REF!&amp;"/"&amp;Conso!#REF!,"")</f>
        <v/>
      </c>
      <c r="F7" s="46" t="str">
        <f>IFERROR(INDEX(Notes!$I$9:$N$14,7-VLOOKUP(Conso!#REF!,Notes!$D$2:$E$7,2,FALSE),VLOOKUP(Conso!#REF!,Notes!$A$2:$B$7,2,FALSE)),"")</f>
        <v/>
      </c>
      <c r="G7" s="44" t="str">
        <f>IFERROR(Conso!#REF!,"")</f>
        <v/>
      </c>
      <c r="H7" s="44"/>
      <c r="I7" s="44" t="str">
        <f>IFERROR(INDEX(Notes!$S$10:$V$13,5-VLOOKUP(F7,Notes!$G$2:$H$5,2,FALSE),VLOOKUP('Tableau des risques net'!G7,Notes!$J$2:$K$5,2,FALSE)),"")</f>
        <v/>
      </c>
      <c r="J7" s="162" t="s">
        <v>756</v>
      </c>
    </row>
    <row r="8" spans="1:10" ht="24.95" customHeight="1" x14ac:dyDescent="0.2">
      <c r="A8" s="157" t="s">
        <v>716</v>
      </c>
      <c r="B8" s="43" t="e">
        <f>#REF!</f>
        <v>#REF!</v>
      </c>
      <c r="C8" s="43"/>
      <c r="D8" s="43"/>
      <c r="E8" s="45" t="str">
        <f>IFERROR(Conso!#REF!&amp;"/"&amp;Conso!#REF!,"")</f>
        <v/>
      </c>
      <c r="F8" s="46" t="str">
        <f>IFERROR(INDEX(Notes!$I$9:$N$14,7-VLOOKUP(Conso!#REF!,Notes!$D$2:$E$7,2,FALSE),VLOOKUP(Conso!#REF!,Notes!$A$2:$B$7,2,FALSE)),"")</f>
        <v/>
      </c>
      <c r="G8" s="44" t="str">
        <f>IFERROR(Conso!#REF!,"")</f>
        <v/>
      </c>
      <c r="H8" s="44"/>
      <c r="I8" s="44" t="str">
        <f>IFERROR(INDEX(Notes!$S$10:$V$13,5-VLOOKUP(F8,Notes!$G$2:$H$5,2,FALSE),VLOOKUP('Tableau des risques net'!G8,Notes!$J$2:$K$5,2,FALSE)),"")</f>
        <v/>
      </c>
      <c r="J8" s="162" t="s">
        <v>757</v>
      </c>
    </row>
    <row r="9" spans="1:10" ht="24.95" customHeight="1" x14ac:dyDescent="0.2">
      <c r="A9" s="157" t="s">
        <v>717</v>
      </c>
      <c r="B9" s="43" t="e">
        <f>#REF!</f>
        <v>#REF!</v>
      </c>
      <c r="C9" s="43"/>
      <c r="D9" s="43"/>
      <c r="E9" s="45" t="str">
        <f>IFERROR(Conso!#REF!&amp;"/"&amp;Conso!#REF!,"")</f>
        <v/>
      </c>
      <c r="F9" s="46" t="str">
        <f>IFERROR(INDEX(Notes!$I$9:$N$14,7-VLOOKUP(Conso!#REF!,Notes!$D$2:$E$7,2,FALSE),VLOOKUP(Conso!#REF!,Notes!$A$2:$B$7,2,FALSE)),"")</f>
        <v/>
      </c>
      <c r="G9" s="44" t="str">
        <f>IFERROR(Conso!#REF!,"")</f>
        <v/>
      </c>
      <c r="H9" s="44"/>
      <c r="I9" s="44" t="str">
        <f>IFERROR(INDEX(Notes!$S$10:$V$13,5-VLOOKUP(F9,Notes!$G$2:$H$5,2,FALSE),VLOOKUP('Tableau des risques net'!G9,Notes!$J$2:$K$5,2,FALSE)),"")</f>
        <v/>
      </c>
      <c r="J9" s="162" t="s">
        <v>758</v>
      </c>
    </row>
    <row r="10" spans="1:10" ht="24.95" customHeight="1" x14ac:dyDescent="0.2">
      <c r="A10" s="157" t="s">
        <v>718</v>
      </c>
      <c r="B10" s="43" t="e">
        <f>#REF!</f>
        <v>#REF!</v>
      </c>
      <c r="C10" s="43"/>
      <c r="D10" s="43"/>
      <c r="E10" s="45" t="str">
        <f>IFERROR(Conso!#REF!&amp;"/"&amp;Conso!#REF!,"")</f>
        <v/>
      </c>
      <c r="F10" s="46" t="str">
        <f>IFERROR(INDEX(Notes!$I$9:$N$14,7-VLOOKUP(Conso!#REF!,Notes!$D$2:$E$7,2,FALSE),VLOOKUP(Conso!#REF!,Notes!$A$2:$B$7,2,FALSE)),"")</f>
        <v/>
      </c>
      <c r="G10" s="44" t="str">
        <f>IFERROR(Conso!#REF!,"")</f>
        <v/>
      </c>
      <c r="H10" s="44"/>
      <c r="I10" s="44" t="str">
        <f>IFERROR(INDEX(Notes!$S$10:$V$13,5-VLOOKUP(F10,Notes!$G$2:$H$5,2,FALSE),VLOOKUP('Tableau des risques net'!G10,Notes!$J$2:$K$5,2,FALSE)),"")</f>
        <v/>
      </c>
      <c r="J10" s="162" t="s">
        <v>759</v>
      </c>
    </row>
    <row r="11" spans="1:10" ht="24.95" customHeight="1" x14ac:dyDescent="0.2">
      <c r="A11" s="157" t="s">
        <v>719</v>
      </c>
      <c r="B11" s="43" t="e">
        <f>#REF!</f>
        <v>#REF!</v>
      </c>
      <c r="C11" s="43"/>
      <c r="D11" s="43"/>
      <c r="E11" s="45" t="str">
        <f>IFERROR(Conso!#REF!&amp;"/"&amp;Conso!#REF!,"")</f>
        <v/>
      </c>
      <c r="F11" s="46" t="str">
        <f>IFERROR(INDEX(Notes!$I$9:$N$14,7-VLOOKUP(Conso!#REF!,Notes!$D$2:$E$7,2,FALSE),VLOOKUP(Conso!#REF!,Notes!$A$2:$B$7,2,FALSE)),"")</f>
        <v/>
      </c>
      <c r="G11" s="44" t="str">
        <f>IFERROR(Conso!#REF!,"")</f>
        <v/>
      </c>
      <c r="H11" s="44"/>
      <c r="I11" s="44" t="str">
        <f>IFERROR(INDEX(Notes!$S$10:$V$13,5-VLOOKUP(F11,Notes!$G$2:$H$5,2,FALSE),VLOOKUP('Tableau des risques net'!G11,Notes!$J$2:$K$5,2,FALSE)),"")</f>
        <v/>
      </c>
      <c r="J11" s="162" t="s">
        <v>760</v>
      </c>
    </row>
    <row r="12" spans="1:10" ht="24.95" customHeight="1" x14ac:dyDescent="0.2">
      <c r="A12" s="157" t="s">
        <v>720</v>
      </c>
      <c r="B12" s="43" t="e">
        <f>#REF!</f>
        <v>#REF!</v>
      </c>
      <c r="C12" s="43"/>
      <c r="D12" s="43"/>
      <c r="E12" s="45" t="str">
        <f>IFERROR(Conso!#REF!&amp;"/"&amp;Conso!#REF!,"")</f>
        <v/>
      </c>
      <c r="F12" s="46" t="str">
        <f>IFERROR(INDEX(Notes!$I$9:$N$14,7-VLOOKUP(Conso!#REF!,Notes!$D$2:$E$7,2,FALSE),VLOOKUP(Conso!#REF!,Notes!$A$2:$B$7,2,FALSE)),"")</f>
        <v/>
      </c>
      <c r="G12" s="44" t="str">
        <f>IFERROR(Conso!#REF!,"")</f>
        <v/>
      </c>
      <c r="H12" s="44"/>
      <c r="I12" s="44" t="str">
        <f>IFERROR(INDEX(Notes!$S$10:$V$13,5-VLOOKUP(F12,Notes!$G$2:$H$5,2,FALSE),VLOOKUP('Tableau des risques net'!G12,Notes!$J$2:$K$5,2,FALSE)),"")</f>
        <v/>
      </c>
      <c r="J12" s="162" t="s">
        <v>761</v>
      </c>
    </row>
    <row r="13" spans="1:10" ht="24.95" customHeight="1" x14ac:dyDescent="0.2">
      <c r="A13" s="157" t="s">
        <v>721</v>
      </c>
      <c r="B13" s="43" t="e">
        <f>#REF!</f>
        <v>#REF!</v>
      </c>
      <c r="C13" s="43"/>
      <c r="D13" s="43"/>
      <c r="E13" s="45" t="str">
        <f>IFERROR(Conso!#REF!&amp;"/"&amp;Conso!#REF!,"")</f>
        <v/>
      </c>
      <c r="F13" s="46" t="str">
        <f>IFERROR(INDEX(Notes!$I$9:$N$14,7-VLOOKUP(Conso!#REF!,Notes!$D$2:$E$7,2,FALSE),VLOOKUP(Conso!#REF!,Notes!$A$2:$B$7,2,FALSE)),"")</f>
        <v/>
      </c>
      <c r="G13" s="44" t="str">
        <f>IFERROR(Conso!#REF!,"")</f>
        <v/>
      </c>
      <c r="H13" s="44"/>
      <c r="I13" s="44" t="str">
        <f>IFERROR(INDEX(Notes!$S$10:$V$13,5-VLOOKUP(F13,Notes!$G$2:$H$5,2,FALSE),VLOOKUP('Tableau des risques net'!G13,Notes!$J$2:$K$5,2,FALSE)),"")</f>
        <v/>
      </c>
      <c r="J13" s="162" t="s">
        <v>762</v>
      </c>
    </row>
    <row r="14" spans="1:10" ht="24.95" customHeight="1" x14ac:dyDescent="0.2">
      <c r="A14" s="157" t="s">
        <v>722</v>
      </c>
      <c r="B14" s="43" t="e">
        <f>#REF!</f>
        <v>#REF!</v>
      </c>
      <c r="C14" s="43"/>
      <c r="D14" s="43"/>
      <c r="E14" s="45" t="str">
        <f>IFERROR(Conso!#REF!&amp;"/"&amp;Conso!#REF!,"")</f>
        <v/>
      </c>
      <c r="F14" s="46" t="str">
        <f>IFERROR(INDEX(Notes!$I$9:$N$14,7-VLOOKUP(Conso!#REF!,Notes!$D$2:$E$7,2,FALSE),VLOOKUP(Conso!#REF!,Notes!$A$2:$B$7,2,FALSE)),"")</f>
        <v/>
      </c>
      <c r="G14" s="44" t="str">
        <f>IFERROR(Conso!#REF!,"")</f>
        <v/>
      </c>
      <c r="H14" s="44"/>
      <c r="I14" s="44" t="str">
        <f>IFERROR(INDEX(Notes!$S$10:$V$13,5-VLOOKUP(F14,Notes!$G$2:$H$5,2,FALSE),VLOOKUP('Tableau des risques net'!G14,Notes!$J$2:$K$5,2,FALSE)),"")</f>
        <v/>
      </c>
      <c r="J14" s="162" t="s">
        <v>763</v>
      </c>
    </row>
    <row r="15" spans="1:10" ht="24.95" customHeight="1" x14ac:dyDescent="0.2">
      <c r="A15" s="157" t="s">
        <v>723</v>
      </c>
      <c r="B15" s="43" t="e">
        <f>#REF!</f>
        <v>#REF!</v>
      </c>
      <c r="C15" s="43"/>
      <c r="D15" s="43"/>
      <c r="E15" s="45" t="str">
        <f>IFERROR(Conso!#REF!&amp;"/"&amp;Conso!#REF!,"")</f>
        <v/>
      </c>
      <c r="F15" s="46" t="str">
        <f>IFERROR(INDEX(Notes!$I$9:$N$14,7-VLOOKUP(Conso!#REF!,Notes!$D$2:$E$7,2,FALSE),VLOOKUP(Conso!#REF!,Notes!$A$2:$B$7,2,FALSE)),"")</f>
        <v/>
      </c>
      <c r="G15" s="44" t="str">
        <f>IFERROR(Conso!#REF!,"")</f>
        <v/>
      </c>
      <c r="H15" s="44"/>
      <c r="I15" s="44" t="str">
        <f>IFERROR(INDEX(Notes!$S$10:$V$13,5-VLOOKUP(F15,Notes!$G$2:$H$5,2,FALSE),VLOOKUP('Tableau des risques net'!G15,Notes!$J$2:$K$5,2,FALSE)),"")</f>
        <v/>
      </c>
      <c r="J15" s="162" t="s">
        <v>764</v>
      </c>
    </row>
    <row r="16" spans="1:10" ht="24.95" customHeight="1" x14ac:dyDescent="0.2">
      <c r="A16" s="157" t="s">
        <v>724</v>
      </c>
      <c r="B16" s="43" t="e">
        <f>#REF!</f>
        <v>#REF!</v>
      </c>
      <c r="C16" s="43"/>
      <c r="D16" s="43"/>
      <c r="E16" s="45" t="str">
        <f>IFERROR(Conso!#REF!&amp;"/"&amp;Conso!#REF!,"")</f>
        <v/>
      </c>
      <c r="F16" s="46" t="str">
        <f>IFERROR(INDEX(Notes!$I$9:$N$14,7-VLOOKUP(Conso!#REF!,Notes!$D$2:$E$7,2,FALSE),VLOOKUP(Conso!#REF!,Notes!$A$2:$B$7,2,FALSE)),"")</f>
        <v/>
      </c>
      <c r="G16" s="44" t="str">
        <f>IFERROR(Conso!#REF!,"")</f>
        <v/>
      </c>
      <c r="H16" s="44"/>
      <c r="I16" s="44" t="str">
        <f>IFERROR(INDEX(Notes!$S$10:$V$13,5-VLOOKUP(F16,Notes!$G$2:$H$5,2,FALSE),VLOOKUP('Tableau des risques net'!G16,Notes!$J$2:$K$5,2,FALSE)),"")</f>
        <v/>
      </c>
      <c r="J16" s="162" t="s">
        <v>765</v>
      </c>
    </row>
    <row r="17" spans="1:10" ht="24.95" customHeight="1" x14ac:dyDescent="0.2">
      <c r="A17" s="157" t="s">
        <v>725</v>
      </c>
      <c r="B17" s="43" t="e">
        <f>#REF!</f>
        <v>#REF!</v>
      </c>
      <c r="C17" s="43"/>
      <c r="D17" s="43"/>
      <c r="E17" s="45" t="str">
        <f>IFERROR(Conso!#REF!&amp;"/"&amp;Conso!#REF!,"")</f>
        <v/>
      </c>
      <c r="F17" s="46" t="str">
        <f>IFERROR(INDEX(Notes!$I$9:$N$14,7-VLOOKUP(Conso!#REF!,Notes!$D$2:$E$7,2,FALSE),VLOOKUP(Conso!#REF!,Notes!$A$2:$B$7,2,FALSE)),"")</f>
        <v/>
      </c>
      <c r="G17" s="44" t="str">
        <f>IFERROR(Conso!#REF!,"")</f>
        <v/>
      </c>
      <c r="H17" s="44"/>
      <c r="I17" s="44" t="str">
        <f>IFERROR(INDEX(Notes!$S$10:$V$13,5-VLOOKUP(F17,Notes!$G$2:$H$5,2,FALSE),VLOOKUP('Tableau des risques net'!G17,Notes!$J$2:$K$5,2,FALSE)),"")</f>
        <v/>
      </c>
      <c r="J17" s="162" t="s">
        <v>766</v>
      </c>
    </row>
    <row r="18" spans="1:10" ht="24.95" customHeight="1" x14ac:dyDescent="0.2">
      <c r="A18" s="157" t="s">
        <v>726</v>
      </c>
      <c r="B18" s="43" t="e">
        <f>#REF!</f>
        <v>#REF!</v>
      </c>
      <c r="C18" s="43"/>
      <c r="D18" s="43"/>
      <c r="E18" s="45" t="str">
        <f>IFERROR(Conso!#REF!&amp;"/"&amp;Conso!#REF!,"")</f>
        <v/>
      </c>
      <c r="F18" s="46" t="str">
        <f>IFERROR(INDEX(Notes!$I$9:$N$14,7-VLOOKUP(Conso!#REF!,Notes!$D$2:$E$7,2,FALSE),VLOOKUP(Conso!#REF!,Notes!$A$2:$B$7,2,FALSE)),"")</f>
        <v/>
      </c>
      <c r="G18" s="44" t="str">
        <f>IFERROR(Conso!#REF!,"")</f>
        <v/>
      </c>
      <c r="H18" s="44"/>
      <c r="I18" s="44" t="str">
        <f>IFERROR(INDEX(Notes!$S$10:$V$13,5-VLOOKUP(F18,Notes!$G$2:$H$5,2,FALSE),VLOOKUP('Tableau des risques net'!G18,Notes!$J$2:$K$5,2,FALSE)),"")</f>
        <v/>
      </c>
      <c r="J18" s="162" t="s">
        <v>767</v>
      </c>
    </row>
    <row r="19" spans="1:10" ht="24.95" customHeight="1" x14ac:dyDescent="0.2">
      <c r="A19" s="157" t="s">
        <v>727</v>
      </c>
      <c r="B19" s="43" t="e">
        <f>#REF!</f>
        <v>#REF!</v>
      </c>
      <c r="C19" s="43"/>
      <c r="D19" s="43"/>
      <c r="E19" s="45" t="str">
        <f>IFERROR(Conso!#REF!&amp;"/"&amp;Conso!#REF!,"")</f>
        <v/>
      </c>
      <c r="F19" s="46" t="str">
        <f>IFERROR(INDEX(Notes!$I$9:$N$14,7-VLOOKUP(Conso!#REF!,Notes!$D$2:$E$7,2,FALSE),VLOOKUP(Conso!#REF!,Notes!$A$2:$B$7,2,FALSE)),"")</f>
        <v/>
      </c>
      <c r="G19" s="44" t="str">
        <f>IFERROR(Conso!#REF!,"")</f>
        <v/>
      </c>
      <c r="H19" s="44"/>
      <c r="I19" s="44" t="str">
        <f>IFERROR(INDEX(Notes!$S$10:$V$13,5-VLOOKUP(F19,Notes!$G$2:$H$5,2,FALSE),VLOOKUP('Tableau des risques net'!G19,Notes!$J$2:$K$5,2,FALSE)),"")</f>
        <v/>
      </c>
      <c r="J19" s="162" t="s">
        <v>768</v>
      </c>
    </row>
    <row r="20" spans="1:10" ht="24.95" customHeight="1" x14ac:dyDescent="0.2">
      <c r="A20" s="157" t="s">
        <v>728</v>
      </c>
      <c r="B20" s="43" t="e">
        <f>#REF!</f>
        <v>#REF!</v>
      </c>
      <c r="C20" s="43"/>
      <c r="D20" s="43"/>
      <c r="E20" s="45" t="str">
        <f>IFERROR(Conso!#REF!&amp;"/"&amp;Conso!#REF!,"")</f>
        <v/>
      </c>
      <c r="F20" s="46" t="str">
        <f>IFERROR(INDEX(Notes!$I$9:$N$14,7-VLOOKUP(Conso!#REF!,Notes!$D$2:$E$7,2,FALSE),VLOOKUP(Conso!#REF!,Notes!$A$2:$B$7,2,FALSE)),"")</f>
        <v/>
      </c>
      <c r="G20" s="44" t="str">
        <f>IFERROR(Conso!#REF!,"")</f>
        <v/>
      </c>
      <c r="H20" s="44"/>
      <c r="I20" s="44" t="str">
        <f>IFERROR(INDEX(Notes!$S$10:$V$13,5-VLOOKUP(F20,Notes!$G$2:$H$5,2,FALSE),VLOOKUP('Tableau des risques net'!G20,Notes!$J$2:$K$5,2,FALSE)),"")</f>
        <v/>
      </c>
      <c r="J20" s="162" t="s">
        <v>769</v>
      </c>
    </row>
    <row r="21" spans="1:10" ht="24.95" customHeight="1" x14ac:dyDescent="0.2">
      <c r="A21" s="157" t="s">
        <v>729</v>
      </c>
      <c r="B21" s="43" t="e">
        <f>#REF!</f>
        <v>#REF!</v>
      </c>
      <c r="C21" s="43"/>
      <c r="D21" s="43"/>
      <c r="E21" s="45" t="str">
        <f>IFERROR(Conso!#REF!&amp;"/"&amp;Conso!#REF!,"")</f>
        <v/>
      </c>
      <c r="F21" s="46" t="str">
        <f>IFERROR(INDEX(Notes!$I$9:$N$14,7-VLOOKUP(Conso!#REF!,Notes!$D$2:$E$7,2,FALSE),VLOOKUP(Conso!#REF!,Notes!$A$2:$B$7,2,FALSE)),"")</f>
        <v/>
      </c>
      <c r="G21" s="44" t="str">
        <f>IFERROR(Conso!#REF!,"")</f>
        <v/>
      </c>
      <c r="H21" s="44"/>
      <c r="I21" s="44" t="str">
        <f>IFERROR(INDEX(Notes!$S$10:$V$13,5-VLOOKUP(F21,Notes!$G$2:$H$5,2,FALSE),VLOOKUP('Tableau des risques net'!G21,Notes!$J$2:$K$5,2,FALSE)),"")</f>
        <v/>
      </c>
      <c r="J21" s="162" t="s">
        <v>770</v>
      </c>
    </row>
    <row r="22" spans="1:10" ht="24.95" customHeight="1" x14ac:dyDescent="0.2">
      <c r="A22" s="157" t="s">
        <v>730</v>
      </c>
      <c r="B22" s="43" t="e">
        <f>#REF!</f>
        <v>#REF!</v>
      </c>
      <c r="C22" s="43"/>
      <c r="D22" s="43"/>
      <c r="E22" s="45" t="str">
        <f>IFERROR(Conso!#REF!&amp;"/"&amp;Conso!#REF!,"")</f>
        <v/>
      </c>
      <c r="F22" s="46" t="str">
        <f>IFERROR(INDEX(Notes!$I$9:$N$14,7-VLOOKUP(Conso!#REF!,Notes!$D$2:$E$7,2,FALSE),VLOOKUP(Conso!#REF!,Notes!$A$2:$B$7,2,FALSE)),"")</f>
        <v/>
      </c>
      <c r="G22" s="44" t="str">
        <f>IFERROR(Conso!#REF!,"")</f>
        <v/>
      </c>
      <c r="H22" s="44"/>
      <c r="I22" s="44" t="str">
        <f>IFERROR(INDEX(Notes!$S$10:$V$13,5-VLOOKUP(F22,Notes!$G$2:$H$5,2,FALSE),VLOOKUP('Tableau des risques net'!G22,Notes!$J$2:$K$5,2,FALSE)),"")</f>
        <v/>
      </c>
      <c r="J22" s="162" t="s">
        <v>771</v>
      </c>
    </row>
    <row r="23" spans="1:10" ht="24.95" customHeight="1" x14ac:dyDescent="0.2">
      <c r="A23" s="157" t="s">
        <v>731</v>
      </c>
      <c r="B23" s="43" t="e">
        <f>#REF!</f>
        <v>#REF!</v>
      </c>
      <c r="C23" s="43"/>
      <c r="D23" s="43"/>
      <c r="E23" s="45" t="str">
        <f>IFERROR(Conso!#REF!&amp;"/"&amp;Conso!#REF!,"")</f>
        <v/>
      </c>
      <c r="F23" s="46" t="str">
        <f>IFERROR(INDEX(Notes!$I$9:$N$14,7-VLOOKUP(Conso!#REF!,Notes!$D$2:$E$7,2,FALSE),VLOOKUP(Conso!#REF!,Notes!$A$2:$B$7,2,FALSE)),"")</f>
        <v/>
      </c>
      <c r="G23" s="44" t="str">
        <f>IFERROR(Conso!#REF!,"")</f>
        <v/>
      </c>
      <c r="H23" s="44"/>
      <c r="I23" s="44" t="str">
        <f>IFERROR(INDEX(Notes!$S$10:$V$13,5-VLOOKUP(F23,Notes!$G$2:$H$5,2,FALSE),VLOOKUP('Tableau des risques net'!G23,Notes!$J$2:$K$5,2,FALSE)),"")</f>
        <v/>
      </c>
      <c r="J23" s="162" t="s">
        <v>772</v>
      </c>
    </row>
    <row r="24" spans="1:10" ht="24.95" customHeight="1" x14ac:dyDescent="0.2">
      <c r="A24" s="157" t="s">
        <v>732</v>
      </c>
      <c r="B24" s="43" t="e">
        <f>#REF!</f>
        <v>#REF!</v>
      </c>
      <c r="C24" s="43"/>
      <c r="D24" s="43"/>
      <c r="E24" s="45" t="str">
        <f>IFERROR(Conso!#REF!&amp;"/"&amp;Conso!#REF!,"")</f>
        <v/>
      </c>
      <c r="F24" s="46" t="str">
        <f>IFERROR(INDEX(Notes!$I$9:$N$14,7-VLOOKUP(Conso!#REF!,Notes!$D$2:$E$7,2,FALSE),VLOOKUP(Conso!#REF!,Notes!$A$2:$B$7,2,FALSE)),"")</f>
        <v/>
      </c>
      <c r="G24" s="44" t="str">
        <f>IFERROR(Conso!#REF!,"")</f>
        <v/>
      </c>
      <c r="H24" s="44"/>
      <c r="I24" s="44" t="str">
        <f>IFERROR(INDEX(Notes!$S$10:$V$13,5-VLOOKUP(F24,Notes!$G$2:$H$5,2,FALSE),VLOOKUP('Tableau des risques net'!G24,Notes!$J$2:$K$5,2,FALSE)),"")</f>
        <v/>
      </c>
      <c r="J24" s="162" t="s">
        <v>773</v>
      </c>
    </row>
    <row r="25" spans="1:10" ht="24.95" customHeight="1" x14ac:dyDescent="0.2">
      <c r="A25" s="157" t="s">
        <v>733</v>
      </c>
      <c r="B25" s="43" t="e">
        <f>#REF!</f>
        <v>#REF!</v>
      </c>
      <c r="C25" s="43"/>
      <c r="D25" s="43"/>
      <c r="E25" s="45" t="str">
        <f>IFERROR(Conso!#REF!&amp;"/"&amp;Conso!#REF!,"")</f>
        <v/>
      </c>
      <c r="F25" s="46" t="str">
        <f>IFERROR(INDEX(Notes!$I$9:$N$14,7-VLOOKUP(Conso!#REF!,Notes!$D$2:$E$7,2,FALSE),VLOOKUP(Conso!#REF!,Notes!$A$2:$B$7,2,FALSE)),"")</f>
        <v/>
      </c>
      <c r="G25" s="44" t="str">
        <f>IFERROR(Conso!#REF!,"")</f>
        <v/>
      </c>
      <c r="H25" s="44"/>
      <c r="I25" s="44" t="str">
        <f>IFERROR(INDEX(Notes!$S$10:$V$13,5-VLOOKUP(F25,Notes!$G$2:$H$5,2,FALSE),VLOOKUP('Tableau des risques net'!G25,Notes!$J$2:$K$5,2,FALSE)),"")</f>
        <v/>
      </c>
      <c r="J25" s="162" t="s">
        <v>774</v>
      </c>
    </row>
    <row r="26" spans="1:10" ht="24.95" customHeight="1" x14ac:dyDescent="0.2">
      <c r="A26" s="157" t="s">
        <v>734</v>
      </c>
      <c r="B26" s="43" t="e">
        <f>#REF!</f>
        <v>#REF!</v>
      </c>
      <c r="C26" s="43"/>
      <c r="D26" s="43"/>
      <c r="E26" s="45" t="str">
        <f>IFERROR(Conso!#REF!&amp;"/"&amp;Conso!#REF!,"")</f>
        <v/>
      </c>
      <c r="F26" s="46" t="str">
        <f>IFERROR(INDEX(Notes!$I$9:$N$14,7-VLOOKUP(Conso!#REF!,Notes!$D$2:$E$7,2,FALSE),VLOOKUP(Conso!#REF!,Notes!$A$2:$B$7,2,FALSE)),"")</f>
        <v/>
      </c>
      <c r="G26" s="44" t="str">
        <f>IFERROR(Conso!#REF!,"")</f>
        <v/>
      </c>
      <c r="H26" s="44"/>
      <c r="I26" s="44" t="str">
        <f>IFERROR(INDEX(Notes!$S$10:$V$13,5-VLOOKUP(F26,Notes!$G$2:$H$5,2,FALSE),VLOOKUP('Tableau des risques net'!G26,Notes!$J$2:$K$5,2,FALSE)),"")</f>
        <v/>
      </c>
      <c r="J26" s="162" t="s">
        <v>775</v>
      </c>
    </row>
    <row r="27" spans="1:10" ht="24.95" customHeight="1" x14ac:dyDescent="0.2">
      <c r="A27" s="157" t="s">
        <v>735</v>
      </c>
      <c r="B27" s="43" t="e">
        <f>#REF!</f>
        <v>#REF!</v>
      </c>
      <c r="C27" s="43"/>
      <c r="D27" s="43"/>
      <c r="E27" s="45" t="str">
        <f>IFERROR(Conso!#REF!&amp;"/"&amp;Conso!#REF!,"")</f>
        <v/>
      </c>
      <c r="F27" s="46" t="str">
        <f>IFERROR(INDEX(Notes!$I$9:$N$14,7-VLOOKUP(Conso!#REF!,Notes!$D$2:$E$7,2,FALSE),VLOOKUP(Conso!#REF!,Notes!$A$2:$B$7,2,FALSE)),"")</f>
        <v/>
      </c>
      <c r="G27" s="44" t="str">
        <f>IFERROR(Conso!#REF!,"")</f>
        <v/>
      </c>
      <c r="H27" s="44"/>
      <c r="I27" s="44" t="str">
        <f>IFERROR(INDEX(Notes!$S$10:$V$13,5-VLOOKUP(F27,Notes!$G$2:$H$5,2,FALSE),VLOOKUP('Tableau des risques net'!G27,Notes!$J$2:$K$5,2,FALSE)),"")</f>
        <v/>
      </c>
      <c r="J27" s="162" t="s">
        <v>776</v>
      </c>
    </row>
    <row r="28" spans="1:10" ht="24.95" customHeight="1" x14ac:dyDescent="0.2">
      <c r="A28" s="157" t="s">
        <v>736</v>
      </c>
      <c r="B28" s="43" t="e">
        <f>#REF!</f>
        <v>#REF!</v>
      </c>
      <c r="C28" s="43"/>
      <c r="D28" s="43"/>
      <c r="E28" s="45" t="str">
        <f>IFERROR(Conso!#REF!&amp;"/"&amp;Conso!#REF!,"")</f>
        <v/>
      </c>
      <c r="F28" s="46" t="str">
        <f>IFERROR(INDEX(Notes!$I$9:$N$14,7-VLOOKUP(Conso!#REF!,Notes!$D$2:$E$7,2,FALSE),VLOOKUP(Conso!#REF!,Notes!$A$2:$B$7,2,FALSE)),"")</f>
        <v/>
      </c>
      <c r="G28" s="44" t="str">
        <f>IFERROR(Conso!#REF!,"")</f>
        <v/>
      </c>
      <c r="H28" s="44"/>
      <c r="I28" s="44" t="str">
        <f>IFERROR(INDEX(Notes!$S$10:$V$13,5-VLOOKUP(F28,Notes!$G$2:$H$5,2,FALSE),VLOOKUP('Tableau des risques net'!G28,Notes!$J$2:$K$5,2,FALSE)),"")</f>
        <v/>
      </c>
      <c r="J28" s="162" t="s">
        <v>777</v>
      </c>
    </row>
    <row r="29" spans="1:10" ht="24.95" customHeight="1" x14ac:dyDescent="0.2">
      <c r="A29" s="157" t="s">
        <v>737</v>
      </c>
      <c r="B29" s="43" t="e">
        <f>#REF!</f>
        <v>#REF!</v>
      </c>
      <c r="C29" s="43"/>
      <c r="D29" s="43"/>
      <c r="E29" s="45" t="str">
        <f>IFERROR(Conso!#REF!&amp;"/"&amp;Conso!#REF!,"")</f>
        <v/>
      </c>
      <c r="F29" s="46" t="str">
        <f>IFERROR(INDEX(Notes!$I$9:$N$14,7-VLOOKUP(Conso!#REF!,Notes!$D$2:$E$7,2,FALSE),VLOOKUP(Conso!#REF!,Notes!$A$2:$B$7,2,FALSE)),"")</f>
        <v/>
      </c>
      <c r="G29" s="44" t="str">
        <f>IFERROR(Conso!#REF!,"")</f>
        <v/>
      </c>
      <c r="H29" s="44"/>
      <c r="I29" s="44" t="str">
        <f>IFERROR(INDEX(Notes!$S$10:$V$13,5-VLOOKUP(F29,Notes!$G$2:$H$5,2,FALSE),VLOOKUP('Tableau des risques net'!G29,Notes!$J$2:$K$5,2,FALSE)),"")</f>
        <v/>
      </c>
      <c r="J29" s="162" t="s">
        <v>778</v>
      </c>
    </row>
    <row r="30" spans="1:10" ht="24.95" customHeight="1" x14ac:dyDescent="0.2">
      <c r="A30" s="157" t="s">
        <v>738</v>
      </c>
      <c r="B30" s="43" t="e">
        <f>#REF!</f>
        <v>#REF!</v>
      </c>
      <c r="C30" s="43"/>
      <c r="D30" s="43"/>
      <c r="E30" s="45" t="str">
        <f>IFERROR(Conso!#REF!&amp;"/"&amp;Conso!#REF!,"")</f>
        <v/>
      </c>
      <c r="F30" s="46" t="str">
        <f>IFERROR(INDEX(Notes!$I$9:$N$14,7-VLOOKUP(Conso!#REF!,Notes!$D$2:$E$7,2,FALSE),VLOOKUP(Conso!#REF!,Notes!$A$2:$B$7,2,FALSE)),"")</f>
        <v/>
      </c>
      <c r="G30" s="44" t="str">
        <f>IFERROR(Conso!#REF!,"")</f>
        <v/>
      </c>
      <c r="H30" s="44"/>
      <c r="I30" s="44" t="str">
        <f>IFERROR(INDEX(Notes!$S$10:$V$13,5-VLOOKUP(F30,Notes!$G$2:$H$5,2,FALSE),VLOOKUP('Tableau des risques net'!G30,Notes!$J$2:$K$5,2,FALSE)),"")</f>
        <v/>
      </c>
      <c r="J30" s="162" t="s">
        <v>779</v>
      </c>
    </row>
    <row r="31" spans="1:10" ht="24.95" customHeight="1" x14ac:dyDescent="0.2">
      <c r="A31" s="157" t="s">
        <v>739</v>
      </c>
      <c r="B31" s="43" t="e">
        <f>#REF!</f>
        <v>#REF!</v>
      </c>
      <c r="C31" s="43"/>
      <c r="D31" s="43"/>
      <c r="E31" s="45" t="str">
        <f>IFERROR(Conso!#REF!&amp;"/"&amp;Conso!#REF!,"")</f>
        <v/>
      </c>
      <c r="F31" s="46" t="str">
        <f>IFERROR(INDEX(Notes!$I$9:$N$14,7-VLOOKUP(Conso!#REF!,Notes!$D$2:$E$7,2,FALSE),VLOOKUP(Conso!#REF!,Notes!$A$2:$B$7,2,FALSE)),"")</f>
        <v/>
      </c>
      <c r="G31" s="44" t="str">
        <f>IFERROR(Conso!#REF!,"")</f>
        <v/>
      </c>
      <c r="H31" s="44"/>
      <c r="I31" s="44" t="str">
        <f>IFERROR(INDEX(Notes!$S$10:$V$13,5-VLOOKUP(F31,Notes!$G$2:$H$5,2,FALSE),VLOOKUP('Tableau des risques net'!G31,Notes!$J$2:$K$5,2,FALSE)),"")</f>
        <v/>
      </c>
      <c r="J31" s="162" t="s">
        <v>780</v>
      </c>
    </row>
    <row r="32" spans="1:10" ht="24.95" customHeight="1" x14ac:dyDescent="0.2">
      <c r="A32" s="157" t="s">
        <v>740</v>
      </c>
      <c r="B32" s="43" t="e">
        <f>#REF!</f>
        <v>#REF!</v>
      </c>
      <c r="C32" s="43"/>
      <c r="D32" s="43"/>
      <c r="E32" s="45" t="str">
        <f>IFERROR(Conso!#REF!&amp;"/"&amp;Conso!#REF!,"")</f>
        <v/>
      </c>
      <c r="F32" s="46" t="str">
        <f>IFERROR(INDEX(Notes!$I$9:$N$14,7-VLOOKUP(Conso!#REF!,Notes!$D$2:$E$7,2,FALSE),VLOOKUP(Conso!#REF!,Notes!$A$2:$B$7,2,FALSE)),"")</f>
        <v/>
      </c>
      <c r="G32" s="44" t="str">
        <f>IFERROR(Conso!#REF!,"")</f>
        <v/>
      </c>
      <c r="H32" s="44"/>
      <c r="I32" s="44" t="str">
        <f>IFERROR(INDEX(Notes!$S$10:$V$13,5-VLOOKUP(F32,Notes!$G$2:$H$5,2,FALSE),VLOOKUP('Tableau des risques net'!G32,Notes!$J$2:$K$5,2,FALSE)),"")</f>
        <v/>
      </c>
      <c r="J32" s="162" t="s">
        <v>781</v>
      </c>
    </row>
    <row r="33" spans="1:10" ht="24.95" customHeight="1" x14ac:dyDescent="0.2">
      <c r="A33" s="157" t="s">
        <v>741</v>
      </c>
      <c r="B33" s="43" t="e">
        <f>#REF!</f>
        <v>#REF!</v>
      </c>
      <c r="C33" s="43"/>
      <c r="D33" s="43"/>
      <c r="E33" s="45" t="str">
        <f>IFERROR(Conso!#REF!&amp;"/"&amp;Conso!#REF!,"")</f>
        <v/>
      </c>
      <c r="F33" s="46" t="str">
        <f>IFERROR(INDEX(Notes!$I$9:$N$14,7-VLOOKUP(Conso!#REF!,Notes!$D$2:$E$7,2,FALSE),VLOOKUP(Conso!#REF!,Notes!$A$2:$B$7,2,FALSE)),"")</f>
        <v/>
      </c>
      <c r="G33" s="44" t="str">
        <f>IFERROR(Conso!#REF!,"")</f>
        <v/>
      </c>
      <c r="H33" s="44"/>
      <c r="I33" s="44" t="str">
        <f>IFERROR(INDEX(Notes!$S$10:$V$13,5-VLOOKUP(F33,Notes!$G$2:$H$5,2,FALSE),VLOOKUP('Tableau des risques net'!G33,Notes!$J$2:$K$5,2,FALSE)),"")</f>
        <v/>
      </c>
      <c r="J33" s="162" t="s">
        <v>782</v>
      </c>
    </row>
    <row r="34" spans="1:10" ht="24.95" customHeight="1" x14ac:dyDescent="0.2">
      <c r="A34" s="157" t="s">
        <v>742</v>
      </c>
      <c r="B34" s="43" t="e">
        <f>#REF!</f>
        <v>#REF!</v>
      </c>
      <c r="C34" s="43"/>
      <c r="D34" s="43"/>
      <c r="E34" s="45" t="str">
        <f>IFERROR(Conso!#REF!&amp;"/"&amp;Conso!#REF!,"")</f>
        <v/>
      </c>
      <c r="F34" s="46" t="str">
        <f>IFERROR(INDEX(Notes!$I$9:$N$14,7-VLOOKUP(Conso!#REF!,Notes!$D$2:$E$7,2,FALSE),VLOOKUP(Conso!#REF!,Notes!$A$2:$B$7,2,FALSE)),"")</f>
        <v/>
      </c>
      <c r="G34" s="44" t="str">
        <f>IFERROR(Conso!#REF!,"")</f>
        <v/>
      </c>
      <c r="H34" s="44"/>
      <c r="I34" s="44" t="str">
        <f>IFERROR(INDEX(Notes!$S$10:$V$13,5-VLOOKUP(F34,Notes!$G$2:$H$5,2,FALSE),VLOOKUP('Tableau des risques net'!G34,Notes!$J$2:$K$5,2,FALSE)),"")</f>
        <v/>
      </c>
      <c r="J34" s="162" t="s">
        <v>783</v>
      </c>
    </row>
    <row r="35" spans="1:10" ht="24.95" customHeight="1" x14ac:dyDescent="0.2">
      <c r="A35" s="157" t="s">
        <v>743</v>
      </c>
      <c r="B35" s="43" t="e">
        <f>#REF!</f>
        <v>#REF!</v>
      </c>
      <c r="C35" s="43"/>
      <c r="D35" s="43"/>
      <c r="E35" s="45" t="str">
        <f>IFERROR(Conso!#REF!&amp;"/"&amp;Conso!#REF!,"")</f>
        <v/>
      </c>
      <c r="F35" s="46" t="str">
        <f>IFERROR(INDEX(Notes!$I$9:$N$14,7-VLOOKUP(Conso!#REF!,Notes!$D$2:$E$7,2,FALSE),VLOOKUP(Conso!#REF!,Notes!$A$2:$B$7,2,FALSE)),"")</f>
        <v/>
      </c>
      <c r="G35" s="44" t="str">
        <f>IFERROR(Conso!#REF!,"")</f>
        <v/>
      </c>
      <c r="H35" s="44"/>
      <c r="I35" s="44" t="str">
        <f>IFERROR(INDEX(Notes!$S$10:$V$13,5-VLOOKUP(F35,Notes!$G$2:$H$5,2,FALSE),VLOOKUP('Tableau des risques net'!G35,Notes!$J$2:$K$5,2,FALSE)),"")</f>
        <v/>
      </c>
      <c r="J35" s="162" t="s">
        <v>784</v>
      </c>
    </row>
    <row r="36" spans="1:10" ht="24.95" customHeight="1" x14ac:dyDescent="0.2">
      <c r="A36" s="157" t="s">
        <v>744</v>
      </c>
      <c r="B36" s="43" t="e">
        <f>#REF!</f>
        <v>#REF!</v>
      </c>
      <c r="C36" s="43"/>
      <c r="D36" s="43"/>
      <c r="E36" s="45" t="str">
        <f>IFERROR(Conso!#REF!&amp;"/"&amp;Conso!#REF!,"")</f>
        <v/>
      </c>
      <c r="F36" s="46" t="str">
        <f>IFERROR(INDEX(Notes!$I$9:$N$14,7-VLOOKUP(Conso!#REF!,Notes!$D$2:$E$7,2,FALSE),VLOOKUP(Conso!#REF!,Notes!$A$2:$B$7,2,FALSE)),"")</f>
        <v/>
      </c>
      <c r="G36" s="44" t="str">
        <f>IFERROR(Conso!#REF!,"")</f>
        <v/>
      </c>
      <c r="H36" s="44"/>
      <c r="I36" s="44" t="str">
        <f>IFERROR(INDEX(Notes!$S$10:$V$13,5-VLOOKUP(F36,Notes!$G$2:$H$5,2,FALSE),VLOOKUP('Tableau des risques net'!G36,Notes!$J$2:$K$5,2,FALSE)),"")</f>
        <v/>
      </c>
      <c r="J36" s="162" t="s">
        <v>785</v>
      </c>
    </row>
    <row r="37" spans="1:10" ht="24.95" customHeight="1" x14ac:dyDescent="0.2">
      <c r="A37" s="157" t="s">
        <v>745</v>
      </c>
      <c r="B37" s="43" t="e">
        <f>#REF!</f>
        <v>#REF!</v>
      </c>
      <c r="C37" s="43"/>
      <c r="D37" s="43"/>
      <c r="E37" s="45" t="str">
        <f>IFERROR(Conso!#REF!&amp;"/"&amp;Conso!#REF!,"")</f>
        <v/>
      </c>
      <c r="F37" s="46" t="str">
        <f>IFERROR(INDEX(Notes!$I$9:$N$14,7-VLOOKUP(Conso!#REF!,Notes!$D$2:$E$7,2,FALSE),VLOOKUP(Conso!#REF!,Notes!$A$2:$B$7,2,FALSE)),"")</f>
        <v/>
      </c>
      <c r="G37" s="44" t="str">
        <f>IFERROR(Conso!#REF!,"")</f>
        <v/>
      </c>
      <c r="H37" s="44"/>
      <c r="I37" s="44" t="str">
        <f>IFERROR(INDEX(Notes!$S$10:$V$13,5-VLOOKUP(F37,Notes!$G$2:$H$5,2,FALSE),VLOOKUP('Tableau des risques net'!G37,Notes!$J$2:$K$5,2,FALSE)),"")</f>
        <v/>
      </c>
      <c r="J37" s="162" t="s">
        <v>786</v>
      </c>
    </row>
    <row r="38" spans="1:10" ht="24.95" customHeight="1" x14ac:dyDescent="0.2">
      <c r="A38" s="157" t="s">
        <v>746</v>
      </c>
      <c r="B38" s="43" t="e">
        <f>#REF!</f>
        <v>#REF!</v>
      </c>
      <c r="C38" s="43"/>
      <c r="D38" s="43"/>
      <c r="E38" s="45" t="str">
        <f>IFERROR(Conso!#REF!&amp;"/"&amp;Conso!#REF!,"")</f>
        <v/>
      </c>
      <c r="F38" s="46" t="str">
        <f>IFERROR(INDEX(Notes!$I$9:$N$14,7-VLOOKUP(Conso!#REF!,Notes!$D$2:$E$7,2,FALSE),VLOOKUP(Conso!#REF!,Notes!$A$2:$B$7,2,FALSE)),"")</f>
        <v/>
      </c>
      <c r="G38" s="44" t="str">
        <f>IFERROR(Conso!#REF!,"")</f>
        <v/>
      </c>
      <c r="H38" s="44"/>
      <c r="I38" s="44" t="str">
        <f>IFERROR(INDEX(Notes!$S$10:$V$13,5-VLOOKUP(F38,Notes!$G$2:$H$5,2,FALSE),VLOOKUP('Tableau des risques net'!G38,Notes!$J$2:$K$5,2,FALSE)),"")</f>
        <v/>
      </c>
      <c r="J38" s="162" t="s">
        <v>787</v>
      </c>
    </row>
    <row r="39" spans="1:10" ht="24.95" customHeight="1" x14ac:dyDescent="0.2">
      <c r="A39" s="157" t="s">
        <v>747</v>
      </c>
      <c r="B39" s="43" t="e">
        <f>#REF!</f>
        <v>#REF!</v>
      </c>
      <c r="C39" s="43"/>
      <c r="D39" s="43"/>
      <c r="E39" s="45" t="str">
        <f>IFERROR(Conso!#REF!&amp;"/"&amp;Conso!#REF!,"")</f>
        <v/>
      </c>
      <c r="F39" s="46" t="str">
        <f>IFERROR(INDEX(Notes!$I$9:$N$14,7-VLOOKUP(Conso!#REF!,Notes!$D$2:$E$7,2,FALSE),VLOOKUP(Conso!#REF!,Notes!$A$2:$B$7,2,FALSE)),"")</f>
        <v/>
      </c>
      <c r="G39" s="44" t="str">
        <f>IFERROR(Conso!#REF!,"")</f>
        <v/>
      </c>
      <c r="H39" s="44"/>
      <c r="I39" s="44" t="str">
        <f>IFERROR(INDEX(Notes!$S$10:$V$13,5-VLOOKUP(F39,Notes!$G$2:$H$5,2,FALSE),VLOOKUP('Tableau des risques net'!G39,Notes!$J$2:$K$5,2,FALSE)),"")</f>
        <v/>
      </c>
      <c r="J39" s="162" t="s">
        <v>788</v>
      </c>
    </row>
    <row r="40" spans="1:10" ht="24.95" customHeight="1" x14ac:dyDescent="0.2">
      <c r="A40" s="157" t="s">
        <v>748</v>
      </c>
      <c r="B40" s="43" t="e">
        <f>#REF!</f>
        <v>#REF!</v>
      </c>
      <c r="C40" s="43"/>
      <c r="D40" s="43"/>
      <c r="E40" s="45" t="str">
        <f>IFERROR(Conso!#REF!&amp;"/"&amp;Conso!#REF!,"")</f>
        <v/>
      </c>
      <c r="F40" s="46" t="str">
        <f>IFERROR(INDEX(Notes!$I$9:$N$14,7-VLOOKUP(Conso!#REF!,Notes!$D$2:$E$7,2,FALSE),VLOOKUP(Conso!#REF!,Notes!$A$2:$B$7,2,FALSE)),"")</f>
        <v/>
      </c>
      <c r="G40" s="44" t="str">
        <f>IFERROR(Conso!#REF!,"")</f>
        <v/>
      </c>
      <c r="H40" s="44"/>
      <c r="I40" s="44" t="str">
        <f>IFERROR(INDEX(Notes!$S$10:$V$13,5-VLOOKUP(F40,Notes!$G$2:$H$5,2,FALSE),VLOOKUP('Tableau des risques net'!G40,Notes!$J$2:$K$5,2,FALSE)),"")</f>
        <v/>
      </c>
      <c r="J40" s="162" t="s">
        <v>789</v>
      </c>
    </row>
    <row r="41" spans="1:10" ht="24.95" customHeight="1" x14ac:dyDescent="0.2">
      <c r="A41" s="157" t="s">
        <v>749</v>
      </c>
      <c r="B41" s="43" t="e">
        <f>#REF!</f>
        <v>#REF!</v>
      </c>
      <c r="C41" s="43"/>
      <c r="D41" s="43"/>
      <c r="E41" s="45" t="str">
        <f>IFERROR(Conso!#REF!&amp;"/"&amp;Conso!#REF!,"")</f>
        <v/>
      </c>
      <c r="F41" s="46" t="str">
        <f>IFERROR(INDEX(Notes!$I$9:$N$14,7-VLOOKUP(Conso!#REF!,Notes!$D$2:$E$7,2,FALSE),VLOOKUP(Conso!#REF!,Notes!$A$2:$B$7,2,FALSE)),"")</f>
        <v/>
      </c>
      <c r="G41" s="44" t="str">
        <f>IFERROR(Conso!#REF!,"")</f>
        <v/>
      </c>
      <c r="H41" s="44"/>
      <c r="I41" s="44" t="str">
        <f>IFERROR(INDEX(Notes!$S$10:$V$13,5-VLOOKUP(F41,Notes!$G$2:$H$5,2,FALSE),VLOOKUP('Tableau des risques net'!G41,Notes!$J$2:$K$5,2,FALSE)),"")</f>
        <v/>
      </c>
      <c r="J41" s="162" t="s">
        <v>790</v>
      </c>
    </row>
  </sheetData>
  <autoFilter ref="A1:J1"/>
  <conditionalFormatting sqref="E4:F41">
    <cfRule type="expression" dxfId="51" priority="49">
      <formula>$F4="Très Elevé"</formula>
    </cfRule>
    <cfRule type="expression" dxfId="50" priority="50">
      <formula>$F4="Elevé"</formula>
    </cfRule>
    <cfRule type="expression" dxfId="49" priority="51">
      <formula>$F4="Modéré"</formula>
    </cfRule>
    <cfRule type="expression" dxfId="48" priority="52">
      <formula>$F4="Mineur"</formula>
    </cfRule>
  </conditionalFormatting>
  <conditionalFormatting sqref="G4:H41">
    <cfRule type="cellIs" dxfId="47" priority="45" operator="equal">
      <formula>"Maîtrisé"</formula>
    </cfRule>
    <cfRule type="cellIs" dxfId="46" priority="46" operator="equal">
      <formula>"Acceptable"</formula>
    </cfRule>
    <cfRule type="cellIs" dxfId="45" priority="47" operator="equal">
      <formula>"Faible"</formula>
    </cfRule>
    <cfRule type="cellIs" dxfId="44" priority="48" operator="equal">
      <formula>"Insuffisant"</formula>
    </cfRule>
  </conditionalFormatting>
  <conditionalFormatting sqref="I4:I41">
    <cfRule type="cellIs" dxfId="43" priority="39" operator="equal">
      <formula>"Criticité Très élevée"</formula>
    </cfRule>
    <cfRule type="cellIs" dxfId="42" priority="40" operator="equal">
      <formula>"Criticité elevée"</formula>
    </cfRule>
    <cfRule type="cellIs" dxfId="41" priority="41" operator="equal">
      <formula>"Surveillance Modérée"</formula>
    </cfRule>
    <cfRule type="cellIs" dxfId="40" priority="42" operator="equal">
      <formula>"Surveillance à renforcer"</formula>
    </cfRule>
    <cfRule type="cellIs" dxfId="39" priority="43" operator="equal">
      <formula>"Surveillance modérée"</formula>
    </cfRule>
    <cfRule type="cellIs" dxfId="38" priority="44" operator="equal">
      <formula>"Surveillance Faible"</formula>
    </cfRule>
  </conditionalFormatting>
  <conditionalFormatting sqref="G3">
    <cfRule type="cellIs" dxfId="37" priority="31" operator="equal">
      <formula>"Maîtrisé"</formula>
    </cfRule>
    <cfRule type="cellIs" dxfId="36" priority="32" operator="equal">
      <formula>"Acceptable"</formula>
    </cfRule>
    <cfRule type="cellIs" dxfId="35" priority="33" operator="equal">
      <formula>"Faible"</formula>
    </cfRule>
    <cfRule type="cellIs" dxfId="34" priority="34" operator="equal">
      <formula>"Insuffisant"</formula>
    </cfRule>
  </conditionalFormatting>
  <conditionalFormatting sqref="I3">
    <cfRule type="cellIs" dxfId="33" priority="25" operator="equal">
      <formula>"Zone de criticité très élevée /Surveillance insuffisante"</formula>
    </cfRule>
    <cfRule type="cellIs" dxfId="32" priority="26" operator="equal">
      <formula>"Zone de criticité élevée /Surveillance soutenue"</formula>
    </cfRule>
    <cfRule type="cellIs" dxfId="31" priority="27" operator="equal">
      <formula>"Zone de criticité modérée /Surveillance modérée"</formula>
    </cfRule>
    <cfRule type="cellIs" dxfId="30" priority="28" operator="equal">
      <formula>"Zone de criticité élevée /Surveillance à renforcer"</formula>
    </cfRule>
    <cfRule type="cellIs" dxfId="29" priority="29" operator="equal">
      <formula>"Zone de criticité faible /Surveillance modérée"</formula>
    </cfRule>
    <cfRule type="cellIs" dxfId="28" priority="30" operator="equal">
      <formula>"Zone de criticité faible /Surveillance faible"</formula>
    </cfRule>
  </conditionalFormatting>
  <conditionalFormatting sqref="D3">
    <cfRule type="cellIs" dxfId="27" priority="19" operator="equal">
      <formula>"Permanente"</formula>
    </cfRule>
    <cfRule type="cellIs" dxfId="26" priority="20" operator="equal">
      <formula>"Récurrente"</formula>
    </cfRule>
    <cfRule type="cellIs" dxfId="25" priority="21" operator="equal">
      <formula>"Elevée"</formula>
    </cfRule>
    <cfRule type="cellIs" dxfId="24" priority="22" operator="equal">
      <formula>"Modérée"</formula>
    </cfRule>
    <cfRule type="cellIs" dxfId="23" priority="23" operator="equal">
      <formula>"Rare"</formula>
    </cfRule>
    <cfRule type="cellIs" dxfId="22" priority="24" operator="equal">
      <formula>"Exceptionnelle"</formula>
    </cfRule>
  </conditionalFormatting>
  <conditionalFormatting sqref="C3">
    <cfRule type="cellIs" dxfId="21" priority="13" operator="equal">
      <formula>"Catastrophique"</formula>
    </cfRule>
    <cfRule type="cellIs" dxfId="20" priority="14" operator="equal">
      <formula>"Critique"</formula>
    </cfRule>
    <cfRule type="cellIs" dxfId="19" priority="15" operator="equal">
      <formula>"Elevé"</formula>
    </cfRule>
    <cfRule type="cellIs" dxfId="18" priority="16" operator="equal">
      <formula>"Modéré"</formula>
    </cfRule>
    <cfRule type="cellIs" dxfId="17" priority="17" operator="equal">
      <formula>"Faible"</formula>
    </cfRule>
    <cfRule type="cellIs" dxfId="16" priority="18" operator="equal">
      <formula>"Marginal"</formula>
    </cfRule>
  </conditionalFormatting>
  <conditionalFormatting sqref="H3">
    <cfRule type="cellIs" dxfId="15" priority="9" operator="equal">
      <formula>"Maîtrisé"</formula>
    </cfRule>
    <cfRule type="cellIs" dxfId="14" priority="10" operator="equal">
      <formula>"Acceptable"</formula>
    </cfRule>
    <cfRule type="cellIs" dxfId="13" priority="11" operator="equal">
      <formula>"Faible"</formula>
    </cfRule>
    <cfRule type="cellIs" dxfId="12" priority="12" operator="equal">
      <formula>"Insuffisant"</formula>
    </cfRule>
  </conditionalFormatting>
  <conditionalFormatting sqref="E3">
    <cfRule type="expression" dxfId="11" priority="5">
      <formula>$F3="Très élevée"</formula>
    </cfRule>
    <cfRule type="expression" dxfId="10" priority="6">
      <formula>$F3="Elevé"</formula>
    </cfRule>
    <cfRule type="expression" dxfId="9" priority="7">
      <formula>$F3="Modéré"</formula>
    </cfRule>
    <cfRule type="expression" dxfId="8" priority="8">
      <formula>$F3="Mineur"</formula>
    </cfRule>
  </conditionalFormatting>
  <conditionalFormatting sqref="F3">
    <cfRule type="expression" dxfId="7" priority="1">
      <formula>$F3="Très élevée"</formula>
    </cfRule>
    <cfRule type="expression" dxfId="6" priority="2">
      <formula>$F3="Elevé"</formula>
    </cfRule>
    <cfRule type="expression" dxfId="5" priority="3">
      <formula>$F3="Modéré"</formula>
    </cfRule>
    <cfRule type="expression" dxfId="4" priority="4">
      <formula>$F3="Mineur"</formula>
    </cfRule>
  </conditionalFormatting>
  <pageMargins left="0.27" right="0.5" top="0.5" bottom="0.39" header="0.33" footer="0.21"/>
  <pageSetup paperSize="9" scale="38" orientation="landscape" r:id="rId1"/>
  <headerFooter alignWithMargins="0">
    <oddHeader>&amp;R&amp;"Arial,Italique"&amp;8&amp;D</oddHeader>
  </headerFooter>
  <extLst>
    <ext xmlns:x14="http://schemas.microsoft.com/office/spreadsheetml/2009/9/main" uri="{78C0D931-6437-407d-A8EE-F0AAD7539E65}">
      <x14:conditionalFormattings>
        <x14:conditionalFormatting xmlns:xm="http://schemas.microsoft.com/office/excel/2006/main">
          <x14:cfRule type="expression" priority="53" id="{2D70CAE2-6136-4BFE-BD40-23F1D950BF68}">
            <xm:f>'Tableau des risques brut'!$F3="Très Elevé"</xm:f>
            <x14:dxf>
              <font>
                <b/>
                <i val="0"/>
              </font>
              <fill>
                <patternFill>
                  <bgColor rgb="FFFF0000"/>
                </patternFill>
              </fill>
            </x14:dxf>
          </x14:cfRule>
          <x14:cfRule type="expression" priority="53" id="{52A684A6-6480-4356-93CD-4EC76674416B}">
            <xm:f>'Tableau des risques brut'!$F3="Elevé"</xm:f>
            <x14:dxf>
              <fill>
                <patternFill>
                  <bgColor rgb="FFFFC000"/>
                </patternFill>
              </fill>
            </x14:dxf>
          </x14:cfRule>
          <x14:cfRule type="expression" priority="53" id="{E543288A-4508-4795-B94D-585D65E70C8A}">
            <xm:f>'Tableau des risques brut'!$F3="Modéré"</xm:f>
            <x14:dxf>
              <font>
                <b/>
                <i val="0"/>
              </font>
              <fill>
                <patternFill>
                  <bgColor rgb="FFFFFF00"/>
                </patternFill>
              </fill>
            </x14:dxf>
          </x14:cfRule>
          <x14:cfRule type="expression" priority="53" id="{4F84324C-A47D-47D7-ABAA-46FF6475DCA1}">
            <xm:f>'Tableau des risques brut'!$F3="Mineur"</xm:f>
            <x14:dxf>
              <font>
                <b/>
                <i val="0"/>
              </font>
              <fill>
                <patternFill>
                  <bgColor rgb="FF00B050"/>
                </patternFill>
              </fill>
            </x14:dxf>
          </x14:cfRule>
          <xm:sqref>E3:F3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9" tint="-0.499984740745262"/>
  </sheetPr>
  <dimension ref="A3:I222"/>
  <sheetViews>
    <sheetView showGridLines="0" topLeftCell="A163" zoomScaleNormal="100" workbookViewId="0">
      <selection activeCell="G32" sqref="G32"/>
    </sheetView>
  </sheetViews>
  <sheetFormatPr baseColWidth="10" defaultRowHeight="15" x14ac:dyDescent="0.25"/>
  <cols>
    <col min="1" max="1" width="10.7109375" style="67" customWidth="1"/>
    <col min="2" max="8" width="18.28515625" style="67" customWidth="1"/>
    <col min="9" max="9" width="15.7109375" style="67" customWidth="1"/>
    <col min="10" max="16384" width="11.42578125" style="67"/>
  </cols>
  <sheetData>
    <row r="3" spans="2:9" ht="33.75" x14ac:dyDescent="0.25">
      <c r="B3" s="330" t="s">
        <v>242</v>
      </c>
      <c r="C3" s="330"/>
      <c r="D3" s="330"/>
      <c r="E3" s="330"/>
      <c r="F3" s="330"/>
      <c r="G3" s="330"/>
      <c r="H3" s="330"/>
      <c r="I3" s="79"/>
    </row>
    <row r="4" spans="2:9" x14ac:dyDescent="0.25">
      <c r="D4" s="80"/>
      <c r="E4" s="80"/>
      <c r="F4" s="80"/>
      <c r="G4" s="80"/>
      <c r="H4" s="80"/>
      <c r="I4" s="80"/>
    </row>
    <row r="5" spans="2:9" x14ac:dyDescent="0.25">
      <c r="D5" s="80"/>
      <c r="E5" s="80"/>
      <c r="F5" s="80"/>
      <c r="G5" s="80"/>
      <c r="H5" s="80"/>
      <c r="I5" s="80"/>
    </row>
    <row r="6" spans="2:9" ht="33.75" x14ac:dyDescent="0.25">
      <c r="B6" s="330" t="s">
        <v>243</v>
      </c>
      <c r="C6" s="330"/>
      <c r="D6" s="330"/>
      <c r="E6" s="330"/>
      <c r="F6" s="330"/>
      <c r="G6" s="330"/>
      <c r="H6" s="330"/>
      <c r="I6" s="79"/>
    </row>
    <row r="7" spans="2:9" x14ac:dyDescent="0.25">
      <c r="D7" s="80"/>
      <c r="E7" s="80"/>
      <c r="F7" s="80"/>
      <c r="G7" s="80"/>
      <c r="H7" s="80"/>
      <c r="I7" s="80"/>
    </row>
    <row r="8" spans="2:9" x14ac:dyDescent="0.25">
      <c r="D8" s="80"/>
      <c r="E8" s="80"/>
      <c r="F8" s="80"/>
      <c r="G8" s="80"/>
      <c r="H8" s="80"/>
      <c r="I8" s="80"/>
    </row>
    <row r="9" spans="2:9" ht="33.75" x14ac:dyDescent="0.25">
      <c r="B9" s="330" t="s">
        <v>244</v>
      </c>
      <c r="C9" s="330"/>
      <c r="D9" s="330"/>
      <c r="E9" s="330"/>
      <c r="F9" s="330"/>
      <c r="G9" s="330"/>
      <c r="H9" s="330"/>
      <c r="I9" s="79"/>
    </row>
    <row r="20" spans="2:9" ht="15.75" thickBot="1" x14ac:dyDescent="0.3"/>
    <row r="21" spans="2:9" ht="14.45" customHeight="1" x14ac:dyDescent="0.25">
      <c r="B21" s="331" t="s">
        <v>245</v>
      </c>
      <c r="C21" s="332"/>
      <c r="D21" s="332"/>
      <c r="E21" s="332"/>
      <c r="F21" s="332"/>
      <c r="G21" s="332"/>
      <c r="H21" s="333"/>
      <c r="I21" s="315" t="s">
        <v>246</v>
      </c>
    </row>
    <row r="22" spans="2:9" x14ac:dyDescent="0.25">
      <c r="B22" s="334"/>
      <c r="C22" s="335"/>
      <c r="D22" s="335"/>
      <c r="E22" s="335"/>
      <c r="F22" s="335"/>
      <c r="G22" s="335"/>
      <c r="H22" s="336"/>
      <c r="I22" s="315"/>
    </row>
    <row r="23" spans="2:9" x14ac:dyDescent="0.25">
      <c r="B23" s="81"/>
      <c r="C23" s="82"/>
      <c r="D23" s="82"/>
      <c r="E23" s="82"/>
      <c r="F23" s="83"/>
      <c r="G23" s="83"/>
      <c r="H23" s="84"/>
      <c r="I23" s="315"/>
    </row>
    <row r="24" spans="2:9" x14ac:dyDescent="0.25">
      <c r="B24" s="85"/>
      <c r="C24" s="337" t="s">
        <v>247</v>
      </c>
      <c r="D24" s="337"/>
      <c r="E24" s="337"/>
      <c r="F24" s="337"/>
      <c r="G24" s="337"/>
      <c r="H24" s="338"/>
      <c r="I24" s="315"/>
    </row>
    <row r="25" spans="2:9" x14ac:dyDescent="0.25">
      <c r="B25" s="86"/>
      <c r="C25" s="339" t="s">
        <v>8</v>
      </c>
      <c r="D25" s="341" t="s">
        <v>9</v>
      </c>
      <c r="E25" s="343" t="s">
        <v>10</v>
      </c>
      <c r="F25" s="345" t="s">
        <v>248</v>
      </c>
      <c r="G25" s="347" t="s">
        <v>12</v>
      </c>
      <c r="H25" s="349" t="s">
        <v>13</v>
      </c>
      <c r="I25" s="315"/>
    </row>
    <row r="26" spans="2:9" ht="15.75" thickBot="1" x14ac:dyDescent="0.3">
      <c r="B26" s="87"/>
      <c r="C26" s="340"/>
      <c r="D26" s="342"/>
      <c r="E26" s="344"/>
      <c r="F26" s="346"/>
      <c r="G26" s="348"/>
      <c r="H26" s="350"/>
      <c r="I26" s="315"/>
    </row>
    <row r="27" spans="2:9" ht="72" x14ac:dyDescent="0.25">
      <c r="B27" s="319" t="s">
        <v>39</v>
      </c>
      <c r="C27" s="88" t="s">
        <v>249</v>
      </c>
      <c r="D27" s="88" t="s">
        <v>250</v>
      </c>
      <c r="E27" s="89" t="s">
        <v>251</v>
      </c>
      <c r="F27" s="89" t="s">
        <v>252</v>
      </c>
      <c r="G27" s="88" t="s">
        <v>253</v>
      </c>
      <c r="H27" s="90" t="s">
        <v>254</v>
      </c>
      <c r="I27" s="315"/>
    </row>
    <row r="28" spans="2:9" ht="24" x14ac:dyDescent="0.25">
      <c r="B28" s="320"/>
      <c r="C28" s="91" t="s">
        <v>255</v>
      </c>
      <c r="D28" s="91" t="s">
        <v>256</v>
      </c>
      <c r="E28" s="92" t="s">
        <v>257</v>
      </c>
      <c r="F28" s="92" t="s">
        <v>258</v>
      </c>
      <c r="G28" s="91" t="s">
        <v>259</v>
      </c>
      <c r="H28" s="93" t="s">
        <v>260</v>
      </c>
      <c r="I28" s="315"/>
    </row>
    <row r="29" spans="2:9" ht="36" x14ac:dyDescent="0.25">
      <c r="B29" s="320"/>
      <c r="C29" s="91" t="s">
        <v>261</v>
      </c>
      <c r="D29" s="91" t="s">
        <v>262</v>
      </c>
      <c r="E29" s="92" t="s">
        <v>263</v>
      </c>
      <c r="F29" s="92" t="s">
        <v>264</v>
      </c>
      <c r="G29" s="91" t="s">
        <v>265</v>
      </c>
      <c r="H29" s="93" t="s">
        <v>266</v>
      </c>
      <c r="I29" s="315"/>
    </row>
    <row r="30" spans="2:9" x14ac:dyDescent="0.25">
      <c r="B30" s="320"/>
      <c r="C30" s="94" t="s">
        <v>267</v>
      </c>
      <c r="D30" s="94" t="s">
        <v>268</v>
      </c>
      <c r="E30" s="95" t="s">
        <v>269</v>
      </c>
      <c r="F30" s="95" t="s">
        <v>270</v>
      </c>
      <c r="G30" s="94" t="s">
        <v>271</v>
      </c>
      <c r="H30" s="96" t="s">
        <v>272</v>
      </c>
      <c r="I30" s="315"/>
    </row>
    <row r="31" spans="2:9" ht="24" x14ac:dyDescent="0.25">
      <c r="B31" s="320"/>
      <c r="C31" s="97" t="s">
        <v>273</v>
      </c>
      <c r="D31" s="97" t="s">
        <v>274</v>
      </c>
      <c r="E31" s="98" t="s">
        <v>275</v>
      </c>
      <c r="F31" s="98" t="s">
        <v>276</v>
      </c>
      <c r="G31" s="98" t="s">
        <v>277</v>
      </c>
      <c r="H31" s="99" t="s">
        <v>278</v>
      </c>
      <c r="I31" s="315"/>
    </row>
    <row r="32" spans="2:9" ht="24.75" thickBot="1" x14ac:dyDescent="0.3">
      <c r="B32" s="320"/>
      <c r="C32" s="97" t="s">
        <v>279</v>
      </c>
      <c r="D32" s="97" t="s">
        <v>280</v>
      </c>
      <c r="E32" s="97" t="s">
        <v>281</v>
      </c>
      <c r="F32" s="97" t="s">
        <v>282</v>
      </c>
      <c r="G32" s="97" t="s">
        <v>283</v>
      </c>
      <c r="H32" s="100" t="s">
        <v>284</v>
      </c>
      <c r="I32" s="315"/>
    </row>
    <row r="33" spans="2:9" ht="36" x14ac:dyDescent="0.25">
      <c r="B33" s="319" t="s">
        <v>285</v>
      </c>
      <c r="C33" s="101" t="s">
        <v>286</v>
      </c>
      <c r="D33" s="101" t="s">
        <v>287</v>
      </c>
      <c r="E33" s="102" t="s">
        <v>288</v>
      </c>
      <c r="F33" s="102" t="s">
        <v>289</v>
      </c>
      <c r="G33" s="101" t="s">
        <v>290</v>
      </c>
      <c r="H33" s="103" t="s">
        <v>291</v>
      </c>
      <c r="I33" s="315"/>
    </row>
    <row r="34" spans="2:9" ht="72" x14ac:dyDescent="0.25">
      <c r="B34" s="320"/>
      <c r="C34" s="104" t="s">
        <v>292</v>
      </c>
      <c r="D34" s="104" t="s">
        <v>293</v>
      </c>
      <c r="E34" s="92" t="s">
        <v>294</v>
      </c>
      <c r="F34" s="92" t="s">
        <v>295</v>
      </c>
      <c r="G34" s="104" t="s">
        <v>296</v>
      </c>
      <c r="H34" s="99" t="s">
        <v>297</v>
      </c>
      <c r="I34" s="315"/>
    </row>
    <row r="35" spans="2:9" ht="36" x14ac:dyDescent="0.25">
      <c r="B35" s="320"/>
      <c r="C35" s="105" t="s">
        <v>298</v>
      </c>
      <c r="D35" s="105" t="s">
        <v>299</v>
      </c>
      <c r="E35" s="92" t="s">
        <v>300</v>
      </c>
      <c r="F35" s="92" t="s">
        <v>301</v>
      </c>
      <c r="G35" s="105" t="s">
        <v>302</v>
      </c>
      <c r="H35" s="106" t="s">
        <v>303</v>
      </c>
      <c r="I35" s="315"/>
    </row>
    <row r="36" spans="2:9" ht="36" x14ac:dyDescent="0.25">
      <c r="B36" s="320"/>
      <c r="C36" s="105" t="s">
        <v>304</v>
      </c>
      <c r="D36" s="105" t="s">
        <v>305</v>
      </c>
      <c r="E36" s="92" t="s">
        <v>306</v>
      </c>
      <c r="F36" s="92" t="s">
        <v>307</v>
      </c>
      <c r="G36" s="105" t="s">
        <v>308</v>
      </c>
      <c r="H36" s="106" t="s">
        <v>309</v>
      </c>
      <c r="I36" s="315"/>
    </row>
    <row r="37" spans="2:9" ht="72.75" thickBot="1" x14ac:dyDescent="0.3">
      <c r="B37" s="321"/>
      <c r="C37" s="107" t="s">
        <v>310</v>
      </c>
      <c r="D37" s="107" t="s">
        <v>311</v>
      </c>
      <c r="E37" s="108" t="s">
        <v>312</v>
      </c>
      <c r="F37" s="108" t="s">
        <v>313</v>
      </c>
      <c r="G37" s="109" t="s">
        <v>314</v>
      </c>
      <c r="H37" s="100" t="s">
        <v>315</v>
      </c>
      <c r="I37" s="315"/>
    </row>
    <row r="38" spans="2:9" ht="84" x14ac:dyDescent="0.25">
      <c r="B38" s="351" t="s">
        <v>316</v>
      </c>
      <c r="C38" s="101" t="s">
        <v>317</v>
      </c>
      <c r="D38" s="101" t="s">
        <v>318</v>
      </c>
      <c r="E38" s="101" t="s">
        <v>319</v>
      </c>
      <c r="F38" s="102" t="s">
        <v>320</v>
      </c>
      <c r="G38" s="354" t="s">
        <v>321</v>
      </c>
      <c r="H38" s="325" t="s">
        <v>322</v>
      </c>
      <c r="I38" s="315"/>
    </row>
    <row r="39" spans="2:9" x14ac:dyDescent="0.25">
      <c r="B39" s="352"/>
      <c r="C39" s="328" t="s">
        <v>323</v>
      </c>
      <c r="D39" s="328" t="s">
        <v>324</v>
      </c>
      <c r="E39" s="328" t="s">
        <v>325</v>
      </c>
      <c r="F39" s="328" t="s">
        <v>326</v>
      </c>
      <c r="G39" s="355"/>
      <c r="H39" s="326"/>
      <c r="I39" s="315"/>
    </row>
    <row r="40" spans="2:9" ht="51.6" customHeight="1" thickBot="1" x14ac:dyDescent="0.3">
      <c r="B40" s="353"/>
      <c r="C40" s="324"/>
      <c r="D40" s="324"/>
      <c r="E40" s="324"/>
      <c r="F40" s="324"/>
      <c r="G40" s="356"/>
      <c r="H40" s="327"/>
      <c r="I40" s="315"/>
    </row>
    <row r="41" spans="2:9" ht="60" x14ac:dyDescent="0.25">
      <c r="B41" s="319" t="s">
        <v>327</v>
      </c>
      <c r="C41" s="322" t="s">
        <v>328</v>
      </c>
      <c r="D41" s="101" t="s">
        <v>329</v>
      </c>
      <c r="E41" s="101" t="s">
        <v>330</v>
      </c>
      <c r="F41" s="101" t="s">
        <v>331</v>
      </c>
      <c r="G41" s="101" t="s">
        <v>332</v>
      </c>
      <c r="H41" s="325" t="s">
        <v>333</v>
      </c>
      <c r="I41" s="315"/>
    </row>
    <row r="42" spans="2:9" ht="60" x14ac:dyDescent="0.25">
      <c r="B42" s="320"/>
      <c r="C42" s="323"/>
      <c r="D42" s="328" t="s">
        <v>334</v>
      </c>
      <c r="E42" s="328" t="s">
        <v>335</v>
      </c>
      <c r="F42" s="328" t="s">
        <v>336</v>
      </c>
      <c r="G42" s="105" t="s">
        <v>337</v>
      </c>
      <c r="H42" s="326"/>
      <c r="I42" s="315"/>
    </row>
    <row r="43" spans="2:9" ht="24" x14ac:dyDescent="0.25">
      <c r="B43" s="320"/>
      <c r="C43" s="323"/>
      <c r="D43" s="323"/>
      <c r="E43" s="323"/>
      <c r="F43" s="329"/>
      <c r="G43" s="105" t="s">
        <v>338</v>
      </c>
      <c r="H43" s="326"/>
      <c r="I43" s="315"/>
    </row>
    <row r="44" spans="2:9" ht="60.75" thickBot="1" x14ac:dyDescent="0.3">
      <c r="B44" s="321"/>
      <c r="C44" s="324"/>
      <c r="D44" s="324"/>
      <c r="E44" s="324"/>
      <c r="F44" s="107" t="s">
        <v>339</v>
      </c>
      <c r="G44" s="107" t="s">
        <v>340</v>
      </c>
      <c r="H44" s="327"/>
      <c r="I44" s="315"/>
    </row>
    <row r="45" spans="2:9" x14ac:dyDescent="0.25">
      <c r="B45" s="110"/>
      <c r="C45" s="102"/>
      <c r="D45" s="102"/>
      <c r="E45" s="102"/>
      <c r="F45" s="102"/>
      <c r="G45" s="102"/>
      <c r="H45" s="103"/>
      <c r="I45" s="315"/>
    </row>
    <row r="46" spans="2:9" ht="24" x14ac:dyDescent="0.25">
      <c r="B46" s="111"/>
      <c r="C46" s="112" t="s">
        <v>341</v>
      </c>
      <c r="D46" s="113" t="s">
        <v>342</v>
      </c>
      <c r="E46" s="114" t="s">
        <v>343</v>
      </c>
      <c r="F46" s="115" t="s">
        <v>344</v>
      </c>
      <c r="G46" s="116" t="s">
        <v>345</v>
      </c>
      <c r="H46" s="117" t="s">
        <v>346</v>
      </c>
      <c r="I46" s="315"/>
    </row>
    <row r="47" spans="2:9" ht="211.9" customHeight="1" x14ac:dyDescent="0.25">
      <c r="B47" s="118" t="s">
        <v>347</v>
      </c>
      <c r="C47" s="119" t="s">
        <v>348</v>
      </c>
      <c r="D47" s="119" t="s">
        <v>349</v>
      </c>
      <c r="E47" s="119" t="s">
        <v>350</v>
      </c>
      <c r="F47" s="119" t="s">
        <v>351</v>
      </c>
      <c r="G47" s="119" t="s">
        <v>352</v>
      </c>
      <c r="H47" s="120" t="s">
        <v>353</v>
      </c>
      <c r="I47" s="315"/>
    </row>
    <row r="48" spans="2:9" ht="37.15" customHeight="1" x14ac:dyDescent="0.25">
      <c r="B48" s="316" t="s">
        <v>354</v>
      </c>
      <c r="C48" s="316"/>
      <c r="D48" s="316"/>
      <c r="E48" s="316"/>
      <c r="F48" s="316"/>
      <c r="G48" s="316"/>
      <c r="H48" s="316"/>
      <c r="I48" s="316"/>
    </row>
    <row r="53" spans="1:9" ht="3" customHeight="1" x14ac:dyDescent="0.25"/>
    <row r="54" spans="1:9" s="121" customFormat="1" ht="37.9" customHeight="1" x14ac:dyDescent="0.25">
      <c r="A54" s="317" t="s">
        <v>355</v>
      </c>
      <c r="B54" s="317"/>
      <c r="C54" s="317"/>
      <c r="D54" s="317" t="s">
        <v>356</v>
      </c>
      <c r="E54" s="317"/>
      <c r="F54" s="317" t="s">
        <v>357</v>
      </c>
      <c r="G54" s="317"/>
      <c r="H54" s="318"/>
      <c r="I54" s="315" t="s">
        <v>358</v>
      </c>
    </row>
    <row r="55" spans="1:9" ht="16.899999999999999" customHeight="1" x14ac:dyDescent="0.25">
      <c r="A55" s="122" t="s">
        <v>359</v>
      </c>
      <c r="B55" s="122"/>
      <c r="C55" s="122"/>
      <c r="D55" s="122" t="s">
        <v>360</v>
      </c>
      <c r="E55" s="122"/>
      <c r="F55" s="122" t="s">
        <v>361</v>
      </c>
      <c r="G55" s="122"/>
      <c r="H55" s="122"/>
      <c r="I55" s="315"/>
    </row>
    <row r="56" spans="1:9" ht="16.899999999999999" customHeight="1" x14ac:dyDescent="0.25">
      <c r="A56" s="122" t="s">
        <v>359</v>
      </c>
      <c r="B56" s="122"/>
      <c r="C56" s="122"/>
      <c r="D56" s="122" t="s">
        <v>362</v>
      </c>
      <c r="E56" s="122"/>
      <c r="F56" s="122" t="s">
        <v>363</v>
      </c>
      <c r="G56" s="122"/>
      <c r="H56" s="122"/>
      <c r="I56" s="315"/>
    </row>
    <row r="57" spans="1:9" ht="16.899999999999999" customHeight="1" x14ac:dyDescent="0.25">
      <c r="A57" s="122" t="s">
        <v>359</v>
      </c>
      <c r="B57" s="122"/>
      <c r="C57" s="122"/>
      <c r="D57" s="122" t="s">
        <v>362</v>
      </c>
      <c r="E57" s="122"/>
      <c r="F57" s="122" t="s">
        <v>364</v>
      </c>
      <c r="G57" s="122"/>
      <c r="H57" s="122"/>
      <c r="I57" s="315"/>
    </row>
    <row r="58" spans="1:9" ht="16.899999999999999" customHeight="1" x14ac:dyDescent="0.25">
      <c r="A58" s="122" t="s">
        <v>359</v>
      </c>
      <c r="B58" s="122"/>
      <c r="C58" s="122"/>
      <c r="D58" s="122" t="s">
        <v>365</v>
      </c>
      <c r="E58" s="122"/>
      <c r="F58" s="122" t="s">
        <v>366</v>
      </c>
      <c r="G58" s="122"/>
      <c r="H58" s="122"/>
      <c r="I58" s="315"/>
    </row>
    <row r="59" spans="1:9" ht="16.899999999999999" customHeight="1" x14ac:dyDescent="0.25">
      <c r="A59" s="122" t="s">
        <v>359</v>
      </c>
      <c r="B59" s="122"/>
      <c r="C59" s="122"/>
      <c r="D59" s="122" t="s">
        <v>365</v>
      </c>
      <c r="E59" s="122"/>
      <c r="F59" s="122" t="s">
        <v>367</v>
      </c>
      <c r="G59" s="122"/>
      <c r="H59" s="122"/>
      <c r="I59" s="315"/>
    </row>
    <row r="60" spans="1:9" ht="16.899999999999999" customHeight="1" x14ac:dyDescent="0.25">
      <c r="A60" s="122" t="s">
        <v>359</v>
      </c>
      <c r="B60" s="122"/>
      <c r="C60" s="122"/>
      <c r="D60" s="122" t="s">
        <v>365</v>
      </c>
      <c r="E60" s="122"/>
      <c r="F60" s="122" t="s">
        <v>368</v>
      </c>
      <c r="G60" s="122"/>
      <c r="H60" s="122"/>
      <c r="I60" s="315"/>
    </row>
    <row r="61" spans="1:9" ht="16.899999999999999" customHeight="1" x14ac:dyDescent="0.25">
      <c r="A61" s="122" t="s">
        <v>359</v>
      </c>
      <c r="B61" s="122"/>
      <c r="C61" s="122"/>
      <c r="D61" s="122" t="s">
        <v>369</v>
      </c>
      <c r="E61" s="122"/>
      <c r="F61" s="122" t="s">
        <v>370</v>
      </c>
      <c r="G61" s="122"/>
      <c r="H61" s="122"/>
      <c r="I61" s="315"/>
    </row>
    <row r="62" spans="1:9" ht="16.899999999999999" customHeight="1" x14ac:dyDescent="0.25">
      <c r="A62" s="122" t="s">
        <v>359</v>
      </c>
      <c r="B62" s="122"/>
      <c r="C62" s="122"/>
      <c r="D62" s="122" t="s">
        <v>371</v>
      </c>
      <c r="E62" s="122"/>
      <c r="F62" s="122" t="s">
        <v>372</v>
      </c>
      <c r="G62" s="122"/>
      <c r="H62" s="122"/>
      <c r="I62" s="315"/>
    </row>
    <row r="63" spans="1:9" ht="16.899999999999999" customHeight="1" x14ac:dyDescent="0.25">
      <c r="A63" s="122" t="s">
        <v>359</v>
      </c>
      <c r="B63" s="122"/>
      <c r="C63" s="122"/>
      <c r="D63" s="122" t="s">
        <v>371</v>
      </c>
      <c r="E63" s="122"/>
      <c r="F63" s="122" t="s">
        <v>373</v>
      </c>
      <c r="G63" s="122"/>
      <c r="H63" s="122"/>
      <c r="I63" s="315"/>
    </row>
    <row r="64" spans="1:9" ht="16.899999999999999" customHeight="1" x14ac:dyDescent="0.25">
      <c r="A64" s="122" t="s">
        <v>374</v>
      </c>
      <c r="B64" s="122"/>
      <c r="C64" s="122"/>
      <c r="D64" s="122" t="s">
        <v>375</v>
      </c>
      <c r="E64" s="122"/>
      <c r="F64" s="122" t="s">
        <v>376</v>
      </c>
      <c r="G64" s="122"/>
      <c r="H64" s="122"/>
      <c r="I64" s="315"/>
    </row>
    <row r="65" spans="1:9" ht="16.899999999999999" customHeight="1" x14ac:dyDescent="0.25">
      <c r="A65" s="122" t="s">
        <v>374</v>
      </c>
      <c r="B65" s="122"/>
      <c r="C65" s="122"/>
      <c r="D65" s="122" t="s">
        <v>377</v>
      </c>
      <c r="E65" s="122"/>
      <c r="F65" s="122" t="s">
        <v>378</v>
      </c>
      <c r="G65" s="122"/>
      <c r="H65" s="122"/>
      <c r="I65" s="315"/>
    </row>
    <row r="66" spans="1:9" ht="16.899999999999999" customHeight="1" x14ac:dyDescent="0.25">
      <c r="A66" s="122" t="s">
        <v>374</v>
      </c>
      <c r="B66" s="122"/>
      <c r="C66" s="122"/>
      <c r="D66" s="122" t="s">
        <v>379</v>
      </c>
      <c r="E66" s="122"/>
      <c r="F66" s="122" t="s">
        <v>380</v>
      </c>
      <c r="G66" s="122"/>
      <c r="H66" s="122"/>
      <c r="I66" s="315"/>
    </row>
    <row r="67" spans="1:9" ht="16.899999999999999" customHeight="1" x14ac:dyDescent="0.25">
      <c r="A67" s="122" t="s">
        <v>374</v>
      </c>
      <c r="B67" s="122"/>
      <c r="C67" s="122"/>
      <c r="D67" s="122" t="s">
        <v>381</v>
      </c>
      <c r="E67" s="122"/>
      <c r="F67" s="122" t="s">
        <v>382</v>
      </c>
      <c r="G67" s="122"/>
      <c r="H67" s="122"/>
      <c r="I67" s="315"/>
    </row>
    <row r="68" spans="1:9" ht="16.899999999999999" customHeight="1" x14ac:dyDescent="0.25">
      <c r="A68" s="122" t="s">
        <v>374</v>
      </c>
      <c r="B68" s="122"/>
      <c r="C68" s="122"/>
      <c r="D68" s="122" t="s">
        <v>381</v>
      </c>
      <c r="E68" s="122"/>
      <c r="F68" s="122" t="s">
        <v>383</v>
      </c>
      <c r="G68" s="122"/>
      <c r="H68" s="122"/>
      <c r="I68" s="315"/>
    </row>
    <row r="69" spans="1:9" ht="16.899999999999999" customHeight="1" x14ac:dyDescent="0.25">
      <c r="A69" s="122" t="s">
        <v>374</v>
      </c>
      <c r="B69" s="122"/>
      <c r="C69" s="122"/>
      <c r="D69" s="122" t="s">
        <v>381</v>
      </c>
      <c r="E69" s="122"/>
      <c r="F69" s="122" t="s">
        <v>384</v>
      </c>
      <c r="G69" s="122"/>
      <c r="H69" s="122"/>
      <c r="I69" s="315"/>
    </row>
    <row r="70" spans="1:9" ht="16.899999999999999" customHeight="1" x14ac:dyDescent="0.25">
      <c r="A70" s="122" t="s">
        <v>385</v>
      </c>
      <c r="B70" s="122"/>
      <c r="C70" s="122"/>
      <c r="D70" s="122" t="s">
        <v>386</v>
      </c>
      <c r="E70" s="122"/>
      <c r="F70" s="122" t="s">
        <v>387</v>
      </c>
      <c r="G70" s="122"/>
      <c r="H70" s="122"/>
      <c r="I70" s="315"/>
    </row>
    <row r="71" spans="1:9" ht="16.899999999999999" customHeight="1" x14ac:dyDescent="0.25">
      <c r="A71" s="122" t="s">
        <v>385</v>
      </c>
      <c r="B71" s="122"/>
      <c r="C71" s="122"/>
      <c r="D71" s="122" t="s">
        <v>386</v>
      </c>
      <c r="E71" s="122"/>
      <c r="F71" s="122" t="s">
        <v>388</v>
      </c>
      <c r="G71" s="122"/>
      <c r="H71" s="122"/>
      <c r="I71" s="315"/>
    </row>
    <row r="72" spans="1:9" ht="16.899999999999999" customHeight="1" x14ac:dyDescent="0.25">
      <c r="A72" s="122" t="s">
        <v>385</v>
      </c>
      <c r="B72" s="122"/>
      <c r="C72" s="122"/>
      <c r="D72" s="122" t="s">
        <v>386</v>
      </c>
      <c r="E72" s="122"/>
      <c r="F72" s="122" t="s">
        <v>389</v>
      </c>
      <c r="G72" s="122"/>
      <c r="H72" s="122"/>
      <c r="I72" s="315"/>
    </row>
    <row r="73" spans="1:9" ht="16.899999999999999" customHeight="1" x14ac:dyDescent="0.25">
      <c r="A73" s="122" t="s">
        <v>385</v>
      </c>
      <c r="B73" s="122"/>
      <c r="C73" s="122"/>
      <c r="D73" s="122" t="s">
        <v>386</v>
      </c>
      <c r="E73" s="122"/>
      <c r="F73" s="122" t="s">
        <v>390</v>
      </c>
      <c r="G73" s="122"/>
      <c r="H73" s="122"/>
      <c r="I73" s="315"/>
    </row>
    <row r="74" spans="1:9" ht="16.899999999999999" customHeight="1" x14ac:dyDescent="0.25">
      <c r="A74" s="122" t="s">
        <v>391</v>
      </c>
      <c r="B74" s="122"/>
      <c r="C74" s="122"/>
      <c r="D74" s="122" t="s">
        <v>392</v>
      </c>
      <c r="E74" s="122"/>
      <c r="F74" s="122" t="s">
        <v>393</v>
      </c>
      <c r="G74" s="122"/>
      <c r="H74" s="122"/>
      <c r="I74" s="315"/>
    </row>
    <row r="75" spans="1:9" ht="16.899999999999999" customHeight="1" x14ac:dyDescent="0.25">
      <c r="A75" s="122" t="s">
        <v>391</v>
      </c>
      <c r="B75" s="122"/>
      <c r="C75" s="122"/>
      <c r="D75" s="122" t="s">
        <v>394</v>
      </c>
      <c r="E75" s="122"/>
      <c r="F75" s="122" t="s">
        <v>395</v>
      </c>
      <c r="G75" s="122"/>
      <c r="H75" s="122"/>
      <c r="I75" s="315"/>
    </row>
    <row r="76" spans="1:9" ht="16.899999999999999" customHeight="1" x14ac:dyDescent="0.25">
      <c r="A76" s="122" t="s">
        <v>391</v>
      </c>
      <c r="B76" s="122"/>
      <c r="C76" s="122"/>
      <c r="D76" s="122" t="s">
        <v>394</v>
      </c>
      <c r="E76" s="122"/>
      <c r="F76" s="122" t="s">
        <v>396</v>
      </c>
      <c r="G76" s="122"/>
      <c r="H76" s="122"/>
      <c r="I76" s="315"/>
    </row>
    <row r="77" spans="1:9" ht="16.899999999999999" customHeight="1" x14ac:dyDescent="0.25">
      <c r="A77" s="122" t="s">
        <v>391</v>
      </c>
      <c r="B77" s="122"/>
      <c r="C77" s="122"/>
      <c r="D77" s="122" t="s">
        <v>394</v>
      </c>
      <c r="E77" s="122"/>
      <c r="F77" s="122" t="s">
        <v>397</v>
      </c>
      <c r="G77" s="122"/>
      <c r="H77" s="122"/>
      <c r="I77" s="315"/>
    </row>
    <row r="78" spans="1:9" ht="16.899999999999999" customHeight="1" x14ac:dyDescent="0.25">
      <c r="A78" s="122" t="s">
        <v>398</v>
      </c>
      <c r="B78" s="122"/>
      <c r="C78" s="122"/>
      <c r="D78" s="122" t="s">
        <v>399</v>
      </c>
      <c r="E78" s="122"/>
      <c r="F78" s="122" t="s">
        <v>400</v>
      </c>
      <c r="G78" s="122"/>
      <c r="H78" s="122"/>
      <c r="I78" s="315"/>
    </row>
    <row r="79" spans="1:9" ht="16.899999999999999" customHeight="1" x14ac:dyDescent="0.25">
      <c r="A79" s="122" t="s">
        <v>398</v>
      </c>
      <c r="B79" s="122"/>
      <c r="C79" s="122"/>
      <c r="D79" s="122" t="s">
        <v>401</v>
      </c>
      <c r="E79" s="122"/>
      <c r="F79" s="122" t="s">
        <v>402</v>
      </c>
      <c r="G79" s="122"/>
      <c r="H79" s="122"/>
      <c r="I79" s="315"/>
    </row>
    <row r="80" spans="1:9" ht="16.899999999999999" customHeight="1" x14ac:dyDescent="0.25">
      <c r="A80" s="122" t="s">
        <v>398</v>
      </c>
      <c r="B80" s="122"/>
      <c r="C80" s="122"/>
      <c r="D80" s="122" t="s">
        <v>401</v>
      </c>
      <c r="E80" s="122"/>
      <c r="F80" s="122" t="s">
        <v>403</v>
      </c>
      <c r="G80" s="122"/>
      <c r="H80" s="122"/>
      <c r="I80" s="315"/>
    </row>
    <row r="81" spans="1:9" ht="16.899999999999999" customHeight="1" x14ac:dyDescent="0.25">
      <c r="A81" s="122" t="s">
        <v>398</v>
      </c>
      <c r="B81" s="122"/>
      <c r="C81" s="122"/>
      <c r="D81" s="122" t="s">
        <v>401</v>
      </c>
      <c r="E81" s="122"/>
      <c r="F81" s="122" t="s">
        <v>404</v>
      </c>
      <c r="G81" s="122"/>
      <c r="H81" s="122"/>
      <c r="I81" s="315"/>
    </row>
    <row r="82" spans="1:9" ht="16.899999999999999" customHeight="1" x14ac:dyDescent="0.25">
      <c r="A82" s="122" t="s">
        <v>398</v>
      </c>
      <c r="B82" s="122"/>
      <c r="C82" s="122"/>
      <c r="D82" s="122" t="s">
        <v>405</v>
      </c>
      <c r="E82" s="122"/>
      <c r="F82" s="122" t="s">
        <v>406</v>
      </c>
      <c r="G82" s="122"/>
      <c r="H82" s="122"/>
      <c r="I82" s="315"/>
    </row>
    <row r="83" spans="1:9" ht="16.899999999999999" customHeight="1" x14ac:dyDescent="0.25">
      <c r="A83" s="122" t="s">
        <v>407</v>
      </c>
      <c r="B83" s="122"/>
      <c r="C83" s="122"/>
      <c r="D83" s="122" t="s">
        <v>408</v>
      </c>
      <c r="E83" s="122"/>
      <c r="F83" s="122" t="s">
        <v>409</v>
      </c>
      <c r="G83" s="122"/>
      <c r="H83" s="122"/>
      <c r="I83" s="315"/>
    </row>
    <row r="84" spans="1:9" ht="16.899999999999999" customHeight="1" x14ac:dyDescent="0.25">
      <c r="A84" s="122" t="s">
        <v>407</v>
      </c>
      <c r="B84" s="122"/>
      <c r="C84" s="122"/>
      <c r="D84" s="122" t="s">
        <v>408</v>
      </c>
      <c r="E84" s="122"/>
      <c r="F84" s="122" t="s">
        <v>410</v>
      </c>
      <c r="G84" s="122"/>
      <c r="H84" s="122"/>
      <c r="I84" s="315"/>
    </row>
    <row r="85" spans="1:9" ht="16.899999999999999" customHeight="1" x14ac:dyDescent="0.25">
      <c r="A85" s="122" t="s">
        <v>407</v>
      </c>
      <c r="B85" s="122"/>
      <c r="C85" s="122"/>
      <c r="D85" s="122" t="s">
        <v>411</v>
      </c>
      <c r="E85" s="122"/>
      <c r="F85" s="122" t="s">
        <v>412</v>
      </c>
      <c r="G85" s="122"/>
      <c r="H85" s="122"/>
      <c r="I85" s="315"/>
    </row>
    <row r="86" spans="1:9" ht="16.899999999999999" customHeight="1" x14ac:dyDescent="0.25">
      <c r="A86" s="122" t="s">
        <v>407</v>
      </c>
      <c r="B86" s="122"/>
      <c r="C86" s="122"/>
      <c r="D86" s="122" t="s">
        <v>413</v>
      </c>
      <c r="E86" s="122"/>
      <c r="F86" s="122" t="s">
        <v>414</v>
      </c>
      <c r="G86" s="122"/>
      <c r="H86" s="122"/>
      <c r="I86" s="315"/>
    </row>
    <row r="87" spans="1:9" ht="16.899999999999999" customHeight="1" x14ac:dyDescent="0.25">
      <c r="A87" s="122" t="s">
        <v>407</v>
      </c>
      <c r="B87" s="122"/>
      <c r="C87" s="122"/>
      <c r="D87" s="122" t="s">
        <v>413</v>
      </c>
      <c r="E87" s="122"/>
      <c r="F87" s="122" t="s">
        <v>415</v>
      </c>
      <c r="G87" s="122"/>
      <c r="H87" s="122"/>
      <c r="I87" s="315"/>
    </row>
    <row r="88" spans="1:9" ht="16.899999999999999" customHeight="1" x14ac:dyDescent="0.25">
      <c r="A88" s="122" t="s">
        <v>407</v>
      </c>
      <c r="B88" s="122"/>
      <c r="C88" s="122"/>
      <c r="D88" s="122" t="s">
        <v>413</v>
      </c>
      <c r="E88" s="122"/>
      <c r="F88" s="122" t="s">
        <v>416</v>
      </c>
      <c r="G88" s="122"/>
      <c r="H88" s="122"/>
      <c r="I88" s="315"/>
    </row>
    <row r="89" spans="1:9" ht="16.899999999999999" customHeight="1" x14ac:dyDescent="0.25">
      <c r="A89" s="122" t="s">
        <v>407</v>
      </c>
      <c r="B89" s="122"/>
      <c r="C89" s="122"/>
      <c r="D89" s="122" t="s">
        <v>417</v>
      </c>
      <c r="E89" s="122"/>
      <c r="F89" s="122" t="s">
        <v>418</v>
      </c>
      <c r="G89" s="122"/>
      <c r="H89" s="122"/>
      <c r="I89" s="315"/>
    </row>
    <row r="90" spans="1:9" ht="16.899999999999999" customHeight="1" x14ac:dyDescent="0.25">
      <c r="A90" s="122" t="s">
        <v>407</v>
      </c>
      <c r="B90" s="122"/>
      <c r="C90" s="122"/>
      <c r="D90" s="122" t="s">
        <v>417</v>
      </c>
      <c r="E90" s="122"/>
      <c r="F90" s="122" t="s">
        <v>419</v>
      </c>
      <c r="G90" s="122"/>
      <c r="H90" s="122"/>
      <c r="I90" s="315"/>
    </row>
    <row r="91" spans="1:9" ht="16.899999999999999" customHeight="1" x14ac:dyDescent="0.25">
      <c r="A91" s="122" t="s">
        <v>407</v>
      </c>
      <c r="B91" s="122"/>
      <c r="C91" s="122"/>
      <c r="D91" s="122" t="s">
        <v>417</v>
      </c>
      <c r="E91" s="122"/>
      <c r="F91" s="122" t="s">
        <v>420</v>
      </c>
      <c r="G91" s="122"/>
      <c r="H91" s="122"/>
      <c r="I91" s="315"/>
    </row>
    <row r="92" spans="1:9" ht="16.899999999999999" customHeight="1" x14ac:dyDescent="0.25">
      <c r="A92" s="122" t="s">
        <v>407</v>
      </c>
      <c r="B92" s="122"/>
      <c r="C92" s="122"/>
      <c r="D92" s="122" t="s">
        <v>417</v>
      </c>
      <c r="E92" s="122"/>
      <c r="F92" s="122" t="s">
        <v>421</v>
      </c>
      <c r="G92" s="122"/>
      <c r="H92" s="122"/>
      <c r="I92" s="315"/>
    </row>
    <row r="93" spans="1:9" ht="16.899999999999999" customHeight="1" x14ac:dyDescent="0.25">
      <c r="A93" s="122" t="s">
        <v>407</v>
      </c>
      <c r="B93" s="122"/>
      <c r="C93" s="122"/>
      <c r="D93" s="122" t="s">
        <v>422</v>
      </c>
      <c r="E93" s="122"/>
      <c r="F93" s="122" t="s">
        <v>423</v>
      </c>
      <c r="G93" s="122"/>
      <c r="H93" s="122"/>
      <c r="I93" s="315"/>
    </row>
    <row r="94" spans="1:9" ht="16.899999999999999" customHeight="1" x14ac:dyDescent="0.25">
      <c r="A94" s="122" t="s">
        <v>407</v>
      </c>
      <c r="B94" s="122"/>
      <c r="C94" s="122"/>
      <c r="D94" s="122" t="s">
        <v>422</v>
      </c>
      <c r="E94" s="122"/>
      <c r="F94" s="122" t="s">
        <v>424</v>
      </c>
      <c r="G94" s="122"/>
      <c r="H94" s="122"/>
      <c r="I94" s="315"/>
    </row>
    <row r="95" spans="1:9" ht="16.899999999999999" customHeight="1" x14ac:dyDescent="0.25">
      <c r="A95" s="122" t="s">
        <v>407</v>
      </c>
      <c r="B95" s="122"/>
      <c r="C95" s="122"/>
      <c r="D95" s="122" t="s">
        <v>425</v>
      </c>
      <c r="E95" s="122"/>
      <c r="F95" s="122" t="s">
        <v>426</v>
      </c>
      <c r="G95" s="122"/>
      <c r="H95" s="122"/>
      <c r="I95" s="315"/>
    </row>
    <row r="96" spans="1:9" ht="16.899999999999999" customHeight="1" x14ac:dyDescent="0.25">
      <c r="A96" s="122" t="s">
        <v>427</v>
      </c>
      <c r="B96" s="122"/>
      <c r="C96" s="122"/>
      <c r="D96" s="122" t="s">
        <v>428</v>
      </c>
      <c r="E96" s="122"/>
      <c r="F96" s="122" t="s">
        <v>429</v>
      </c>
      <c r="G96" s="122"/>
      <c r="H96" s="122"/>
      <c r="I96" s="315"/>
    </row>
    <row r="97" spans="1:9" ht="16.899999999999999" customHeight="1" x14ac:dyDescent="0.25">
      <c r="A97" s="122" t="s">
        <v>427</v>
      </c>
      <c r="B97" s="122"/>
      <c r="C97" s="122"/>
      <c r="D97" s="122" t="s">
        <v>428</v>
      </c>
      <c r="E97" s="122"/>
      <c r="F97" s="122" t="s">
        <v>226</v>
      </c>
      <c r="G97" s="122"/>
      <c r="H97" s="122"/>
      <c r="I97" s="315"/>
    </row>
    <row r="98" spans="1:9" ht="16.899999999999999" customHeight="1" x14ac:dyDescent="0.25">
      <c r="A98" s="122" t="s">
        <v>427</v>
      </c>
      <c r="B98" s="122"/>
      <c r="C98" s="122"/>
      <c r="D98" s="122" t="s">
        <v>430</v>
      </c>
      <c r="E98" s="122"/>
      <c r="F98" s="122" t="s">
        <v>431</v>
      </c>
      <c r="G98" s="122"/>
      <c r="H98" s="122"/>
      <c r="I98" s="315"/>
    </row>
    <row r="99" spans="1:9" ht="16.899999999999999" customHeight="1" x14ac:dyDescent="0.25">
      <c r="A99" s="122" t="s">
        <v>427</v>
      </c>
      <c r="B99" s="122"/>
      <c r="C99" s="122"/>
      <c r="D99" s="122" t="s">
        <v>430</v>
      </c>
      <c r="E99" s="122"/>
      <c r="F99" s="122" t="s">
        <v>432</v>
      </c>
      <c r="G99" s="122"/>
      <c r="H99" s="122"/>
      <c r="I99" s="315"/>
    </row>
    <row r="100" spans="1:9" ht="16.899999999999999" customHeight="1" x14ac:dyDescent="0.25">
      <c r="A100" s="122" t="s">
        <v>427</v>
      </c>
      <c r="B100" s="122"/>
      <c r="C100" s="122"/>
      <c r="D100" s="122" t="s">
        <v>430</v>
      </c>
      <c r="E100" s="122"/>
      <c r="F100" s="122" t="s">
        <v>433</v>
      </c>
      <c r="G100" s="122"/>
      <c r="H100" s="122"/>
      <c r="I100" s="315"/>
    </row>
    <row r="101" spans="1:9" ht="16.899999999999999" customHeight="1" x14ac:dyDescent="0.25">
      <c r="A101" s="122" t="s">
        <v>427</v>
      </c>
      <c r="B101" s="122"/>
      <c r="C101" s="122"/>
      <c r="D101" s="122" t="s">
        <v>430</v>
      </c>
      <c r="E101" s="122"/>
      <c r="F101" s="122" t="s">
        <v>227</v>
      </c>
      <c r="G101" s="122"/>
      <c r="H101" s="122"/>
      <c r="I101" s="315"/>
    </row>
    <row r="102" spans="1:9" ht="16.899999999999999" customHeight="1" x14ac:dyDescent="0.25">
      <c r="A102" s="122" t="s">
        <v>427</v>
      </c>
      <c r="B102" s="122"/>
      <c r="C102" s="122"/>
      <c r="D102" s="122" t="s">
        <v>430</v>
      </c>
      <c r="E102" s="122"/>
      <c r="F102" s="122" t="s">
        <v>229</v>
      </c>
      <c r="G102" s="122"/>
      <c r="H102" s="122"/>
      <c r="I102" s="315"/>
    </row>
    <row r="103" spans="1:9" ht="16.899999999999999" customHeight="1" x14ac:dyDescent="0.25">
      <c r="A103" s="122" t="s">
        <v>427</v>
      </c>
      <c r="B103" s="122"/>
      <c r="C103" s="122"/>
      <c r="D103" s="122" t="s">
        <v>430</v>
      </c>
      <c r="E103" s="122"/>
      <c r="F103" s="122" t="s">
        <v>434</v>
      </c>
      <c r="G103" s="122"/>
      <c r="H103" s="122"/>
      <c r="I103" s="315"/>
    </row>
    <row r="104" spans="1:9" ht="16.899999999999999" customHeight="1" x14ac:dyDescent="0.25">
      <c r="A104" s="122" t="s">
        <v>427</v>
      </c>
      <c r="B104" s="122"/>
      <c r="C104" s="122"/>
      <c r="D104" s="122" t="s">
        <v>435</v>
      </c>
      <c r="E104" s="122"/>
      <c r="F104" s="122" t="s">
        <v>228</v>
      </c>
      <c r="G104" s="122"/>
      <c r="H104" s="122"/>
      <c r="I104" s="315"/>
    </row>
    <row r="105" spans="1:9" ht="16.899999999999999" customHeight="1" x14ac:dyDescent="0.25">
      <c r="A105" s="122" t="s">
        <v>427</v>
      </c>
      <c r="B105" s="122"/>
      <c r="C105" s="122"/>
      <c r="D105" s="122" t="s">
        <v>435</v>
      </c>
      <c r="E105" s="122"/>
      <c r="F105" s="122" t="s">
        <v>230</v>
      </c>
      <c r="G105" s="122"/>
      <c r="H105" s="122"/>
      <c r="I105" s="315"/>
    </row>
    <row r="106" spans="1:9" ht="16.899999999999999" customHeight="1" x14ac:dyDescent="0.25">
      <c r="A106" s="122" t="s">
        <v>436</v>
      </c>
      <c r="B106" s="122"/>
      <c r="C106" s="122"/>
      <c r="D106" s="122" t="s">
        <v>437</v>
      </c>
      <c r="E106" s="122"/>
      <c r="F106" s="122" t="s">
        <v>438</v>
      </c>
      <c r="G106" s="122"/>
      <c r="H106" s="122"/>
      <c r="I106" s="315"/>
    </row>
    <row r="107" spans="1:9" ht="16.899999999999999" customHeight="1" x14ac:dyDescent="0.25">
      <c r="A107" s="122" t="s">
        <v>436</v>
      </c>
      <c r="B107" s="122"/>
      <c r="C107" s="122"/>
      <c r="D107" s="122" t="s">
        <v>437</v>
      </c>
      <c r="E107" s="122"/>
      <c r="F107" s="122" t="s">
        <v>439</v>
      </c>
      <c r="G107" s="122"/>
      <c r="H107" s="122"/>
      <c r="I107" s="315"/>
    </row>
    <row r="108" spans="1:9" ht="16.899999999999999" customHeight="1" x14ac:dyDescent="0.25">
      <c r="A108" s="122" t="s">
        <v>436</v>
      </c>
      <c r="B108" s="122"/>
      <c r="C108" s="122"/>
      <c r="D108" s="122" t="s">
        <v>437</v>
      </c>
      <c r="E108" s="122"/>
      <c r="F108" s="122" t="s">
        <v>440</v>
      </c>
      <c r="G108" s="122"/>
      <c r="H108" s="122"/>
      <c r="I108" s="315"/>
    </row>
    <row r="109" spans="1:9" ht="16.899999999999999" customHeight="1" x14ac:dyDescent="0.25">
      <c r="A109" s="122" t="s">
        <v>436</v>
      </c>
      <c r="B109" s="122"/>
      <c r="C109" s="122"/>
      <c r="D109" s="122" t="s">
        <v>437</v>
      </c>
      <c r="E109" s="122"/>
      <c r="F109" s="122" t="s">
        <v>441</v>
      </c>
      <c r="G109" s="122"/>
      <c r="H109" s="122"/>
      <c r="I109" s="315"/>
    </row>
    <row r="110" spans="1:9" ht="16.899999999999999" customHeight="1" x14ac:dyDescent="0.25">
      <c r="A110" s="122" t="s">
        <v>436</v>
      </c>
      <c r="B110" s="122"/>
      <c r="C110" s="122"/>
      <c r="D110" s="122" t="s">
        <v>442</v>
      </c>
      <c r="E110" s="122"/>
      <c r="F110" s="122" t="s">
        <v>443</v>
      </c>
      <c r="G110" s="122"/>
      <c r="H110" s="122"/>
      <c r="I110" s="315"/>
    </row>
    <row r="111" spans="1:9" ht="16.899999999999999" customHeight="1" x14ac:dyDescent="0.25">
      <c r="A111" s="122" t="s">
        <v>436</v>
      </c>
      <c r="B111" s="122"/>
      <c r="C111" s="122"/>
      <c r="D111" s="122" t="s">
        <v>442</v>
      </c>
      <c r="E111" s="122"/>
      <c r="F111" s="122" t="s">
        <v>444</v>
      </c>
      <c r="G111" s="122"/>
      <c r="H111" s="122"/>
      <c r="I111" s="315"/>
    </row>
    <row r="112" spans="1:9" ht="16.899999999999999" customHeight="1" x14ac:dyDescent="0.25">
      <c r="A112" s="122" t="s">
        <v>436</v>
      </c>
      <c r="B112" s="122"/>
      <c r="C112" s="122"/>
      <c r="D112" s="122" t="s">
        <v>442</v>
      </c>
      <c r="E112" s="122"/>
      <c r="F112" s="122" t="s">
        <v>445</v>
      </c>
      <c r="G112" s="122"/>
      <c r="H112" s="122"/>
      <c r="I112" s="315"/>
    </row>
    <row r="113" spans="1:9" ht="16.899999999999999" customHeight="1" x14ac:dyDescent="0.25">
      <c r="A113" s="122" t="s">
        <v>436</v>
      </c>
      <c r="B113" s="122"/>
      <c r="C113" s="122"/>
      <c r="D113" s="122" t="s">
        <v>442</v>
      </c>
      <c r="E113" s="122"/>
      <c r="F113" s="122" t="s">
        <v>446</v>
      </c>
      <c r="G113" s="122"/>
      <c r="H113" s="122"/>
      <c r="I113" s="315"/>
    </row>
    <row r="114" spans="1:9" ht="16.899999999999999" customHeight="1" x14ac:dyDescent="0.25">
      <c r="A114" s="122" t="s">
        <v>436</v>
      </c>
      <c r="B114" s="122"/>
      <c r="C114" s="122"/>
      <c r="D114" s="122" t="s">
        <v>447</v>
      </c>
      <c r="E114" s="122"/>
      <c r="F114" s="122" t="s">
        <v>448</v>
      </c>
      <c r="G114" s="122"/>
      <c r="H114" s="122"/>
      <c r="I114" s="315"/>
    </row>
    <row r="115" spans="1:9" ht="16.899999999999999" customHeight="1" x14ac:dyDescent="0.25">
      <c r="A115" s="122" t="s">
        <v>449</v>
      </c>
      <c r="B115" s="122"/>
      <c r="C115" s="122"/>
      <c r="D115" s="122" t="s">
        <v>450</v>
      </c>
      <c r="E115" s="122"/>
      <c r="F115" s="122" t="s">
        <v>451</v>
      </c>
      <c r="G115" s="122"/>
      <c r="H115" s="122"/>
      <c r="I115" s="315"/>
    </row>
    <row r="116" spans="1:9" ht="16.899999999999999" customHeight="1" x14ac:dyDescent="0.25">
      <c r="A116" s="122" t="s">
        <v>449</v>
      </c>
      <c r="B116" s="122"/>
      <c r="C116" s="122"/>
      <c r="D116" s="122" t="s">
        <v>450</v>
      </c>
      <c r="E116" s="122"/>
      <c r="F116" s="122" t="s">
        <v>452</v>
      </c>
      <c r="G116" s="122"/>
      <c r="H116" s="122"/>
      <c r="I116" s="315"/>
    </row>
    <row r="117" spans="1:9" ht="16.899999999999999" customHeight="1" x14ac:dyDescent="0.25">
      <c r="A117" s="122" t="s">
        <v>449</v>
      </c>
      <c r="B117" s="122"/>
      <c r="C117" s="122"/>
      <c r="D117" s="122" t="s">
        <v>450</v>
      </c>
      <c r="E117" s="122"/>
      <c r="F117" s="122" t="s">
        <v>453</v>
      </c>
      <c r="G117" s="122"/>
      <c r="H117" s="122"/>
      <c r="I117" s="315"/>
    </row>
    <row r="118" spans="1:9" ht="16.899999999999999" customHeight="1" x14ac:dyDescent="0.25">
      <c r="A118" s="122" t="s">
        <v>449</v>
      </c>
      <c r="B118" s="122"/>
      <c r="C118" s="122"/>
      <c r="D118" s="122" t="s">
        <v>447</v>
      </c>
      <c r="E118" s="122"/>
      <c r="F118" s="122" t="s">
        <v>454</v>
      </c>
      <c r="G118" s="122"/>
      <c r="H118" s="122"/>
      <c r="I118" s="315"/>
    </row>
    <row r="119" spans="1:9" ht="16.899999999999999" customHeight="1" x14ac:dyDescent="0.25">
      <c r="A119" s="122" t="s">
        <v>449</v>
      </c>
      <c r="B119" s="122"/>
      <c r="C119" s="122"/>
      <c r="D119" s="122" t="s">
        <v>447</v>
      </c>
      <c r="E119" s="122"/>
      <c r="F119" s="122" t="s">
        <v>455</v>
      </c>
      <c r="G119" s="122"/>
      <c r="H119" s="122"/>
      <c r="I119" s="315"/>
    </row>
    <row r="120" spans="1:9" ht="16.899999999999999" customHeight="1" x14ac:dyDescent="0.25">
      <c r="A120" s="122" t="s">
        <v>449</v>
      </c>
      <c r="B120" s="122"/>
      <c r="C120" s="122"/>
      <c r="D120" s="122" t="s">
        <v>447</v>
      </c>
      <c r="E120" s="122"/>
      <c r="F120" s="122" t="s">
        <v>456</v>
      </c>
      <c r="G120" s="122"/>
      <c r="H120" s="122"/>
      <c r="I120" s="315"/>
    </row>
    <row r="121" spans="1:9" ht="16.899999999999999" customHeight="1" x14ac:dyDescent="0.25">
      <c r="A121" s="122" t="s">
        <v>449</v>
      </c>
      <c r="B121" s="122"/>
      <c r="C121" s="122"/>
      <c r="D121" s="122" t="s">
        <v>447</v>
      </c>
      <c r="E121" s="122"/>
      <c r="F121" s="122" t="s">
        <v>457</v>
      </c>
      <c r="G121" s="122"/>
      <c r="H121" s="122"/>
      <c r="I121" s="315"/>
    </row>
    <row r="122" spans="1:9" ht="16.899999999999999" customHeight="1" x14ac:dyDescent="0.25">
      <c r="A122" s="122" t="s">
        <v>449</v>
      </c>
      <c r="B122" s="122"/>
      <c r="C122" s="122"/>
      <c r="D122" s="122" t="s">
        <v>447</v>
      </c>
      <c r="E122" s="122"/>
      <c r="F122" s="122" t="s">
        <v>458</v>
      </c>
      <c r="G122" s="122"/>
      <c r="H122" s="122"/>
      <c r="I122" s="315"/>
    </row>
    <row r="123" spans="1:9" ht="16.899999999999999" customHeight="1" x14ac:dyDescent="0.25">
      <c r="A123" s="122" t="s">
        <v>449</v>
      </c>
      <c r="B123" s="122"/>
      <c r="C123" s="122"/>
      <c r="D123" s="122" t="s">
        <v>459</v>
      </c>
      <c r="E123" s="122"/>
      <c r="F123" s="122" t="s">
        <v>460</v>
      </c>
      <c r="G123" s="122"/>
      <c r="H123" s="122"/>
      <c r="I123" s="315"/>
    </row>
    <row r="124" spans="1:9" ht="16.899999999999999" customHeight="1" x14ac:dyDescent="0.25">
      <c r="A124" s="122" t="s">
        <v>449</v>
      </c>
      <c r="B124" s="122"/>
      <c r="C124" s="122"/>
      <c r="D124" s="122" t="s">
        <v>459</v>
      </c>
      <c r="E124" s="122"/>
      <c r="F124" s="122" t="s">
        <v>461</v>
      </c>
      <c r="G124" s="122"/>
      <c r="H124" s="122"/>
      <c r="I124" s="315"/>
    </row>
    <row r="125" spans="1:9" ht="16.899999999999999" customHeight="1" x14ac:dyDescent="0.25">
      <c r="A125" s="122" t="s">
        <v>449</v>
      </c>
      <c r="B125" s="122"/>
      <c r="C125" s="122"/>
      <c r="D125" s="122" t="s">
        <v>462</v>
      </c>
      <c r="E125" s="122"/>
      <c r="F125" s="122" t="s">
        <v>463</v>
      </c>
      <c r="G125" s="122"/>
      <c r="H125" s="122"/>
      <c r="I125" s="315"/>
    </row>
    <row r="126" spans="1:9" ht="16.899999999999999" customHeight="1" x14ac:dyDescent="0.25">
      <c r="A126" s="122" t="s">
        <v>449</v>
      </c>
      <c r="B126" s="122"/>
      <c r="C126" s="122"/>
      <c r="D126" s="122" t="s">
        <v>462</v>
      </c>
      <c r="E126" s="122"/>
      <c r="F126" s="122" t="s">
        <v>464</v>
      </c>
      <c r="G126" s="122"/>
      <c r="H126" s="122"/>
      <c r="I126" s="315"/>
    </row>
    <row r="127" spans="1:9" ht="16.899999999999999" customHeight="1" x14ac:dyDescent="0.25">
      <c r="A127" s="122" t="s">
        <v>465</v>
      </c>
      <c r="B127" s="122"/>
      <c r="C127" s="122"/>
      <c r="D127" s="122" t="s">
        <v>466</v>
      </c>
      <c r="E127" s="122"/>
      <c r="F127" s="122" t="s">
        <v>467</v>
      </c>
      <c r="G127" s="122"/>
      <c r="H127" s="122"/>
      <c r="I127" s="315"/>
    </row>
    <row r="128" spans="1:9" ht="16.899999999999999" customHeight="1" x14ac:dyDescent="0.25">
      <c r="A128" s="122" t="s">
        <v>465</v>
      </c>
      <c r="B128" s="122"/>
      <c r="C128" s="122"/>
      <c r="D128" s="122" t="s">
        <v>466</v>
      </c>
      <c r="E128" s="122"/>
      <c r="F128" s="122" t="s">
        <v>468</v>
      </c>
      <c r="G128" s="122"/>
      <c r="H128" s="122"/>
      <c r="I128" s="315"/>
    </row>
    <row r="129" spans="1:9" ht="16.899999999999999" customHeight="1" x14ac:dyDescent="0.25">
      <c r="A129" s="122" t="s">
        <v>465</v>
      </c>
      <c r="B129" s="122"/>
      <c r="C129" s="122"/>
      <c r="D129" s="122" t="s">
        <v>469</v>
      </c>
      <c r="E129" s="122"/>
      <c r="F129" s="122" t="s">
        <v>470</v>
      </c>
      <c r="G129" s="122"/>
      <c r="H129" s="122"/>
      <c r="I129" s="315"/>
    </row>
    <row r="134" spans="1:9" ht="31.15" customHeight="1" x14ac:dyDescent="0.25">
      <c r="A134" s="317" t="s">
        <v>471</v>
      </c>
      <c r="B134" s="317"/>
      <c r="C134" s="317"/>
    </row>
    <row r="135" spans="1:9" ht="14.45" customHeight="1" x14ac:dyDescent="0.25">
      <c r="A135" s="314" t="s">
        <v>472</v>
      </c>
      <c r="B135" s="314"/>
      <c r="C135" s="314" t="s">
        <v>473</v>
      </c>
      <c r="D135" s="314"/>
      <c r="E135" s="314"/>
      <c r="F135" s="314"/>
      <c r="G135" s="314"/>
      <c r="H135" s="314"/>
      <c r="I135" s="315" t="s">
        <v>474</v>
      </c>
    </row>
    <row r="136" spans="1:9" x14ac:dyDescent="0.25">
      <c r="A136" s="122" t="s">
        <v>475</v>
      </c>
      <c r="B136" s="122"/>
      <c r="C136" s="122" t="s">
        <v>476</v>
      </c>
      <c r="D136" s="122"/>
      <c r="E136" s="122"/>
      <c r="F136" s="122"/>
      <c r="G136" s="122"/>
      <c r="H136" s="122"/>
      <c r="I136" s="315"/>
    </row>
    <row r="137" spans="1:9" x14ac:dyDescent="0.25">
      <c r="A137" s="122" t="s">
        <v>477</v>
      </c>
      <c r="B137" s="122"/>
      <c r="C137" s="122" t="s">
        <v>478</v>
      </c>
      <c r="D137" s="122"/>
      <c r="E137" s="122"/>
      <c r="F137" s="122"/>
      <c r="G137" s="122"/>
      <c r="H137" s="122"/>
      <c r="I137" s="315"/>
    </row>
    <row r="138" spans="1:9" x14ac:dyDescent="0.25">
      <c r="A138" s="122" t="s">
        <v>479</v>
      </c>
      <c r="B138" s="122"/>
      <c r="C138" s="122" t="s">
        <v>480</v>
      </c>
      <c r="D138" s="122"/>
      <c r="E138" s="122"/>
      <c r="F138" s="122"/>
      <c r="G138" s="122"/>
      <c r="H138" s="122"/>
      <c r="I138" s="315"/>
    </row>
    <row r="139" spans="1:9" x14ac:dyDescent="0.25">
      <c r="A139" s="122" t="s">
        <v>481</v>
      </c>
      <c r="B139" s="122"/>
      <c r="C139" s="122" t="s">
        <v>482</v>
      </c>
      <c r="D139" s="122"/>
      <c r="E139" s="122"/>
      <c r="F139" s="122"/>
      <c r="G139" s="122"/>
      <c r="H139" s="122"/>
      <c r="I139" s="315"/>
    </row>
    <row r="140" spans="1:9" x14ac:dyDescent="0.25">
      <c r="A140" s="122" t="s">
        <v>483</v>
      </c>
      <c r="B140" s="122"/>
      <c r="C140" s="122" t="s">
        <v>484</v>
      </c>
      <c r="D140" s="122"/>
      <c r="E140" s="122"/>
      <c r="F140" s="122"/>
      <c r="G140" s="122"/>
      <c r="H140" s="122"/>
      <c r="I140" s="315"/>
    </row>
    <row r="141" spans="1:9" x14ac:dyDescent="0.25">
      <c r="A141" s="122" t="s">
        <v>485</v>
      </c>
      <c r="B141" s="122"/>
      <c r="C141" s="122" t="s">
        <v>486</v>
      </c>
      <c r="D141" s="122"/>
      <c r="E141" s="122"/>
      <c r="F141" s="122"/>
      <c r="G141" s="122"/>
      <c r="H141" s="122"/>
      <c r="I141" s="315"/>
    </row>
    <row r="142" spans="1:9" x14ac:dyDescent="0.25">
      <c r="A142" s="122" t="s">
        <v>487</v>
      </c>
      <c r="B142" s="122"/>
      <c r="C142" s="122" t="s">
        <v>488</v>
      </c>
      <c r="D142" s="122"/>
      <c r="E142" s="122"/>
      <c r="F142" s="122"/>
      <c r="G142" s="122"/>
      <c r="H142" s="122"/>
      <c r="I142" s="315"/>
    </row>
    <row r="143" spans="1:9" x14ac:dyDescent="0.25">
      <c r="A143" s="122" t="s">
        <v>489</v>
      </c>
      <c r="B143" s="122"/>
      <c r="C143" s="122" t="s">
        <v>490</v>
      </c>
      <c r="D143" s="122"/>
      <c r="E143" s="122"/>
      <c r="F143" s="122"/>
      <c r="G143" s="122"/>
      <c r="H143" s="122"/>
      <c r="I143" s="315"/>
    </row>
    <row r="144" spans="1:9" x14ac:dyDescent="0.25">
      <c r="A144" s="122" t="s">
        <v>491</v>
      </c>
      <c r="B144" s="122"/>
      <c r="C144" s="122" t="s">
        <v>492</v>
      </c>
      <c r="D144" s="122"/>
      <c r="E144" s="122"/>
      <c r="F144" s="122"/>
      <c r="G144" s="122"/>
      <c r="H144" s="122"/>
      <c r="I144" s="315"/>
    </row>
    <row r="145" spans="1:9" x14ac:dyDescent="0.25">
      <c r="A145" s="122" t="s">
        <v>493</v>
      </c>
      <c r="B145" s="122"/>
      <c r="C145" s="122" t="s">
        <v>494</v>
      </c>
      <c r="D145" s="122"/>
      <c r="E145" s="122"/>
      <c r="F145" s="122"/>
      <c r="G145" s="122"/>
      <c r="H145" s="122"/>
      <c r="I145" s="315"/>
    </row>
    <row r="146" spans="1:9" x14ac:dyDescent="0.25">
      <c r="A146" s="122" t="s">
        <v>495</v>
      </c>
      <c r="B146" s="122"/>
      <c r="C146" s="122" t="s">
        <v>204</v>
      </c>
      <c r="D146" s="122"/>
      <c r="E146" s="122"/>
      <c r="F146" s="122"/>
      <c r="G146" s="122"/>
      <c r="H146" s="122"/>
      <c r="I146" s="315"/>
    </row>
    <row r="147" spans="1:9" x14ac:dyDescent="0.25">
      <c r="A147" s="122" t="s">
        <v>496</v>
      </c>
      <c r="B147" s="122"/>
      <c r="C147" s="122" t="s">
        <v>497</v>
      </c>
      <c r="D147" s="122"/>
      <c r="E147" s="122"/>
      <c r="F147" s="122"/>
      <c r="G147" s="122"/>
      <c r="H147" s="122"/>
      <c r="I147" s="315"/>
    </row>
    <row r="148" spans="1:9" x14ac:dyDescent="0.25">
      <c r="A148" s="122" t="s">
        <v>498</v>
      </c>
      <c r="B148" s="122"/>
      <c r="C148" s="122" t="s">
        <v>499</v>
      </c>
      <c r="D148" s="122"/>
      <c r="E148" s="122"/>
      <c r="F148" s="122"/>
      <c r="G148" s="122"/>
      <c r="H148" s="122"/>
      <c r="I148" s="315"/>
    </row>
    <row r="149" spans="1:9" x14ac:dyDescent="0.25">
      <c r="A149" s="122" t="s">
        <v>500</v>
      </c>
      <c r="B149" s="122"/>
      <c r="C149" s="122" t="s">
        <v>501</v>
      </c>
      <c r="D149" s="122"/>
      <c r="E149" s="122"/>
      <c r="F149" s="122"/>
      <c r="G149" s="122"/>
      <c r="H149" s="122"/>
      <c r="I149" s="315"/>
    </row>
    <row r="150" spans="1:9" x14ac:dyDescent="0.25">
      <c r="A150" s="122" t="s">
        <v>502</v>
      </c>
      <c r="B150" s="122"/>
      <c r="C150" s="122" t="s">
        <v>503</v>
      </c>
      <c r="D150" s="122"/>
      <c r="E150" s="122"/>
      <c r="F150" s="122"/>
      <c r="G150" s="122"/>
      <c r="H150" s="122"/>
      <c r="I150" s="315"/>
    </row>
    <row r="151" spans="1:9" x14ac:dyDescent="0.25">
      <c r="A151" s="122" t="s">
        <v>504</v>
      </c>
      <c r="B151" s="122"/>
      <c r="C151" s="122" t="s">
        <v>505</v>
      </c>
      <c r="D151" s="122"/>
      <c r="E151" s="122"/>
      <c r="F151" s="122"/>
      <c r="G151" s="122"/>
      <c r="H151" s="122"/>
      <c r="I151" s="315"/>
    </row>
    <row r="152" spans="1:9" x14ac:dyDescent="0.25">
      <c r="A152" s="122" t="s">
        <v>506</v>
      </c>
      <c r="B152" s="122"/>
      <c r="C152" s="122" t="s">
        <v>507</v>
      </c>
      <c r="D152" s="122"/>
      <c r="E152" s="122"/>
      <c r="F152" s="122"/>
      <c r="G152" s="122"/>
      <c r="H152" s="122"/>
      <c r="I152" s="315"/>
    </row>
    <row r="153" spans="1:9" x14ac:dyDescent="0.25">
      <c r="A153" s="122" t="s">
        <v>508</v>
      </c>
      <c r="B153" s="122"/>
      <c r="C153" s="122" t="s">
        <v>509</v>
      </c>
      <c r="D153" s="122"/>
      <c r="E153" s="122"/>
      <c r="F153" s="122"/>
      <c r="G153" s="122"/>
      <c r="H153" s="122"/>
      <c r="I153" s="315"/>
    </row>
    <row r="154" spans="1:9" x14ac:dyDescent="0.25">
      <c r="A154" s="122" t="s">
        <v>510</v>
      </c>
      <c r="B154" s="122"/>
      <c r="C154" s="122" t="s">
        <v>511</v>
      </c>
      <c r="D154" s="122"/>
      <c r="E154" s="122"/>
      <c r="F154" s="122"/>
      <c r="G154" s="122"/>
      <c r="H154" s="122"/>
      <c r="I154" s="315"/>
    </row>
    <row r="155" spans="1:9" x14ac:dyDescent="0.25">
      <c r="A155" s="122" t="s">
        <v>512</v>
      </c>
      <c r="B155" s="122"/>
      <c r="C155" s="122" t="s">
        <v>513</v>
      </c>
      <c r="D155" s="122"/>
      <c r="E155" s="122"/>
      <c r="F155" s="122"/>
      <c r="G155" s="122"/>
      <c r="H155" s="122"/>
      <c r="I155" s="315"/>
    </row>
    <row r="156" spans="1:9" x14ac:dyDescent="0.25">
      <c r="A156" s="122" t="s">
        <v>514</v>
      </c>
      <c r="B156" s="122"/>
      <c r="C156" s="122" t="s">
        <v>515</v>
      </c>
      <c r="D156" s="122"/>
      <c r="E156" s="122"/>
      <c r="F156" s="122"/>
      <c r="G156" s="122"/>
      <c r="H156" s="122"/>
      <c r="I156" s="315"/>
    </row>
    <row r="157" spans="1:9" x14ac:dyDescent="0.25">
      <c r="A157" s="122" t="s">
        <v>516</v>
      </c>
      <c r="B157" s="122"/>
      <c r="C157" s="122" t="s">
        <v>517</v>
      </c>
      <c r="D157" s="122"/>
      <c r="E157" s="122"/>
      <c r="F157" s="122"/>
      <c r="G157" s="122"/>
      <c r="H157" s="122"/>
      <c r="I157" s="315"/>
    </row>
    <row r="158" spans="1:9" x14ac:dyDescent="0.25">
      <c r="A158" s="122" t="s">
        <v>518</v>
      </c>
      <c r="B158" s="122"/>
      <c r="C158" s="122" t="s">
        <v>519</v>
      </c>
      <c r="D158" s="122"/>
      <c r="E158" s="122"/>
      <c r="F158" s="122"/>
      <c r="G158" s="122"/>
      <c r="H158" s="122"/>
      <c r="I158" s="315"/>
    </row>
    <row r="159" spans="1:9" x14ac:dyDescent="0.25">
      <c r="A159" s="122" t="s">
        <v>520</v>
      </c>
      <c r="B159" s="122"/>
      <c r="C159" s="122" t="s">
        <v>521</v>
      </c>
      <c r="D159" s="122"/>
      <c r="E159" s="122"/>
      <c r="F159" s="122"/>
      <c r="G159" s="122"/>
      <c r="H159" s="122"/>
      <c r="I159" s="315"/>
    </row>
    <row r="160" spans="1:9" x14ac:dyDescent="0.25">
      <c r="A160" s="122" t="s">
        <v>522</v>
      </c>
      <c r="B160" s="122"/>
      <c r="C160" s="122" t="s">
        <v>523</v>
      </c>
      <c r="D160" s="122"/>
      <c r="E160" s="122"/>
      <c r="F160" s="122"/>
      <c r="G160" s="122"/>
      <c r="H160" s="122"/>
      <c r="I160" s="315"/>
    </row>
    <row r="161" spans="1:9" x14ac:dyDescent="0.25">
      <c r="A161" s="122" t="s">
        <v>524</v>
      </c>
      <c r="B161" s="122"/>
      <c r="C161" s="122" t="s">
        <v>525</v>
      </c>
      <c r="D161" s="122"/>
      <c r="E161" s="122"/>
      <c r="F161" s="122"/>
      <c r="G161" s="122"/>
      <c r="H161" s="122"/>
      <c r="I161" s="315"/>
    </row>
    <row r="162" spans="1:9" x14ac:dyDescent="0.25">
      <c r="A162" s="122" t="s">
        <v>526</v>
      </c>
      <c r="B162" s="122"/>
      <c r="C162" s="122" t="s">
        <v>527</v>
      </c>
      <c r="D162" s="122"/>
      <c r="E162" s="122"/>
      <c r="F162" s="122"/>
      <c r="G162" s="122"/>
      <c r="H162" s="122"/>
      <c r="I162" s="315"/>
    </row>
    <row r="163" spans="1:9" x14ac:dyDescent="0.25">
      <c r="A163" s="122" t="s">
        <v>528</v>
      </c>
      <c r="B163" s="122"/>
      <c r="C163" s="122" t="s">
        <v>529</v>
      </c>
      <c r="D163" s="122"/>
      <c r="E163" s="122"/>
      <c r="F163" s="122"/>
      <c r="G163" s="122"/>
      <c r="H163" s="122"/>
      <c r="I163" s="315"/>
    </row>
    <row r="164" spans="1:9" x14ac:dyDescent="0.25">
      <c r="A164" s="122" t="s">
        <v>530</v>
      </c>
      <c r="B164" s="122"/>
      <c r="C164" s="122" t="s">
        <v>531</v>
      </c>
      <c r="D164" s="122"/>
      <c r="E164" s="122"/>
      <c r="F164" s="122"/>
      <c r="G164" s="122"/>
      <c r="H164" s="122"/>
      <c r="I164" s="315"/>
    </row>
    <row r="165" spans="1:9" x14ac:dyDescent="0.25">
      <c r="A165" s="122" t="s">
        <v>532</v>
      </c>
      <c r="B165" s="122"/>
      <c r="C165" s="122" t="s">
        <v>533</v>
      </c>
      <c r="D165" s="122"/>
      <c r="E165" s="122"/>
      <c r="F165" s="122"/>
      <c r="G165" s="122"/>
      <c r="H165" s="122"/>
      <c r="I165" s="315"/>
    </row>
    <row r="166" spans="1:9" x14ac:dyDescent="0.25">
      <c r="A166" s="122" t="s">
        <v>534</v>
      </c>
      <c r="B166" s="122"/>
      <c r="C166" s="122" t="s">
        <v>535</v>
      </c>
      <c r="D166" s="122"/>
      <c r="E166" s="122"/>
      <c r="F166" s="122"/>
      <c r="G166" s="122"/>
      <c r="H166" s="122"/>
      <c r="I166" s="315"/>
    </row>
    <row r="167" spans="1:9" x14ac:dyDescent="0.25">
      <c r="A167" s="122" t="s">
        <v>536</v>
      </c>
      <c r="B167" s="122"/>
      <c r="C167" s="122" t="s">
        <v>537</v>
      </c>
      <c r="D167" s="122"/>
      <c r="E167" s="122"/>
      <c r="F167" s="122"/>
      <c r="G167" s="122"/>
      <c r="H167" s="122"/>
      <c r="I167" s="315"/>
    </row>
    <row r="168" spans="1:9" x14ac:dyDescent="0.25">
      <c r="A168" s="122" t="s">
        <v>538</v>
      </c>
      <c r="B168" s="122"/>
      <c r="C168" s="122" t="s">
        <v>539</v>
      </c>
      <c r="D168" s="122"/>
      <c r="E168" s="122"/>
      <c r="F168" s="122"/>
      <c r="G168" s="122"/>
      <c r="H168" s="122"/>
      <c r="I168" s="315"/>
    </row>
    <row r="169" spans="1:9" x14ac:dyDescent="0.25">
      <c r="A169" s="122" t="s">
        <v>540</v>
      </c>
      <c r="B169" s="122"/>
      <c r="C169" s="122" t="s">
        <v>541</v>
      </c>
      <c r="D169" s="122"/>
      <c r="E169" s="122"/>
      <c r="F169" s="122"/>
      <c r="G169" s="122"/>
      <c r="H169" s="122"/>
      <c r="I169" s="315"/>
    </row>
    <row r="170" spans="1:9" x14ac:dyDescent="0.25">
      <c r="A170" s="122" t="s">
        <v>542</v>
      </c>
      <c r="B170" s="122"/>
      <c r="C170" s="122" t="s">
        <v>543</v>
      </c>
      <c r="D170" s="122"/>
      <c r="E170" s="122"/>
      <c r="F170" s="122"/>
      <c r="G170" s="122"/>
      <c r="H170" s="122"/>
      <c r="I170" s="315"/>
    </row>
    <row r="171" spans="1:9" x14ac:dyDescent="0.25">
      <c r="A171" s="122" t="s">
        <v>544</v>
      </c>
      <c r="B171" s="122"/>
      <c r="C171" s="122" t="s">
        <v>545</v>
      </c>
      <c r="D171" s="122"/>
      <c r="E171" s="122"/>
      <c r="F171" s="122"/>
      <c r="G171" s="122"/>
      <c r="H171" s="122"/>
      <c r="I171" s="315"/>
    </row>
    <row r="172" spans="1:9" x14ac:dyDescent="0.25">
      <c r="A172" s="122" t="s">
        <v>546</v>
      </c>
      <c r="B172" s="122"/>
      <c r="C172" s="122" t="s">
        <v>547</v>
      </c>
      <c r="D172" s="122"/>
      <c r="E172" s="122"/>
      <c r="F172" s="122"/>
      <c r="G172" s="122"/>
      <c r="H172" s="122"/>
      <c r="I172" s="315"/>
    </row>
    <row r="173" spans="1:9" x14ac:dyDescent="0.25">
      <c r="A173" s="122" t="s">
        <v>548</v>
      </c>
      <c r="B173" s="122"/>
      <c r="C173" s="122" t="s">
        <v>549</v>
      </c>
      <c r="D173" s="122"/>
      <c r="E173" s="122"/>
      <c r="F173" s="122"/>
      <c r="G173" s="122"/>
      <c r="H173" s="122"/>
      <c r="I173" s="315"/>
    </row>
    <row r="174" spans="1:9" x14ac:dyDescent="0.25">
      <c r="A174" s="122" t="s">
        <v>550</v>
      </c>
      <c r="B174" s="122"/>
      <c r="C174" s="122" t="s">
        <v>551</v>
      </c>
      <c r="D174" s="122"/>
      <c r="E174" s="122"/>
      <c r="F174" s="122"/>
      <c r="G174" s="122"/>
      <c r="H174" s="122"/>
      <c r="I174" s="315"/>
    </row>
    <row r="175" spans="1:9" x14ac:dyDescent="0.25">
      <c r="A175" s="122" t="s">
        <v>552</v>
      </c>
      <c r="B175" s="122"/>
      <c r="C175" s="122" t="s">
        <v>553</v>
      </c>
      <c r="D175" s="122"/>
      <c r="E175" s="122"/>
      <c r="F175" s="122"/>
      <c r="G175" s="122"/>
      <c r="H175" s="122"/>
      <c r="I175" s="315"/>
    </row>
    <row r="176" spans="1:9" x14ac:dyDescent="0.25">
      <c r="A176" s="122" t="s">
        <v>554</v>
      </c>
      <c r="B176" s="122"/>
      <c r="C176" s="122" t="s">
        <v>555</v>
      </c>
      <c r="D176" s="122"/>
      <c r="E176" s="122"/>
      <c r="F176" s="122"/>
      <c r="G176" s="122"/>
      <c r="H176" s="122"/>
      <c r="I176" s="315"/>
    </row>
    <row r="177" spans="1:9" x14ac:dyDescent="0.25">
      <c r="A177" s="122" t="s">
        <v>556</v>
      </c>
      <c r="B177" s="122"/>
      <c r="C177" s="122" t="s">
        <v>557</v>
      </c>
      <c r="D177" s="122"/>
      <c r="E177" s="122"/>
      <c r="F177" s="122"/>
      <c r="G177" s="122"/>
      <c r="H177" s="122"/>
      <c r="I177" s="315"/>
    </row>
    <row r="178" spans="1:9" x14ac:dyDescent="0.25">
      <c r="A178" s="122" t="s">
        <v>558</v>
      </c>
      <c r="B178" s="122"/>
      <c r="C178" s="122" t="s">
        <v>559</v>
      </c>
      <c r="D178" s="122"/>
      <c r="E178" s="122"/>
      <c r="F178" s="122"/>
      <c r="G178" s="122"/>
      <c r="H178" s="122"/>
      <c r="I178" s="315"/>
    </row>
    <row r="179" spans="1:9" x14ac:dyDescent="0.25">
      <c r="A179" s="122" t="s">
        <v>560</v>
      </c>
      <c r="B179" s="122"/>
      <c r="C179" s="122" t="s">
        <v>561</v>
      </c>
      <c r="D179" s="122"/>
      <c r="E179" s="122"/>
      <c r="F179" s="122"/>
      <c r="G179" s="122"/>
      <c r="H179" s="122"/>
      <c r="I179" s="315"/>
    </row>
    <row r="180" spans="1:9" x14ac:dyDescent="0.25">
      <c r="A180" s="122" t="s">
        <v>562</v>
      </c>
      <c r="B180" s="122"/>
      <c r="C180" s="122" t="s">
        <v>563</v>
      </c>
      <c r="D180" s="122"/>
      <c r="E180" s="122"/>
      <c r="F180" s="122"/>
      <c r="G180" s="122"/>
      <c r="H180" s="122"/>
      <c r="I180" s="315"/>
    </row>
    <row r="181" spans="1:9" x14ac:dyDescent="0.25">
      <c r="A181" s="122" t="s">
        <v>564</v>
      </c>
      <c r="B181" s="122"/>
      <c r="C181" s="122" t="s">
        <v>565</v>
      </c>
      <c r="D181" s="122"/>
      <c r="E181" s="122"/>
      <c r="F181" s="122"/>
      <c r="G181" s="122"/>
      <c r="H181" s="122"/>
      <c r="I181" s="315"/>
    </row>
    <row r="182" spans="1:9" x14ac:dyDescent="0.25">
      <c r="A182" s="122" t="s">
        <v>566</v>
      </c>
      <c r="B182" s="122"/>
      <c r="C182" s="122" t="s">
        <v>567</v>
      </c>
      <c r="D182" s="122"/>
      <c r="E182" s="122"/>
      <c r="F182" s="122"/>
      <c r="G182" s="122"/>
      <c r="H182" s="122"/>
      <c r="I182" s="315"/>
    </row>
    <row r="183" spans="1:9" x14ac:dyDescent="0.25">
      <c r="A183" s="122" t="s">
        <v>568</v>
      </c>
      <c r="B183" s="122"/>
      <c r="C183" s="122" t="s">
        <v>569</v>
      </c>
      <c r="D183" s="122"/>
      <c r="E183" s="122"/>
      <c r="F183" s="122"/>
      <c r="G183" s="122"/>
      <c r="H183" s="122"/>
      <c r="I183" s="315"/>
    </row>
    <row r="184" spans="1:9" x14ac:dyDescent="0.25">
      <c r="A184" s="122" t="s">
        <v>570</v>
      </c>
      <c r="B184" s="122"/>
      <c r="C184" s="122" t="s">
        <v>571</v>
      </c>
      <c r="D184" s="122"/>
      <c r="E184" s="122"/>
      <c r="F184" s="122"/>
      <c r="G184" s="122"/>
      <c r="H184" s="122"/>
      <c r="I184" s="315"/>
    </row>
    <row r="185" spans="1:9" x14ac:dyDescent="0.25">
      <c r="A185" s="122" t="s">
        <v>572</v>
      </c>
      <c r="B185" s="122"/>
      <c r="C185" s="122" t="s">
        <v>573</v>
      </c>
      <c r="D185" s="122"/>
      <c r="E185" s="122"/>
      <c r="F185" s="122"/>
      <c r="G185" s="122"/>
      <c r="H185" s="122"/>
      <c r="I185" s="315"/>
    </row>
    <row r="186" spans="1:9" x14ac:dyDescent="0.25">
      <c r="A186" s="122" t="s">
        <v>574</v>
      </c>
      <c r="B186" s="122"/>
      <c r="C186" s="122" t="s">
        <v>575</v>
      </c>
      <c r="D186" s="122"/>
      <c r="E186" s="122"/>
      <c r="F186" s="122"/>
      <c r="G186" s="122"/>
      <c r="H186" s="122"/>
      <c r="I186" s="315"/>
    </row>
    <row r="187" spans="1:9" x14ac:dyDescent="0.25">
      <c r="A187" s="122" t="s">
        <v>576</v>
      </c>
      <c r="B187" s="122"/>
      <c r="C187" s="122" t="s">
        <v>577</v>
      </c>
      <c r="D187" s="122"/>
      <c r="E187" s="122"/>
      <c r="F187" s="122"/>
      <c r="G187" s="122"/>
      <c r="H187" s="122"/>
      <c r="I187" s="315"/>
    </row>
    <row r="188" spans="1:9" x14ac:dyDescent="0.25">
      <c r="A188" s="122" t="s">
        <v>578</v>
      </c>
      <c r="B188" s="122"/>
      <c r="C188" s="122" t="s">
        <v>579</v>
      </c>
      <c r="D188" s="122"/>
      <c r="E188" s="122"/>
      <c r="F188" s="122"/>
      <c r="G188" s="122"/>
      <c r="H188" s="122"/>
      <c r="I188" s="315"/>
    </row>
    <row r="189" spans="1:9" x14ac:dyDescent="0.25">
      <c r="A189" s="122" t="s">
        <v>580</v>
      </c>
      <c r="B189" s="122"/>
      <c r="C189" s="122" t="s">
        <v>581</v>
      </c>
      <c r="D189" s="122"/>
      <c r="E189" s="122"/>
      <c r="F189" s="122"/>
      <c r="G189" s="122"/>
      <c r="H189" s="122"/>
      <c r="I189" s="315"/>
    </row>
    <row r="190" spans="1:9" x14ac:dyDescent="0.25">
      <c r="A190" s="122" t="s">
        <v>582</v>
      </c>
      <c r="B190" s="122"/>
      <c r="C190" s="122" t="s">
        <v>583</v>
      </c>
      <c r="D190" s="122"/>
      <c r="E190" s="122"/>
      <c r="F190" s="122"/>
      <c r="G190" s="122"/>
      <c r="H190" s="122"/>
      <c r="I190" s="315"/>
    </row>
    <row r="191" spans="1:9" x14ac:dyDescent="0.25">
      <c r="A191" s="122" t="s">
        <v>584</v>
      </c>
      <c r="B191" s="122"/>
      <c r="C191" s="122" t="s">
        <v>585</v>
      </c>
      <c r="D191" s="122"/>
      <c r="E191" s="122"/>
      <c r="F191" s="122"/>
      <c r="G191" s="122"/>
      <c r="H191" s="122"/>
      <c r="I191" s="315"/>
    </row>
    <row r="192" spans="1:9" x14ac:dyDescent="0.25">
      <c r="A192" s="122" t="s">
        <v>586</v>
      </c>
      <c r="B192" s="122"/>
      <c r="C192" s="122" t="s">
        <v>587</v>
      </c>
      <c r="D192" s="122"/>
      <c r="E192" s="122"/>
      <c r="F192" s="122"/>
      <c r="G192" s="122"/>
      <c r="H192" s="122"/>
      <c r="I192" s="315"/>
    </row>
    <row r="193" spans="1:9" x14ac:dyDescent="0.25">
      <c r="A193" s="122" t="s">
        <v>588</v>
      </c>
      <c r="B193" s="122"/>
      <c r="C193" s="122" t="s">
        <v>589</v>
      </c>
      <c r="D193" s="122"/>
      <c r="E193" s="122"/>
      <c r="F193" s="122"/>
      <c r="G193" s="122"/>
      <c r="H193" s="122"/>
      <c r="I193" s="315"/>
    </row>
    <row r="194" spans="1:9" x14ac:dyDescent="0.25">
      <c r="A194" s="122" t="s">
        <v>590</v>
      </c>
      <c r="B194" s="122"/>
      <c r="C194" s="122" t="s">
        <v>591</v>
      </c>
      <c r="D194" s="122"/>
      <c r="E194" s="122"/>
      <c r="F194" s="122"/>
      <c r="G194" s="122"/>
      <c r="H194" s="122"/>
      <c r="I194" s="315"/>
    </row>
    <row r="195" spans="1:9" x14ac:dyDescent="0.25">
      <c r="A195" s="122" t="s">
        <v>592</v>
      </c>
      <c r="B195" s="122"/>
      <c r="C195" s="122" t="s">
        <v>593</v>
      </c>
      <c r="D195" s="122"/>
      <c r="E195" s="122"/>
      <c r="F195" s="122"/>
      <c r="G195" s="122"/>
      <c r="H195" s="122"/>
      <c r="I195" s="315"/>
    </row>
    <row r="196" spans="1:9" x14ac:dyDescent="0.25">
      <c r="A196" s="122" t="s">
        <v>594</v>
      </c>
      <c r="B196" s="122"/>
      <c r="C196" s="122" t="s">
        <v>595</v>
      </c>
      <c r="D196" s="122"/>
      <c r="E196" s="122"/>
      <c r="F196" s="122"/>
      <c r="G196" s="122"/>
      <c r="H196" s="122"/>
      <c r="I196" s="315"/>
    </row>
    <row r="197" spans="1:9" x14ac:dyDescent="0.25">
      <c r="A197" s="122" t="s">
        <v>596</v>
      </c>
      <c r="B197" s="122"/>
      <c r="C197" s="122" t="s">
        <v>597</v>
      </c>
      <c r="D197" s="122"/>
      <c r="E197" s="122"/>
      <c r="F197" s="122"/>
      <c r="G197" s="122"/>
      <c r="H197" s="122"/>
      <c r="I197" s="315"/>
    </row>
    <row r="198" spans="1:9" x14ac:dyDescent="0.25">
      <c r="A198" s="122" t="s">
        <v>598</v>
      </c>
      <c r="B198" s="122"/>
      <c r="C198" s="122" t="s">
        <v>599</v>
      </c>
      <c r="D198" s="122"/>
      <c r="E198" s="122"/>
      <c r="F198" s="122"/>
      <c r="G198" s="122"/>
      <c r="H198" s="122"/>
      <c r="I198" s="315"/>
    </row>
    <row r="199" spans="1:9" x14ac:dyDescent="0.25">
      <c r="A199" s="122" t="s">
        <v>600</v>
      </c>
      <c r="B199" s="122"/>
      <c r="C199" s="122" t="s">
        <v>601</v>
      </c>
      <c r="D199" s="122"/>
      <c r="E199" s="122"/>
      <c r="F199" s="122"/>
      <c r="G199" s="122"/>
      <c r="H199" s="122"/>
      <c r="I199" s="315"/>
    </row>
    <row r="200" spans="1:9" x14ac:dyDescent="0.25">
      <c r="A200" s="122" t="s">
        <v>602</v>
      </c>
      <c r="B200" s="122"/>
      <c r="C200" s="122" t="s">
        <v>603</v>
      </c>
      <c r="D200" s="122"/>
      <c r="E200" s="122"/>
      <c r="F200" s="122"/>
      <c r="G200" s="122"/>
      <c r="H200" s="122"/>
      <c r="I200" s="315"/>
    </row>
    <row r="201" spans="1:9" x14ac:dyDescent="0.25">
      <c r="A201" s="122" t="s">
        <v>604</v>
      </c>
      <c r="B201" s="122"/>
      <c r="C201" s="122" t="s">
        <v>605</v>
      </c>
      <c r="D201" s="122"/>
      <c r="E201" s="122"/>
      <c r="F201" s="122"/>
      <c r="G201" s="122"/>
      <c r="H201" s="122"/>
      <c r="I201" s="315"/>
    </row>
    <row r="202" spans="1:9" x14ac:dyDescent="0.25">
      <c r="A202" s="122" t="s">
        <v>606</v>
      </c>
      <c r="B202" s="122"/>
      <c r="C202" s="122" t="s">
        <v>607</v>
      </c>
      <c r="D202" s="122"/>
      <c r="E202" s="122"/>
      <c r="F202" s="122"/>
      <c r="G202" s="122"/>
      <c r="H202" s="122"/>
      <c r="I202" s="315"/>
    </row>
    <row r="203" spans="1:9" x14ac:dyDescent="0.25">
      <c r="A203" s="122" t="s">
        <v>608</v>
      </c>
      <c r="B203" s="122"/>
      <c r="C203" s="122" t="s">
        <v>609</v>
      </c>
      <c r="D203" s="122"/>
      <c r="E203" s="122"/>
      <c r="F203" s="122"/>
      <c r="G203" s="122"/>
      <c r="H203" s="122"/>
      <c r="I203" s="315"/>
    </row>
    <row r="204" spans="1:9" x14ac:dyDescent="0.25">
      <c r="A204" s="122" t="s">
        <v>610</v>
      </c>
      <c r="B204" s="122"/>
      <c r="C204" s="122" t="s">
        <v>611</v>
      </c>
      <c r="D204" s="122"/>
      <c r="E204" s="122"/>
      <c r="F204" s="122"/>
      <c r="G204" s="122"/>
      <c r="H204" s="122"/>
      <c r="I204" s="315"/>
    </row>
    <row r="205" spans="1:9" x14ac:dyDescent="0.25">
      <c r="A205" s="122" t="s">
        <v>612</v>
      </c>
      <c r="B205" s="122"/>
      <c r="C205" s="122" t="s">
        <v>613</v>
      </c>
      <c r="D205" s="122"/>
      <c r="E205" s="122"/>
      <c r="F205" s="122"/>
      <c r="G205" s="122"/>
      <c r="H205" s="122"/>
      <c r="I205" s="315"/>
    </row>
    <row r="206" spans="1:9" x14ac:dyDescent="0.25">
      <c r="A206" s="122" t="s">
        <v>614</v>
      </c>
      <c r="B206" s="122"/>
      <c r="C206" s="122" t="s">
        <v>615</v>
      </c>
      <c r="D206" s="122"/>
      <c r="E206" s="122"/>
      <c r="F206" s="122"/>
      <c r="G206" s="122"/>
      <c r="H206" s="122"/>
      <c r="I206" s="315"/>
    </row>
    <row r="207" spans="1:9" x14ac:dyDescent="0.25">
      <c r="A207" s="122" t="s">
        <v>616</v>
      </c>
      <c r="B207" s="122"/>
      <c r="C207" s="122" t="s">
        <v>617</v>
      </c>
      <c r="D207" s="122"/>
      <c r="E207" s="122"/>
      <c r="F207" s="122"/>
      <c r="G207" s="122"/>
      <c r="H207" s="122"/>
      <c r="I207" s="315"/>
    </row>
    <row r="208" spans="1:9" x14ac:dyDescent="0.25">
      <c r="A208" s="122" t="s">
        <v>618</v>
      </c>
      <c r="B208" s="122"/>
      <c r="C208" s="122" t="s">
        <v>619</v>
      </c>
      <c r="D208" s="122"/>
      <c r="E208" s="122"/>
      <c r="F208" s="122"/>
      <c r="G208" s="122"/>
      <c r="H208" s="122"/>
      <c r="I208" s="315"/>
    </row>
    <row r="209" spans="1:9" x14ac:dyDescent="0.25">
      <c r="A209" s="122" t="s">
        <v>620</v>
      </c>
      <c r="B209" s="122"/>
      <c r="C209" s="122" t="s">
        <v>621</v>
      </c>
      <c r="D209" s="122"/>
      <c r="E209" s="122"/>
      <c r="F209" s="122"/>
      <c r="G209" s="122"/>
      <c r="H209" s="122"/>
      <c r="I209" s="315"/>
    </row>
    <row r="210" spans="1:9" x14ac:dyDescent="0.25">
      <c r="A210" s="122" t="s">
        <v>622</v>
      </c>
      <c r="B210" s="122"/>
      <c r="C210" s="122" t="s">
        <v>623</v>
      </c>
      <c r="D210" s="122"/>
      <c r="E210" s="122"/>
      <c r="F210" s="122"/>
      <c r="G210" s="122"/>
      <c r="H210" s="122"/>
      <c r="I210" s="315"/>
    </row>
    <row r="211" spans="1:9" x14ac:dyDescent="0.25">
      <c r="A211" s="122" t="s">
        <v>624</v>
      </c>
      <c r="B211" s="122"/>
      <c r="C211" s="122" t="s">
        <v>625</v>
      </c>
      <c r="D211" s="122"/>
      <c r="E211" s="122"/>
      <c r="F211" s="122"/>
      <c r="G211" s="122"/>
      <c r="H211" s="122"/>
      <c r="I211" s="315"/>
    </row>
    <row r="212" spans="1:9" x14ac:dyDescent="0.25">
      <c r="A212" s="122" t="s">
        <v>626</v>
      </c>
      <c r="B212" s="122"/>
      <c r="C212" s="122" t="s">
        <v>627</v>
      </c>
      <c r="D212" s="122"/>
      <c r="E212" s="122"/>
      <c r="F212" s="122"/>
      <c r="G212" s="122"/>
      <c r="H212" s="122"/>
      <c r="I212" s="315"/>
    </row>
    <row r="213" spans="1:9" x14ac:dyDescent="0.25">
      <c r="A213" s="122" t="s">
        <v>628</v>
      </c>
      <c r="B213" s="122"/>
      <c r="C213" s="122" t="s">
        <v>629</v>
      </c>
      <c r="D213" s="122"/>
      <c r="E213" s="122"/>
      <c r="F213" s="122"/>
      <c r="G213" s="122"/>
      <c r="H213" s="122"/>
      <c r="I213" s="315"/>
    </row>
    <row r="214" spans="1:9" x14ac:dyDescent="0.25">
      <c r="A214" s="122" t="s">
        <v>630</v>
      </c>
      <c r="B214" s="122"/>
      <c r="C214" s="122" t="s">
        <v>631</v>
      </c>
      <c r="D214" s="122"/>
      <c r="E214" s="122"/>
      <c r="F214" s="122"/>
      <c r="G214" s="122"/>
      <c r="H214" s="122"/>
      <c r="I214" s="315"/>
    </row>
    <row r="215" spans="1:9" x14ac:dyDescent="0.25">
      <c r="A215" s="122" t="s">
        <v>632</v>
      </c>
      <c r="B215" s="122"/>
      <c r="C215" s="122" t="s">
        <v>633</v>
      </c>
      <c r="D215" s="122"/>
      <c r="E215" s="122"/>
      <c r="F215" s="122"/>
      <c r="G215" s="122"/>
      <c r="H215" s="122"/>
      <c r="I215" s="315"/>
    </row>
    <row r="216" spans="1:9" x14ac:dyDescent="0.25">
      <c r="A216" s="122" t="s">
        <v>634</v>
      </c>
      <c r="B216" s="122"/>
      <c r="C216" s="122" t="s">
        <v>635</v>
      </c>
      <c r="D216" s="122"/>
      <c r="E216" s="122"/>
      <c r="F216" s="122"/>
      <c r="G216" s="122"/>
      <c r="H216" s="122"/>
      <c r="I216" s="315"/>
    </row>
    <row r="217" spans="1:9" x14ac:dyDescent="0.25">
      <c r="A217" s="122" t="s">
        <v>636</v>
      </c>
      <c r="B217" s="122"/>
      <c r="C217" s="122" t="s">
        <v>637</v>
      </c>
      <c r="D217" s="122"/>
      <c r="E217" s="122"/>
      <c r="F217" s="122"/>
      <c r="G217" s="122"/>
      <c r="H217" s="122"/>
      <c r="I217" s="315"/>
    </row>
    <row r="218" spans="1:9" x14ac:dyDescent="0.25">
      <c r="A218" s="122" t="s">
        <v>638</v>
      </c>
      <c r="B218" s="122"/>
      <c r="C218" s="122" t="s">
        <v>639</v>
      </c>
      <c r="D218" s="122"/>
      <c r="E218" s="122"/>
      <c r="F218" s="122"/>
      <c r="G218" s="122"/>
      <c r="H218" s="122"/>
      <c r="I218" s="315"/>
    </row>
    <row r="219" spans="1:9" x14ac:dyDescent="0.25">
      <c r="A219" s="122" t="s">
        <v>640</v>
      </c>
      <c r="B219" s="122"/>
      <c r="C219" s="122" t="s">
        <v>641</v>
      </c>
      <c r="D219" s="122"/>
      <c r="E219" s="122"/>
      <c r="F219" s="122"/>
      <c r="G219" s="122"/>
      <c r="H219" s="122"/>
      <c r="I219" s="315"/>
    </row>
    <row r="220" spans="1:9" x14ac:dyDescent="0.25">
      <c r="A220" s="122" t="s">
        <v>642</v>
      </c>
      <c r="B220" s="122"/>
      <c r="C220" s="122" t="s">
        <v>643</v>
      </c>
      <c r="D220" s="122"/>
      <c r="E220" s="122"/>
      <c r="F220" s="122"/>
      <c r="G220" s="122"/>
      <c r="H220" s="122"/>
      <c r="I220" s="315"/>
    </row>
    <row r="221" spans="1:9" x14ac:dyDescent="0.25">
      <c r="A221" s="122" t="s">
        <v>644</v>
      </c>
      <c r="B221" s="122"/>
      <c r="C221" s="122" t="s">
        <v>205</v>
      </c>
      <c r="D221" s="122"/>
      <c r="E221" s="122"/>
      <c r="F221" s="122"/>
      <c r="G221" s="122"/>
      <c r="H221" s="122"/>
      <c r="I221" s="315"/>
    </row>
    <row r="222" spans="1:9" x14ac:dyDescent="0.25">
      <c r="A222" s="122" t="s">
        <v>645</v>
      </c>
      <c r="B222" s="122"/>
      <c r="C222" s="122" t="s">
        <v>207</v>
      </c>
      <c r="D222" s="122"/>
      <c r="E222" s="122"/>
      <c r="F222" s="122"/>
      <c r="G222" s="122"/>
      <c r="H222" s="122"/>
      <c r="I222" s="315"/>
    </row>
  </sheetData>
  <autoFilter ref="A54:H54">
    <filterColumn colId="0" showButton="0"/>
    <filterColumn colId="1" showButton="0"/>
    <filterColumn colId="3" showButton="0"/>
    <filterColumn colId="5" showButton="0"/>
    <filterColumn colId="6" showButton="0"/>
  </autoFilter>
  <mergeCells count="36">
    <mergeCell ref="B3:H3"/>
    <mergeCell ref="B6:H6"/>
    <mergeCell ref="B9:H9"/>
    <mergeCell ref="B21:H22"/>
    <mergeCell ref="I21:I47"/>
    <mergeCell ref="C24:H24"/>
    <mergeCell ref="C25:C26"/>
    <mergeCell ref="D25:D26"/>
    <mergeCell ref="E25:E26"/>
    <mergeCell ref="F25:F26"/>
    <mergeCell ref="G25:G26"/>
    <mergeCell ref="H25:H26"/>
    <mergeCell ref="B27:B32"/>
    <mergeCell ref="B33:B37"/>
    <mergeCell ref="B38:B40"/>
    <mergeCell ref="G38:G40"/>
    <mergeCell ref="H38:H40"/>
    <mergeCell ref="C39:C40"/>
    <mergeCell ref="D39:D40"/>
    <mergeCell ref="E39:E40"/>
    <mergeCell ref="F39:F40"/>
    <mergeCell ref="B41:B44"/>
    <mergeCell ref="C41:C44"/>
    <mergeCell ref="H41:H44"/>
    <mergeCell ref="D42:D44"/>
    <mergeCell ref="E42:E44"/>
    <mergeCell ref="F42:F43"/>
    <mergeCell ref="A135:B135"/>
    <mergeCell ref="C135:H135"/>
    <mergeCell ref="I135:I222"/>
    <mergeCell ref="B48:I48"/>
    <mergeCell ref="A54:C54"/>
    <mergeCell ref="D54:E54"/>
    <mergeCell ref="F54:H54"/>
    <mergeCell ref="I54:I129"/>
    <mergeCell ref="A134:C134"/>
  </mergeCells>
  <hyperlinks>
    <hyperlink ref="B3:H3" location="Scoring" display="GRILLE DE SCORING DES IMPACTS DES INCIDENTS"/>
    <hyperlink ref="I21:I47" location="Annexes!A1" display="RETOUR MENU          RETOUR MENU            RETOUR MENU"/>
    <hyperlink ref="B48:I48" location="Annexes!A1" display="RETOUR MENU"/>
    <hyperlink ref="I54:I65" location="Annexes!A1" display="RETOUR MENU"/>
    <hyperlink ref="B6:H6" location="Annexes!A74" display="LISTE DES PROCESSUS MÉTIER NIVEAU 1, 2 et 3"/>
    <hyperlink ref="I135:I172" location="Annexes!A1" display="RETOUR MENU"/>
    <hyperlink ref="B9:H9" location="Annexes!A158" display="LISTE DES RISQUES"/>
  </hyperlink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B2:J102"/>
  <sheetViews>
    <sheetView zoomScale="73" zoomScaleNormal="73" workbookViewId="0">
      <selection activeCell="E12" sqref="E12"/>
    </sheetView>
  </sheetViews>
  <sheetFormatPr baseColWidth="10" defaultRowHeight="15" x14ac:dyDescent="0.25"/>
  <cols>
    <col min="1" max="1" width="11.42578125" style="143"/>
    <col min="2" max="2" width="20.7109375" style="143" customWidth="1"/>
    <col min="3" max="3" width="42.28515625" style="143" customWidth="1"/>
    <col min="4" max="8" width="40.7109375" style="143" customWidth="1"/>
    <col min="9" max="16384" width="11.42578125" style="143"/>
  </cols>
  <sheetData>
    <row r="2" spans="2:7" ht="39" customHeight="1" x14ac:dyDescent="0.25">
      <c r="B2" s="145" t="s">
        <v>834</v>
      </c>
      <c r="D2" s="146"/>
    </row>
    <row r="3" spans="2:7" x14ac:dyDescent="0.25">
      <c r="B3" s="147" t="s">
        <v>25</v>
      </c>
      <c r="C3" s="195" t="s">
        <v>808</v>
      </c>
      <c r="D3" s="148" t="s">
        <v>25</v>
      </c>
      <c r="E3" s="149">
        <v>1</v>
      </c>
      <c r="F3" s="148"/>
      <c r="G3" s="144"/>
    </row>
    <row r="4" spans="2:7" ht="24" x14ac:dyDescent="0.25">
      <c r="B4" s="150" t="s">
        <v>4</v>
      </c>
      <c r="C4" s="195" t="s">
        <v>809</v>
      </c>
      <c r="D4" s="148" t="s">
        <v>4</v>
      </c>
      <c r="E4" s="149">
        <v>2</v>
      </c>
      <c r="F4" s="148"/>
      <c r="G4" s="144"/>
    </row>
    <row r="5" spans="2:7" ht="24" x14ac:dyDescent="0.25">
      <c r="B5" s="151" t="s">
        <v>5</v>
      </c>
      <c r="C5" s="195" t="s">
        <v>810</v>
      </c>
      <c r="D5" s="148" t="s">
        <v>5</v>
      </c>
      <c r="E5" s="149">
        <v>3</v>
      </c>
      <c r="F5" s="148"/>
      <c r="G5" s="144"/>
    </row>
    <row r="6" spans="2:7" ht="24" x14ac:dyDescent="0.25">
      <c r="B6" s="152" t="s">
        <v>6</v>
      </c>
      <c r="C6" s="195" t="s">
        <v>811</v>
      </c>
      <c r="D6" s="148" t="s">
        <v>6</v>
      </c>
      <c r="E6" s="149">
        <v>4</v>
      </c>
      <c r="F6" s="148"/>
      <c r="G6" s="144"/>
    </row>
    <row r="7" spans="2:7" ht="24" x14ac:dyDescent="0.25">
      <c r="B7" s="153" t="s">
        <v>15</v>
      </c>
      <c r="C7" s="195" t="s">
        <v>812</v>
      </c>
      <c r="D7" s="148" t="s">
        <v>15</v>
      </c>
      <c r="E7" s="149">
        <v>5</v>
      </c>
      <c r="F7" s="148"/>
      <c r="G7" s="144"/>
    </row>
    <row r="8" spans="2:7" ht="24" x14ac:dyDescent="0.25">
      <c r="B8" s="154" t="s">
        <v>7</v>
      </c>
      <c r="C8" s="195" t="s">
        <v>813</v>
      </c>
      <c r="D8" s="148" t="s">
        <v>7</v>
      </c>
      <c r="E8" s="149">
        <v>6</v>
      </c>
      <c r="F8" s="148"/>
      <c r="G8" s="144"/>
    </row>
    <row r="9" spans="2:7" x14ac:dyDescent="0.25">
      <c r="F9" s="155"/>
      <c r="G9" s="144"/>
    </row>
    <row r="10" spans="2:7" ht="32.25" customHeight="1" x14ac:dyDescent="0.25">
      <c r="B10" s="145" t="s">
        <v>835</v>
      </c>
      <c r="D10" s="146"/>
    </row>
    <row r="11" spans="2:7" ht="48" x14ac:dyDescent="0.25">
      <c r="B11" s="147" t="s">
        <v>8</v>
      </c>
      <c r="C11" s="195" t="s">
        <v>348</v>
      </c>
      <c r="D11" s="148" t="s">
        <v>8</v>
      </c>
      <c r="E11" s="149">
        <v>1</v>
      </c>
    </row>
    <row r="12" spans="2:7" ht="48" x14ac:dyDescent="0.25">
      <c r="B12" s="150" t="s">
        <v>9</v>
      </c>
      <c r="C12" s="195" t="s">
        <v>349</v>
      </c>
      <c r="D12" s="148" t="s">
        <v>9</v>
      </c>
      <c r="E12" s="149">
        <v>2</v>
      </c>
    </row>
    <row r="13" spans="2:7" ht="60" x14ac:dyDescent="0.25">
      <c r="B13" s="151" t="s">
        <v>10</v>
      </c>
      <c r="C13" s="195" t="s">
        <v>350</v>
      </c>
      <c r="D13" s="148" t="s">
        <v>10</v>
      </c>
      <c r="E13" s="149">
        <v>3</v>
      </c>
    </row>
    <row r="14" spans="2:7" ht="72" x14ac:dyDescent="0.25">
      <c r="B14" s="152" t="s">
        <v>11</v>
      </c>
      <c r="C14" s="195" t="s">
        <v>351</v>
      </c>
      <c r="D14" s="148" t="s">
        <v>11</v>
      </c>
      <c r="E14" s="149">
        <v>4</v>
      </c>
    </row>
    <row r="15" spans="2:7" ht="72" x14ac:dyDescent="0.25">
      <c r="B15" s="153" t="s">
        <v>12</v>
      </c>
      <c r="C15" s="195" t="s">
        <v>673</v>
      </c>
      <c r="D15" s="148" t="s">
        <v>12</v>
      </c>
      <c r="E15" s="149">
        <v>5</v>
      </c>
    </row>
    <row r="16" spans="2:7" ht="24" x14ac:dyDescent="0.25">
      <c r="B16" s="154" t="s">
        <v>13</v>
      </c>
      <c r="C16" s="195" t="s">
        <v>353</v>
      </c>
      <c r="D16" s="148" t="s">
        <v>13</v>
      </c>
      <c r="E16" s="149">
        <v>6</v>
      </c>
    </row>
    <row r="19" spans="2:5" x14ac:dyDescent="0.25">
      <c r="B19" s="145" t="s">
        <v>848</v>
      </c>
      <c r="D19" s="146"/>
    </row>
    <row r="20" spans="2:5" ht="24" x14ac:dyDescent="0.25">
      <c r="B20" s="147" t="s">
        <v>8</v>
      </c>
      <c r="C20" s="195" t="s">
        <v>814</v>
      </c>
      <c r="D20" s="148" t="s">
        <v>8</v>
      </c>
      <c r="E20" s="149">
        <v>1</v>
      </c>
    </row>
    <row r="21" spans="2:5" ht="24" x14ac:dyDescent="0.25">
      <c r="B21" s="150" t="s">
        <v>9</v>
      </c>
      <c r="C21" s="195" t="s">
        <v>815</v>
      </c>
      <c r="D21" s="148" t="s">
        <v>9</v>
      </c>
      <c r="E21" s="149">
        <v>2</v>
      </c>
    </row>
    <row r="22" spans="2:5" x14ac:dyDescent="0.25">
      <c r="B22" s="151" t="s">
        <v>10</v>
      </c>
      <c r="C22" s="195" t="s">
        <v>816</v>
      </c>
      <c r="D22" s="148" t="s">
        <v>10</v>
      </c>
      <c r="E22" s="149">
        <v>3</v>
      </c>
    </row>
    <row r="23" spans="2:5" ht="24" x14ac:dyDescent="0.25">
      <c r="B23" s="152" t="s">
        <v>11</v>
      </c>
      <c r="C23" s="195" t="s">
        <v>817</v>
      </c>
      <c r="D23" s="148" t="s">
        <v>11</v>
      </c>
      <c r="E23" s="149">
        <v>4</v>
      </c>
    </row>
    <row r="24" spans="2:5" ht="24" x14ac:dyDescent="0.25">
      <c r="B24" s="153" t="s">
        <v>12</v>
      </c>
      <c r="C24" s="195" t="s">
        <v>818</v>
      </c>
      <c r="D24" s="148" t="s">
        <v>12</v>
      </c>
      <c r="E24" s="149">
        <v>5</v>
      </c>
    </row>
    <row r="25" spans="2:5" x14ac:dyDescent="0.25">
      <c r="B25" s="154" t="s">
        <v>13</v>
      </c>
      <c r="C25" s="195" t="s">
        <v>819</v>
      </c>
      <c r="D25" s="148" t="s">
        <v>13</v>
      </c>
      <c r="E25" s="149">
        <v>6</v>
      </c>
    </row>
    <row r="27" spans="2:5" x14ac:dyDescent="0.25">
      <c r="B27" s="145" t="s">
        <v>849</v>
      </c>
      <c r="D27" s="146"/>
    </row>
    <row r="28" spans="2:5" ht="96" x14ac:dyDescent="0.25">
      <c r="B28" s="147" t="s">
        <v>8</v>
      </c>
      <c r="C28" s="195" t="s">
        <v>850</v>
      </c>
      <c r="D28" s="148" t="s">
        <v>8</v>
      </c>
      <c r="E28" s="149">
        <v>1</v>
      </c>
    </row>
    <row r="29" spans="2:5" ht="72" x14ac:dyDescent="0.25">
      <c r="B29" s="150" t="s">
        <v>9</v>
      </c>
      <c r="C29" s="195" t="s">
        <v>664</v>
      </c>
      <c r="D29" s="148" t="s">
        <v>9</v>
      </c>
      <c r="E29" s="149">
        <v>2</v>
      </c>
    </row>
    <row r="30" spans="2:5" ht="108" x14ac:dyDescent="0.25">
      <c r="B30" s="151" t="s">
        <v>10</v>
      </c>
      <c r="C30" s="195" t="s">
        <v>851</v>
      </c>
      <c r="D30" s="148" t="s">
        <v>10</v>
      </c>
      <c r="E30" s="149">
        <v>3</v>
      </c>
    </row>
    <row r="31" spans="2:5" ht="115.5" customHeight="1" x14ac:dyDescent="0.25">
      <c r="B31" s="152" t="s">
        <v>11</v>
      </c>
      <c r="C31" s="195" t="s">
        <v>853</v>
      </c>
      <c r="D31" s="148" t="s">
        <v>11</v>
      </c>
      <c r="E31" s="149">
        <v>4</v>
      </c>
    </row>
    <row r="32" spans="2:5" ht="108" x14ac:dyDescent="0.25">
      <c r="B32" s="153" t="s">
        <v>12</v>
      </c>
      <c r="C32" s="195" t="s">
        <v>852</v>
      </c>
      <c r="D32" s="148" t="s">
        <v>12</v>
      </c>
      <c r="E32" s="149">
        <v>5</v>
      </c>
    </row>
    <row r="33" spans="2:5" ht="96" x14ac:dyDescent="0.25">
      <c r="B33" s="154" t="s">
        <v>13</v>
      </c>
      <c r="C33" s="195" t="s">
        <v>854</v>
      </c>
      <c r="D33" s="148" t="s">
        <v>13</v>
      </c>
      <c r="E33" s="149">
        <v>6</v>
      </c>
    </row>
    <row r="36" spans="2:5" x14ac:dyDescent="0.25">
      <c r="B36" s="145" t="s">
        <v>855</v>
      </c>
      <c r="D36" s="146"/>
    </row>
    <row r="37" spans="2:5" ht="24" x14ac:dyDescent="0.25">
      <c r="B37" s="147" t="s">
        <v>8</v>
      </c>
      <c r="C37" s="195" t="s">
        <v>665</v>
      </c>
      <c r="D37" s="148" t="s">
        <v>8</v>
      </c>
      <c r="E37" s="149">
        <v>1</v>
      </c>
    </row>
    <row r="38" spans="2:5" ht="36" x14ac:dyDescent="0.25">
      <c r="B38" s="150" t="s">
        <v>9</v>
      </c>
      <c r="C38" s="195" t="s">
        <v>666</v>
      </c>
      <c r="D38" s="148" t="s">
        <v>9</v>
      </c>
      <c r="E38" s="149">
        <v>2</v>
      </c>
    </row>
    <row r="39" spans="2:5" ht="48" x14ac:dyDescent="0.25">
      <c r="B39" s="151" t="s">
        <v>10</v>
      </c>
      <c r="C39" s="195" t="s">
        <v>667</v>
      </c>
      <c r="D39" s="148" t="s">
        <v>10</v>
      </c>
      <c r="E39" s="149">
        <v>3</v>
      </c>
    </row>
    <row r="40" spans="2:5" ht="48" x14ac:dyDescent="0.25">
      <c r="B40" s="152" t="s">
        <v>11</v>
      </c>
      <c r="C40" s="195" t="s">
        <v>668</v>
      </c>
      <c r="D40" s="148" t="s">
        <v>11</v>
      </c>
      <c r="E40" s="149">
        <v>4</v>
      </c>
    </row>
    <row r="41" spans="2:5" ht="24" x14ac:dyDescent="0.25">
      <c r="B41" s="153" t="s">
        <v>12</v>
      </c>
      <c r="C41" s="195" t="s">
        <v>321</v>
      </c>
      <c r="D41" s="148" t="s">
        <v>12</v>
      </c>
      <c r="E41" s="149">
        <v>5</v>
      </c>
    </row>
    <row r="42" spans="2:5" x14ac:dyDescent="0.25">
      <c r="B42" s="154" t="s">
        <v>13</v>
      </c>
      <c r="C42" s="195" t="s">
        <v>322</v>
      </c>
      <c r="D42" s="148" t="s">
        <v>13</v>
      </c>
      <c r="E42" s="149">
        <v>6</v>
      </c>
    </row>
    <row r="45" spans="2:5" x14ac:dyDescent="0.25">
      <c r="B45" s="145" t="s">
        <v>856</v>
      </c>
      <c r="D45" s="146"/>
    </row>
    <row r="46" spans="2:5" ht="24" x14ac:dyDescent="0.25">
      <c r="B46" s="147" t="s">
        <v>8</v>
      </c>
      <c r="C46" s="195" t="s">
        <v>328</v>
      </c>
      <c r="D46" s="148" t="s">
        <v>8</v>
      </c>
      <c r="E46" s="149">
        <v>1</v>
      </c>
    </row>
    <row r="47" spans="2:5" ht="36" x14ac:dyDescent="0.25">
      <c r="B47" s="150" t="s">
        <v>9</v>
      </c>
      <c r="C47" s="195" t="s">
        <v>669</v>
      </c>
      <c r="D47" s="148" t="s">
        <v>9</v>
      </c>
      <c r="E47" s="149">
        <v>2</v>
      </c>
    </row>
    <row r="48" spans="2:5" ht="48" x14ac:dyDescent="0.25">
      <c r="B48" s="151" t="s">
        <v>10</v>
      </c>
      <c r="C48" s="195" t="s">
        <v>670</v>
      </c>
      <c r="D48" s="148" t="s">
        <v>10</v>
      </c>
      <c r="E48" s="149">
        <v>3</v>
      </c>
    </row>
    <row r="49" spans="2:10" ht="72" x14ac:dyDescent="0.25">
      <c r="B49" s="152" t="s">
        <v>11</v>
      </c>
      <c r="C49" s="195" t="s">
        <v>671</v>
      </c>
      <c r="D49" s="148" t="s">
        <v>11</v>
      </c>
      <c r="E49" s="149">
        <v>4</v>
      </c>
    </row>
    <row r="50" spans="2:10" ht="80.25" customHeight="1" x14ac:dyDescent="0.25">
      <c r="B50" s="153" t="s">
        <v>12</v>
      </c>
      <c r="C50" s="195" t="s">
        <v>857</v>
      </c>
      <c r="D50" s="148" t="s">
        <v>12</v>
      </c>
      <c r="E50" s="149">
        <v>5</v>
      </c>
    </row>
    <row r="51" spans="2:10" ht="24" x14ac:dyDescent="0.25">
      <c r="B51" s="154" t="s">
        <v>13</v>
      </c>
      <c r="C51" s="195" t="s">
        <v>333</v>
      </c>
      <c r="D51" s="148" t="s">
        <v>13</v>
      </c>
      <c r="E51" s="149">
        <v>6</v>
      </c>
    </row>
    <row r="55" spans="2:10" x14ac:dyDescent="0.25">
      <c r="B55" s="145" t="s">
        <v>833</v>
      </c>
      <c r="D55" s="146"/>
    </row>
    <row r="56" spans="2:10" ht="48" x14ac:dyDescent="0.25">
      <c r="B56" s="153" t="s">
        <v>19</v>
      </c>
      <c r="C56" s="195" t="s">
        <v>829</v>
      </c>
      <c r="D56" s="148" t="s">
        <v>19</v>
      </c>
      <c r="E56" s="149">
        <v>1</v>
      </c>
    </row>
    <row r="57" spans="2:10" ht="60" x14ac:dyDescent="0.25">
      <c r="B57" s="152" t="s">
        <v>9</v>
      </c>
      <c r="C57" s="195" t="s">
        <v>830</v>
      </c>
      <c r="D57" s="148" t="s">
        <v>9</v>
      </c>
      <c r="E57" s="149">
        <v>2</v>
      </c>
    </row>
    <row r="58" spans="2:10" ht="60" x14ac:dyDescent="0.25">
      <c r="B58" s="151" t="s">
        <v>17</v>
      </c>
      <c r="C58" s="195" t="s">
        <v>831</v>
      </c>
      <c r="D58" s="148" t="s">
        <v>17</v>
      </c>
      <c r="E58" s="149">
        <v>3</v>
      </c>
    </row>
    <row r="59" spans="2:10" ht="60" x14ac:dyDescent="0.25">
      <c r="B59" s="147" t="s">
        <v>49</v>
      </c>
      <c r="C59" s="195" t="s">
        <v>832</v>
      </c>
      <c r="D59" s="148" t="s">
        <v>49</v>
      </c>
      <c r="E59" s="149">
        <v>4</v>
      </c>
    </row>
    <row r="62" spans="2:10" x14ac:dyDescent="0.25">
      <c r="B62" s="187"/>
      <c r="C62" s="186"/>
      <c r="D62" s="186"/>
      <c r="E62" s="186"/>
      <c r="F62" s="186"/>
      <c r="G62" s="186"/>
      <c r="H62" s="186"/>
      <c r="I62" s="184"/>
      <c r="J62" s="184"/>
    </row>
    <row r="63" spans="2:10" x14ac:dyDescent="0.25">
      <c r="B63" s="145" t="s">
        <v>836</v>
      </c>
      <c r="D63" s="146"/>
      <c r="F63" s="186"/>
      <c r="G63" s="186"/>
      <c r="H63" s="186"/>
      <c r="I63" s="184"/>
      <c r="J63" s="184"/>
    </row>
    <row r="64" spans="2:10" ht="24" x14ac:dyDescent="0.25">
      <c r="B64" s="153" t="s">
        <v>19</v>
      </c>
      <c r="C64" s="195" t="s">
        <v>820</v>
      </c>
      <c r="D64" s="148" t="s">
        <v>19</v>
      </c>
      <c r="E64" s="149">
        <v>1</v>
      </c>
      <c r="F64" s="186"/>
      <c r="G64" s="186"/>
      <c r="H64" s="186"/>
      <c r="I64" s="184"/>
      <c r="J64" s="184"/>
    </row>
    <row r="65" spans="2:10" ht="24" x14ac:dyDescent="0.25">
      <c r="B65" s="152" t="s">
        <v>9</v>
      </c>
      <c r="C65" s="195" t="s">
        <v>821</v>
      </c>
      <c r="D65" s="148" t="s">
        <v>9</v>
      </c>
      <c r="E65" s="149">
        <v>2</v>
      </c>
      <c r="F65" s="186"/>
      <c r="G65" s="186"/>
      <c r="H65" s="186"/>
      <c r="I65" s="184"/>
      <c r="J65" s="184"/>
    </row>
    <row r="66" spans="2:10" ht="24" x14ac:dyDescent="0.25">
      <c r="B66" s="151" t="s">
        <v>17</v>
      </c>
      <c r="C66" s="195" t="s">
        <v>837</v>
      </c>
      <c r="D66" s="148" t="s">
        <v>17</v>
      </c>
      <c r="E66" s="149">
        <v>3</v>
      </c>
      <c r="F66" s="186"/>
      <c r="G66" s="186"/>
      <c r="H66" s="186"/>
      <c r="I66" s="184"/>
      <c r="J66" s="184"/>
    </row>
    <row r="67" spans="2:10" ht="24" x14ac:dyDescent="0.25">
      <c r="B67" s="147" t="s">
        <v>49</v>
      </c>
      <c r="C67" s="195" t="s">
        <v>822</v>
      </c>
      <c r="D67" s="148" t="s">
        <v>49</v>
      </c>
      <c r="E67" s="149">
        <v>4</v>
      </c>
      <c r="F67" s="186"/>
      <c r="G67" s="186"/>
      <c r="H67" s="186"/>
      <c r="I67" s="184"/>
      <c r="J67" s="184"/>
    </row>
    <row r="68" spans="2:10" x14ac:dyDescent="0.25">
      <c r="B68" s="187"/>
      <c r="C68" s="186"/>
      <c r="D68" s="186"/>
      <c r="E68" s="186"/>
      <c r="F68" s="186"/>
      <c r="G68" s="186"/>
      <c r="H68" s="186"/>
      <c r="I68" s="184"/>
      <c r="J68" s="184"/>
    </row>
    <row r="69" spans="2:10" x14ac:dyDescent="0.25">
      <c r="B69" s="145" t="s">
        <v>838</v>
      </c>
      <c r="D69" s="146"/>
      <c r="F69" s="186"/>
      <c r="G69" s="186"/>
      <c r="H69" s="186"/>
      <c r="I69" s="184"/>
      <c r="J69" s="184"/>
    </row>
    <row r="70" spans="2:10" ht="36" x14ac:dyDescent="0.25">
      <c r="B70" s="153" t="s">
        <v>19</v>
      </c>
      <c r="C70" s="195" t="s">
        <v>839</v>
      </c>
      <c r="D70" s="148" t="s">
        <v>19</v>
      </c>
      <c r="E70" s="149">
        <v>1</v>
      </c>
      <c r="F70" s="186"/>
      <c r="G70" s="186"/>
      <c r="H70" s="186"/>
      <c r="I70" s="184"/>
      <c r="J70" s="184"/>
    </row>
    <row r="71" spans="2:10" ht="24" x14ac:dyDescent="0.25">
      <c r="B71" s="152" t="s">
        <v>9</v>
      </c>
      <c r="C71" s="195" t="s">
        <v>823</v>
      </c>
      <c r="D71" s="148" t="s">
        <v>9</v>
      </c>
      <c r="E71" s="149">
        <v>2</v>
      </c>
      <c r="F71" s="186"/>
      <c r="G71" s="186"/>
      <c r="H71" s="186"/>
      <c r="I71" s="184"/>
      <c r="J71" s="184"/>
    </row>
    <row r="72" spans="2:10" ht="24" x14ac:dyDescent="0.25">
      <c r="B72" s="151" t="s">
        <v>17</v>
      </c>
      <c r="C72" s="195" t="s">
        <v>840</v>
      </c>
      <c r="D72" s="148" t="s">
        <v>17</v>
      </c>
      <c r="E72" s="149">
        <v>3</v>
      </c>
      <c r="F72" s="186"/>
      <c r="G72" s="186"/>
      <c r="H72" s="186"/>
      <c r="I72" s="184"/>
      <c r="J72" s="184"/>
    </row>
    <row r="73" spans="2:10" ht="27.75" customHeight="1" x14ac:dyDescent="0.25">
      <c r="B73" s="147" t="s">
        <v>49</v>
      </c>
      <c r="C73" s="195" t="s">
        <v>824</v>
      </c>
      <c r="D73" s="148" t="s">
        <v>49</v>
      </c>
      <c r="E73" s="149">
        <v>4</v>
      </c>
      <c r="F73" s="186"/>
      <c r="G73" s="186"/>
      <c r="H73" s="186"/>
      <c r="I73" s="184"/>
      <c r="J73" s="184"/>
    </row>
    <row r="74" spans="2:10" ht="27.75" customHeight="1" x14ac:dyDescent="0.25">
      <c r="B74" s="193"/>
      <c r="C74" s="192"/>
      <c r="D74" s="148"/>
      <c r="E74" s="149"/>
      <c r="F74" s="186"/>
      <c r="G74" s="186"/>
      <c r="H74" s="186"/>
      <c r="I74" s="184"/>
      <c r="J74" s="184"/>
    </row>
    <row r="75" spans="2:10" ht="27.75" customHeight="1" x14ac:dyDescent="0.25">
      <c r="B75" s="145" t="s">
        <v>841</v>
      </c>
      <c r="D75" s="146"/>
      <c r="F75" s="186"/>
      <c r="G75" s="186"/>
      <c r="H75" s="186"/>
      <c r="I75" s="184"/>
      <c r="J75" s="184"/>
    </row>
    <row r="76" spans="2:10" ht="27.75" customHeight="1" x14ac:dyDescent="0.25">
      <c r="B76" s="153" t="s">
        <v>19</v>
      </c>
      <c r="C76" s="194" t="s">
        <v>842</v>
      </c>
      <c r="D76" s="148" t="s">
        <v>19</v>
      </c>
      <c r="E76" s="149">
        <v>1</v>
      </c>
      <c r="F76" s="186"/>
      <c r="G76" s="186"/>
      <c r="H76" s="186"/>
      <c r="I76" s="184"/>
      <c r="J76" s="184"/>
    </row>
    <row r="77" spans="2:10" ht="48" x14ac:dyDescent="0.25">
      <c r="B77" s="152" t="s">
        <v>9</v>
      </c>
      <c r="C77" s="194" t="s">
        <v>843</v>
      </c>
      <c r="D77" s="148" t="s">
        <v>9</v>
      </c>
      <c r="E77" s="149">
        <v>2</v>
      </c>
      <c r="F77" s="186"/>
      <c r="G77" s="186"/>
      <c r="H77" s="186"/>
      <c r="I77" s="184"/>
      <c r="J77" s="184"/>
    </row>
    <row r="78" spans="2:10" ht="36" x14ac:dyDescent="0.25">
      <c r="B78" s="151" t="s">
        <v>17</v>
      </c>
      <c r="C78" s="194" t="s">
        <v>844</v>
      </c>
      <c r="D78" s="148" t="s">
        <v>17</v>
      </c>
      <c r="E78" s="149">
        <v>3</v>
      </c>
      <c r="F78" s="186"/>
      <c r="G78" s="186"/>
      <c r="H78" s="186"/>
      <c r="I78" s="184"/>
      <c r="J78" s="184"/>
    </row>
    <row r="79" spans="2:10" ht="39" customHeight="1" x14ac:dyDescent="0.25">
      <c r="B79" s="147" t="s">
        <v>49</v>
      </c>
      <c r="C79" s="194" t="s">
        <v>845</v>
      </c>
      <c r="D79" s="148" t="s">
        <v>49</v>
      </c>
      <c r="E79" s="149">
        <v>4</v>
      </c>
      <c r="F79" s="186"/>
      <c r="G79" s="186"/>
      <c r="H79" s="186"/>
      <c r="I79" s="184"/>
      <c r="J79" s="184"/>
    </row>
    <row r="80" spans="2:10" ht="27.75" customHeight="1" x14ac:dyDescent="0.25">
      <c r="B80" s="193"/>
      <c r="C80" s="192"/>
      <c r="D80" s="148"/>
      <c r="E80" s="149"/>
      <c r="F80" s="186"/>
      <c r="G80" s="186"/>
      <c r="H80" s="186"/>
      <c r="I80" s="184"/>
      <c r="J80" s="184"/>
    </row>
    <row r="81" spans="2:10" ht="27.75" customHeight="1" x14ac:dyDescent="0.25">
      <c r="B81" s="193"/>
      <c r="C81" s="192"/>
      <c r="D81" s="148"/>
      <c r="E81" s="149"/>
      <c r="F81" s="186"/>
      <c r="G81" s="186"/>
      <c r="H81" s="186"/>
      <c r="I81" s="184"/>
      <c r="J81" s="184"/>
    </row>
    <row r="82" spans="2:10" ht="27.75" customHeight="1" x14ac:dyDescent="0.25">
      <c r="B82" s="145" t="s">
        <v>846</v>
      </c>
      <c r="D82" s="146"/>
      <c r="F82" s="186"/>
      <c r="G82" s="186"/>
      <c r="H82" s="186"/>
      <c r="I82" s="184"/>
      <c r="J82" s="184"/>
    </row>
    <row r="83" spans="2:10" ht="36" x14ac:dyDescent="0.25">
      <c r="B83" s="153" t="s">
        <v>19</v>
      </c>
      <c r="C83" s="194" t="s">
        <v>825</v>
      </c>
      <c r="D83" s="148" t="s">
        <v>19</v>
      </c>
      <c r="E83" s="149">
        <v>1</v>
      </c>
      <c r="F83" s="186"/>
      <c r="G83" s="186"/>
      <c r="H83" s="186"/>
      <c r="I83" s="184"/>
      <c r="J83" s="184"/>
    </row>
    <row r="84" spans="2:10" ht="36" x14ac:dyDescent="0.25">
      <c r="B84" s="152" t="s">
        <v>9</v>
      </c>
      <c r="C84" s="194" t="s">
        <v>826</v>
      </c>
      <c r="D84" s="148" t="s">
        <v>9</v>
      </c>
      <c r="E84" s="149">
        <v>2</v>
      </c>
      <c r="F84" s="186"/>
      <c r="G84" s="186"/>
      <c r="H84" s="186"/>
      <c r="I84" s="184"/>
      <c r="J84" s="184"/>
    </row>
    <row r="85" spans="2:10" ht="24" x14ac:dyDescent="0.25">
      <c r="B85" s="151" t="s">
        <v>17</v>
      </c>
      <c r="C85" s="194" t="s">
        <v>827</v>
      </c>
      <c r="D85" s="148" t="s">
        <v>17</v>
      </c>
      <c r="E85" s="149">
        <v>3</v>
      </c>
      <c r="F85" s="186"/>
      <c r="G85" s="186"/>
      <c r="H85" s="186"/>
      <c r="I85" s="184"/>
      <c r="J85" s="184"/>
    </row>
    <row r="86" spans="2:10" ht="24" x14ac:dyDescent="0.25">
      <c r="B86" s="147" t="s">
        <v>49</v>
      </c>
      <c r="C86" s="194" t="s">
        <v>828</v>
      </c>
      <c r="D86" s="148" t="s">
        <v>49</v>
      </c>
      <c r="E86" s="149">
        <v>4</v>
      </c>
      <c r="F86" s="186"/>
      <c r="G86" s="186"/>
      <c r="H86" s="186"/>
      <c r="I86" s="184"/>
      <c r="J86" s="184"/>
    </row>
    <row r="87" spans="2:10" ht="27.75" customHeight="1" x14ac:dyDescent="0.25">
      <c r="B87" s="193"/>
      <c r="C87" s="192"/>
      <c r="D87" s="148"/>
      <c r="E87" s="149"/>
      <c r="F87" s="186"/>
      <c r="G87" s="186"/>
      <c r="H87" s="186"/>
      <c r="I87" s="184"/>
      <c r="J87" s="184"/>
    </row>
    <row r="88" spans="2:10" ht="27.75" customHeight="1" x14ac:dyDescent="0.25">
      <c r="B88" s="193"/>
      <c r="C88" s="192"/>
      <c r="D88" s="148"/>
      <c r="E88" s="149"/>
      <c r="F88" s="186"/>
      <c r="G88" s="186"/>
      <c r="H88" s="186"/>
      <c r="I88" s="184"/>
      <c r="J88" s="184"/>
    </row>
    <row r="89" spans="2:10" x14ac:dyDescent="0.25">
      <c r="B89" s="145" t="s">
        <v>847</v>
      </c>
      <c r="D89" s="146"/>
      <c r="F89" s="185"/>
      <c r="G89" s="188"/>
      <c r="H89" s="189"/>
      <c r="I89" s="1"/>
      <c r="J89" s="1"/>
    </row>
    <row r="90" spans="2:10" ht="48" x14ac:dyDescent="0.25">
      <c r="B90" s="153" t="s">
        <v>19</v>
      </c>
      <c r="C90" s="194" t="s">
        <v>842</v>
      </c>
      <c r="D90" s="148" t="s">
        <v>19</v>
      </c>
      <c r="E90" s="149">
        <v>1</v>
      </c>
      <c r="F90" s="183"/>
      <c r="G90" s="190"/>
      <c r="H90" s="191"/>
      <c r="I90" s="1"/>
      <c r="J90" s="1"/>
    </row>
    <row r="91" spans="2:10" ht="48" x14ac:dyDescent="0.25">
      <c r="B91" s="152" t="s">
        <v>9</v>
      </c>
      <c r="C91" s="194" t="s">
        <v>843</v>
      </c>
      <c r="D91" s="148" t="s">
        <v>9</v>
      </c>
      <c r="E91" s="149">
        <v>2</v>
      </c>
      <c r="F91" s="183"/>
      <c r="G91" s="190"/>
      <c r="H91" s="191"/>
      <c r="I91" s="1"/>
      <c r="J91" s="1"/>
    </row>
    <row r="92" spans="2:10" ht="36" x14ac:dyDescent="0.25">
      <c r="B92" s="151" t="s">
        <v>17</v>
      </c>
      <c r="C92" s="194" t="s">
        <v>844</v>
      </c>
      <c r="D92" s="148" t="s">
        <v>17</v>
      </c>
      <c r="E92" s="149">
        <v>3</v>
      </c>
      <c r="F92" s="184"/>
      <c r="G92" s="184"/>
      <c r="H92" s="184"/>
      <c r="I92" s="1"/>
      <c r="J92" s="1"/>
    </row>
    <row r="93" spans="2:10" ht="36" x14ac:dyDescent="0.25">
      <c r="B93" s="147" t="s">
        <v>49</v>
      </c>
      <c r="C93" s="194" t="s">
        <v>845</v>
      </c>
      <c r="D93" s="148" t="s">
        <v>49</v>
      </c>
      <c r="E93" s="149">
        <v>4</v>
      </c>
      <c r="F93" s="184"/>
      <c r="G93" s="184"/>
      <c r="H93" s="184"/>
      <c r="I93" s="1"/>
      <c r="J93" s="1"/>
    </row>
    <row r="94" spans="2:10" x14ac:dyDescent="0.25">
      <c r="B94" s="1"/>
      <c r="C94" s="1"/>
      <c r="D94" s="1"/>
      <c r="E94" s="1"/>
      <c r="F94" s="1"/>
      <c r="G94" s="1"/>
      <c r="H94" s="1"/>
      <c r="I94" s="1"/>
      <c r="J94" s="1"/>
    </row>
    <row r="98" spans="2:5" x14ac:dyDescent="0.25">
      <c r="B98" s="145" t="s">
        <v>22</v>
      </c>
      <c r="D98" s="146"/>
    </row>
    <row r="99" spans="2:5" ht="36" customHeight="1" x14ac:dyDescent="0.25">
      <c r="B99" s="147" t="s">
        <v>20</v>
      </c>
      <c r="C99" s="357" t="s">
        <v>897</v>
      </c>
      <c r="D99" s="148" t="s">
        <v>20</v>
      </c>
      <c r="E99" s="149">
        <v>1</v>
      </c>
    </row>
    <row r="100" spans="2:5" ht="48" customHeight="1" x14ac:dyDescent="0.25">
      <c r="B100" s="151" t="s">
        <v>10</v>
      </c>
      <c r="C100" s="358"/>
      <c r="D100" s="148" t="s">
        <v>10</v>
      </c>
      <c r="E100" s="149">
        <v>2</v>
      </c>
    </row>
    <row r="101" spans="2:5" ht="36" customHeight="1" x14ac:dyDescent="0.25">
      <c r="B101" s="152" t="s">
        <v>11</v>
      </c>
      <c r="C101" s="358"/>
      <c r="D101" s="148" t="s">
        <v>11</v>
      </c>
      <c r="E101" s="149">
        <v>3</v>
      </c>
    </row>
    <row r="102" spans="2:5" ht="36" customHeight="1" x14ac:dyDescent="0.25">
      <c r="B102" s="153" t="s">
        <v>12</v>
      </c>
      <c r="C102" s="359"/>
      <c r="D102" s="148" t="s">
        <v>12</v>
      </c>
      <c r="E102" s="149">
        <v>4</v>
      </c>
    </row>
  </sheetData>
  <mergeCells count="1">
    <mergeCell ref="C99:C102"/>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7030A0"/>
    <pageSetUpPr fitToPage="1"/>
  </sheetPr>
  <dimension ref="A1:T13"/>
  <sheetViews>
    <sheetView showGridLines="0" tabSelected="1" topLeftCell="A4" zoomScale="70" zoomScaleNormal="70" workbookViewId="0">
      <selection activeCell="N5" sqref="N5"/>
    </sheetView>
  </sheetViews>
  <sheetFormatPr baseColWidth="10" defaultRowHeight="12.75" x14ac:dyDescent="0.2"/>
  <cols>
    <col min="1" max="1" width="3.85546875" customWidth="1"/>
    <col min="2" max="2" width="3.5703125" customWidth="1"/>
    <col min="3" max="3" width="3" customWidth="1"/>
    <col min="4" max="4" width="5.7109375" customWidth="1"/>
    <col min="5" max="10" width="30.7109375" customWidth="1"/>
    <col min="13" max="13" width="3.5703125" customWidth="1"/>
    <col min="14" max="14" width="4" customWidth="1"/>
    <col min="15" max="15" width="2.42578125" customWidth="1"/>
    <col min="16" max="19" width="30.7109375" customWidth="1"/>
    <col min="20" max="20" width="3.85546875" customWidth="1"/>
  </cols>
  <sheetData>
    <row r="1" spans="1:20" ht="30.75" customHeight="1" x14ac:dyDescent="0.2">
      <c r="A1" s="10"/>
      <c r="B1" s="6"/>
      <c r="C1" s="6"/>
      <c r="D1" s="6"/>
      <c r="E1" s="6"/>
      <c r="F1" s="6"/>
      <c r="G1" s="6"/>
      <c r="H1" s="6"/>
      <c r="I1" s="26"/>
      <c r="J1" s="6"/>
      <c r="K1" s="6"/>
      <c r="L1" s="6"/>
      <c r="M1" s="6"/>
      <c r="N1" s="6"/>
      <c r="O1" s="6"/>
      <c r="P1" s="6"/>
      <c r="Q1" s="6"/>
      <c r="R1" s="6"/>
      <c r="S1" s="6"/>
      <c r="T1" s="6"/>
    </row>
    <row r="2" spans="1:20" ht="24.75" x14ac:dyDescent="0.2">
      <c r="F2" s="360" t="s">
        <v>750</v>
      </c>
      <c r="G2" s="360"/>
      <c r="H2" s="360"/>
      <c r="I2" s="360"/>
    </row>
    <row r="3" spans="1:20" ht="18" x14ac:dyDescent="0.25">
      <c r="G3" s="47"/>
    </row>
    <row r="4" spans="1:20" ht="18" x14ac:dyDescent="0.25">
      <c r="E4" s="5"/>
      <c r="F4" s="4"/>
      <c r="G4" s="4"/>
      <c r="H4" s="4"/>
      <c r="I4" s="4"/>
      <c r="J4" s="4"/>
      <c r="P4" s="5"/>
      <c r="Q4" s="5"/>
      <c r="R4" s="4"/>
      <c r="S4" s="4"/>
    </row>
    <row r="5" spans="1:20" ht="99.95" customHeight="1" x14ac:dyDescent="0.2">
      <c r="B5" s="361" t="s">
        <v>3</v>
      </c>
      <c r="C5" s="17" t="s">
        <v>7</v>
      </c>
      <c r="D5" s="11">
        <v>6</v>
      </c>
      <c r="E5" s="224" t="str">
        <f ca="1">IF(COUNTIF('Tableau des risques brut'!$E$3:$E$41,E$13&amp;"/"&amp;$C5)+COUNTIF('Tableau des risques net'!$E$3:$E$41,E$13&amp;"/"&amp;$C5)=0,"",COUNTIF('Tableau des risques brut'!$E$3:$E$41,E$13&amp;"/"&amp;$C5)&amp;"RB"&amp;" / "&amp;COUNTIF('Tableau des risques net'!$E$3:$E$41,E$13&amp;"/"&amp;$C5)&amp;"RN")</f>
        <v/>
      </c>
      <c r="F5" s="225" t="str">
        <f ca="1">IF(COUNTIF('Tableau des risques brut'!$E$3:$E$41,F$13&amp;"/"&amp;$C5)+COUNTIF('Tableau des risques net'!$E$3:$E$41,F$13&amp;"/"&amp;$C5)=0,"",COUNTIF('Tableau des risques brut'!$E$3:$E$41,F$13&amp;"/"&amp;$C5)&amp;"RB"&amp;" / "&amp;COUNTIF('Tableau des risques net'!$E$3:$E$41,F$13&amp;"/"&amp;$C5)&amp;"RN")</f>
        <v/>
      </c>
      <c r="G5" s="225" t="str">
        <f ca="1">IF(COUNTIF('Tableau des risques brut'!$E$3:$E$41,G$13&amp;"/"&amp;$C5)+COUNTIF('Tableau des risques net'!$E$3:$E$41,G$13&amp;"/"&amp;$C5)=0,"",COUNTIF('Tableau des risques brut'!$E$3:$E$41,G$13&amp;"/"&amp;$C5)&amp;"RB"&amp;" / "&amp;COUNTIF('Tableau des risques net'!$E$3:$E$41,G$13&amp;"/"&amp;$C5)&amp;"RN")</f>
        <v/>
      </c>
      <c r="H5" s="225" t="str">
        <f ca="1">IF(COUNTIF('Tableau des risques brut'!$E$3:$E$41,H$13&amp;"/"&amp;$C5)+COUNTIF('Tableau des risques net'!$E$3:$E$41,H$13&amp;"/"&amp;$C5)=0,"",COUNTIF('Tableau des risques brut'!$E$3:$E$41,H$13&amp;"/"&amp;$C5)&amp;"RB"&amp;" / "&amp;COUNTIF('Tableau des risques net'!$E$3:$E$41,H$13&amp;"/"&amp;$C5)&amp;"RN")</f>
        <v/>
      </c>
      <c r="I5" s="225" t="str">
        <f ca="1">IF(COUNTIF('Tableau des risques brut'!$E$3:$E$41,I$13&amp;"/"&amp;$C5)+COUNTIF('Tableau des risques net'!$E$3:$E$41,I$13&amp;"/"&amp;$C5)=0,"",COUNTIF('Tableau des risques brut'!$E$3:$E$41,I$13&amp;"/"&amp;$C5)&amp;"RB"&amp;" / "&amp;COUNTIF('Tableau des risques net'!$E$3:$E$41,I$13&amp;"/"&amp;$C5)&amp;"RN")</f>
        <v/>
      </c>
      <c r="J5" s="225" t="str">
        <f ca="1">IF(COUNTIF('Tableau des risques brut'!$E$3:$E$41,J$13&amp;"/"&amp;$C5)+COUNTIF('Tableau des risques net'!$E$3:$E$41,J$13&amp;"/"&amp;$C5)=0,"",COUNTIF('Tableau des risques brut'!$E$3:$E$41,J$13&amp;"/"&amp;$C5)&amp;"RB"&amp;" / "&amp;COUNTIF('Tableau des risques net'!$E$3:$E$41,J$13&amp;"/"&amp;$C5)&amp;"RN")</f>
        <v/>
      </c>
      <c r="P5" s="360" t="s">
        <v>84</v>
      </c>
      <c r="Q5" s="360"/>
      <c r="R5" s="360"/>
      <c r="S5" s="360"/>
    </row>
    <row r="6" spans="1:20" ht="99.95" customHeight="1" x14ac:dyDescent="0.2">
      <c r="B6" s="362"/>
      <c r="C6" s="17" t="s">
        <v>15</v>
      </c>
      <c r="D6" s="11">
        <v>5</v>
      </c>
      <c r="E6" s="224" t="str">
        <f ca="1">IF(COUNTIF('Tableau des risques brut'!$E$3:$E$41,E$13&amp;"/"&amp;$C6)+COUNTIF('Tableau des risques net'!$E$3:$E$41,E$13&amp;"/"&amp;$C6)=0,"",COUNTIF('Tableau des risques brut'!$E$3:$E$41,E$13&amp;"/"&amp;$C6)&amp;"RB"&amp;" / "&amp;COUNTIF('Tableau des risques net'!$E$3:$E$41,E$13&amp;"/"&amp;$C6)&amp;"RN")</f>
        <v/>
      </c>
      <c r="F6" s="224" t="str">
        <f ca="1">IF(COUNTIF('Tableau des risques brut'!$E$3:$E$41,F$13&amp;"/"&amp;$C6)+COUNTIF('Tableau des risques net'!$E$3:$E$41,F$13&amp;"/"&amp;$C6)=0,"",COUNTIF('Tableau des risques brut'!$E$3:$E$41,F$13&amp;"/"&amp;$C6)&amp;"RB"&amp;" / "&amp;COUNTIF('Tableau des risques net'!$E$3:$E$41,F$13&amp;"/"&amp;$C6)&amp;"RN")</f>
        <v/>
      </c>
      <c r="G6" s="224" t="str">
        <f ca="1">IF(COUNTIF('Tableau des risques brut'!$E$3:$E$41,G$13&amp;"/"&amp;$C6)+COUNTIF('Tableau des risques net'!$E$3:$E$41,G$13&amp;"/"&amp;$C6)=0,"",COUNTIF('Tableau des risques brut'!$E$3:$E$41,G$13&amp;"/"&amp;$C6)&amp;"RB"&amp;" / "&amp;COUNTIF('Tableau des risques net'!$E$3:$E$41,G$13&amp;"/"&amp;$C6)&amp;"RN")</f>
        <v/>
      </c>
      <c r="H6" s="225" t="str">
        <f ca="1">IF(COUNTIF('Tableau des risques brut'!$E$3:$E$41,H$13&amp;"/"&amp;$C6)+COUNTIF('Tableau des risques net'!$E$3:$E$41,H$13&amp;"/"&amp;$C6)=0,"",COUNTIF('Tableau des risques brut'!$E$3:$E$41,H$13&amp;"/"&amp;$C6)&amp;"RB"&amp;" / "&amp;COUNTIF('Tableau des risques net'!$E$3:$E$41,H$13&amp;"/"&amp;$C6)&amp;"RN")</f>
        <v/>
      </c>
      <c r="I6" s="225" t="str">
        <f ca="1">IF(COUNTIF('Tableau des risques brut'!$E$3:$E$41,I$13&amp;"/"&amp;$C6)+COUNTIF('Tableau des risques net'!$E$3:$E$41,I$13&amp;"/"&amp;$C6)=0,"",COUNTIF('Tableau des risques brut'!$E$3:$E$41,I$13&amp;"/"&amp;$C6)&amp;"RB"&amp;" / "&amp;COUNTIF('Tableau des risques net'!$E$3:$E$41,I$13&amp;"/"&amp;$C6)&amp;"RN")</f>
        <v/>
      </c>
      <c r="J6" s="225" t="str">
        <f ca="1">IF(COUNTIF('Tableau des risques brut'!$E$3:$E$41,J$13&amp;"/"&amp;$C6)+COUNTIF('Tableau des risques net'!$E$3:$E$41,J$13&amp;"/"&amp;$C6)=0,"",COUNTIF('Tableau des risques brut'!$E$3:$E$41,J$13&amp;"/"&amp;$C6)&amp;"RB"&amp;" / "&amp;COUNTIF('Tableau des risques net'!$E$3:$E$41,J$13&amp;"/"&amp;$C6)&amp;"RN")</f>
        <v/>
      </c>
    </row>
    <row r="7" spans="1:20" ht="99.95" customHeight="1" x14ac:dyDescent="0.2">
      <c r="B7" s="362"/>
      <c r="C7" s="17" t="s">
        <v>6</v>
      </c>
      <c r="D7" s="11">
        <v>4</v>
      </c>
      <c r="E7" s="223" t="str">
        <f ca="1">IF(COUNTIF('Tableau des risques brut'!$E$3:$E$41,E$13&amp;"/"&amp;$C7)+COUNTIF('Tableau des risques net'!$E$3:$E$41,E$13&amp;"/"&amp;$C7)=0,"",COUNTIF('Tableau des risques brut'!$E$3:$E$41,E$13&amp;"/"&amp;$C7)&amp;"RB"&amp;" / "&amp;COUNTIF('Tableau des risques net'!$E$3:$E$41,E$13&amp;"/"&amp;$C7)&amp;"RN")</f>
        <v/>
      </c>
      <c r="F7" s="223" t="str">
        <f ca="1">IF(COUNTIF('Tableau des risques brut'!$E$3:$E$41,F$13&amp;"/"&amp;$C7)+COUNTIF('Tableau des risques net'!$E$3:$E$41,F$13&amp;"/"&amp;$C7)=0,"",COUNTIF('Tableau des risques brut'!$E$3:$E$41,F$13&amp;"/"&amp;$C7)&amp;"RB"&amp;" / "&amp;COUNTIF('Tableau des risques net'!$E$3:$E$41,F$13&amp;"/"&amp;$C7)&amp;"RN")</f>
        <v/>
      </c>
      <c r="G7" s="224" t="str">
        <f ca="1">IF(COUNTIF('Tableau des risques brut'!$E$3:$E$41,G$13&amp;"/"&amp;$C7)+COUNTIF('Tableau des risques net'!$E$3:$E$41,G$13&amp;"/"&amp;$C7)=0,"",COUNTIF('Tableau des risques brut'!$E$3:$E$41,G$13&amp;"/"&amp;$C7)&amp;"RB"&amp;" / "&amp;COUNTIF('Tableau des risques net'!$E$3:$E$41,G$13&amp;"/"&amp;$C7)&amp;"RN")</f>
        <v/>
      </c>
      <c r="H7" s="224" t="str">
        <f ca="1">IF(COUNTIF('Tableau des risques brut'!$E$3:$E$41,H$13&amp;"/"&amp;$C7)+COUNTIF('Tableau des risques net'!$E$3:$E$41,H$13&amp;"/"&amp;$C7)=0,"",COUNTIF('Tableau des risques brut'!$E$3:$E$41,H$13&amp;"/"&amp;$C7)&amp;"RB"&amp;" / "&amp;COUNTIF('Tableau des risques net'!$E$3:$E$41,H$13&amp;"/"&amp;$C7)&amp;"RN")</f>
        <v/>
      </c>
      <c r="I7" s="225" t="str">
        <f ca="1">IF(COUNTIF('Tableau des risques brut'!$E$3:$E$41,I$13&amp;"/"&amp;$C7)+COUNTIF('Tableau des risques net'!$E$3:$E$41,I$13&amp;"/"&amp;$C7)=0,"",COUNTIF('Tableau des risques brut'!$E$3:$E$41,I$13&amp;"/"&amp;$C7)&amp;"RB"&amp;" / "&amp;COUNTIF('Tableau des risques net'!$E$3:$E$41,I$13&amp;"/"&amp;$C7)&amp;"RN")</f>
        <v/>
      </c>
      <c r="J7" s="225" t="str">
        <f ca="1">IF(COUNTIF('Tableau des risques brut'!$E$3:$E$41,J$13&amp;"/"&amp;$C7)+COUNTIF('Tableau des risques net'!$E$3:$E$41,J$13&amp;"/"&amp;$C7)=0,"",COUNTIF('Tableau des risques brut'!$E$3:$E$41,J$13&amp;"/"&amp;$C7)&amp;"RB"&amp;" / "&amp;COUNTIF('Tableau des risques net'!$E$3:$E$41,J$13&amp;"/"&amp;$C7)&amp;"RN")</f>
        <v>0RB / 1RN</v>
      </c>
      <c r="M7" s="365" t="s">
        <v>22</v>
      </c>
      <c r="N7" s="20" t="s">
        <v>969</v>
      </c>
      <c r="P7" s="410">
        <f ca="1">COUNTIF('Tableau des risques brut'!$H$3:$H$41,P$13&amp;"/"&amp;$N7)</f>
        <v>0</v>
      </c>
      <c r="Q7" s="410">
        <f ca="1">COUNTIF('Tableau des risques brut'!$H$3:$H$41,Q$13&amp;"/"&amp;$N7)</f>
        <v>0</v>
      </c>
      <c r="R7" s="411">
        <f ca="1">COUNTIF('Tableau des risques brut'!$H$3:$H$41,R$13&amp;"/"&amp;$N7)</f>
        <v>0</v>
      </c>
      <c r="S7" s="412">
        <f ca="1">COUNTIF('Tableau des risques brut'!$H$3:$H$41,S$13&amp;"/"&amp;$N7)</f>
        <v>1</v>
      </c>
    </row>
    <row r="8" spans="1:20" ht="99.95" customHeight="1" x14ac:dyDescent="0.2">
      <c r="B8" s="362"/>
      <c r="C8" s="17" t="s">
        <v>5</v>
      </c>
      <c r="D8" s="11">
        <v>3</v>
      </c>
      <c r="E8" s="226" t="str">
        <f ca="1">IF(COUNTIF('Tableau des risques brut'!$E$3:$E$41,E$13&amp;"/"&amp;$C8)+COUNTIF('Tableau des risques net'!$E$3:$E$41,E$13&amp;"/"&amp;$C8)=0,"",COUNTIF('Tableau des risques brut'!$E$3:$E$41,E$13&amp;"/"&amp;$C8)&amp;"RB"&amp;" / "&amp;COUNTIF('Tableau des risques net'!$E$3:$E$41,E$13&amp;"/"&amp;$C8)&amp;"RN")</f>
        <v/>
      </c>
      <c r="F8" s="223" t="str">
        <f ca="1">IF(COUNTIF('Tableau des risques brut'!$E$3:$E$41,F$13&amp;"/"&amp;$C8)+COUNTIF('Tableau des risques net'!$E$3:$E$41,F$13&amp;"/"&amp;$C8)=0,"",COUNTIF('Tableau des risques brut'!$E$3:$E$41,F$13&amp;"/"&amp;$C8)&amp;"RB"&amp;" / "&amp;COUNTIF('Tableau des risques net'!$E$3:$E$41,F$13&amp;"/"&amp;$C8)&amp;"RN")</f>
        <v/>
      </c>
      <c r="G8" s="223" t="str">
        <f ca="1">IF(COUNTIF('Tableau des risques brut'!$E$3:$E$41,G$13&amp;"/"&amp;$C8)+COUNTIF('Tableau des risques net'!$E$3:$E$41,G$13&amp;"/"&amp;$C8)=0,"",COUNTIF('Tableau des risques brut'!$E$3:$E$41,G$13&amp;"/"&amp;$C8)&amp;"RB"&amp;" / "&amp;COUNTIF('Tableau des risques net'!$E$3:$E$41,G$13&amp;"/"&amp;$C8)&amp;"RN")</f>
        <v/>
      </c>
      <c r="H8" s="224" t="str">
        <f ca="1">IF(COUNTIF('Tableau des risques brut'!$E$3:$E$41,H$13&amp;"/"&amp;$C8)+COUNTIF('Tableau des risques net'!$E$3:$E$41,H$13&amp;"/"&amp;$C8)=0,"",COUNTIF('Tableau des risques brut'!$E$3:$E$41,H$13&amp;"/"&amp;$C8)&amp;"RB"&amp;" / "&amp;COUNTIF('Tableau des risques net'!$E$3:$E$41,H$13&amp;"/"&amp;$C8)&amp;"RN")</f>
        <v/>
      </c>
      <c r="I8" s="225" t="str">
        <f ca="1">IF(COUNTIF('Tableau des risques brut'!$E$3:$E$41,I$13&amp;"/"&amp;$C8)+COUNTIF('Tableau des risques net'!$E$3:$E$41,I$13&amp;"/"&amp;$C8)=0,"",COUNTIF('Tableau des risques brut'!$E$3:$E$41,I$13&amp;"/"&amp;$C8)&amp;"RB"&amp;" / "&amp;COUNTIF('Tableau des risques net'!$E$3:$E$41,I$13&amp;"/"&amp;$C8)&amp;"RN")</f>
        <v/>
      </c>
      <c r="J8" s="225" t="str">
        <f ca="1">IF(COUNTIF('Tableau des risques brut'!$E$3:$E$41,J$13&amp;"/"&amp;$C8)+COUNTIF('Tableau des risques net'!$E$3:$E$41,J$13&amp;"/"&amp;$C8)=0,"",COUNTIF('Tableau des risques brut'!$E$3:$E$41,J$13&amp;"/"&amp;$C8)&amp;"RB"&amp;" / "&amp;COUNTIF('Tableau des risques net'!$E$3:$E$41,J$13&amp;"/"&amp;$C8)&amp;"RN")</f>
        <v/>
      </c>
      <c r="M8" s="365"/>
      <c r="N8" s="18" t="s">
        <v>11</v>
      </c>
      <c r="P8" s="410">
        <f ca="1">COUNTIF('Tableau des risques brut'!$H$3:$H$41,P$13&amp;"/"&amp;$N8)</f>
        <v>0</v>
      </c>
      <c r="Q8" s="411">
        <f ca="1">COUNTIF('Tableau des risques brut'!$H$3:$H$41,Q$13&amp;"/"&amp;$N8)</f>
        <v>0</v>
      </c>
      <c r="R8" s="413">
        <f ca="1">COUNTIF('Tableau des risques brut'!$H$3:$H$41,R$13&amp;"/"&amp;$N8)</f>
        <v>0</v>
      </c>
      <c r="S8" s="412">
        <f ca="1">COUNTIF('Tableau des risques brut'!$H$3:$H$41,S$13&amp;"/"&amp;$N8)</f>
        <v>0</v>
      </c>
    </row>
    <row r="9" spans="1:20" ht="99.95" customHeight="1" x14ac:dyDescent="0.2">
      <c r="B9" s="362"/>
      <c r="C9" s="17" t="s">
        <v>4</v>
      </c>
      <c r="D9" s="11">
        <v>2</v>
      </c>
      <c r="E9" s="226" t="str">
        <f ca="1">IF(COUNTIF('Tableau des risques brut'!$E$3:$E$41,E$13&amp;"/"&amp;$C9)+COUNTIF('Tableau des risques net'!$E$3:$E$41,E$13&amp;"/"&amp;$C9)=0,"",COUNTIF('Tableau des risques brut'!$E$3:$E$41,E$13&amp;"/"&amp;$C9)&amp;"RB"&amp;" / "&amp;COUNTIF('Tableau des risques net'!$E$3:$E$41,E$13&amp;"/"&amp;$C9)&amp;"RN")</f>
        <v/>
      </c>
      <c r="F9" s="226" t="str">
        <f ca="1">IF(COUNTIF('Tableau des risques brut'!$E$3:$E$41,F$13&amp;"/"&amp;$C9)+COUNTIF('Tableau des risques net'!$E$3:$E$41,F$13&amp;"/"&amp;$C9)=0,"",COUNTIF('Tableau des risques brut'!$E$3:$E$41,F$13&amp;"/"&amp;$C9)&amp;"RB"&amp;" / "&amp;COUNTIF('Tableau des risques net'!$E$3:$E$41,F$13&amp;"/"&amp;$C9)&amp;"RN")</f>
        <v/>
      </c>
      <c r="G9" s="223" t="str">
        <f ca="1">IF(COUNTIF('Tableau des risques brut'!$E$3:$E$41,G$13&amp;"/"&amp;$C9)+COUNTIF('Tableau des risques net'!$E$3:$E$41,G$13&amp;"/"&amp;$C9)=0,"",COUNTIF('Tableau des risques brut'!$E$3:$E$41,G$13&amp;"/"&amp;$C9)&amp;"RB"&amp;" / "&amp;COUNTIF('Tableau des risques net'!$E$3:$E$41,G$13&amp;"/"&amp;$C9)&amp;"RN")</f>
        <v/>
      </c>
      <c r="H9" s="223" t="str">
        <f ca="1">IF(COUNTIF('Tableau des risques brut'!$E$3:$E$41,H$13&amp;"/"&amp;$C9)+COUNTIF('Tableau des risques net'!$E$3:$E$41,H$13&amp;"/"&amp;$C9)=0,"",COUNTIF('Tableau des risques brut'!$E$3:$E$41,H$13&amp;"/"&amp;$C9)&amp;"RB"&amp;" / "&amp;COUNTIF('Tableau des risques net'!$E$3:$E$41,H$13&amp;"/"&amp;$C9)&amp;"RN")</f>
        <v/>
      </c>
      <c r="I9" s="225" t="str">
        <f ca="1">IF(COUNTIF('Tableau des risques brut'!$E$3:$E$41,I$13&amp;"/"&amp;$C9)+COUNTIF('Tableau des risques net'!$E$3:$E$41,I$13&amp;"/"&amp;$C9)=0,"",COUNTIF('Tableau des risques brut'!$E$3:$E$41,I$13&amp;"/"&amp;$C9)&amp;"RB"&amp;" / "&amp;COUNTIF('Tableau des risques net'!$E$3:$E$41,I$13&amp;"/"&amp;$C9)&amp;"RN")</f>
        <v/>
      </c>
      <c r="J9" s="225" t="str">
        <f ca="1">IF(COUNTIF('Tableau des risques brut'!$E$3:$E$41,J$13&amp;"/"&amp;$C9)+COUNTIF('Tableau des risques net'!$E$3:$E$41,J$13&amp;"/"&amp;$C9)=0,"",COUNTIF('Tableau des risques brut'!$E$3:$E$41,J$13&amp;"/"&amp;$C9)&amp;"RB"&amp;" / "&amp;COUNTIF('Tableau des risques net'!$E$3:$E$41,J$13&amp;"/"&amp;$C9)&amp;"RN")</f>
        <v/>
      </c>
      <c r="M9" s="365"/>
      <c r="N9" s="18" t="s">
        <v>10</v>
      </c>
      <c r="P9" s="411">
        <f ca="1">COUNTIF('Tableau des risques brut'!$H$3:$H$41,P$13&amp;"/"&amp;$N9)</f>
        <v>0</v>
      </c>
      <c r="Q9" s="413">
        <f ca="1">COUNTIF('Tableau des risques brut'!$H$3:$H$41,Q$13&amp;"/"&amp;$N9)</f>
        <v>0</v>
      </c>
      <c r="R9" s="413">
        <f ca="1">COUNTIF('Tableau des risques brut'!$H$3:$H$41,R$13&amp;"/"&amp;$N9)</f>
        <v>0</v>
      </c>
      <c r="S9" s="414">
        <f ca="1">COUNTIF('Tableau des risques brut'!$H$3:$H$41,S$13&amp;"/"&amp;$N9)</f>
        <v>0</v>
      </c>
    </row>
    <row r="10" spans="1:20" ht="99.95" customHeight="1" x14ac:dyDescent="0.25">
      <c r="B10" s="363"/>
      <c r="C10" s="17" t="s">
        <v>25</v>
      </c>
      <c r="D10" s="11">
        <v>1</v>
      </c>
      <c r="E10" s="226" t="str">
        <f ca="1">IF(COUNTIF('Tableau des risques brut'!$E$3:$E$41,E$13&amp;"/"&amp;$C10)+COUNTIF('Tableau des risques net'!$E$3:$E$41,E$13&amp;"/"&amp;$C10)=0,"",COUNTIF('Tableau des risques brut'!$E$3:$E$41,E$13&amp;"/"&amp;$C10)&amp;"RB"&amp;" / "&amp;COUNTIF('Tableau des risques net'!$E$3:$E$41,E$13&amp;"/"&amp;$C10)&amp;"RN")</f>
        <v/>
      </c>
      <c r="F10" s="226" t="str">
        <f ca="1">IF(COUNTIF('Tableau des risques brut'!$E$3:$E$41,F$13&amp;"/"&amp;$C10)+COUNTIF('Tableau des risques net'!$E$3:$E$41,F$13&amp;"/"&amp;$C10)=0,"",COUNTIF('Tableau des risques brut'!$E$3:$E$41,F$13&amp;"/"&amp;$C10)&amp;"RB"&amp;" / "&amp;COUNTIF('Tableau des risques net'!$E$3:$E$41,F$13&amp;"/"&amp;$C10)&amp;"RN")</f>
        <v/>
      </c>
      <c r="G10" s="226" t="str">
        <f ca="1">IF(COUNTIF('Tableau des risques brut'!$E$3:$E$41,G$13&amp;"/"&amp;$C10)+COUNTIF('Tableau des risques net'!$E$3:$E$41,G$13&amp;"/"&amp;$C10)=0,"",COUNTIF('Tableau des risques brut'!$E$3:$E$41,G$13&amp;"/"&amp;$C10)&amp;"RB"&amp;" / "&amp;COUNTIF('Tableau des risques net'!$E$3:$E$41,G$13&amp;"/"&amp;$C10)&amp;"RN")</f>
        <v/>
      </c>
      <c r="H10" s="223" t="str">
        <f ca="1">IF(COUNTIF('Tableau des risques brut'!$E$3:$E$41,H$13&amp;"/"&amp;$C10)+COUNTIF('Tableau des risques net'!$E$3:$E$41,H$13&amp;"/"&amp;$C10)=0,"",COUNTIF('Tableau des risques brut'!$E$3:$E$41,H$13&amp;"/"&amp;$C10)&amp;"RB"&amp;" / "&amp;COUNTIF('Tableau des risques net'!$E$3:$E$41,H$13&amp;"/"&amp;$C10)&amp;"RN")</f>
        <v/>
      </c>
      <c r="I10" s="225" t="str">
        <f ca="1">IF(COUNTIF('Tableau des risques brut'!$E$3:$E$41,I$13&amp;"/"&amp;$C10)+COUNTIF('Tableau des risques net'!$E$3:$E$41,I$13&amp;"/"&amp;$C10)=0,"",COUNTIF('Tableau des risques brut'!$E$3:$E$41,I$13&amp;"/"&amp;$C10)&amp;"RB"&amp;" / "&amp;COUNTIF('Tableau des risques net'!$E$3:$E$41,I$13&amp;"/"&amp;$C10)&amp;"RN")</f>
        <v>1RB / 0RN</v>
      </c>
      <c r="J10" s="225" t="str">
        <f ca="1">IF(COUNTIF('Tableau des risques brut'!$E$3:$E$41,J$13&amp;"/"&amp;$C10)+COUNTIF('Tableau des risques net'!$E$3:$E$41,J$13&amp;"/"&amp;$C10)=0,"",COUNTIF('Tableau des risques brut'!$E$3:$E$41,J$13&amp;"/"&amp;$C10)&amp;"RB"&amp;" / "&amp;COUNTIF('Tableau des risques net'!$E$3:$E$41,J$13&amp;"/"&amp;$C10)&amp;"RN")</f>
        <v/>
      </c>
      <c r="L10" s="416"/>
      <c r="M10" s="365"/>
      <c r="N10" s="19" t="s">
        <v>20</v>
      </c>
      <c r="P10" s="415">
        <f ca="1">COUNTIF('Tableau des risques brut'!$H$3:$H$41,P$13&amp;"/"&amp;$N10)</f>
        <v>0</v>
      </c>
      <c r="Q10" s="415">
        <f ca="1">COUNTIF('Tableau des risques brut'!$H$3:$H$41,Q$13&amp;"/"&amp;$N10)</f>
        <v>0</v>
      </c>
      <c r="R10" s="414">
        <f ca="1">COUNTIF('Tableau des risques brut'!$H$3:$H$41,R$13&amp;"/"&amp;$N10)</f>
        <v>0</v>
      </c>
      <c r="S10" s="414">
        <f ca="1">COUNTIF('Tableau des risques brut'!$H$3:$H$41,S$13&amp;"/"&amp;$N10)</f>
        <v>0</v>
      </c>
    </row>
    <row r="11" spans="1:20" ht="18" customHeight="1" x14ac:dyDescent="0.2">
      <c r="E11" s="16">
        <v>1</v>
      </c>
      <c r="F11" s="16">
        <v>2</v>
      </c>
      <c r="G11" s="16">
        <v>3</v>
      </c>
      <c r="H11" s="16">
        <v>4</v>
      </c>
      <c r="I11" s="16">
        <v>5</v>
      </c>
      <c r="J11" s="16">
        <v>6</v>
      </c>
    </row>
    <row r="12" spans="1:20" ht="18" customHeight="1" x14ac:dyDescent="0.2">
      <c r="E12" s="364" t="s">
        <v>23</v>
      </c>
      <c r="F12" s="364"/>
      <c r="G12" s="364"/>
      <c r="H12" s="364"/>
      <c r="I12" s="364"/>
      <c r="J12" s="364"/>
      <c r="P12" s="7" t="s">
        <v>0</v>
      </c>
      <c r="Q12" s="7"/>
      <c r="R12" s="8"/>
      <c r="S12" s="8"/>
    </row>
    <row r="13" spans="1:20" ht="15.75" customHeight="1" x14ac:dyDescent="0.2">
      <c r="E13" s="12" t="s">
        <v>8</v>
      </c>
      <c r="F13" s="12" t="s">
        <v>9</v>
      </c>
      <c r="G13" s="12" t="s">
        <v>10</v>
      </c>
      <c r="H13" s="12" t="s">
        <v>11</v>
      </c>
      <c r="I13" s="12" t="s">
        <v>12</v>
      </c>
      <c r="J13" s="12" t="s">
        <v>13</v>
      </c>
      <c r="K13" s="13"/>
      <c r="L13" s="13"/>
      <c r="M13" s="13"/>
      <c r="N13" s="13"/>
      <c r="O13" s="13"/>
      <c r="P13" s="12" t="s">
        <v>19</v>
      </c>
      <c r="Q13" s="12" t="s">
        <v>9</v>
      </c>
      <c r="R13" s="12" t="s">
        <v>17</v>
      </c>
      <c r="S13" s="12" t="s">
        <v>49</v>
      </c>
    </row>
  </sheetData>
  <mergeCells count="5">
    <mergeCell ref="P5:S5"/>
    <mergeCell ref="F2:I2"/>
    <mergeCell ref="B5:B10"/>
    <mergeCell ref="E12:J12"/>
    <mergeCell ref="M7:M10"/>
  </mergeCells>
  <phoneticPr fontId="7" type="noConversion"/>
  <pageMargins left="0.22" right="0.5" top="0.31" bottom="0.25" header="0.2" footer="0.13"/>
  <pageSetup paperSize="9" scale="44" fitToHeight="0" orientation="landscape" horizontalDpi="300" r:id="rId1"/>
  <headerFooter alignWithMargins="0">
    <oddHeader>&amp;R&amp;"Arial,Italique"&amp;6&amp;D</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ajout_bulles">
                <anchor moveWithCells="1" sizeWithCells="1">
                  <from>
                    <xdr:col>16</xdr:col>
                    <xdr:colOff>1514475</xdr:colOff>
                    <xdr:row>16</xdr:row>
                    <xdr:rowOff>66675</xdr:rowOff>
                  </from>
                  <to>
                    <xdr:col>17</xdr:col>
                    <xdr:colOff>1533525</xdr:colOff>
                    <xdr:row>21</xdr:row>
                    <xdr:rowOff>95250</xdr:rowOff>
                  </to>
                </anchor>
              </controlPr>
            </control>
          </mc:Choice>
        </mc:AlternateContent>
        <mc:AlternateContent xmlns:mc="http://schemas.openxmlformats.org/markup-compatibility/2006">
          <mc:Choice Requires="x14">
            <control shapeId="4098" r:id="rId5" name="Button 2">
              <controlPr defaultSize="0" print="0" autoFill="0" autoPict="0" macro="[0]!ajout_bulles2">
                <anchor moveWithCells="1" sizeWithCells="1">
                  <from>
                    <xdr:col>6</xdr:col>
                    <xdr:colOff>561975</xdr:colOff>
                    <xdr:row>17</xdr:row>
                    <xdr:rowOff>9525</xdr:rowOff>
                  </from>
                  <to>
                    <xdr:col>7</xdr:col>
                    <xdr:colOff>581025</xdr:colOff>
                    <xdr:row>22</xdr:row>
                    <xdr:rowOff>38100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7030A0"/>
    <pageSetUpPr fitToPage="1"/>
  </sheetPr>
  <dimension ref="A1:T18"/>
  <sheetViews>
    <sheetView showGridLines="0" zoomScale="70" zoomScaleNormal="70" workbookViewId="0">
      <selection activeCell="H28" sqref="H28"/>
    </sheetView>
  </sheetViews>
  <sheetFormatPr baseColWidth="10" defaultRowHeight="12.75" x14ac:dyDescent="0.2"/>
  <cols>
    <col min="1" max="1" width="3.85546875" customWidth="1"/>
    <col min="2" max="2" width="3.5703125" customWidth="1"/>
    <col min="3" max="3" width="3" customWidth="1"/>
    <col min="4" max="4" width="5.7109375" customWidth="1"/>
    <col min="5" max="10" width="30.7109375" customWidth="1"/>
    <col min="12" max="12" width="5.5703125" customWidth="1"/>
    <col min="13" max="13" width="5.28515625" customWidth="1"/>
    <col min="15" max="20" width="30.7109375" customWidth="1"/>
  </cols>
  <sheetData>
    <row r="1" spans="1:20" ht="30.75" customHeight="1" x14ac:dyDescent="0.2">
      <c r="A1" s="10"/>
      <c r="B1" s="6"/>
      <c r="C1" s="6"/>
      <c r="D1" s="6"/>
      <c r="E1" s="366" t="s">
        <v>791</v>
      </c>
      <c r="F1" s="366"/>
      <c r="G1" s="366"/>
      <c r="H1" s="366"/>
      <c r="I1" s="366"/>
      <c r="J1" s="366"/>
      <c r="K1" s="6"/>
      <c r="L1" s="6"/>
      <c r="O1" s="366" t="s">
        <v>792</v>
      </c>
      <c r="P1" s="366"/>
      <c r="Q1" s="366"/>
      <c r="R1" s="366"/>
      <c r="S1" s="366"/>
      <c r="T1" s="366"/>
    </row>
    <row r="2" spans="1:20" x14ac:dyDescent="0.2">
      <c r="E2" s="366"/>
      <c r="F2" s="366"/>
      <c r="G2" s="366"/>
      <c r="H2" s="366"/>
      <c r="I2" s="366"/>
      <c r="J2" s="366"/>
      <c r="O2" s="366"/>
      <c r="P2" s="366"/>
      <c r="Q2" s="366"/>
      <c r="R2" s="366"/>
      <c r="S2" s="366"/>
      <c r="T2" s="366"/>
    </row>
    <row r="3" spans="1:20" ht="18" customHeight="1" x14ac:dyDescent="0.2">
      <c r="E3" s="366"/>
      <c r="F3" s="366"/>
      <c r="G3" s="366"/>
      <c r="H3" s="366"/>
      <c r="I3" s="366"/>
      <c r="J3" s="366"/>
      <c r="O3" s="366"/>
      <c r="P3" s="366"/>
      <c r="Q3" s="366"/>
      <c r="R3" s="366"/>
      <c r="S3" s="366"/>
      <c r="T3" s="366"/>
    </row>
    <row r="4" spans="1:20" ht="18" customHeight="1" x14ac:dyDescent="0.2">
      <c r="E4" s="367"/>
      <c r="F4" s="367"/>
      <c r="G4" s="367"/>
      <c r="H4" s="367"/>
      <c r="I4" s="367"/>
      <c r="J4" s="367"/>
      <c r="O4" s="367"/>
      <c r="P4" s="367"/>
      <c r="Q4" s="367"/>
      <c r="R4" s="367"/>
      <c r="S4" s="367"/>
      <c r="T4" s="367"/>
    </row>
    <row r="5" spans="1:20" ht="82.5" customHeight="1" x14ac:dyDescent="0.2">
      <c r="B5" s="361" t="s">
        <v>3</v>
      </c>
      <c r="C5" s="17" t="s">
        <v>7</v>
      </c>
      <c r="D5" s="11">
        <v>6</v>
      </c>
      <c r="E5" s="158" t="e">
        <f>RechTous("x",RisqueBrut6,NUMERO_RISQUE_CRIT,"   ")</f>
        <v>#VALUE!</v>
      </c>
      <c r="F5" s="159" t="e">
        <f>RechTous("x",RisqueBrut12,NUMERO_RISQUE_CRIT,"   ")</f>
        <v>#VALUE!</v>
      </c>
      <c r="G5" s="159" t="e">
        <f>RechTous("x",RisqueBrut18,NUMERO_RISQUE_CRIT,"   ")</f>
        <v>#VALUE!</v>
      </c>
      <c r="H5" s="159" t="e">
        <f>RechTous("x",RisqueBrut24,NUMERO_RISQUE_CRIT,"   ")</f>
        <v>#VALUE!</v>
      </c>
      <c r="I5" s="159" t="e">
        <f>RechTous("x",RisqueBrut30,NUMERO_RISQUE_CRIT,"   ")</f>
        <v>#VALUE!</v>
      </c>
      <c r="J5" s="159" t="e">
        <f>RechTous("x",RisqueBrut36,NUMERO_RISQUE_CRIT,"   ")</f>
        <v>#VALUE!</v>
      </c>
      <c r="L5" s="361" t="s">
        <v>3</v>
      </c>
      <c r="M5" s="17" t="s">
        <v>7</v>
      </c>
      <c r="N5" s="11">
        <v>6</v>
      </c>
      <c r="O5" s="158" t="e">
        <f>RechTous("x",RisqueNet6,Nom_Risk_Net,"   ")</f>
        <v>#VALUE!</v>
      </c>
      <c r="P5" s="159" t="e">
        <f>RechTous("x",RisqueNet12,Nom_Risk_Net,"   ")</f>
        <v>#VALUE!</v>
      </c>
      <c r="Q5" s="159" t="e">
        <f>RechTous("x",RisqueNet18,Nom_Risk_Net,"   ")</f>
        <v>#VALUE!</v>
      </c>
      <c r="R5" s="159" t="e">
        <f>RechTous("x",RisqueNet24,Nom_Risk_Net,"   ")</f>
        <v>#VALUE!</v>
      </c>
      <c r="S5" s="159" t="e">
        <f>RechTous("x",RisqueNet30,Nom_Risk_Net,"   ")</f>
        <v>#VALUE!</v>
      </c>
      <c r="T5" s="159" t="e">
        <f>RechTous("x",RisqueNet36,Nom_Risk_Net,"   ")</f>
        <v>#VALUE!</v>
      </c>
    </row>
    <row r="6" spans="1:20" ht="82.5" customHeight="1" x14ac:dyDescent="0.2">
      <c r="B6" s="362"/>
      <c r="C6" s="17" t="s">
        <v>15</v>
      </c>
      <c r="D6" s="11">
        <v>5</v>
      </c>
      <c r="E6" s="158" t="e">
        <f>RechTous("x",RisqueBrut5,NUMERO_RISQUE_CRIT,"   ")</f>
        <v>#VALUE!</v>
      </c>
      <c r="F6" s="158" t="e">
        <f>RechTous("x",RisqueBrut11,NUMERO_RISQUE_CRIT,"   ")</f>
        <v>#VALUE!</v>
      </c>
      <c r="G6" s="158" t="e">
        <f>RechTous("x",RisqueBrut17,NUMERO_RISQUE_CRIT,"   ")</f>
        <v>#VALUE!</v>
      </c>
      <c r="H6" s="159" t="e">
        <f>RechTous("x",RisqueBrut23,NUMERO_RISQUE_CRIT,"   ")</f>
        <v>#VALUE!</v>
      </c>
      <c r="I6" s="159" t="e">
        <f>RechTous("x",RisqueBrut29,NUMERO_RISQUE_CRIT,"   ")</f>
        <v>#VALUE!</v>
      </c>
      <c r="J6" s="159" t="e">
        <f>RechTous("x",RisqueBrut35,NUMERO_RISQUE_CRIT,"   ")</f>
        <v>#VALUE!</v>
      </c>
      <c r="L6" s="362"/>
      <c r="M6" s="17" t="s">
        <v>15</v>
      </c>
      <c r="N6" s="11">
        <v>5</v>
      </c>
      <c r="O6" s="158" t="e">
        <f>RechTous("x",RisqueNet5,Nom_Risk_Net,"   ")</f>
        <v>#VALUE!</v>
      </c>
      <c r="P6" s="158" t="e">
        <f>RechTous("x",RisqueNet11,Nom_Risk_Net,"   ")</f>
        <v>#VALUE!</v>
      </c>
      <c r="Q6" s="158" t="e">
        <f>RechTous("x",RisqueNet17,Nom_Risk_Net,"   ")</f>
        <v>#VALUE!</v>
      </c>
      <c r="R6" s="159" t="e">
        <f>RechTous("x",RisqueNet23,Nom_Risk_Net,"   ")</f>
        <v>#VALUE!</v>
      </c>
      <c r="S6" s="159" t="e">
        <f>RechTous("x",RisqueNet29,Nom_Risk_Net,"   ")</f>
        <v>#VALUE!</v>
      </c>
      <c r="T6" s="159" t="e">
        <f>RechTous("x",RisqueNet35,Nom_Risk_Net,"   ")</f>
        <v>#VALUE!</v>
      </c>
    </row>
    <row r="7" spans="1:20" ht="82.5" customHeight="1" x14ac:dyDescent="0.2">
      <c r="B7" s="362"/>
      <c r="C7" s="17" t="s">
        <v>6</v>
      </c>
      <c r="D7" s="11">
        <v>4</v>
      </c>
      <c r="E7" s="160" t="e">
        <f>RechTous("x",RisqueBrut4,NUMERO_RISQUE_CRIT,"   ")</f>
        <v>#VALUE!</v>
      </c>
      <c r="F7" s="160" t="e">
        <f>RechTous("x",RisqueBrut10,NUMERO_RISQUE_CRIT,"   ")</f>
        <v>#VALUE!</v>
      </c>
      <c r="G7" s="158" t="e">
        <f>RechTous("x",RisqueBrut16,NUMERO_RISQUE_CRIT,"   ")</f>
        <v>#VALUE!</v>
      </c>
      <c r="H7" s="158" t="e">
        <f>RechTous("x",RisqueBrut22,NUMERO_RISQUE_CRIT,"   ")</f>
        <v>#VALUE!</v>
      </c>
      <c r="I7" s="159" t="e">
        <f>RechTous("x",RisqueBrut28,NUMERO_RISQUE_CRIT,"   ")</f>
        <v>#VALUE!</v>
      </c>
      <c r="J7" s="159" t="e">
        <f>RechTous("x",RisqueBrut34,NUMERO_RISQUE_CRIT,"   ")</f>
        <v>#VALUE!</v>
      </c>
      <c r="L7" s="362"/>
      <c r="M7" s="17" t="s">
        <v>6</v>
      </c>
      <c r="N7" s="11">
        <v>4</v>
      </c>
      <c r="O7" s="160" t="e">
        <f>RechTous("x",RisqueNet4,Nom_Risk_Net,"   ")</f>
        <v>#VALUE!</v>
      </c>
      <c r="P7" s="160" t="e">
        <f>RechTous("x",RisqueNet10,Nom_Risk_Net,"   ")</f>
        <v>#VALUE!</v>
      </c>
      <c r="Q7" s="158" t="e">
        <f>RechTous("x",RisqueNet16,Nom_Risk_Net,"   ")</f>
        <v>#VALUE!</v>
      </c>
      <c r="R7" s="158" t="e">
        <f>RechTous("x",RisqueNet22,Nom_Risk_Net,"   ")</f>
        <v>#VALUE!</v>
      </c>
      <c r="S7" s="159" t="e">
        <f>RechTous("x",RisqueNet28,Nom_Risk_Net,"   ")</f>
        <v>#VALUE!</v>
      </c>
      <c r="T7" s="159" t="e">
        <f>RechTous("x",RisqueNet34,Nom_Risk_Net,"   ")</f>
        <v>#VALUE!</v>
      </c>
    </row>
    <row r="8" spans="1:20" ht="82.5" customHeight="1" x14ac:dyDescent="0.2">
      <c r="B8" s="362"/>
      <c r="C8" s="17" t="s">
        <v>5</v>
      </c>
      <c r="D8" s="11">
        <v>3</v>
      </c>
      <c r="E8" s="161" t="e">
        <f>RechTous("x",RisqueBrut3,NUMERO_RISQUE_CRIT,"   ")</f>
        <v>#VALUE!</v>
      </c>
      <c r="F8" s="160" t="e">
        <f>RechTous("x",RisqueBrut9,NUMERO_RISQUE_CRIT,"   ")</f>
        <v>#VALUE!</v>
      </c>
      <c r="G8" s="160" t="e">
        <f>RechTous("x",RisqueBrut15,NUMERO_RISQUE_CRIT,"   ")</f>
        <v>#VALUE!</v>
      </c>
      <c r="H8" s="158" t="e">
        <f>RechTous("x",RisqueBrut21,NUMERO_RISQUE_CRIT,"    ")</f>
        <v>#VALUE!</v>
      </c>
      <c r="I8" s="159" t="e">
        <f>RechTous("x",RisqueBrut27,NUMERO_RISQUE_CRIT,"   ")</f>
        <v>#VALUE!</v>
      </c>
      <c r="J8" s="159" t="e">
        <f>RechTous("x",RisqueBrut33,NUMERO_RISQUE_CRIT,"   ")</f>
        <v>#VALUE!</v>
      </c>
      <c r="L8" s="362"/>
      <c r="M8" s="17" t="s">
        <v>5</v>
      </c>
      <c r="N8" s="11">
        <v>3</v>
      </c>
      <c r="O8" s="161" t="e">
        <f>RechTous("x",RisqueNet3,Nom_Risk_Net,"   ")</f>
        <v>#VALUE!</v>
      </c>
      <c r="P8" s="160" t="e">
        <f>RechTous("x",RisqueNet9,Nom_Risk_Net,"   ")</f>
        <v>#VALUE!</v>
      </c>
      <c r="Q8" s="160" t="e">
        <f>RechTous("x",RisqueNet15,Nom_Risk_Net,"   ")</f>
        <v>#VALUE!</v>
      </c>
      <c r="R8" s="158" t="e">
        <f>RechTous("x",RisqueNet21,Nom_Risk_Net,"    ")</f>
        <v>#VALUE!</v>
      </c>
      <c r="S8" s="159" t="e">
        <f>RechTous("x",RisqueNet27,Nom_Risk_Net,"   ")</f>
        <v>#VALUE!</v>
      </c>
      <c r="T8" s="159" t="e">
        <f>RechTous("x",RisqueNet33,Nom_Risk_Net,"   ")</f>
        <v>#VALUE!</v>
      </c>
    </row>
    <row r="9" spans="1:20" ht="82.5" customHeight="1" x14ac:dyDescent="0.2">
      <c r="B9" s="362"/>
      <c r="C9" s="17" t="s">
        <v>4</v>
      </c>
      <c r="D9" s="11">
        <v>2</v>
      </c>
      <c r="E9" s="161" t="e">
        <f>RechTous("x",RisqueBrut2,NUMERO_RISQUE_CRIT,"    ")</f>
        <v>#VALUE!</v>
      </c>
      <c r="F9" s="161" t="e">
        <f>RechTous("x",RisqueBrut8,NUMERO_RISQUE_CRIT,"    ")</f>
        <v>#VALUE!</v>
      </c>
      <c r="G9" s="160" t="e">
        <f>RechTous("x",RisqueBrut14,NUMERO_RISQUE_CRIT,"   ")</f>
        <v>#VALUE!</v>
      </c>
      <c r="H9" s="160" t="e">
        <f>RechTous("x",RisqueBrut20,NUMERO_RISQUE_CRIT,"   ")</f>
        <v>#VALUE!</v>
      </c>
      <c r="I9" s="159" t="e">
        <f>RechTous("x",RisqueBrut26,NUMERO_RISQUE_CRIT,"   ")</f>
        <v>#VALUE!</v>
      </c>
      <c r="J9" s="159" t="e">
        <f>RechTous("x",RisqueBrut32,NUMERO_RISQUE_CRIT,"   ")</f>
        <v>#VALUE!</v>
      </c>
      <c r="L9" s="362"/>
      <c r="M9" s="17" t="s">
        <v>4</v>
      </c>
      <c r="N9" s="11">
        <v>2</v>
      </c>
      <c r="O9" s="161" t="e">
        <f>RechTous("x",RisqueNet2,Nom_Risk_Net,"    ")</f>
        <v>#VALUE!</v>
      </c>
      <c r="P9" s="161" t="e">
        <f>RechTous("x",RisqueNet8,Nom_Risk_Net,"     ")</f>
        <v>#VALUE!</v>
      </c>
      <c r="Q9" s="160" t="e">
        <f>RechTous("x",RisqueNet14,Nom_Risk_Net,"   ")</f>
        <v>#VALUE!</v>
      </c>
      <c r="R9" s="160" t="e">
        <f>RechTous("x",RisqueNet20,Nom_Risk_Net,"   ")</f>
        <v>#VALUE!</v>
      </c>
      <c r="S9" s="159" t="e">
        <f>RechTous("x",RisqueNet26,Nom_Risk_Net,"   ")</f>
        <v>#VALUE!</v>
      </c>
      <c r="T9" s="159" t="e">
        <f>RechTous("x",RisqueNet32,Nom_Risk_Net,"   ")</f>
        <v>#VALUE!</v>
      </c>
    </row>
    <row r="10" spans="1:20" ht="82.5" customHeight="1" x14ac:dyDescent="0.2">
      <c r="B10" s="363"/>
      <c r="C10" s="17" t="s">
        <v>14</v>
      </c>
      <c r="D10" s="11">
        <v>1</v>
      </c>
      <c r="E10" s="161" t="str">
        <f ca="1">RechTous("x",RisqueBrut1,NUMERO_RISQUE_CRIT,"   ")</f>
        <v/>
      </c>
      <c r="F10" s="161" t="e">
        <f>RechTous("x",RisqueBrut7,NUMERO_RISQUE_CRIT,"   ")</f>
        <v>#VALUE!</v>
      </c>
      <c r="G10" s="161" t="e">
        <f>RechTous("x",RisqueBrut13,NUMERO_RISQUE_CRIT,"   ")</f>
        <v>#VALUE!</v>
      </c>
      <c r="H10" s="160" t="e">
        <f>RechTous("x",RisqueBrut19,NUMERO_RISQUE_CRIT,"   ")</f>
        <v>#VALUE!</v>
      </c>
      <c r="I10" s="159" t="e">
        <f>RechTous("x",RisqueBrut25,NUMERO_RISQUE_CRIT,"   ")</f>
        <v>#VALUE!</v>
      </c>
      <c r="J10" s="159" t="e">
        <f>RechTous("x",RisqueBrut31,NUMERO_RISQUE_CRIT,"   ")</f>
        <v>#VALUE!</v>
      </c>
      <c r="L10" s="363"/>
      <c r="M10" s="17" t="s">
        <v>14</v>
      </c>
      <c r="N10" s="11">
        <v>1</v>
      </c>
      <c r="O10" s="161" t="e">
        <f>RechTous("x",RisqueNet1,Nom_Risk_Net,"    ")</f>
        <v>#VALUE!</v>
      </c>
      <c r="P10" s="161" t="e">
        <f>RechTous("x",RisqueNet7,Nom_Risk_Net,"   ")</f>
        <v>#VALUE!</v>
      </c>
      <c r="Q10" s="161" t="e">
        <f>RechTous("x",RisqueNet13,Nom_Risk_Net,"   ")</f>
        <v>#VALUE!</v>
      </c>
      <c r="R10" s="160" t="e">
        <f>RechTous("x",RisqueNet19,Nom_Risk_Net,"   ")</f>
        <v>#VALUE!</v>
      </c>
      <c r="S10" s="159" t="e">
        <f>RechTous("x",RisqueNet25,Nom_Risk_Net,"   ")</f>
        <v>#VALUE!</v>
      </c>
      <c r="T10" s="159" t="e">
        <f>RechTous("x",RisqueNet31,Nom_Risk_Net,"   ")</f>
        <v>#VALUE!</v>
      </c>
    </row>
    <row r="11" spans="1:20" ht="18" customHeight="1" x14ac:dyDescent="0.2">
      <c r="E11" s="16">
        <v>1</v>
      </c>
      <c r="F11" s="16">
        <v>2</v>
      </c>
      <c r="G11" s="16">
        <v>3</v>
      </c>
      <c r="H11" s="16">
        <v>4</v>
      </c>
      <c r="I11" s="16">
        <v>5</v>
      </c>
      <c r="J11" s="16">
        <v>6</v>
      </c>
      <c r="O11" s="16">
        <v>1</v>
      </c>
      <c r="P11" s="16">
        <v>2</v>
      </c>
      <c r="Q11" s="16">
        <v>3</v>
      </c>
      <c r="R11" s="16">
        <v>4</v>
      </c>
      <c r="S11" s="16">
        <v>5</v>
      </c>
      <c r="T11" s="16">
        <v>6</v>
      </c>
    </row>
    <row r="12" spans="1:20" ht="18" customHeight="1" x14ac:dyDescent="0.2">
      <c r="E12" s="364" t="s">
        <v>23</v>
      </c>
      <c r="F12" s="364"/>
      <c r="G12" s="364"/>
      <c r="H12" s="364"/>
      <c r="I12" s="364"/>
      <c r="J12" s="364"/>
      <c r="O12" s="364" t="s">
        <v>23</v>
      </c>
      <c r="P12" s="364"/>
      <c r="Q12" s="364"/>
      <c r="R12" s="364"/>
      <c r="S12" s="364"/>
      <c r="T12" s="364"/>
    </row>
    <row r="13" spans="1:20" ht="15.75" customHeight="1" x14ac:dyDescent="0.2">
      <c r="E13" s="12" t="s">
        <v>8</v>
      </c>
      <c r="F13" s="12" t="s">
        <v>9</v>
      </c>
      <c r="G13" s="12" t="s">
        <v>10</v>
      </c>
      <c r="H13" s="12" t="s">
        <v>11</v>
      </c>
      <c r="I13" s="12" t="s">
        <v>12</v>
      </c>
      <c r="J13" s="12" t="s">
        <v>13</v>
      </c>
      <c r="K13" s="13"/>
      <c r="O13" s="12" t="s">
        <v>8</v>
      </c>
      <c r="P13" s="12" t="s">
        <v>9</v>
      </c>
      <c r="Q13" s="12" t="s">
        <v>10</v>
      </c>
      <c r="R13" s="12" t="s">
        <v>11</v>
      </c>
      <c r="S13" s="12" t="s">
        <v>12</v>
      </c>
      <c r="T13" s="12" t="s">
        <v>13</v>
      </c>
    </row>
    <row r="16" spans="1:20" ht="18" customHeight="1" x14ac:dyDescent="0.2">
      <c r="K16" s="14"/>
      <c r="L16" s="14"/>
    </row>
    <row r="17" spans="5:12" ht="13.5" customHeight="1" x14ac:dyDescent="0.2">
      <c r="E17" s="9"/>
    </row>
    <row r="18" spans="5:12" x14ac:dyDescent="0.2">
      <c r="E18" s="13"/>
      <c r="F18" s="13"/>
      <c r="G18" s="13"/>
      <c r="H18" s="13"/>
      <c r="I18" s="13"/>
      <c r="J18" s="13"/>
      <c r="K18" s="13"/>
      <c r="L18" s="13"/>
    </row>
  </sheetData>
  <mergeCells count="6">
    <mergeCell ref="O12:T12"/>
    <mergeCell ref="E1:J4"/>
    <mergeCell ref="O1:T4"/>
    <mergeCell ref="L5:L10"/>
    <mergeCell ref="B5:B10"/>
    <mergeCell ref="E12:J12"/>
  </mergeCells>
  <pageMargins left="0.22" right="0.5" top="0.31" bottom="0.25" header="0.2" footer="0.13"/>
  <pageSetup paperSize="9" scale="44" fitToHeight="0" orientation="landscape" horizontalDpi="300" r:id="rId1"/>
  <headerFooter alignWithMargins="0">
    <oddHeader>&amp;R&amp;"Arial,Italique"&amp;6&amp;D</oddHead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7030A0"/>
    <pageSetUpPr fitToPage="1"/>
  </sheetPr>
  <dimension ref="A1:I13"/>
  <sheetViews>
    <sheetView showGridLines="0" zoomScale="70" zoomScaleNormal="70" workbookViewId="0">
      <selection activeCell="G25" sqref="G25"/>
    </sheetView>
  </sheetViews>
  <sheetFormatPr baseColWidth="10" defaultRowHeight="12.75" x14ac:dyDescent="0.2"/>
  <cols>
    <col min="1" max="1" width="3.85546875" customWidth="1"/>
    <col min="2" max="2" width="3.5703125" customWidth="1"/>
    <col min="3" max="3" width="4" customWidth="1"/>
    <col min="4" max="4" width="2.42578125" customWidth="1"/>
    <col min="5" max="8" width="40.7109375" customWidth="1"/>
    <col min="9" max="9" width="3.85546875" customWidth="1"/>
  </cols>
  <sheetData>
    <row r="1" spans="1:9" ht="30.75" customHeight="1" x14ac:dyDescent="0.2">
      <c r="A1" s="10"/>
      <c r="B1" s="6"/>
      <c r="C1" s="6"/>
      <c r="D1" s="6"/>
      <c r="E1" s="6"/>
      <c r="F1" s="6"/>
      <c r="G1" s="6"/>
      <c r="H1" s="6"/>
      <c r="I1" s="6"/>
    </row>
    <row r="4" spans="1:9" ht="18" x14ac:dyDescent="0.25">
      <c r="E4" s="5"/>
      <c r="F4" s="5"/>
      <c r="G4" s="4"/>
      <c r="H4" s="4"/>
    </row>
    <row r="5" spans="1:9" ht="82.5" customHeight="1" x14ac:dyDescent="0.2">
      <c r="E5" s="360" t="s">
        <v>84</v>
      </c>
      <c r="F5" s="360"/>
      <c r="G5" s="360"/>
      <c r="H5" s="360"/>
    </row>
    <row r="6" spans="1:9" ht="99.95" customHeight="1" x14ac:dyDescent="0.2">
      <c r="B6" s="368" t="s">
        <v>22</v>
      </c>
      <c r="C6" s="163" t="s">
        <v>21</v>
      </c>
      <c r="E6" s="27" t="e">
        <f>(RechTous("x",CriticiteBrut13,NUMERO_RISQUE_CRIT," "))</f>
        <v>#VALUE!</v>
      </c>
      <c r="F6" s="27" t="e">
        <f>(RechTous("x",CriticiteBrut14,NUMERO_RISQUE_CRIT,"   "))</f>
        <v>#VALUE!</v>
      </c>
      <c r="G6" s="28" t="e">
        <f>(RechTous("x",CriticiteBrut15,NUMERO_RISQUE_CRIT,"   "))</f>
        <v>#VALUE!</v>
      </c>
      <c r="H6" s="29" t="e">
        <f>(RechTous("x",CriticiteBrut16,NUMERO_RISQUE_CRIT," "))</f>
        <v>#VALUE!</v>
      </c>
    </row>
    <row r="7" spans="1:9" ht="99.95" customHeight="1" x14ac:dyDescent="0.2">
      <c r="B7" s="368"/>
      <c r="C7" s="164" t="s">
        <v>11</v>
      </c>
      <c r="E7" s="27" t="e">
        <f>(RechTous("x",CriticiteBrut9,NUMERO_RISQUE_CRIT," "))</f>
        <v>#VALUE!</v>
      </c>
      <c r="F7" s="28" t="e">
        <f>(RechTous("x",CriticiteBrut10,NUMERO_RISQUE_CRIT,"  "))</f>
        <v>#VALUE!</v>
      </c>
      <c r="G7" s="30" t="e">
        <f>(RechTous("x",CriticiteBrut11,NUMERO_RISQUE_CRIT,"   "))</f>
        <v>#VALUE!</v>
      </c>
      <c r="H7" s="29" t="e">
        <f>(RechTous("x",CriticiteBrut12,NUMERO_RISQUE_CRIT," "))</f>
        <v>#VALUE!</v>
      </c>
    </row>
    <row r="8" spans="1:9" ht="99.95" customHeight="1" x14ac:dyDescent="0.2">
      <c r="B8" s="368"/>
      <c r="C8" s="164" t="s">
        <v>10</v>
      </c>
      <c r="E8" s="28" t="e">
        <f>(RechTous("x",CriticiteBrut5,NUMERO_RISQUE_CRIT," "))</f>
        <v>#VALUE!</v>
      </c>
      <c r="F8" s="30" t="e">
        <f>(RechTous("x",CriticiteBrut6,NUMERO_RISQUE_CRIT," "))</f>
        <v>#VALUE!</v>
      </c>
      <c r="G8" s="30" t="e">
        <f>(RechTous("x",CriticiteBrut7,NUMERO_RISQUE_CRIT,"    "))</f>
        <v>#VALUE!</v>
      </c>
      <c r="H8" s="31" t="e">
        <f>(RechTous("x",CriticiteBrut8,NUMERO_RISQUE_CRIT," "))</f>
        <v>#VALUE!</v>
      </c>
    </row>
    <row r="9" spans="1:9" ht="99.95" customHeight="1" x14ac:dyDescent="0.2">
      <c r="B9" s="368"/>
      <c r="C9" s="165" t="s">
        <v>20</v>
      </c>
      <c r="E9" s="32" t="str">
        <f ca="1">(RechTous("x",CriticiteBrut1,NUMERO_RISQUE_CRIT," "))</f>
        <v/>
      </c>
      <c r="F9" s="32" t="e">
        <f>(RechTous("x",CriticiteBrut2,NUMERO_RISQUE_CRIT," "))</f>
        <v>#VALUE!</v>
      </c>
      <c r="G9" s="31" t="e">
        <f>(RechTous("x",CriticiteBrut3,NUMERO_RISQUE_CRIT," "))</f>
        <v>#VALUE!</v>
      </c>
      <c r="H9" s="31" t="e">
        <f>(RechTous("x",CriticiteBrut4,NUMERO_RISQUE_CRIT," "))</f>
        <v>#VALUE!</v>
      </c>
    </row>
    <row r="10" spans="1:9" ht="18" customHeight="1" x14ac:dyDescent="0.2">
      <c r="E10" s="166"/>
      <c r="F10" s="166"/>
      <c r="G10" s="166"/>
      <c r="H10" s="166"/>
    </row>
    <row r="11" spans="1:9" ht="18" customHeight="1" x14ac:dyDescent="0.2">
      <c r="E11" s="167" t="s">
        <v>0</v>
      </c>
      <c r="F11" s="167"/>
      <c r="G11" s="168"/>
      <c r="H11" s="168"/>
    </row>
    <row r="12" spans="1:9" ht="15.75" customHeight="1" x14ac:dyDescent="0.2">
      <c r="B12" s="13"/>
      <c r="C12" s="13"/>
      <c r="D12" s="13"/>
      <c r="E12" s="169" t="s">
        <v>19</v>
      </c>
      <c r="F12" s="169" t="s">
        <v>9</v>
      </c>
      <c r="G12" s="169" t="s">
        <v>17</v>
      </c>
      <c r="H12" s="169" t="s">
        <v>16</v>
      </c>
    </row>
    <row r="13" spans="1:9" ht="14.25" x14ac:dyDescent="0.2">
      <c r="E13" s="166"/>
      <c r="F13" s="166"/>
      <c r="G13" s="166"/>
      <c r="H13" s="166"/>
    </row>
  </sheetData>
  <mergeCells count="2">
    <mergeCell ref="E5:H5"/>
    <mergeCell ref="B6:B9"/>
  </mergeCells>
  <pageMargins left="0.22" right="0.5" top="0.31" bottom="0.25" header="0.2" footer="0.13"/>
  <pageSetup paperSize="9" scale="44" fitToHeight="0" orientation="landscape" horizontalDpi="300" r:id="rId1"/>
  <headerFooter alignWithMargins="0">
    <oddHeader>&amp;R&amp;"Arial,Italique"&amp;6&amp;D</oddHead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V16"/>
  <sheetViews>
    <sheetView topLeftCell="E1" zoomScale="80" zoomScaleNormal="80" workbookViewId="0">
      <selection activeCell="S4" sqref="S4:S5"/>
    </sheetView>
  </sheetViews>
  <sheetFormatPr baseColWidth="10" defaultRowHeight="12.75" x14ac:dyDescent="0.2"/>
  <cols>
    <col min="1" max="1" width="13.42578125" bestFit="1" customWidth="1"/>
    <col min="2" max="2" width="4.85546875" bestFit="1" customWidth="1"/>
    <col min="3" max="3" width="5.7109375" customWidth="1"/>
    <col min="4" max="4" width="13.140625" bestFit="1" customWidth="1"/>
    <col min="5" max="5" width="4.85546875" bestFit="1" customWidth="1"/>
    <col min="8" max="8" width="4.85546875" bestFit="1" customWidth="1"/>
    <col min="10" max="10" width="16.28515625" customWidth="1"/>
    <col min="11" max="15" width="10.42578125" bestFit="1" customWidth="1"/>
    <col min="19" max="22" width="17.140625" bestFit="1" customWidth="1"/>
  </cols>
  <sheetData>
    <row r="1" spans="1:22" ht="25.5" x14ac:dyDescent="0.2">
      <c r="A1" s="209" t="s">
        <v>900</v>
      </c>
      <c r="B1" s="209" t="s">
        <v>901</v>
      </c>
      <c r="C1" s="209"/>
      <c r="D1" s="209" t="s">
        <v>3</v>
      </c>
      <c r="E1" s="209" t="s">
        <v>901</v>
      </c>
      <c r="G1" s="209" t="s">
        <v>905</v>
      </c>
      <c r="H1" s="209" t="s">
        <v>901</v>
      </c>
      <c r="J1" s="219" t="s">
        <v>0</v>
      </c>
      <c r="K1" s="209" t="s">
        <v>901</v>
      </c>
    </row>
    <row r="2" spans="1:22" x14ac:dyDescent="0.2">
      <c r="A2" s="209" t="s">
        <v>8</v>
      </c>
      <c r="B2" s="209">
        <v>1</v>
      </c>
      <c r="C2" s="209"/>
      <c r="D2" s="209" t="s">
        <v>25</v>
      </c>
      <c r="E2" s="209">
        <v>1</v>
      </c>
      <c r="G2" s="209" t="s">
        <v>20</v>
      </c>
      <c r="H2">
        <v>1</v>
      </c>
      <c r="J2" t="s">
        <v>19</v>
      </c>
      <c r="K2">
        <v>1</v>
      </c>
    </row>
    <row r="3" spans="1:22" x14ac:dyDescent="0.2">
      <c r="A3" s="209" t="s">
        <v>9</v>
      </c>
      <c r="B3" s="209">
        <v>2</v>
      </c>
      <c r="C3" s="209"/>
      <c r="D3" t="s">
        <v>4</v>
      </c>
      <c r="E3" s="209">
        <v>2</v>
      </c>
      <c r="G3" s="209" t="s">
        <v>10</v>
      </c>
      <c r="H3">
        <v>2</v>
      </c>
      <c r="J3" t="s">
        <v>9</v>
      </c>
      <c r="K3">
        <v>2</v>
      </c>
    </row>
    <row r="4" spans="1:22" x14ac:dyDescent="0.2">
      <c r="A4" s="209" t="s">
        <v>10</v>
      </c>
      <c r="B4" s="209">
        <v>3</v>
      </c>
      <c r="C4" s="209"/>
      <c r="D4" t="s">
        <v>5</v>
      </c>
      <c r="E4" s="209">
        <v>3</v>
      </c>
      <c r="G4" s="209" t="s">
        <v>11</v>
      </c>
      <c r="H4">
        <v>3</v>
      </c>
      <c r="J4" t="s">
        <v>18</v>
      </c>
      <c r="K4">
        <v>3</v>
      </c>
    </row>
    <row r="5" spans="1:22" x14ac:dyDescent="0.2">
      <c r="A5" s="209" t="s">
        <v>11</v>
      </c>
      <c r="B5" s="209">
        <v>4</v>
      </c>
      <c r="C5" s="209"/>
      <c r="D5" t="s">
        <v>6</v>
      </c>
      <c r="E5" s="209">
        <v>4</v>
      </c>
      <c r="G5" s="209" t="s">
        <v>969</v>
      </c>
      <c r="H5">
        <v>4</v>
      </c>
      <c r="J5" s="209" t="s">
        <v>49</v>
      </c>
      <c r="K5">
        <v>4</v>
      </c>
    </row>
    <row r="6" spans="1:22" x14ac:dyDescent="0.2">
      <c r="A6" s="209" t="s">
        <v>12</v>
      </c>
      <c r="B6" s="209">
        <v>5</v>
      </c>
      <c r="C6" s="209"/>
      <c r="D6" t="s">
        <v>15</v>
      </c>
      <c r="E6" s="209">
        <v>5</v>
      </c>
    </row>
    <row r="7" spans="1:22" x14ac:dyDescent="0.2">
      <c r="A7" s="209" t="s">
        <v>13</v>
      </c>
      <c r="B7" s="209">
        <v>6</v>
      </c>
      <c r="C7" s="209"/>
      <c r="D7" t="s">
        <v>7</v>
      </c>
      <c r="E7" s="209">
        <v>6</v>
      </c>
    </row>
    <row r="9" spans="1:22" ht="52.5" customHeight="1" x14ac:dyDescent="0.2">
      <c r="G9" s="369" t="s">
        <v>902</v>
      </c>
      <c r="H9" s="11">
        <v>6</v>
      </c>
      <c r="I9" s="36" t="s">
        <v>11</v>
      </c>
      <c r="J9" s="37" t="s">
        <v>969</v>
      </c>
      <c r="K9" s="37" t="s">
        <v>969</v>
      </c>
      <c r="L9" s="37" t="s">
        <v>969</v>
      </c>
      <c r="M9" s="37" t="s">
        <v>969</v>
      </c>
      <c r="N9" s="37" t="s">
        <v>969</v>
      </c>
    </row>
    <row r="10" spans="1:22" ht="52.5" customHeight="1" x14ac:dyDescent="0.2">
      <c r="G10" s="370"/>
      <c r="H10" s="11">
        <v>5</v>
      </c>
      <c r="I10" s="36" t="s">
        <v>11</v>
      </c>
      <c r="J10" s="36" t="s">
        <v>11</v>
      </c>
      <c r="K10" s="36" t="s">
        <v>11</v>
      </c>
      <c r="L10" s="37" t="s">
        <v>969</v>
      </c>
      <c r="M10" s="37" t="s">
        <v>969</v>
      </c>
      <c r="N10" s="37" t="s">
        <v>969</v>
      </c>
      <c r="P10" s="372" t="s">
        <v>904</v>
      </c>
      <c r="Q10" s="218" t="s">
        <v>21</v>
      </c>
      <c r="S10" s="211" t="s">
        <v>927</v>
      </c>
      <c r="T10" s="211" t="s">
        <v>927</v>
      </c>
      <c r="U10" s="212" t="s">
        <v>926</v>
      </c>
      <c r="V10" s="213" t="s">
        <v>925</v>
      </c>
    </row>
    <row r="11" spans="1:22" ht="52.5" customHeight="1" x14ac:dyDescent="0.2">
      <c r="G11" s="370"/>
      <c r="H11" s="11">
        <v>4</v>
      </c>
      <c r="I11" s="35" t="s">
        <v>10</v>
      </c>
      <c r="J11" s="35" t="s">
        <v>10</v>
      </c>
      <c r="K11" s="36" t="s">
        <v>11</v>
      </c>
      <c r="L11" s="36" t="s">
        <v>11</v>
      </c>
      <c r="M11" s="37" t="s">
        <v>969</v>
      </c>
      <c r="N11" s="37" t="s">
        <v>969</v>
      </c>
      <c r="P11" s="365"/>
      <c r="Q11" s="215" t="s">
        <v>11</v>
      </c>
      <c r="S11" s="211" t="s">
        <v>927</v>
      </c>
      <c r="T11" s="212" t="s">
        <v>926</v>
      </c>
      <c r="U11" s="160" t="s">
        <v>924</v>
      </c>
      <c r="V11" s="213" t="s">
        <v>925</v>
      </c>
    </row>
    <row r="12" spans="1:22" ht="52.5" customHeight="1" x14ac:dyDescent="0.2">
      <c r="G12" s="370"/>
      <c r="H12" s="11">
        <v>3</v>
      </c>
      <c r="I12" s="34" t="s">
        <v>20</v>
      </c>
      <c r="J12" s="35" t="s">
        <v>10</v>
      </c>
      <c r="K12" s="35" t="s">
        <v>10</v>
      </c>
      <c r="L12" s="36" t="s">
        <v>11</v>
      </c>
      <c r="M12" s="37" t="s">
        <v>969</v>
      </c>
      <c r="N12" s="37" t="s">
        <v>969</v>
      </c>
      <c r="P12" s="365"/>
      <c r="Q12" s="215" t="s">
        <v>10</v>
      </c>
      <c r="S12" s="212" t="s">
        <v>926</v>
      </c>
      <c r="T12" s="160" t="s">
        <v>924</v>
      </c>
      <c r="U12" s="160" t="s">
        <v>924</v>
      </c>
      <c r="V12" s="161" t="s">
        <v>923</v>
      </c>
    </row>
    <row r="13" spans="1:22" ht="52.5" customHeight="1" x14ac:dyDescent="0.2">
      <c r="G13" s="370"/>
      <c r="H13" s="11">
        <v>2</v>
      </c>
      <c r="I13" s="34" t="s">
        <v>20</v>
      </c>
      <c r="J13" s="34" t="s">
        <v>20</v>
      </c>
      <c r="K13" s="35" t="s">
        <v>10</v>
      </c>
      <c r="L13" s="35" t="s">
        <v>10</v>
      </c>
      <c r="M13" s="37" t="s">
        <v>969</v>
      </c>
      <c r="N13" s="37" t="s">
        <v>969</v>
      </c>
      <c r="P13" s="365"/>
      <c r="Q13" s="216" t="s">
        <v>20</v>
      </c>
      <c r="S13" s="214" t="s">
        <v>922</v>
      </c>
      <c r="T13" s="214" t="s">
        <v>922</v>
      </c>
      <c r="U13" s="161" t="s">
        <v>923</v>
      </c>
      <c r="V13" s="161" t="s">
        <v>923</v>
      </c>
    </row>
    <row r="14" spans="1:22" ht="52.5" customHeight="1" x14ac:dyDescent="0.2">
      <c r="G14" s="371"/>
      <c r="H14" s="11">
        <v>1</v>
      </c>
      <c r="I14" s="34" t="s">
        <v>20</v>
      </c>
      <c r="J14" s="34" t="s">
        <v>20</v>
      </c>
      <c r="K14" s="34" t="s">
        <v>20</v>
      </c>
      <c r="L14" s="35" t="s">
        <v>10</v>
      </c>
      <c r="M14" s="37" t="s">
        <v>969</v>
      </c>
      <c r="N14" s="37" t="s">
        <v>969</v>
      </c>
      <c r="P14" s="217"/>
    </row>
    <row r="15" spans="1:22" x14ac:dyDescent="0.2">
      <c r="I15" s="16">
        <v>1</v>
      </c>
      <c r="J15" s="16">
        <v>2</v>
      </c>
      <c r="K15" s="16">
        <v>3</v>
      </c>
      <c r="L15" s="16">
        <v>4</v>
      </c>
      <c r="M15" s="16">
        <v>5</v>
      </c>
      <c r="N15" s="16">
        <v>6</v>
      </c>
      <c r="P15" s="217"/>
      <c r="S15" s="7" t="s">
        <v>0</v>
      </c>
      <c r="T15" s="7"/>
      <c r="U15" s="8"/>
      <c r="V15" s="8"/>
    </row>
    <row r="16" spans="1:22" x14ac:dyDescent="0.2">
      <c r="I16" s="364" t="s">
        <v>23</v>
      </c>
      <c r="J16" s="364"/>
      <c r="K16" s="364"/>
      <c r="L16" s="364"/>
      <c r="M16" s="364"/>
      <c r="N16" s="364"/>
      <c r="P16" s="13"/>
      <c r="Q16" s="13"/>
      <c r="R16" s="13"/>
      <c r="S16" s="12" t="s">
        <v>19</v>
      </c>
      <c r="T16" s="12" t="s">
        <v>9</v>
      </c>
      <c r="U16" s="12" t="s">
        <v>17</v>
      </c>
      <c r="V16" s="12" t="s">
        <v>49</v>
      </c>
    </row>
  </sheetData>
  <mergeCells count="3">
    <mergeCell ref="I16:N16"/>
    <mergeCell ref="G9:G14"/>
    <mergeCell ref="P10:P13"/>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2:W46"/>
  <sheetViews>
    <sheetView workbookViewId="0">
      <selection activeCell="L37" sqref="L37"/>
    </sheetView>
  </sheetViews>
  <sheetFormatPr baseColWidth="10" defaultRowHeight="15" x14ac:dyDescent="0.25"/>
  <cols>
    <col min="1" max="1" width="4.140625" style="227" customWidth="1"/>
    <col min="2" max="2" width="7.7109375" style="227" customWidth="1"/>
    <col min="3" max="3" width="11.42578125" style="227"/>
    <col min="4" max="4" width="13.42578125" style="227" customWidth="1"/>
    <col min="5" max="5" width="3.28515625" style="227" customWidth="1"/>
    <col min="6" max="11" width="15" style="227" customWidth="1"/>
    <col min="12" max="16384" width="11.42578125" style="227"/>
  </cols>
  <sheetData>
    <row r="2" spans="1:23" x14ac:dyDescent="0.25">
      <c r="C2" s="398" t="s">
        <v>907</v>
      </c>
      <c r="D2" s="399"/>
      <c r="E2" s="399"/>
      <c r="F2" s="399"/>
      <c r="G2" s="399"/>
      <c r="H2" s="399"/>
      <c r="I2" s="399"/>
      <c r="J2" s="399"/>
      <c r="K2" s="400"/>
    </row>
    <row r="3" spans="1:23" x14ac:dyDescent="0.25">
      <c r="C3" s="401"/>
      <c r="D3" s="402"/>
      <c r="E3" s="402"/>
      <c r="F3" s="402"/>
      <c r="G3" s="402"/>
      <c r="H3" s="402"/>
      <c r="I3" s="402"/>
      <c r="J3" s="402"/>
      <c r="K3" s="403"/>
    </row>
    <row r="4" spans="1:23" ht="30" customHeight="1" x14ac:dyDescent="0.25">
      <c r="C4" s="404" t="s">
        <v>908</v>
      </c>
      <c r="D4" s="228" t="s">
        <v>7</v>
      </c>
      <c r="E4" s="229">
        <v>6</v>
      </c>
      <c r="F4" s="230"/>
      <c r="G4" s="231"/>
      <c r="H4" s="231"/>
      <c r="I4" s="231"/>
      <c r="J4" s="231"/>
      <c r="K4" s="231"/>
    </row>
    <row r="5" spans="1:23" ht="30" customHeight="1" x14ac:dyDescent="0.25">
      <c r="C5" s="405"/>
      <c r="D5" s="232" t="s">
        <v>15</v>
      </c>
      <c r="E5" s="229">
        <v>5</v>
      </c>
      <c r="F5" s="230"/>
      <c r="G5" s="230"/>
      <c r="H5" s="230"/>
      <c r="I5" s="231"/>
      <c r="J5" s="231"/>
      <c r="K5" s="231"/>
    </row>
    <row r="6" spans="1:23" ht="30" customHeight="1" x14ac:dyDescent="0.25">
      <c r="C6" s="405"/>
      <c r="D6" s="233" t="s">
        <v>6</v>
      </c>
      <c r="E6" s="229">
        <v>4</v>
      </c>
      <c r="F6" s="234"/>
      <c r="G6" s="234"/>
      <c r="H6" s="230"/>
      <c r="I6" s="230"/>
      <c r="J6" s="231"/>
      <c r="K6" s="231"/>
    </row>
    <row r="7" spans="1:23" ht="30" customHeight="1" x14ac:dyDescent="0.25">
      <c r="C7" s="405"/>
      <c r="D7" s="235" t="s">
        <v>5</v>
      </c>
      <c r="E7" s="229">
        <v>3</v>
      </c>
      <c r="F7" s="236"/>
      <c r="G7" s="234"/>
      <c r="H7" s="234"/>
      <c r="I7" s="230"/>
      <c r="J7" s="231"/>
      <c r="K7" s="231"/>
    </row>
    <row r="8" spans="1:23" ht="30" customHeight="1" x14ac:dyDescent="0.25">
      <c r="C8" s="405"/>
      <c r="D8" s="237" t="s">
        <v>4</v>
      </c>
      <c r="E8" s="229">
        <v>2</v>
      </c>
      <c r="F8" s="236"/>
      <c r="G8" s="236"/>
      <c r="H8" s="234"/>
      <c r="I8" s="234"/>
      <c r="J8" s="231"/>
      <c r="K8" s="231"/>
      <c r="T8" s="238"/>
    </row>
    <row r="9" spans="1:23" ht="30" customHeight="1" x14ac:dyDescent="0.25">
      <c r="C9" s="405"/>
      <c r="D9" s="239" t="s">
        <v>25</v>
      </c>
      <c r="E9" s="229">
        <v>1</v>
      </c>
      <c r="F9" s="236"/>
      <c r="G9" s="236"/>
      <c r="H9" s="236"/>
      <c r="I9" s="234"/>
      <c r="J9" s="231"/>
      <c r="K9" s="231"/>
      <c r="T9" s="240"/>
      <c r="U9" s="241"/>
      <c r="V9" s="241"/>
      <c r="W9" s="241"/>
    </row>
    <row r="10" spans="1:23" x14ac:dyDescent="0.25">
      <c r="F10" s="229">
        <v>1</v>
      </c>
      <c r="G10" s="229">
        <v>2</v>
      </c>
      <c r="H10" s="229">
        <v>3</v>
      </c>
      <c r="I10" s="229">
        <v>4</v>
      </c>
      <c r="J10" s="229">
        <v>5</v>
      </c>
      <c r="K10" s="229">
        <v>6</v>
      </c>
      <c r="T10" s="242"/>
    </row>
    <row r="11" spans="1:23" ht="30" customHeight="1" x14ac:dyDescent="0.25">
      <c r="A11" s="241"/>
      <c r="B11" s="241"/>
      <c r="C11" s="241"/>
      <c r="D11" s="241"/>
      <c r="E11" s="241"/>
      <c r="F11" s="239" t="s">
        <v>8</v>
      </c>
      <c r="G11" s="237" t="s">
        <v>9</v>
      </c>
      <c r="H11" s="235" t="s">
        <v>10</v>
      </c>
      <c r="I11" s="233" t="s">
        <v>11</v>
      </c>
      <c r="J11" s="232" t="s">
        <v>12</v>
      </c>
      <c r="K11" s="228" t="s">
        <v>13</v>
      </c>
      <c r="L11" s="241"/>
      <c r="M11" s="241"/>
    </row>
    <row r="12" spans="1:23" x14ac:dyDescent="0.25">
      <c r="F12" s="406" t="s">
        <v>909</v>
      </c>
      <c r="G12" s="407"/>
      <c r="H12" s="407"/>
      <c r="I12" s="407"/>
      <c r="J12" s="407"/>
      <c r="K12" s="408"/>
    </row>
    <row r="13" spans="1:23" x14ac:dyDescent="0.25">
      <c r="P13" s="243"/>
      <c r="Q13" s="244"/>
    </row>
    <row r="14" spans="1:23" ht="34.5" customHeight="1" x14ac:dyDescent="0.25">
      <c r="A14" s="380" t="s">
        <v>910</v>
      </c>
      <c r="B14" s="380"/>
      <c r="C14" s="380"/>
      <c r="D14" s="378" t="s">
        <v>20</v>
      </c>
      <c r="E14" s="378"/>
      <c r="F14" s="377" t="s">
        <v>10</v>
      </c>
      <c r="G14" s="377"/>
      <c r="H14" s="409" t="s">
        <v>248</v>
      </c>
      <c r="I14" s="409"/>
      <c r="J14" s="375" t="s">
        <v>911</v>
      </c>
      <c r="K14" s="375"/>
      <c r="Q14" s="244"/>
    </row>
    <row r="15" spans="1:23" ht="86.25" customHeight="1" x14ac:dyDescent="0.25">
      <c r="A15" s="245"/>
      <c r="B15" s="245"/>
      <c r="C15" s="245"/>
      <c r="D15" s="387" t="s">
        <v>912</v>
      </c>
      <c r="E15" s="387"/>
      <c r="F15" s="388" t="s">
        <v>913</v>
      </c>
      <c r="G15" s="388"/>
      <c r="H15" s="388" t="s">
        <v>914</v>
      </c>
      <c r="I15" s="388"/>
      <c r="J15" s="388" t="s">
        <v>915</v>
      </c>
      <c r="K15" s="388"/>
      <c r="L15" s="245"/>
      <c r="M15" s="245"/>
      <c r="N15" s="245"/>
      <c r="O15" s="245"/>
      <c r="P15" s="245"/>
      <c r="Q15" s="245"/>
      <c r="R15" s="245"/>
      <c r="S15" s="245"/>
      <c r="T15" s="245"/>
      <c r="U15" s="245"/>
      <c r="V15" s="245"/>
      <c r="W15" s="245"/>
    </row>
    <row r="16" spans="1:23" x14ac:dyDescent="0.25">
      <c r="A16" s="245"/>
      <c r="B16" s="245"/>
      <c r="C16" s="245"/>
      <c r="D16" s="246"/>
      <c r="E16" s="246"/>
      <c r="F16" s="247"/>
      <c r="G16" s="247"/>
      <c r="H16" s="247"/>
      <c r="I16" s="247"/>
      <c r="J16" s="247"/>
      <c r="K16" s="247"/>
      <c r="L16" s="245"/>
      <c r="M16" s="245"/>
      <c r="N16" s="245"/>
      <c r="O16" s="245"/>
      <c r="P16" s="245"/>
      <c r="Q16" s="245"/>
      <c r="R16" s="245"/>
      <c r="S16" s="245"/>
      <c r="T16" s="245"/>
      <c r="U16" s="245"/>
      <c r="V16" s="245"/>
      <c r="W16" s="245"/>
    </row>
    <row r="17" spans="1:23" x14ac:dyDescent="0.25">
      <c r="A17" s="245"/>
      <c r="B17" s="245"/>
      <c r="C17" s="245"/>
      <c r="D17" s="246"/>
      <c r="E17" s="246"/>
      <c r="F17" s="247"/>
      <c r="G17" s="247"/>
      <c r="H17" s="247"/>
      <c r="I17" s="247"/>
      <c r="J17" s="247"/>
      <c r="K17" s="247"/>
      <c r="L17" s="245"/>
      <c r="M17" s="245"/>
      <c r="N17" s="245"/>
      <c r="O17" s="245"/>
      <c r="P17" s="245"/>
      <c r="Q17" s="245"/>
      <c r="R17" s="245"/>
      <c r="S17" s="245"/>
      <c r="T17" s="245"/>
      <c r="U17" s="245"/>
      <c r="V17" s="245"/>
      <c r="W17" s="245"/>
    </row>
    <row r="19" spans="1:23" x14ac:dyDescent="0.25">
      <c r="C19" s="389" t="s">
        <v>916</v>
      </c>
      <c r="D19" s="389"/>
      <c r="E19" s="389"/>
      <c r="F19" s="389"/>
      <c r="G19" s="389"/>
      <c r="H19" s="389"/>
      <c r="I19" s="389"/>
      <c r="J19" s="389"/>
      <c r="K19" s="389"/>
      <c r="L19" s="389"/>
      <c r="M19" s="389"/>
    </row>
    <row r="20" spans="1:23" x14ac:dyDescent="0.25">
      <c r="C20" s="389"/>
      <c r="D20" s="389"/>
      <c r="E20" s="389"/>
      <c r="F20" s="389"/>
      <c r="G20" s="389"/>
      <c r="H20" s="389"/>
      <c r="I20" s="389"/>
      <c r="J20" s="389"/>
      <c r="K20" s="389"/>
      <c r="L20" s="389"/>
      <c r="M20" s="389"/>
    </row>
    <row r="21" spans="1:23" ht="30" customHeight="1" x14ac:dyDescent="0.25">
      <c r="C21" s="390" t="s">
        <v>917</v>
      </c>
      <c r="D21" s="232" t="s">
        <v>911</v>
      </c>
      <c r="E21" s="229">
        <v>4</v>
      </c>
      <c r="F21" s="393"/>
      <c r="G21" s="393"/>
      <c r="H21" s="393"/>
      <c r="I21" s="393"/>
      <c r="J21" s="394"/>
      <c r="K21" s="394"/>
      <c r="L21" s="395"/>
      <c r="M21" s="395"/>
    </row>
    <row r="22" spans="1:23" ht="30" customHeight="1" x14ac:dyDescent="0.25">
      <c r="C22" s="391"/>
      <c r="D22" s="248" t="s">
        <v>6</v>
      </c>
      <c r="E22" s="229">
        <v>3</v>
      </c>
      <c r="F22" s="393"/>
      <c r="G22" s="393"/>
      <c r="H22" s="394"/>
      <c r="I22" s="394"/>
      <c r="J22" s="396"/>
      <c r="K22" s="396"/>
      <c r="L22" s="395"/>
      <c r="M22" s="395"/>
    </row>
    <row r="23" spans="1:23" ht="30" customHeight="1" x14ac:dyDescent="0.25">
      <c r="A23" s="241"/>
      <c r="B23" s="241"/>
      <c r="C23" s="391"/>
      <c r="D23" s="235" t="s">
        <v>5</v>
      </c>
      <c r="E23" s="229">
        <v>2</v>
      </c>
      <c r="F23" s="394"/>
      <c r="G23" s="394"/>
      <c r="H23" s="396"/>
      <c r="I23" s="396"/>
      <c r="J23" s="396"/>
      <c r="K23" s="396"/>
      <c r="L23" s="385"/>
      <c r="M23" s="385"/>
      <c r="N23" s="241"/>
      <c r="O23" s="241"/>
      <c r="P23" s="241"/>
    </row>
    <row r="24" spans="1:23" ht="30" customHeight="1" x14ac:dyDescent="0.25">
      <c r="C24" s="392"/>
      <c r="D24" s="239" t="s">
        <v>918</v>
      </c>
      <c r="E24" s="229">
        <v>1</v>
      </c>
      <c r="F24" s="397"/>
      <c r="G24" s="397"/>
      <c r="H24" s="397"/>
      <c r="I24" s="397"/>
      <c r="J24" s="385"/>
      <c r="K24" s="385"/>
      <c r="L24" s="385"/>
      <c r="M24" s="385"/>
    </row>
    <row r="25" spans="1:23" x14ac:dyDescent="0.25">
      <c r="D25" s="241"/>
      <c r="F25" s="386">
        <v>1</v>
      </c>
      <c r="G25" s="386"/>
      <c r="H25" s="386">
        <v>2</v>
      </c>
      <c r="I25" s="386"/>
      <c r="J25" s="386">
        <v>3</v>
      </c>
      <c r="K25" s="386"/>
      <c r="L25" s="386">
        <v>4</v>
      </c>
      <c r="M25" s="386"/>
    </row>
    <row r="26" spans="1:23" ht="30" customHeight="1" x14ac:dyDescent="0.25">
      <c r="C26" s="241"/>
      <c r="D26" s="241"/>
      <c r="F26" s="375" t="s">
        <v>919</v>
      </c>
      <c r="G26" s="375"/>
      <c r="H26" s="376" t="s">
        <v>9</v>
      </c>
      <c r="I26" s="376"/>
      <c r="J26" s="377" t="s">
        <v>17</v>
      </c>
      <c r="K26" s="377"/>
      <c r="L26" s="378" t="s">
        <v>49</v>
      </c>
      <c r="M26" s="378"/>
    </row>
    <row r="27" spans="1:23" x14ac:dyDescent="0.25">
      <c r="D27" s="241"/>
      <c r="F27" s="379" t="s">
        <v>920</v>
      </c>
      <c r="G27" s="379"/>
      <c r="H27" s="379"/>
      <c r="I27" s="379"/>
      <c r="J27" s="379"/>
      <c r="K27" s="379"/>
      <c r="L27" s="379"/>
      <c r="M27" s="379"/>
    </row>
    <row r="30" spans="1:23" ht="52.9" customHeight="1" x14ac:dyDescent="0.25">
      <c r="A30" s="380" t="s">
        <v>921</v>
      </c>
      <c r="B30" s="380"/>
      <c r="C30" s="380"/>
      <c r="D30" s="381" t="s">
        <v>922</v>
      </c>
      <c r="E30" s="381"/>
      <c r="F30" s="381"/>
      <c r="G30" s="382" t="s">
        <v>923</v>
      </c>
      <c r="H30" s="382"/>
      <c r="I30" s="383" t="s">
        <v>924</v>
      </c>
      <c r="J30" s="383"/>
      <c r="K30" s="384" t="s">
        <v>925</v>
      </c>
      <c r="L30" s="384"/>
      <c r="M30" s="373" t="s">
        <v>926</v>
      </c>
      <c r="N30" s="373"/>
      <c r="O30" s="374" t="s">
        <v>927</v>
      </c>
      <c r="P30" s="374"/>
    </row>
    <row r="40" spans="6:6" x14ac:dyDescent="0.25">
      <c r="F40" s="242"/>
    </row>
    <row r="41" spans="6:6" x14ac:dyDescent="0.25">
      <c r="F41" s="242"/>
    </row>
    <row r="42" spans="6:6" x14ac:dyDescent="0.25">
      <c r="F42" s="249"/>
    </row>
    <row r="43" spans="6:6" x14ac:dyDescent="0.25">
      <c r="F43" s="249"/>
    </row>
    <row r="44" spans="6:6" x14ac:dyDescent="0.25">
      <c r="F44" s="249"/>
    </row>
    <row r="45" spans="6:6" x14ac:dyDescent="0.25">
      <c r="F45" s="249"/>
    </row>
    <row r="46" spans="6:6" x14ac:dyDescent="0.25">
      <c r="F46" s="242"/>
    </row>
  </sheetData>
  <mergeCells count="46">
    <mergeCell ref="C2:K3"/>
    <mergeCell ref="C4:C9"/>
    <mergeCell ref="F12:K12"/>
    <mergeCell ref="A14:C14"/>
    <mergeCell ref="D14:E14"/>
    <mergeCell ref="F14:G14"/>
    <mergeCell ref="H14:I14"/>
    <mergeCell ref="J14:K14"/>
    <mergeCell ref="C21:C24"/>
    <mergeCell ref="F21:G21"/>
    <mergeCell ref="H21:I21"/>
    <mergeCell ref="J21:K21"/>
    <mergeCell ref="L21:M21"/>
    <mergeCell ref="F22:G22"/>
    <mergeCell ref="H22:I22"/>
    <mergeCell ref="J22:K22"/>
    <mergeCell ref="L22:M22"/>
    <mergeCell ref="F23:G23"/>
    <mergeCell ref="H23:I23"/>
    <mergeCell ref="J23:K23"/>
    <mergeCell ref="L23:M23"/>
    <mergeCell ref="F24:G24"/>
    <mergeCell ref="H24:I24"/>
    <mergeCell ref="J24:K24"/>
    <mergeCell ref="D15:E15"/>
    <mergeCell ref="F15:G15"/>
    <mergeCell ref="H15:I15"/>
    <mergeCell ref="J15:K15"/>
    <mergeCell ref="C19:M20"/>
    <mergeCell ref="L24:M24"/>
    <mergeCell ref="F25:G25"/>
    <mergeCell ref="H25:I25"/>
    <mergeCell ref="J25:K25"/>
    <mergeCell ref="L25:M25"/>
    <mergeCell ref="A30:C30"/>
    <mergeCell ref="D30:F30"/>
    <mergeCell ref="G30:H30"/>
    <mergeCell ref="I30:J30"/>
    <mergeCell ref="K30:L30"/>
    <mergeCell ref="M30:N30"/>
    <mergeCell ref="O30:P30"/>
    <mergeCell ref="F26:G26"/>
    <mergeCell ref="H26:I26"/>
    <mergeCell ref="J26:K26"/>
    <mergeCell ref="L26:M26"/>
    <mergeCell ref="F27:M2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86</vt:i4>
      </vt:variant>
    </vt:vector>
  </HeadingPairs>
  <TitlesOfParts>
    <vt:vector size="99" baseType="lpstr">
      <vt:lpstr>Paramètres Cotation</vt:lpstr>
      <vt:lpstr>Conso</vt:lpstr>
      <vt:lpstr>Risk N°1</vt:lpstr>
      <vt:lpstr>Paramètres</vt:lpstr>
      <vt:lpstr>Tableau des risques brut</vt:lpstr>
      <vt:lpstr>Tableau des risques net</vt:lpstr>
      <vt:lpstr>Annexes</vt:lpstr>
      <vt:lpstr>Scoring </vt:lpstr>
      <vt:lpstr>Cartographie des risques global</vt:lpstr>
      <vt:lpstr>Cartographies séparées BrutNet</vt:lpstr>
      <vt:lpstr>Criticité</vt:lpstr>
      <vt:lpstr>Notes</vt:lpstr>
      <vt:lpstr>Carto aide</vt:lpstr>
      <vt:lpstr>'Cartographies séparées BrutNet'!_</vt:lpstr>
      <vt:lpstr>_</vt:lpstr>
      <vt:lpstr>ADP</vt:lpstr>
      <vt:lpstr>Autres</vt:lpstr>
      <vt:lpstr>Choix</vt:lpstr>
      <vt:lpstr>Choix_2</vt:lpstr>
      <vt:lpstr>Annexes!Classeur1_1</vt:lpstr>
      <vt:lpstr>Client_Image_Réputation</vt:lpstr>
      <vt:lpstr>Conformité_Réglementaire</vt:lpstr>
      <vt:lpstr>Conséquence</vt:lpstr>
      <vt:lpstr>Cotation_DMR</vt:lpstr>
      <vt:lpstr>Cotation_DMR2</vt:lpstr>
      <vt:lpstr>Cotation_Gravité_Brute</vt:lpstr>
      <vt:lpstr>Cotation_Gravité_Brute2</vt:lpstr>
      <vt:lpstr>criticité</vt:lpstr>
      <vt:lpstr>'Tableau des risques net'!CriticiteBrut1</vt:lpstr>
      <vt:lpstr>CriticiteBrut1</vt:lpstr>
      <vt:lpstr>csqrisk</vt:lpstr>
      <vt:lpstr>Direction_Action_Sociale_Culturelle.</vt:lpstr>
      <vt:lpstr>Direction_du_Cabinet.</vt:lpstr>
      <vt:lpstr>Direction_Finance_Risques.</vt:lpstr>
      <vt:lpstr>Direction_Instances_Juridique_Institutionnel.</vt:lpstr>
      <vt:lpstr>Direction_Relation_Adhérent.</vt:lpstr>
      <vt:lpstr>Direction_Relation_Adhérent.Act</vt:lpstr>
      <vt:lpstr>Direction_Relation_Adhérent.Ctrl</vt:lpstr>
      <vt:lpstr>Direction_Relation_Adhérent.PM</vt:lpstr>
      <vt:lpstr>Direction_Relation_Adhérent.PO</vt:lpstr>
      <vt:lpstr>Direction_Relation_Adhérent.Risk</vt:lpstr>
      <vt:lpstr>Direction_Relation_Clients.</vt:lpstr>
      <vt:lpstr>Direction_Relation_Prestations_Clients.</vt:lpstr>
      <vt:lpstr>Direction_Relation_Prestations_Clients.Act</vt:lpstr>
      <vt:lpstr>Direction_Relation_Prestations_Clients.Ctrl</vt:lpstr>
      <vt:lpstr>Direction_Relation_Prestations_Clients.PM</vt:lpstr>
      <vt:lpstr>Direction_Relation_Prestations_Clients.PO</vt:lpstr>
      <vt:lpstr>Direction_Relation_Prestations_Clients.Risk</vt:lpstr>
      <vt:lpstr>Direction_Réseau_Clients_Marketing_Communication.</vt:lpstr>
      <vt:lpstr>Direction_Ressources_Humaines.</vt:lpstr>
      <vt:lpstr>Direction_SI_Moyens__Généraux.</vt:lpstr>
      <vt:lpstr>Direction_Technique_Stratégie_Assurentielle.</vt:lpstr>
      <vt:lpstr>Directions</vt:lpstr>
      <vt:lpstr>DMR</vt:lpstr>
      <vt:lpstr>DMR_Homme</vt:lpstr>
      <vt:lpstr>DMR_Procedure</vt:lpstr>
      <vt:lpstr>DMR_Reglementaire</vt:lpstr>
      <vt:lpstr>DMR_SI</vt:lpstr>
      <vt:lpstr>Domaine</vt:lpstr>
      <vt:lpstr>Externes</vt:lpstr>
      <vt:lpstr>Facteurs</vt:lpstr>
      <vt:lpstr>Financier</vt:lpstr>
      <vt:lpstr>Imp</vt:lpstr>
      <vt:lpstr>Impact_Brut</vt:lpstr>
      <vt:lpstr>Impact_Brut2</vt:lpstr>
      <vt:lpstr>Impacts_Clients</vt:lpstr>
      <vt:lpstr>Impacts_Conformité</vt:lpstr>
      <vt:lpstr>Impacts_Financiers</vt:lpstr>
      <vt:lpstr>Impacts_Stratégie</vt:lpstr>
      <vt:lpstr>Impp</vt:lpstr>
      <vt:lpstr>'Tableau des risques brut'!Impression_des_titres</vt:lpstr>
      <vt:lpstr>'Tableau des risques net'!Impression_des_titres</vt:lpstr>
      <vt:lpstr>Nature_perte</vt:lpstr>
      <vt:lpstr>'Tableau des risques net'!NUMERO_RISQUE_BRUT</vt:lpstr>
      <vt:lpstr>NUMERO_RISQUE_BRUT</vt:lpstr>
      <vt:lpstr>'Tableau des risques net'!NUMERO_RISQUE_CRIT</vt:lpstr>
      <vt:lpstr>NUMERO_RISQUE_CRIT</vt:lpstr>
      <vt:lpstr>origine_de_détection</vt:lpstr>
      <vt:lpstr>Pilotage</vt:lpstr>
      <vt:lpstr>Prévoyance</vt:lpstr>
      <vt:lpstr>Priorité</vt:lpstr>
      <vt:lpstr>Proba</vt:lpstr>
      <vt:lpstr>Proba_Brut</vt:lpstr>
      <vt:lpstr>Proba_Brut2</vt:lpstr>
      <vt:lpstr>Processus_Procédure</vt:lpstr>
      <vt:lpstr>RB</vt:lpstr>
      <vt:lpstr>Ressources_Humaines</vt:lpstr>
      <vt:lpstr>Retraite</vt:lpstr>
      <vt:lpstr>'Tableau des risques net'!Risk_Nom_Criticite</vt:lpstr>
      <vt:lpstr>Risk_Nom_Criticite</vt:lpstr>
      <vt:lpstr>'Tableau des risques net'!RisqueBrut1</vt:lpstr>
      <vt:lpstr>RisqueBrut1</vt:lpstr>
      <vt:lpstr>Scoring</vt:lpstr>
      <vt:lpstr>SI</vt:lpstr>
      <vt:lpstr>Stratégique</vt:lpstr>
      <vt:lpstr>Toutes</vt:lpstr>
      <vt:lpstr>'Cartographie des risques global'!Zone_d_impression</vt:lpstr>
      <vt:lpstr>'Cartographies séparées BrutNet'!Zone_d_impression</vt:lpstr>
      <vt:lpstr>Criticité!Zone_d_impression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Gomiero</dc:creator>
  <cp:lastModifiedBy>Nicolas</cp:lastModifiedBy>
  <cp:lastPrinted>2018-03-06T14:08:02Z</cp:lastPrinted>
  <dcterms:created xsi:type="dcterms:W3CDTF">2012-06-01T15:46:45Z</dcterms:created>
  <dcterms:modified xsi:type="dcterms:W3CDTF">2018-07-12T16:49:06Z</dcterms:modified>
</cp:coreProperties>
</file>