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s/slicer1.xml" ContentType="application/vnd.ms-excel.slicer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490" windowHeight="8130" tabRatio="821" activeTab="3"/>
  </bookViews>
  <sheets>
    <sheet name="Theme" sheetId="16" r:id="rId1"/>
    <sheet name="Liste thèmes" sheetId="14" state="hidden" r:id="rId2"/>
    <sheet name="Employé" sheetId="7" state="hidden" r:id="rId3"/>
    <sheet name="Fiche" sheetId="13" r:id="rId4"/>
    <sheet name="Aperçu visite médicale" sheetId="9" state="hidden" r:id="rId5"/>
    <sheet name="Aperçu zone aéroport" sheetId="11" state="hidden" r:id="rId6"/>
    <sheet name="Aperçu équipement" sheetId="8" state="hidden" r:id="rId7"/>
    <sheet name="Aperçu recyclage" sheetId="12" state="hidden" r:id="rId8"/>
    <sheet name="Tableau récap resp" sheetId="10" state="hidden" r:id="rId9"/>
    <sheet name="Tableau récap agent" sheetId="15" state="hidden" r:id="rId10"/>
  </sheets>
  <definedNames>
    <definedName name="cours">#REF!</definedName>
    <definedName name="nom">Tableau6[Nom affiche]</definedName>
    <definedName name="NomFormetEval">Tableau1[Formateur et Evaluateur]</definedName>
    <definedName name="noms">#REF!</definedName>
    <definedName name="NomTheme">Tableau5[Quoi]</definedName>
    <definedName name="personnelles">#REF!</definedName>
    <definedName name="Segment_an">#N/A</definedName>
    <definedName name="Segment_mois">#N/A</definedName>
    <definedName name="Segment_Qui1">#N/A</definedName>
    <definedName name="Segment_Quoi1">#N/A</definedName>
  </definedNames>
  <calcPr calcId="145621"/>
  <extLst>
    <ext xmlns:x15="http://schemas.microsoft.com/office/spreadsheetml/2010/11/main" uri="{46BE6895-7355-4a93-B00E-2C351335B9C9}">
      <x15:slicerCaches xmlns:x14="http://schemas.microsoft.com/office/spreadsheetml/2009/9/main">
        <x14:slicerCache r:id="rId11"/>
        <x14:slicerCache r:id="rId12"/>
        <x14:slicerCache r:id="rId13"/>
        <x14:slicerCache r:id="rId14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41" i="13" l="1"/>
  <c r="C41" i="13"/>
  <c r="H12" i="13"/>
  <c r="B40" i="13"/>
  <c r="C40" i="13"/>
  <c r="B39" i="13"/>
  <c r="C39" i="13"/>
  <c r="B38" i="13"/>
  <c r="C38" i="13"/>
  <c r="B37" i="13"/>
  <c r="C37" i="13"/>
  <c r="B36" i="13"/>
  <c r="C36" i="13"/>
  <c r="B35" i="13"/>
  <c r="C35" i="13"/>
  <c r="B34" i="13"/>
  <c r="C34" i="13"/>
  <c r="B33" i="13"/>
  <c r="C33" i="13"/>
  <c r="B32" i="13"/>
  <c r="C32" i="13"/>
  <c r="B31" i="13"/>
  <c r="C31" i="13"/>
  <c r="B30" i="13" l="1"/>
  <c r="C30" i="13"/>
  <c r="B29" i="13"/>
  <c r="C29" i="13"/>
  <c r="B28" i="13"/>
  <c r="C28" i="13"/>
  <c r="B27" i="13"/>
  <c r="C27" i="13"/>
  <c r="B26" i="13"/>
  <c r="C26" i="13"/>
  <c r="B25" i="13"/>
  <c r="C25" i="13"/>
  <c r="B24" i="13"/>
  <c r="C24" i="13"/>
  <c r="B23" i="13"/>
  <c r="C23" i="13"/>
  <c r="B22" i="13"/>
  <c r="C22" i="13"/>
  <c r="B21" i="13" l="1"/>
  <c r="C21" i="13"/>
  <c r="B20" i="13"/>
  <c r="C20" i="13"/>
  <c r="B19" i="13"/>
  <c r="C19" i="13"/>
  <c r="B18" i="13"/>
  <c r="C18" i="13"/>
  <c r="B17" i="13"/>
  <c r="C17" i="13"/>
  <c r="D15" i="16" l="1" a="1"/>
  <c r="D15" i="16" s="1"/>
  <c r="D3" i="16" a="1"/>
  <c r="D3" i="16" s="1"/>
  <c r="D4" i="16" a="1"/>
  <c r="D4" i="16" s="1"/>
  <c r="D5" i="16" a="1"/>
  <c r="D5" i="16" s="1"/>
  <c r="D6" i="16" a="1"/>
  <c r="D6" i="16" s="1"/>
  <c r="D7" i="16" a="1"/>
  <c r="D7" i="16" s="1"/>
  <c r="D8" i="16" a="1"/>
  <c r="D8" i="16" s="1"/>
  <c r="D9" i="16" a="1"/>
  <c r="D9" i="16" s="1"/>
  <c r="D10" i="16" a="1"/>
  <c r="D10" i="16" s="1"/>
  <c r="D11" i="16" a="1"/>
  <c r="D11" i="16" s="1"/>
  <c r="D12" i="16" a="1"/>
  <c r="D12" i="16" s="1"/>
  <c r="D13" i="16" a="1"/>
  <c r="D13" i="16" s="1"/>
  <c r="D14" i="16" a="1"/>
  <c r="D14" i="16" s="1"/>
  <c r="D2" i="16" a="1"/>
  <c r="D2" i="16" s="1"/>
  <c r="F1" i="16" s="1"/>
  <c r="B4" i="10" a="1"/>
  <c r="B4" i="10"/>
  <c r="BC4" i="7" l="1" a="1"/>
  <c r="BC4" i="7" s="1"/>
  <c r="BC5" i="7" a="1"/>
  <c r="BC5" i="7" s="1"/>
  <c r="BC6" i="7" a="1"/>
  <c r="BC6" i="7" s="1"/>
  <c r="BC7" i="7" a="1"/>
  <c r="BC7" i="7" s="1"/>
  <c r="BC8" i="7" a="1"/>
  <c r="BC8" i="7" s="1"/>
  <c r="BC9" i="7" a="1"/>
  <c r="BC9" i="7" s="1"/>
  <c r="BC10" i="7" a="1"/>
  <c r="BC10" i="7" s="1"/>
  <c r="BC11" i="7" a="1"/>
  <c r="BC11" i="7" s="1"/>
  <c r="BC12" i="7" a="1"/>
  <c r="BC12" i="7" s="1"/>
  <c r="BC13" i="7" a="1"/>
  <c r="BC13" i="7" s="1"/>
  <c r="BC14" i="7" a="1"/>
  <c r="BC14" i="7" s="1"/>
  <c r="BC15" i="7" a="1"/>
  <c r="BC15" i="7" s="1"/>
  <c r="BC16" i="7" a="1"/>
  <c r="BC16" i="7" s="1"/>
  <c r="BC17" i="7" a="1"/>
  <c r="BC17" i="7" s="1"/>
  <c r="G4" i="7"/>
  <c r="G5" i="7"/>
  <c r="G6" i="7"/>
  <c r="G7" i="7"/>
  <c r="G8" i="7"/>
  <c r="G9" i="7"/>
  <c r="G10" i="7"/>
  <c r="G11" i="7"/>
  <c r="G12" i="7"/>
  <c r="G13" i="7"/>
  <c r="G14" i="7"/>
  <c r="G15" i="7"/>
  <c r="G16" i="7"/>
  <c r="G17" i="7"/>
  <c r="J4" i="7" a="1"/>
  <c r="J4" i="7" s="1"/>
  <c r="J5" i="7" a="1"/>
  <c r="J5" i="7" s="1"/>
  <c r="J6" i="7" a="1"/>
  <c r="J6" i="7" s="1"/>
  <c r="J7" i="7" a="1"/>
  <c r="J7" i="7" s="1"/>
  <c r="J8" i="7" a="1"/>
  <c r="J8" i="7" s="1"/>
  <c r="J9" i="7" a="1"/>
  <c r="J9" i="7" s="1"/>
  <c r="J10" i="7" a="1"/>
  <c r="J10" i="7" s="1"/>
  <c r="J11" i="7" a="1"/>
  <c r="J11" i="7" s="1"/>
  <c r="J12" i="7" a="1"/>
  <c r="J12" i="7" s="1"/>
  <c r="J13" i="7" a="1"/>
  <c r="J13" i="7" s="1"/>
  <c r="J14" i="7" a="1"/>
  <c r="J14" i="7" s="1"/>
  <c r="J15" i="7" a="1"/>
  <c r="J15" i="7" s="1"/>
  <c r="J16" i="7" a="1"/>
  <c r="J16" i="7" s="1"/>
  <c r="J17" i="7" a="1"/>
  <c r="J17" i="7" s="1"/>
  <c r="B23" i="15" a="1"/>
  <c r="B23" i="15" s="1"/>
  <c r="N23" i="15" s="1" a="1"/>
  <c r="N23" i="15" s="1"/>
  <c r="B22" i="15" a="1"/>
  <c r="B22" i="15" s="1"/>
  <c r="B21" i="15" a="1"/>
  <c r="B21" i="15" s="1"/>
  <c r="B20" i="15" a="1"/>
  <c r="B20" i="15" s="1"/>
  <c r="B19" i="15" a="1"/>
  <c r="B19" i="15" s="1"/>
  <c r="B18" i="15" a="1"/>
  <c r="B18" i="15" s="1"/>
  <c r="B17" i="15" a="1"/>
  <c r="B17" i="15" s="1"/>
  <c r="B16" i="15" a="1"/>
  <c r="B16" i="15" s="1"/>
  <c r="B15" i="15" a="1"/>
  <c r="B15" i="15" s="1"/>
  <c r="B14" i="15" a="1"/>
  <c r="B14" i="15" s="1"/>
  <c r="B13" i="15" a="1"/>
  <c r="B13" i="15" s="1"/>
  <c r="B12" i="15" a="1"/>
  <c r="B12" i="15" s="1"/>
  <c r="B11" i="15" a="1"/>
  <c r="B11" i="15" s="1"/>
  <c r="B10" i="15" a="1"/>
  <c r="B10" i="15" s="1"/>
  <c r="B9" i="15" a="1"/>
  <c r="B9" i="15" s="1"/>
  <c r="B8" i="15" a="1"/>
  <c r="B8" i="15" s="1"/>
  <c r="B7" i="15" a="1"/>
  <c r="B7" i="15" s="1"/>
  <c r="B6" i="15" a="1"/>
  <c r="B6" i="15" s="1"/>
  <c r="B5" i="15" a="1"/>
  <c r="B5" i="15" s="1"/>
  <c r="B4" i="15" a="1"/>
  <c r="B4" i="15" s="1"/>
  <c r="B7" i="10" a="1"/>
  <c r="B7" i="10" s="1"/>
  <c r="B8" i="10" a="1"/>
  <c r="B8" i="10" s="1"/>
  <c r="B9" i="10" a="1"/>
  <c r="B9" i="10" s="1"/>
  <c r="B10" i="10" a="1"/>
  <c r="B10" i="10" s="1"/>
  <c r="B11" i="10" a="1"/>
  <c r="B11" i="10" s="1"/>
  <c r="B12" i="10" a="1"/>
  <c r="B12" i="10" s="1"/>
  <c r="B13" i="10" a="1"/>
  <c r="B13" i="10" s="1"/>
  <c r="B14" i="10" a="1"/>
  <c r="B14" i="10" s="1"/>
  <c r="B15" i="10" a="1"/>
  <c r="B15" i="10" s="1"/>
  <c r="B16" i="10" a="1"/>
  <c r="B16" i="10" s="1"/>
  <c r="B17" i="10" a="1"/>
  <c r="B17" i="10" s="1"/>
  <c r="B18" i="10" a="1"/>
  <c r="B18" i="10" s="1"/>
  <c r="B19" i="10" a="1"/>
  <c r="B19" i="10" s="1"/>
  <c r="G19" i="10" s="1" a="1"/>
  <c r="G19" i="10" s="1"/>
  <c r="B20" i="10" a="1"/>
  <c r="B20" i="10" s="1"/>
  <c r="B21" i="10" a="1"/>
  <c r="B21" i="10" s="1"/>
  <c r="G21" i="10" s="1" a="1"/>
  <c r="G21" i="10" s="1"/>
  <c r="B22" i="10" a="1"/>
  <c r="B22" i="10" s="1"/>
  <c r="B23" i="10" a="1"/>
  <c r="B23" i="10" s="1"/>
  <c r="P23" i="10" s="1" a="1"/>
  <c r="P23" i="10" s="1"/>
  <c r="B6" i="10" a="1"/>
  <c r="B6" i="10" s="1"/>
  <c r="B5" i="10" a="1"/>
  <c r="B5" i="10" s="1"/>
  <c r="L15" i="7" l="1" a="1"/>
  <c r="L15" i="7" s="1"/>
  <c r="L11" i="7" a="1"/>
  <c r="L11" i="7" s="1"/>
  <c r="L5" i="7" a="1"/>
  <c r="L5" i="7" s="1"/>
  <c r="L17" i="7" a="1"/>
  <c r="L17" i="7" s="1"/>
  <c r="L13" i="7" a="1"/>
  <c r="L13" i="7" s="1"/>
  <c r="L9" i="7" a="1"/>
  <c r="L9" i="7" s="1"/>
  <c r="L7" i="7" a="1"/>
  <c r="L7" i="7" s="1"/>
  <c r="L16" i="7" a="1"/>
  <c r="L16" i="7" s="1"/>
  <c r="L14" i="7" a="1"/>
  <c r="L14" i="7" s="1"/>
  <c r="L12" i="7" a="1"/>
  <c r="L12" i="7" s="1"/>
  <c r="L10" i="7" a="1"/>
  <c r="L10" i="7" s="1"/>
  <c r="L8" i="7" a="1"/>
  <c r="L8" i="7" s="1"/>
  <c r="L6" i="7" a="1"/>
  <c r="L6" i="7" s="1"/>
  <c r="L4" i="7" a="1"/>
  <c r="L4" i="7" s="1"/>
  <c r="V23" i="15" a="1"/>
  <c r="V23" i="15" s="1"/>
  <c r="F23" i="15" a="1"/>
  <c r="F23" i="15" s="1"/>
  <c r="V18" i="15" a="1"/>
  <c r="V18" i="15" s="1"/>
  <c r="U18" i="15" a="1"/>
  <c r="U18" i="15" s="1"/>
  <c r="T18" i="15" a="1"/>
  <c r="T18" i="15" s="1"/>
  <c r="S18" i="15" a="1"/>
  <c r="S18" i="15" s="1"/>
  <c r="R18" i="15" a="1"/>
  <c r="R18" i="15" s="1"/>
  <c r="Q18" i="15" a="1"/>
  <c r="Q18" i="15" s="1"/>
  <c r="P18" i="15" a="1"/>
  <c r="P18" i="15" s="1"/>
  <c r="O18" i="15" a="1"/>
  <c r="O18" i="15" s="1"/>
  <c r="N18" i="15" a="1"/>
  <c r="N18" i="15" s="1"/>
  <c r="M18" i="15" a="1"/>
  <c r="M18" i="15" s="1"/>
  <c r="L18" i="15" a="1"/>
  <c r="L18" i="15" s="1"/>
  <c r="K18" i="15" a="1"/>
  <c r="K18" i="15" s="1"/>
  <c r="J18" i="15" a="1"/>
  <c r="J18" i="15" s="1"/>
  <c r="I18" i="15" a="1"/>
  <c r="I18" i="15" s="1"/>
  <c r="H18" i="15" a="1"/>
  <c r="H18" i="15" s="1"/>
  <c r="G18" i="15" a="1"/>
  <c r="G18" i="15" s="1"/>
  <c r="F18" i="15" a="1"/>
  <c r="F18" i="15" s="1"/>
  <c r="E18" i="15" a="1"/>
  <c r="E18" i="15" s="1"/>
  <c r="D18" i="15" a="1"/>
  <c r="D18" i="15" s="1"/>
  <c r="C18" i="15" a="1"/>
  <c r="C18" i="15" s="1"/>
  <c r="U23" i="15" a="1"/>
  <c r="U23" i="15" s="1"/>
  <c r="S23" i="15" a="1"/>
  <c r="S23" i="15" s="1"/>
  <c r="Q23" i="15" a="1"/>
  <c r="Q23" i="15" s="1"/>
  <c r="O23" i="15" a="1"/>
  <c r="O23" i="15" s="1"/>
  <c r="M23" i="15" a="1"/>
  <c r="M23" i="15" s="1"/>
  <c r="K23" i="15" a="1"/>
  <c r="K23" i="15" s="1"/>
  <c r="I23" i="15" a="1"/>
  <c r="I23" i="15" s="1"/>
  <c r="G23" i="15" a="1"/>
  <c r="G23" i="15" s="1"/>
  <c r="E23" i="15" a="1"/>
  <c r="E23" i="15" s="1"/>
  <c r="C23" i="15" a="1"/>
  <c r="C23" i="15" s="1"/>
  <c r="T23" i="15" a="1"/>
  <c r="T23" i="15" s="1"/>
  <c r="P23" i="15" a="1"/>
  <c r="P23" i="15" s="1"/>
  <c r="L23" i="15" a="1"/>
  <c r="L23" i="15" s="1"/>
  <c r="H23" i="15" a="1"/>
  <c r="H23" i="15" s="1"/>
  <c r="D23" i="15" a="1"/>
  <c r="D23" i="15" s="1"/>
  <c r="J23" i="15" a="1"/>
  <c r="J23" i="15" s="1"/>
  <c r="R23" i="15" a="1"/>
  <c r="R23" i="15" s="1"/>
  <c r="V19" i="15" a="1"/>
  <c r="V19" i="15" s="1"/>
  <c r="U19" i="15" a="1"/>
  <c r="U19" i="15" s="1"/>
  <c r="T19" i="15" a="1"/>
  <c r="T19" i="15" s="1"/>
  <c r="S19" i="15" a="1"/>
  <c r="S19" i="15" s="1"/>
  <c r="R19" i="15" a="1"/>
  <c r="R19" i="15" s="1"/>
  <c r="Q19" i="15" a="1"/>
  <c r="Q19" i="15" s="1"/>
  <c r="P19" i="15" a="1"/>
  <c r="P19" i="15" s="1"/>
  <c r="O19" i="15" a="1"/>
  <c r="O19" i="15" s="1"/>
  <c r="N19" i="15" a="1"/>
  <c r="N19" i="15" s="1"/>
  <c r="M19" i="15" a="1"/>
  <c r="M19" i="15" s="1"/>
  <c r="L19" i="15" a="1"/>
  <c r="L19" i="15" s="1"/>
  <c r="K19" i="15" a="1"/>
  <c r="K19" i="15" s="1"/>
  <c r="J19" i="15" a="1"/>
  <c r="J19" i="15" s="1"/>
  <c r="I19" i="15" a="1"/>
  <c r="I19" i="15" s="1"/>
  <c r="H19" i="15" a="1"/>
  <c r="H19" i="15" s="1"/>
  <c r="G19" i="15" a="1"/>
  <c r="G19" i="15" s="1"/>
  <c r="F19" i="15" a="1"/>
  <c r="F19" i="15" s="1"/>
  <c r="E19" i="15" a="1"/>
  <c r="E19" i="15" s="1"/>
  <c r="D19" i="15" a="1"/>
  <c r="D19" i="15" s="1"/>
  <c r="C19" i="15" a="1"/>
  <c r="C19" i="15" s="1"/>
  <c r="V20" i="15" a="1"/>
  <c r="V20" i="15" s="1"/>
  <c r="U20" i="15" a="1"/>
  <c r="U20" i="15" s="1"/>
  <c r="T20" i="15" a="1"/>
  <c r="T20" i="15" s="1"/>
  <c r="S20" i="15" a="1"/>
  <c r="S20" i="15" s="1"/>
  <c r="R20" i="15" a="1"/>
  <c r="R20" i="15" s="1"/>
  <c r="Q20" i="15" a="1"/>
  <c r="Q20" i="15" s="1"/>
  <c r="P20" i="15" a="1"/>
  <c r="P20" i="15" s="1"/>
  <c r="O20" i="15" a="1"/>
  <c r="O20" i="15" s="1"/>
  <c r="N20" i="15" a="1"/>
  <c r="N20" i="15" s="1"/>
  <c r="M20" i="15" a="1"/>
  <c r="M20" i="15" s="1"/>
  <c r="L20" i="15" a="1"/>
  <c r="L20" i="15" s="1"/>
  <c r="K20" i="15" a="1"/>
  <c r="K20" i="15" s="1"/>
  <c r="J20" i="15" a="1"/>
  <c r="J20" i="15" s="1"/>
  <c r="I20" i="15" a="1"/>
  <c r="I20" i="15" s="1"/>
  <c r="H20" i="15" a="1"/>
  <c r="H20" i="15" s="1"/>
  <c r="G20" i="15" a="1"/>
  <c r="G20" i="15" s="1"/>
  <c r="F20" i="15" a="1"/>
  <c r="F20" i="15" s="1"/>
  <c r="E20" i="15" a="1"/>
  <c r="E20" i="15" s="1"/>
  <c r="D20" i="15" a="1"/>
  <c r="D20" i="15" s="1"/>
  <c r="C20" i="15" a="1"/>
  <c r="C20" i="15" s="1"/>
  <c r="V21" i="15" a="1"/>
  <c r="V21" i="15" s="1"/>
  <c r="U21" i="15" a="1"/>
  <c r="U21" i="15" s="1"/>
  <c r="T21" i="15" a="1"/>
  <c r="T21" i="15" s="1"/>
  <c r="S21" i="15" a="1"/>
  <c r="S21" i="15" s="1"/>
  <c r="R21" i="15" a="1"/>
  <c r="R21" i="15" s="1"/>
  <c r="Q21" i="15" a="1"/>
  <c r="Q21" i="15" s="1"/>
  <c r="P21" i="15" a="1"/>
  <c r="P21" i="15" s="1"/>
  <c r="O21" i="15" a="1"/>
  <c r="O21" i="15" s="1"/>
  <c r="N21" i="15" a="1"/>
  <c r="N21" i="15" s="1"/>
  <c r="M21" i="15" a="1"/>
  <c r="M21" i="15" s="1"/>
  <c r="L21" i="15" a="1"/>
  <c r="L21" i="15" s="1"/>
  <c r="K21" i="15" a="1"/>
  <c r="K21" i="15" s="1"/>
  <c r="J21" i="15" a="1"/>
  <c r="J21" i="15" s="1"/>
  <c r="I21" i="15" a="1"/>
  <c r="I21" i="15" s="1"/>
  <c r="H21" i="15" a="1"/>
  <c r="H21" i="15" s="1"/>
  <c r="G21" i="15" a="1"/>
  <c r="G21" i="15" s="1"/>
  <c r="F21" i="15" a="1"/>
  <c r="F21" i="15" s="1"/>
  <c r="E21" i="15" a="1"/>
  <c r="E21" i="15" s="1"/>
  <c r="D21" i="15" a="1"/>
  <c r="D21" i="15" s="1"/>
  <c r="C21" i="15" a="1"/>
  <c r="C21" i="15" s="1"/>
  <c r="V22" i="15" a="1"/>
  <c r="V22" i="15" s="1"/>
  <c r="U22" i="15" a="1"/>
  <c r="U22" i="15" s="1"/>
  <c r="T22" i="15" a="1"/>
  <c r="T22" i="15" s="1"/>
  <c r="S22" i="15" a="1"/>
  <c r="S22" i="15" s="1"/>
  <c r="R22" i="15" a="1"/>
  <c r="R22" i="15" s="1"/>
  <c r="Q22" i="15" a="1"/>
  <c r="Q22" i="15" s="1"/>
  <c r="P22" i="15" a="1"/>
  <c r="P22" i="15" s="1"/>
  <c r="O22" i="15" a="1"/>
  <c r="O22" i="15" s="1"/>
  <c r="N22" i="15" a="1"/>
  <c r="N22" i="15" s="1"/>
  <c r="M22" i="15" a="1"/>
  <c r="M22" i="15" s="1"/>
  <c r="L22" i="15" a="1"/>
  <c r="L22" i="15" s="1"/>
  <c r="K22" i="15" a="1"/>
  <c r="K22" i="15" s="1"/>
  <c r="J22" i="15" a="1"/>
  <c r="J22" i="15" s="1"/>
  <c r="I22" i="15" a="1"/>
  <c r="I22" i="15" s="1"/>
  <c r="H22" i="15" a="1"/>
  <c r="H22" i="15" s="1"/>
  <c r="G22" i="15" a="1"/>
  <c r="G22" i="15" s="1"/>
  <c r="F22" i="15" a="1"/>
  <c r="F22" i="15" s="1"/>
  <c r="E22" i="15" a="1"/>
  <c r="E22" i="15" s="1"/>
  <c r="D22" i="15" a="1"/>
  <c r="D22" i="15" s="1"/>
  <c r="C22" i="15" a="1"/>
  <c r="C22" i="15" s="1"/>
  <c r="O22" i="10" a="1"/>
  <c r="O22" i="10" s="1"/>
  <c r="P22" i="10" a="1"/>
  <c r="P22" i="10" s="1"/>
  <c r="Q22" i="10" a="1"/>
  <c r="Q22" i="10" s="1"/>
  <c r="R22" i="10" a="1"/>
  <c r="R22" i="10" s="1"/>
  <c r="S22" i="10" a="1"/>
  <c r="S22" i="10" s="1"/>
  <c r="T22" i="10" a="1"/>
  <c r="T22" i="10" s="1"/>
  <c r="U22" i="10" a="1"/>
  <c r="U22" i="10" s="1"/>
  <c r="O20" i="10" a="1"/>
  <c r="O20" i="10" s="1"/>
  <c r="P20" i="10" a="1"/>
  <c r="P20" i="10" s="1"/>
  <c r="Q20" i="10" a="1"/>
  <c r="Q20" i="10" s="1"/>
  <c r="R20" i="10" a="1"/>
  <c r="R20" i="10" s="1"/>
  <c r="S20" i="10" a="1"/>
  <c r="S20" i="10" s="1"/>
  <c r="T20" i="10" a="1"/>
  <c r="T20" i="10" s="1"/>
  <c r="U20" i="10" a="1"/>
  <c r="U20" i="10" s="1"/>
  <c r="V20" i="10" a="1"/>
  <c r="V20" i="10" s="1"/>
  <c r="W20" i="10" a="1"/>
  <c r="W20" i="10" s="1"/>
  <c r="X20" i="10" a="1"/>
  <c r="X20" i="10" s="1"/>
  <c r="Y20" i="10" a="1"/>
  <c r="Y20" i="10" s="1"/>
  <c r="Z20" i="10" a="1"/>
  <c r="Z20" i="10" s="1"/>
  <c r="AA20" i="10" a="1"/>
  <c r="AA20" i="10" s="1"/>
  <c r="AB20" i="10" a="1"/>
  <c r="AB20" i="10" s="1"/>
  <c r="AC20" i="10" a="1"/>
  <c r="AC20" i="10" s="1"/>
  <c r="AD20" i="10" a="1"/>
  <c r="AD20" i="10" s="1"/>
  <c r="AE20" i="10" a="1"/>
  <c r="AE20" i="10" s="1"/>
  <c r="AF20" i="10" a="1"/>
  <c r="AF20" i="10" s="1"/>
  <c r="AG20" i="10" a="1"/>
  <c r="AG20" i="10" s="1"/>
  <c r="AH20" i="10" a="1"/>
  <c r="AH20" i="10" s="1"/>
  <c r="AI20" i="10" a="1"/>
  <c r="AI20" i="10" s="1"/>
  <c r="AJ20" i="10" a="1"/>
  <c r="AJ20" i="10" s="1"/>
  <c r="O18" i="10" a="1"/>
  <c r="O18" i="10" s="1"/>
  <c r="P18" i="10" a="1"/>
  <c r="P18" i="10" s="1"/>
  <c r="Q18" i="10" a="1"/>
  <c r="Q18" i="10" s="1"/>
  <c r="R18" i="10" a="1"/>
  <c r="R18" i="10" s="1"/>
  <c r="S18" i="10" a="1"/>
  <c r="S18" i="10" s="1"/>
  <c r="T18" i="10" a="1"/>
  <c r="T18" i="10" s="1"/>
  <c r="U18" i="10" a="1"/>
  <c r="U18" i="10" s="1"/>
  <c r="V18" i="10" a="1"/>
  <c r="V18" i="10" s="1"/>
  <c r="W18" i="10" a="1"/>
  <c r="W18" i="10" s="1"/>
  <c r="X18" i="10" a="1"/>
  <c r="X18" i="10" s="1"/>
  <c r="Y18" i="10" a="1"/>
  <c r="Y18" i="10" s="1"/>
  <c r="Z18" i="10" a="1"/>
  <c r="Z18" i="10" s="1"/>
  <c r="AA18" i="10" a="1"/>
  <c r="AA18" i="10" s="1"/>
  <c r="AB18" i="10" a="1"/>
  <c r="AB18" i="10" s="1"/>
  <c r="AC18" i="10" a="1"/>
  <c r="AC18" i="10" s="1"/>
  <c r="AD18" i="10" a="1"/>
  <c r="AD18" i="10" s="1"/>
  <c r="AE18" i="10" a="1"/>
  <c r="AE18" i="10" s="1"/>
  <c r="AF18" i="10" a="1"/>
  <c r="AF18" i="10" s="1"/>
  <c r="AG18" i="10" a="1"/>
  <c r="AG18" i="10" s="1"/>
  <c r="AH18" i="10" a="1"/>
  <c r="AH18" i="10" s="1"/>
  <c r="AI18" i="10" a="1"/>
  <c r="AI18" i="10" s="1"/>
  <c r="AJ18" i="10" a="1"/>
  <c r="AJ18" i="10" s="1"/>
  <c r="F23" i="10" a="1"/>
  <c r="F23" i="10" s="1"/>
  <c r="E23" i="10" a="1"/>
  <c r="E23" i="10" s="1"/>
  <c r="D23" i="10" a="1"/>
  <c r="D23" i="10" s="1"/>
  <c r="C23" i="10" a="1"/>
  <c r="C23" i="10" s="1"/>
  <c r="F22" i="10" a="1"/>
  <c r="F22" i="10" s="1"/>
  <c r="E22" i="10" a="1"/>
  <c r="E22" i="10" s="1"/>
  <c r="D22" i="10" a="1"/>
  <c r="D22" i="10" s="1"/>
  <c r="C22" i="10" a="1"/>
  <c r="C22" i="10" s="1"/>
  <c r="F21" i="10" a="1"/>
  <c r="F21" i="10" s="1"/>
  <c r="E21" i="10" a="1"/>
  <c r="E21" i="10" s="1"/>
  <c r="D21" i="10" a="1"/>
  <c r="D21" i="10" s="1"/>
  <c r="C21" i="10" a="1"/>
  <c r="C21" i="10" s="1"/>
  <c r="F20" i="10" a="1"/>
  <c r="F20" i="10" s="1"/>
  <c r="E20" i="10" a="1"/>
  <c r="E20" i="10" s="1"/>
  <c r="D20" i="10" a="1"/>
  <c r="D20" i="10" s="1"/>
  <c r="C20" i="10" a="1"/>
  <c r="C20" i="10" s="1"/>
  <c r="F19" i="10" a="1"/>
  <c r="F19" i="10" s="1"/>
  <c r="E19" i="10" a="1"/>
  <c r="E19" i="10" s="1"/>
  <c r="D19" i="10" a="1"/>
  <c r="D19" i="10" s="1"/>
  <c r="C19" i="10" a="1"/>
  <c r="C19" i="10" s="1"/>
  <c r="F18" i="10" a="1"/>
  <c r="F18" i="10" s="1"/>
  <c r="E18" i="10" a="1"/>
  <c r="E18" i="10" s="1"/>
  <c r="D18" i="10" a="1"/>
  <c r="D18" i="10" s="1"/>
  <c r="C18" i="10" a="1"/>
  <c r="C18" i="10" s="1"/>
  <c r="N23" i="10" a="1"/>
  <c r="N23" i="10" s="1"/>
  <c r="M23" i="10" a="1"/>
  <c r="M23" i="10" s="1"/>
  <c r="L23" i="10" a="1"/>
  <c r="L23" i="10" s="1"/>
  <c r="K23" i="10" a="1"/>
  <c r="K23" i="10" s="1"/>
  <c r="J23" i="10" a="1"/>
  <c r="J23" i="10" s="1"/>
  <c r="I23" i="10" a="1"/>
  <c r="I23" i="10" s="1"/>
  <c r="H23" i="10" a="1"/>
  <c r="H23" i="10" s="1"/>
  <c r="G23" i="10" a="1"/>
  <c r="G23" i="10" s="1"/>
  <c r="N22" i="10" a="1"/>
  <c r="N22" i="10" s="1"/>
  <c r="M22" i="10" a="1"/>
  <c r="M22" i="10" s="1"/>
  <c r="L22" i="10" a="1"/>
  <c r="L22" i="10" s="1"/>
  <c r="K22" i="10" a="1"/>
  <c r="K22" i="10" s="1"/>
  <c r="J22" i="10" a="1"/>
  <c r="J22" i="10" s="1"/>
  <c r="I22" i="10" a="1"/>
  <c r="I22" i="10" s="1"/>
  <c r="H22" i="10" a="1"/>
  <c r="H22" i="10" s="1"/>
  <c r="G22" i="10" a="1"/>
  <c r="G22" i="10" s="1"/>
  <c r="N21" i="10" a="1"/>
  <c r="N21" i="10" s="1"/>
  <c r="M21" i="10" a="1"/>
  <c r="M21" i="10" s="1"/>
  <c r="L21" i="10" a="1"/>
  <c r="L21" i="10" s="1"/>
  <c r="K21" i="10" a="1"/>
  <c r="K21" i="10" s="1"/>
  <c r="J21" i="10" a="1"/>
  <c r="J21" i="10" s="1"/>
  <c r="I21" i="10" a="1"/>
  <c r="I21" i="10" s="1"/>
  <c r="H21" i="10" a="1"/>
  <c r="H21" i="10" s="1"/>
  <c r="N20" i="10" a="1"/>
  <c r="N20" i="10" s="1"/>
  <c r="M20" i="10" a="1"/>
  <c r="M20" i="10" s="1"/>
  <c r="L20" i="10" a="1"/>
  <c r="L20" i="10" s="1"/>
  <c r="K20" i="10" a="1"/>
  <c r="K20" i="10" s="1"/>
  <c r="J20" i="10" a="1"/>
  <c r="J20" i="10" s="1"/>
  <c r="I20" i="10" a="1"/>
  <c r="I20" i="10" s="1"/>
  <c r="H20" i="10" a="1"/>
  <c r="H20" i="10" s="1"/>
  <c r="G20" i="10" a="1"/>
  <c r="G20" i="10" s="1"/>
  <c r="N19" i="10" a="1"/>
  <c r="N19" i="10" s="1"/>
  <c r="M19" i="10" a="1"/>
  <c r="M19" i="10" s="1"/>
  <c r="L19" i="10" a="1"/>
  <c r="L19" i="10" s="1"/>
  <c r="K19" i="10" a="1"/>
  <c r="K19" i="10" s="1"/>
  <c r="J19" i="10" a="1"/>
  <c r="J19" i="10" s="1"/>
  <c r="I19" i="10" a="1"/>
  <c r="I19" i="10" s="1"/>
  <c r="H19" i="10" a="1"/>
  <c r="H19" i="10" s="1"/>
  <c r="N18" i="10" a="1"/>
  <c r="N18" i="10" s="1"/>
  <c r="M18" i="10" a="1"/>
  <c r="M18" i="10" s="1"/>
  <c r="L18" i="10" a="1"/>
  <c r="L18" i="10" s="1"/>
  <c r="K18" i="10" a="1"/>
  <c r="K18" i="10" s="1"/>
  <c r="J18" i="10" a="1"/>
  <c r="J18" i="10" s="1"/>
  <c r="I18" i="10" a="1"/>
  <c r="I18" i="10" s="1"/>
  <c r="H18" i="10" a="1"/>
  <c r="H18" i="10" s="1"/>
  <c r="G18" i="10" a="1"/>
  <c r="G18" i="10" s="1"/>
  <c r="AI23" i="10" a="1"/>
  <c r="AI23" i="10" s="1"/>
  <c r="AG23" i="10" a="1"/>
  <c r="AG23" i="10" s="1"/>
  <c r="AE23" i="10" a="1"/>
  <c r="AE23" i="10" s="1"/>
  <c r="AC23" i="10" a="1"/>
  <c r="AC23" i="10" s="1"/>
  <c r="AA23" i="10" a="1"/>
  <c r="AA23" i="10" s="1"/>
  <c r="Y23" i="10" a="1"/>
  <c r="Y23" i="10" s="1"/>
  <c r="W23" i="10" a="1"/>
  <c r="W23" i="10" s="1"/>
  <c r="U23" i="10" a="1"/>
  <c r="U23" i="10" s="1"/>
  <c r="S23" i="10" a="1"/>
  <c r="S23" i="10" s="1"/>
  <c r="Q23" i="10" a="1"/>
  <c r="Q23" i="10" s="1"/>
  <c r="O23" i="10" a="1"/>
  <c r="O23" i="10" s="1"/>
  <c r="AI22" i="10" a="1"/>
  <c r="AI22" i="10" s="1"/>
  <c r="AG22" i="10" a="1"/>
  <c r="AG22" i="10" s="1"/>
  <c r="AE22" i="10" a="1"/>
  <c r="AE22" i="10" s="1"/>
  <c r="AC22" i="10" a="1"/>
  <c r="AC22" i="10" s="1"/>
  <c r="AA22" i="10" a="1"/>
  <c r="AA22" i="10" s="1"/>
  <c r="Y22" i="10" a="1"/>
  <c r="Y22" i="10" s="1"/>
  <c r="W22" i="10" a="1"/>
  <c r="W22" i="10" s="1"/>
  <c r="O21" i="10" a="1"/>
  <c r="O21" i="10" s="1"/>
  <c r="P21" i="10" a="1"/>
  <c r="P21" i="10" s="1"/>
  <c r="Q21" i="10" a="1"/>
  <c r="Q21" i="10" s="1"/>
  <c r="R21" i="10" a="1"/>
  <c r="R21" i="10" s="1"/>
  <c r="S21" i="10" a="1"/>
  <c r="S21" i="10" s="1"/>
  <c r="T21" i="10" a="1"/>
  <c r="T21" i="10" s="1"/>
  <c r="U21" i="10" a="1"/>
  <c r="U21" i="10" s="1"/>
  <c r="V21" i="10" a="1"/>
  <c r="V21" i="10" s="1"/>
  <c r="W21" i="10" a="1"/>
  <c r="W21" i="10" s="1"/>
  <c r="X21" i="10" a="1"/>
  <c r="X21" i="10" s="1"/>
  <c r="Y21" i="10" a="1"/>
  <c r="Y21" i="10" s="1"/>
  <c r="Z21" i="10" a="1"/>
  <c r="Z21" i="10" s="1"/>
  <c r="AA21" i="10" a="1"/>
  <c r="AA21" i="10" s="1"/>
  <c r="AB21" i="10" a="1"/>
  <c r="AB21" i="10" s="1"/>
  <c r="AC21" i="10" a="1"/>
  <c r="AC21" i="10" s="1"/>
  <c r="AD21" i="10" a="1"/>
  <c r="AD21" i="10" s="1"/>
  <c r="AE21" i="10" a="1"/>
  <c r="AE21" i="10" s="1"/>
  <c r="AF21" i="10" a="1"/>
  <c r="AF21" i="10" s="1"/>
  <c r="AG21" i="10" a="1"/>
  <c r="AG21" i="10" s="1"/>
  <c r="AH21" i="10" a="1"/>
  <c r="AH21" i="10" s="1"/>
  <c r="AI21" i="10" a="1"/>
  <c r="AI21" i="10" s="1"/>
  <c r="AJ21" i="10" a="1"/>
  <c r="AJ21" i="10" s="1"/>
  <c r="O19" i="10" a="1"/>
  <c r="O19" i="10" s="1"/>
  <c r="P19" i="10" a="1"/>
  <c r="P19" i="10" s="1"/>
  <c r="Q19" i="10" a="1"/>
  <c r="Q19" i="10" s="1"/>
  <c r="R19" i="10" a="1"/>
  <c r="R19" i="10" s="1"/>
  <c r="S19" i="10" a="1"/>
  <c r="S19" i="10" s="1"/>
  <c r="T19" i="10" a="1"/>
  <c r="T19" i="10" s="1"/>
  <c r="U19" i="10" a="1"/>
  <c r="U19" i="10" s="1"/>
  <c r="V19" i="10" a="1"/>
  <c r="V19" i="10" s="1"/>
  <c r="W19" i="10" a="1"/>
  <c r="W19" i="10" s="1"/>
  <c r="X19" i="10" a="1"/>
  <c r="X19" i="10" s="1"/>
  <c r="Y19" i="10" a="1"/>
  <c r="Y19" i="10" s="1"/>
  <c r="Z19" i="10" a="1"/>
  <c r="Z19" i="10" s="1"/>
  <c r="AA19" i="10" a="1"/>
  <c r="AA19" i="10" s="1"/>
  <c r="AB19" i="10" a="1"/>
  <c r="AB19" i="10" s="1"/>
  <c r="AC19" i="10" a="1"/>
  <c r="AC19" i="10" s="1"/>
  <c r="AD19" i="10" a="1"/>
  <c r="AD19" i="10" s="1"/>
  <c r="AE19" i="10" a="1"/>
  <c r="AE19" i="10" s="1"/>
  <c r="AF19" i="10" a="1"/>
  <c r="AF19" i="10" s="1"/>
  <c r="AG19" i="10" a="1"/>
  <c r="AG19" i="10" s="1"/>
  <c r="AH19" i="10" a="1"/>
  <c r="AH19" i="10" s="1"/>
  <c r="AI19" i="10" a="1"/>
  <c r="AI19" i="10" s="1"/>
  <c r="AJ19" i="10" a="1"/>
  <c r="AJ19" i="10" s="1"/>
  <c r="AJ23" i="10" a="1"/>
  <c r="AJ23" i="10" s="1"/>
  <c r="AH23" i="10" a="1"/>
  <c r="AH23" i="10" s="1"/>
  <c r="AF23" i="10" a="1"/>
  <c r="AF23" i="10" s="1"/>
  <c r="AD23" i="10" a="1"/>
  <c r="AD23" i="10" s="1"/>
  <c r="AB23" i="10" a="1"/>
  <c r="AB23" i="10" s="1"/>
  <c r="Z23" i="10" a="1"/>
  <c r="Z23" i="10" s="1"/>
  <c r="X23" i="10" a="1"/>
  <c r="X23" i="10" s="1"/>
  <c r="V23" i="10" a="1"/>
  <c r="V23" i="10" s="1"/>
  <c r="T23" i="10" a="1"/>
  <c r="T23" i="10" s="1"/>
  <c r="R23" i="10" a="1"/>
  <c r="R23" i="10" s="1"/>
  <c r="AJ22" i="10" a="1"/>
  <c r="AJ22" i="10" s="1"/>
  <c r="AH22" i="10" a="1"/>
  <c r="AH22" i="10" s="1"/>
  <c r="AF22" i="10" a="1"/>
  <c r="AF22" i="10" s="1"/>
  <c r="AD22" i="10" a="1"/>
  <c r="AD22" i="10" s="1"/>
  <c r="AB22" i="10" a="1"/>
  <c r="AB22" i="10" s="1"/>
  <c r="Z22" i="10" a="1"/>
  <c r="Z22" i="10" s="1"/>
  <c r="X22" i="10" a="1"/>
  <c r="X22" i="10" s="1"/>
  <c r="V22" i="10" a="1"/>
  <c r="V22" i="10" s="1"/>
  <c r="E2" i="13" l="1" a="1"/>
  <c r="E2" i="13" s="1"/>
  <c r="B17" i="7"/>
  <c r="C17" i="7"/>
  <c r="M17" i="7" a="1"/>
  <c r="M17" i="7" s="1"/>
  <c r="P17" i="7" a="1"/>
  <c r="P17" i="7" s="1"/>
  <c r="AG17" i="10" s="1" a="1"/>
  <c r="AG17" i="10" s="1"/>
  <c r="S17" i="7" a="1"/>
  <c r="S17" i="7" s="1"/>
  <c r="V17" i="7" a="1"/>
  <c r="V17" i="7" s="1"/>
  <c r="Y17" i="7" a="1"/>
  <c r="Y17" i="7" s="1"/>
  <c r="AB17" i="7" a="1"/>
  <c r="AB17" i="7" s="1"/>
  <c r="AE17" i="7" a="1"/>
  <c r="AE17" i="7" s="1"/>
  <c r="AH17" i="7" a="1"/>
  <c r="AH17" i="7" s="1"/>
  <c r="AJ17" i="7" s="1"/>
  <c r="AJ17" i="10" s="1" a="1"/>
  <c r="AJ17" i="10" s="1"/>
  <c r="AK17" i="7" a="1"/>
  <c r="AK17" i="7" s="1"/>
  <c r="AN17" i="7" a="1"/>
  <c r="AN17" i="7" s="1"/>
  <c r="W17" i="10" s="1" a="1"/>
  <c r="W17" i="10" s="1"/>
  <c r="AQ17" i="7"/>
  <c r="Y17" i="10" s="1" a="1"/>
  <c r="Y17" i="10" s="1"/>
  <c r="AT17" i="7" a="1"/>
  <c r="AT17" i="7" s="1"/>
  <c r="AA17" i="10" s="1" a="1"/>
  <c r="AA17" i="10" s="1"/>
  <c r="AW17" i="7" a="1"/>
  <c r="AW17" i="7" s="1"/>
  <c r="AC17" i="10" s="1" a="1"/>
  <c r="AC17" i="10" s="1"/>
  <c r="AZ17" i="7" a="1"/>
  <c r="AZ17" i="7" s="1"/>
  <c r="AE17" i="10" s="1" a="1"/>
  <c r="AE17" i="10" s="1"/>
  <c r="BF17" i="7" a="1"/>
  <c r="BF17" i="7" s="1"/>
  <c r="B16" i="7"/>
  <c r="C16" i="7"/>
  <c r="M16" i="7" a="1"/>
  <c r="M16" i="7" s="1"/>
  <c r="P16" i="7" a="1"/>
  <c r="P16" i="7" s="1"/>
  <c r="AG16" i="10" s="1" a="1"/>
  <c r="AG16" i="10" s="1"/>
  <c r="S16" i="7" a="1"/>
  <c r="S16" i="7" s="1"/>
  <c r="V16" i="7" a="1"/>
  <c r="V16" i="7" s="1"/>
  <c r="Y16" i="7" a="1"/>
  <c r="Y16" i="7" s="1"/>
  <c r="AB16" i="7" a="1"/>
  <c r="AB16" i="7" s="1"/>
  <c r="AE16" i="7" a="1"/>
  <c r="AE16" i="7" s="1"/>
  <c r="AH16" i="7" a="1"/>
  <c r="AH16" i="7" s="1"/>
  <c r="AJ16" i="7" s="1"/>
  <c r="AJ16" i="10" s="1" a="1"/>
  <c r="AJ16" i="10" s="1"/>
  <c r="AK16" i="7" a="1"/>
  <c r="AK16" i="7" s="1"/>
  <c r="AN16" i="7" a="1"/>
  <c r="AN16" i="7" s="1"/>
  <c r="W16" i="10" s="1" a="1"/>
  <c r="W16" i="10" s="1"/>
  <c r="AQ16" i="7"/>
  <c r="Y16" i="10" s="1" a="1"/>
  <c r="Y16" i="10" s="1"/>
  <c r="AT16" i="7" a="1"/>
  <c r="AT16" i="7" s="1"/>
  <c r="AA16" i="10" s="1" a="1"/>
  <c r="AA16" i="10" s="1"/>
  <c r="AW16" i="7" a="1"/>
  <c r="AW16" i="7" s="1"/>
  <c r="AC16" i="10" s="1" a="1"/>
  <c r="AC16" i="10" s="1"/>
  <c r="AZ16" i="7" a="1"/>
  <c r="AZ16" i="7" s="1"/>
  <c r="AE16" i="10" s="1" a="1"/>
  <c r="AE16" i="10" s="1"/>
  <c r="BF16" i="7" a="1"/>
  <c r="BF16" i="7" s="1"/>
  <c r="B15" i="7"/>
  <c r="C15" i="7"/>
  <c r="M15" i="7" a="1"/>
  <c r="M15" i="7" s="1"/>
  <c r="P15" i="7" a="1"/>
  <c r="P15" i="7" s="1"/>
  <c r="AG15" i="10" s="1" a="1"/>
  <c r="AG15" i="10" s="1"/>
  <c r="S15" i="7" a="1"/>
  <c r="S15" i="7" s="1"/>
  <c r="V15" i="7" a="1"/>
  <c r="V15" i="7" s="1"/>
  <c r="Y15" i="7" a="1"/>
  <c r="Y15" i="7" s="1"/>
  <c r="AB15" i="7" a="1"/>
  <c r="AB15" i="7" s="1"/>
  <c r="AE15" i="7" a="1"/>
  <c r="AE15" i="7" s="1"/>
  <c r="AH15" i="7" a="1"/>
  <c r="AH15" i="7" s="1"/>
  <c r="AJ15" i="7" s="1"/>
  <c r="AJ15" i="10" s="1" a="1"/>
  <c r="AJ15" i="10" s="1"/>
  <c r="AK15" i="7" a="1"/>
  <c r="AK15" i="7" s="1"/>
  <c r="AN15" i="7" a="1"/>
  <c r="AN15" i="7" s="1"/>
  <c r="W15" i="10" s="1" a="1"/>
  <c r="W15" i="10" s="1"/>
  <c r="AQ15" i="7"/>
  <c r="Y15" i="10" s="1" a="1"/>
  <c r="Y15" i="10" s="1"/>
  <c r="AT15" i="7" a="1"/>
  <c r="AT15" i="7" s="1"/>
  <c r="AA15" i="10" s="1" a="1"/>
  <c r="AA15" i="10" s="1"/>
  <c r="AW15" i="7" a="1"/>
  <c r="AW15" i="7" s="1"/>
  <c r="AC15" i="10" s="1" a="1"/>
  <c r="AC15" i="10" s="1"/>
  <c r="AZ15" i="7" a="1"/>
  <c r="AZ15" i="7" s="1"/>
  <c r="AE15" i="10" s="1" a="1"/>
  <c r="AE15" i="10" s="1"/>
  <c r="BF15" i="7" a="1"/>
  <c r="BF15" i="7" s="1"/>
  <c r="B14" i="7"/>
  <c r="C14" i="7"/>
  <c r="M14" i="7" a="1"/>
  <c r="M14" i="7" s="1"/>
  <c r="S14" i="7" a="1"/>
  <c r="S14" i="7" s="1"/>
  <c r="Y14" i="7" a="1"/>
  <c r="Y14" i="7" s="1"/>
  <c r="AE14" i="7" a="1"/>
  <c r="AE14" i="7" s="1"/>
  <c r="AK14" i="7" a="1"/>
  <c r="AK14" i="7" s="1"/>
  <c r="AQ14" i="7"/>
  <c r="Y14" i="10" s="1" a="1"/>
  <c r="Y14" i="10" s="1"/>
  <c r="AW14" i="7" a="1"/>
  <c r="AW14" i="7" s="1"/>
  <c r="AC14" i="10" s="1" a="1"/>
  <c r="AC14" i="10" s="1"/>
  <c r="E5" i="13" l="1"/>
  <c r="E14" i="10" a="1"/>
  <c r="E14" i="10" s="1"/>
  <c r="E14" i="15" a="1"/>
  <c r="E14" i="15" s="1"/>
  <c r="U14" i="15" a="1"/>
  <c r="U14" i="15" s="1"/>
  <c r="U14" i="10" a="1"/>
  <c r="U14" i="10" s="1"/>
  <c r="M14" i="15" a="1"/>
  <c r="M14" i="15" s="1"/>
  <c r="M14" i="10" a="1"/>
  <c r="M14" i="10" s="1"/>
  <c r="Q14" i="15" a="1"/>
  <c r="Q14" i="15" s="1"/>
  <c r="Q14" i="10" a="1"/>
  <c r="Q14" i="10" s="1"/>
  <c r="AI14" i="10" a="1"/>
  <c r="AI14" i="10" s="1"/>
  <c r="K15" i="15" a="1"/>
  <c r="K15" i="15" s="1"/>
  <c r="K15" i="10" a="1"/>
  <c r="K15" i="10" s="1"/>
  <c r="I15" i="15" a="1"/>
  <c r="I15" i="15" s="1"/>
  <c r="I15" i="10" a="1"/>
  <c r="I15" i="10" s="1"/>
  <c r="G15" i="15" a="1"/>
  <c r="G15" i="15" s="1"/>
  <c r="G15" i="10" a="1"/>
  <c r="G15" i="10" s="1"/>
  <c r="E16" i="15" a="1"/>
  <c r="E16" i="15" s="1"/>
  <c r="E16" i="10" a="1"/>
  <c r="E16" i="10" s="1"/>
  <c r="U16" i="15" a="1"/>
  <c r="U16" i="15" s="1"/>
  <c r="U16" i="10" a="1"/>
  <c r="U16" i="10" s="1"/>
  <c r="S16" i="10" a="1"/>
  <c r="S16" i="10" s="1"/>
  <c r="S16" i="15" a="1"/>
  <c r="S16" i="15" s="1"/>
  <c r="M16" i="15" a="1"/>
  <c r="M16" i="15" s="1"/>
  <c r="M16" i="10" a="1"/>
  <c r="M16" i="10" s="1"/>
  <c r="C16" i="15" a="1"/>
  <c r="C16" i="15" s="1"/>
  <c r="C16" i="10" a="1"/>
  <c r="C16" i="10" s="1"/>
  <c r="AI16" i="10" a="1"/>
  <c r="AI16" i="10" s="1"/>
  <c r="Q16" i="15" a="1"/>
  <c r="Q16" i="15" s="1"/>
  <c r="Q16" i="10" a="1"/>
  <c r="Q16" i="10" s="1"/>
  <c r="K17" i="15" a="1"/>
  <c r="K17" i="15" s="1"/>
  <c r="K17" i="10" a="1"/>
  <c r="K17" i="10" s="1"/>
  <c r="I17" i="15" a="1"/>
  <c r="I17" i="15" s="1"/>
  <c r="I17" i="10" a="1"/>
  <c r="I17" i="10" s="1"/>
  <c r="G17" i="10" a="1"/>
  <c r="G17" i="10" s="1"/>
  <c r="G17" i="15" a="1"/>
  <c r="G17" i="15" s="1"/>
  <c r="S14" i="15" a="1"/>
  <c r="S14" i="15" s="1"/>
  <c r="S14" i="10" a="1"/>
  <c r="S14" i="10" s="1"/>
  <c r="C14" i="15" a="1"/>
  <c r="C14" i="15" s="1"/>
  <c r="C14" i="10" a="1"/>
  <c r="C14" i="10" s="1"/>
  <c r="E15" i="15" a="1"/>
  <c r="E15" i="15" s="1"/>
  <c r="E15" i="10" a="1"/>
  <c r="E15" i="10" s="1"/>
  <c r="U15" i="15" a="1"/>
  <c r="U15" i="15" s="1"/>
  <c r="U15" i="10" a="1"/>
  <c r="U15" i="10" s="1"/>
  <c r="S15" i="15" a="1"/>
  <c r="S15" i="15" s="1"/>
  <c r="S15" i="10" a="1"/>
  <c r="S15" i="10" s="1"/>
  <c r="M15" i="15" a="1"/>
  <c r="M15" i="15" s="1"/>
  <c r="M15" i="10" a="1"/>
  <c r="M15" i="10" s="1"/>
  <c r="C15" i="15" a="1"/>
  <c r="C15" i="15" s="1"/>
  <c r="C15" i="10" a="1"/>
  <c r="C15" i="10" s="1"/>
  <c r="Q15" i="15" a="1"/>
  <c r="Q15" i="15" s="1"/>
  <c r="Q15" i="10" a="1"/>
  <c r="Q15" i="10" s="1"/>
  <c r="AI15" i="10" a="1"/>
  <c r="AI15" i="10" s="1"/>
  <c r="K16" i="15" a="1"/>
  <c r="K16" i="15" s="1"/>
  <c r="K16" i="10" a="1"/>
  <c r="K16" i="10" s="1"/>
  <c r="I16" i="15" a="1"/>
  <c r="I16" i="15" s="1"/>
  <c r="I16" i="10" a="1"/>
  <c r="I16" i="10" s="1"/>
  <c r="G16" i="15" a="1"/>
  <c r="G16" i="15" s="1"/>
  <c r="G16" i="10" a="1"/>
  <c r="G16" i="10" s="1"/>
  <c r="E17" i="10" a="1"/>
  <c r="E17" i="10" s="1"/>
  <c r="E17" i="15" a="1"/>
  <c r="E17" i="15" s="1"/>
  <c r="U17" i="15" a="1"/>
  <c r="U17" i="15" s="1"/>
  <c r="U17" i="10" a="1"/>
  <c r="U17" i="10" s="1"/>
  <c r="S17" i="15" a="1"/>
  <c r="S17" i="15" s="1"/>
  <c r="S17" i="10" a="1"/>
  <c r="S17" i="10" s="1"/>
  <c r="M17" i="15" a="1"/>
  <c r="M17" i="15" s="1"/>
  <c r="M17" i="10" a="1"/>
  <c r="M17" i="10" s="1"/>
  <c r="C17" i="10" a="1"/>
  <c r="C17" i="10" s="1"/>
  <c r="C17" i="15" a="1"/>
  <c r="C17" i="15" s="1"/>
  <c r="Q17" i="15" a="1"/>
  <c r="Q17" i="15" s="1"/>
  <c r="Q17" i="10" a="1"/>
  <c r="Q17" i="10" s="1"/>
  <c r="AI17" i="10" a="1"/>
  <c r="AI17" i="10" s="1"/>
  <c r="AG14" i="7"/>
  <c r="AY15" i="7"/>
  <c r="AD15" i="10" s="1" a="1"/>
  <c r="AD15" i="10" s="1"/>
  <c r="AS15" i="7"/>
  <c r="Z15" i="10" s="1" a="1"/>
  <c r="Z15" i="10" s="1"/>
  <c r="AG15" i="7"/>
  <c r="AY14" i="7"/>
  <c r="AD14" i="10" s="1" a="1"/>
  <c r="AD14" i="10" s="1"/>
  <c r="AM14" i="7"/>
  <c r="AA14" i="7"/>
  <c r="O14" i="7"/>
  <c r="BH15" i="7"/>
  <c r="BB15" i="7"/>
  <c r="AF15" i="10" s="1" a="1"/>
  <c r="AF15" i="10" s="1"/>
  <c r="AV15" i="7"/>
  <c r="AB15" i="10" s="1" a="1"/>
  <c r="AB15" i="10" s="1"/>
  <c r="AP15" i="7"/>
  <c r="X15" i="10" s="1" a="1"/>
  <c r="X15" i="10" s="1"/>
  <c r="AD15" i="7"/>
  <c r="X15" i="7"/>
  <c r="R15" i="7"/>
  <c r="AH15" i="10" s="1" a="1"/>
  <c r="AH15" i="10" s="1"/>
  <c r="BH16" i="7"/>
  <c r="BB16" i="7"/>
  <c r="AF16" i="10" s="1" a="1"/>
  <c r="AF16" i="10" s="1"/>
  <c r="AV16" i="7"/>
  <c r="AB16" i="10" s="1" a="1"/>
  <c r="AB16" i="10" s="1"/>
  <c r="AP16" i="7"/>
  <c r="X16" i="10" s="1" a="1"/>
  <c r="X16" i="10" s="1"/>
  <c r="AD16" i="7"/>
  <c r="X16" i="7"/>
  <c r="R16" i="7"/>
  <c r="AH16" i="10" s="1" a="1"/>
  <c r="AH16" i="10" s="1"/>
  <c r="BH17" i="7"/>
  <c r="BB17" i="7"/>
  <c r="AF17" i="10" s="1" a="1"/>
  <c r="AF17" i="10" s="1"/>
  <c r="AV17" i="7"/>
  <c r="AB17" i="10" s="1" a="1"/>
  <c r="AB17" i="10" s="1"/>
  <c r="AP17" i="7"/>
  <c r="X17" i="10" s="1" a="1"/>
  <c r="X17" i="10" s="1"/>
  <c r="AD17" i="7"/>
  <c r="X17" i="7"/>
  <c r="R17" i="7"/>
  <c r="AH17" i="10" s="1" a="1"/>
  <c r="AH17" i="10" s="1"/>
  <c r="BE14" i="7"/>
  <c r="AS14" i="7"/>
  <c r="Z14" i="10" s="1" a="1"/>
  <c r="Z14" i="10" s="1"/>
  <c r="U14" i="7"/>
  <c r="BE15" i="7"/>
  <c r="AM15" i="7"/>
  <c r="AA15" i="7"/>
  <c r="U15" i="7"/>
  <c r="O15" i="7"/>
  <c r="BE16" i="7"/>
  <c r="AY16" i="7"/>
  <c r="AD16" i="10" s="1" a="1"/>
  <c r="AD16" i="10" s="1"/>
  <c r="AS16" i="7"/>
  <c r="Z16" i="10" s="1" a="1"/>
  <c r="Z16" i="10" s="1"/>
  <c r="AM16" i="7"/>
  <c r="AG16" i="7"/>
  <c r="AA16" i="7"/>
  <c r="U16" i="7"/>
  <c r="O16" i="7"/>
  <c r="BE17" i="7"/>
  <c r="AY17" i="7"/>
  <c r="AD17" i="10" s="1" a="1"/>
  <c r="AD17" i="10" s="1"/>
  <c r="AS17" i="7"/>
  <c r="Z17" i="10" s="1" a="1"/>
  <c r="Z17" i="10" s="1"/>
  <c r="AM17" i="7"/>
  <c r="AG17" i="7"/>
  <c r="AA17" i="7"/>
  <c r="U17" i="7"/>
  <c r="O17" i="7"/>
  <c r="D7" i="13" a="1"/>
  <c r="D7" i="13" s="1"/>
  <c r="D10" i="13" a="1"/>
  <c r="D10" i="13" s="1"/>
  <c r="D9" i="13" a="1"/>
  <c r="D9" i="13" s="1"/>
  <c r="D8" i="13" a="1"/>
  <c r="D8" i="13" s="1"/>
  <c r="BF14" i="7" a="1"/>
  <c r="BF14" i="7" s="1"/>
  <c r="AZ14" i="7" a="1"/>
  <c r="AZ14" i="7" s="1"/>
  <c r="AE14" i="10" s="1" a="1"/>
  <c r="AE14" i="10" s="1"/>
  <c r="AT14" i="7" a="1"/>
  <c r="AT14" i="7" s="1"/>
  <c r="AA14" i="10" s="1" a="1"/>
  <c r="AA14" i="10" s="1"/>
  <c r="AN14" i="7" a="1"/>
  <c r="AN14" i="7" s="1"/>
  <c r="W14" i="10" s="1" a="1"/>
  <c r="W14" i="10" s="1"/>
  <c r="AH14" i="7" a="1"/>
  <c r="AH14" i="7" s="1"/>
  <c r="AJ14" i="7" s="1"/>
  <c r="AJ14" i="10" s="1" a="1"/>
  <c r="AJ14" i="10" s="1"/>
  <c r="AB14" i="7" a="1"/>
  <c r="AB14" i="7" s="1"/>
  <c r="V14" i="7" a="1"/>
  <c r="V14" i="7" s="1"/>
  <c r="P14" i="7" a="1"/>
  <c r="P14" i="7" s="1"/>
  <c r="AG14" i="10" s="1" a="1"/>
  <c r="AG14" i="10" s="1"/>
  <c r="BF4" i="7" a="1"/>
  <c r="BF4" i="7" s="1"/>
  <c r="BF5" i="7" a="1"/>
  <c r="BF5" i="7" s="1"/>
  <c r="BF6" i="7" a="1"/>
  <c r="BF6" i="7" s="1"/>
  <c r="BF7" i="7" a="1"/>
  <c r="BF7" i="7" s="1"/>
  <c r="AZ4" i="7" a="1"/>
  <c r="AZ4" i="7" s="1"/>
  <c r="AE4" i="10" s="1" a="1"/>
  <c r="AE4" i="10" s="1"/>
  <c r="AZ5" i="7" a="1"/>
  <c r="AZ5" i="7" s="1"/>
  <c r="AE5" i="10" s="1" a="1"/>
  <c r="AE5" i="10" s="1"/>
  <c r="AZ6" i="7" a="1"/>
  <c r="AZ6" i="7" s="1"/>
  <c r="AE6" i="10" s="1" a="1"/>
  <c r="AE6" i="10" s="1"/>
  <c r="AZ7" i="7" a="1"/>
  <c r="AZ7" i="7" s="1"/>
  <c r="AE7" i="10" s="1" a="1"/>
  <c r="AE7" i="10" s="1"/>
  <c r="AW4" i="7" a="1"/>
  <c r="AW4" i="7" s="1"/>
  <c r="AC4" i="10" s="1" a="1"/>
  <c r="AC4" i="10" s="1"/>
  <c r="AW5" i="7" a="1"/>
  <c r="AW5" i="7" s="1"/>
  <c r="AC5" i="10" s="1" a="1"/>
  <c r="AC5" i="10" s="1"/>
  <c r="AW6" i="7" a="1"/>
  <c r="AW6" i="7" s="1"/>
  <c r="AC6" i="10" s="1" a="1"/>
  <c r="AC6" i="10" s="1"/>
  <c r="AW7" i="7" a="1"/>
  <c r="AW7" i="7" s="1"/>
  <c r="AC7" i="10" s="1" a="1"/>
  <c r="AC7" i="10" s="1"/>
  <c r="AT4" i="7" a="1"/>
  <c r="AT4" i="7" s="1"/>
  <c r="AA4" i="10" s="1" a="1"/>
  <c r="AA4" i="10" s="1"/>
  <c r="AT5" i="7" a="1"/>
  <c r="AT5" i="7" s="1"/>
  <c r="AA5" i="10" s="1" a="1"/>
  <c r="AA5" i="10" s="1"/>
  <c r="AT6" i="7" a="1"/>
  <c r="AT6" i="7" s="1"/>
  <c r="AA6" i="10" s="1" a="1"/>
  <c r="AA6" i="10" s="1"/>
  <c r="AT7" i="7" a="1"/>
  <c r="AT7" i="7" s="1"/>
  <c r="AA7" i="10" s="1" a="1"/>
  <c r="AA7" i="10" s="1"/>
  <c r="AN4" i="7" a="1"/>
  <c r="AN4" i="7" s="1"/>
  <c r="W4" i="10" s="1" a="1"/>
  <c r="W4" i="10" s="1"/>
  <c r="AN5" i="7" a="1"/>
  <c r="AN5" i="7" s="1"/>
  <c r="W5" i="10" s="1" a="1"/>
  <c r="W5" i="10" s="1"/>
  <c r="AN6" i="7" a="1"/>
  <c r="AN6" i="7" s="1"/>
  <c r="W6" i="10" s="1" a="1"/>
  <c r="W6" i="10" s="1"/>
  <c r="AN7" i="7" a="1"/>
  <c r="AN7" i="7" s="1"/>
  <c r="W7" i="10" s="1" a="1"/>
  <c r="W7" i="10" s="1"/>
  <c r="AQ4" i="7"/>
  <c r="AQ5" i="7"/>
  <c r="Y5" i="10" s="1" a="1"/>
  <c r="Y5" i="10" s="1"/>
  <c r="AQ6" i="7"/>
  <c r="Y6" i="10" s="1" a="1"/>
  <c r="Y6" i="10" s="1"/>
  <c r="AQ7" i="7"/>
  <c r="Y7" i="10" s="1" a="1"/>
  <c r="Y7" i="10" s="1"/>
  <c r="AK4" i="7" a="1"/>
  <c r="AK4" i="7" s="1"/>
  <c r="AK5" i="7" a="1"/>
  <c r="AK5" i="7" s="1"/>
  <c r="AK6" i="7" a="1"/>
  <c r="AK6" i="7" s="1"/>
  <c r="AK7" i="7" a="1"/>
  <c r="AK7" i="7" s="1"/>
  <c r="AH4" i="7" a="1"/>
  <c r="AH4" i="7" s="1"/>
  <c r="AJ4" i="7" s="1"/>
  <c r="AJ4" i="10" s="1" a="1"/>
  <c r="AJ4" i="10" s="1"/>
  <c r="AH5" i="7" a="1"/>
  <c r="AH5" i="7" s="1"/>
  <c r="AJ5" i="7" s="1"/>
  <c r="AJ5" i="10" s="1" a="1"/>
  <c r="AJ5" i="10" s="1"/>
  <c r="AH6" i="7" a="1"/>
  <c r="AH6" i="7" s="1"/>
  <c r="AJ6" i="7" s="1"/>
  <c r="AJ6" i="10" s="1" a="1"/>
  <c r="AJ6" i="10" s="1"/>
  <c r="AH7" i="7" a="1"/>
  <c r="AH7" i="7" s="1"/>
  <c r="AJ7" i="7" s="1"/>
  <c r="AJ7" i="10" s="1" a="1"/>
  <c r="AJ7" i="10" s="1"/>
  <c r="AE4" i="7" a="1"/>
  <c r="AE4" i="7" s="1"/>
  <c r="AE5" i="7" a="1"/>
  <c r="AE5" i="7" s="1"/>
  <c r="AE6" i="7" a="1"/>
  <c r="AE6" i="7" s="1"/>
  <c r="AE7" i="7" a="1"/>
  <c r="AE7" i="7" s="1"/>
  <c r="AB4" i="7" a="1"/>
  <c r="AB4" i="7" s="1"/>
  <c r="AB5" i="7" a="1"/>
  <c r="AB5" i="7" s="1"/>
  <c r="AB6" i="7" a="1"/>
  <c r="AB6" i="7" s="1"/>
  <c r="AB7" i="7" a="1"/>
  <c r="AB7" i="7" s="1"/>
  <c r="Y4" i="7" a="1"/>
  <c r="Y4" i="7" s="1"/>
  <c r="Y5" i="7" a="1"/>
  <c r="Y5" i="7" s="1"/>
  <c r="Y6" i="7" a="1"/>
  <c r="Y6" i="7" s="1"/>
  <c r="Y7" i="7" a="1"/>
  <c r="Y7" i="7" s="1"/>
  <c r="V4" i="7" a="1"/>
  <c r="V4" i="7" s="1"/>
  <c r="V5" i="7" a="1"/>
  <c r="V5" i="7" s="1"/>
  <c r="V6" i="7" a="1"/>
  <c r="V6" i="7" s="1"/>
  <c r="V7" i="7" a="1"/>
  <c r="V7" i="7" s="1"/>
  <c r="S4" i="7" a="1"/>
  <c r="S4" i="7" s="1"/>
  <c r="S5" i="7" a="1"/>
  <c r="S5" i="7" s="1"/>
  <c r="S6" i="7" a="1"/>
  <c r="S6" i="7" s="1"/>
  <c r="S7" i="7" a="1"/>
  <c r="S7" i="7" s="1"/>
  <c r="P4" i="7" a="1"/>
  <c r="P4" i="7" s="1"/>
  <c r="AG4" i="10" s="1" a="1"/>
  <c r="AG4" i="10" s="1"/>
  <c r="P5" i="7" a="1"/>
  <c r="P5" i="7" s="1"/>
  <c r="AG5" i="10" s="1" a="1"/>
  <c r="AG5" i="10" s="1"/>
  <c r="P6" i="7" a="1"/>
  <c r="P6" i="7" s="1"/>
  <c r="AG6" i="10" s="1" a="1"/>
  <c r="AG6" i="10" s="1"/>
  <c r="P7" i="7" a="1"/>
  <c r="P7" i="7" s="1"/>
  <c r="AG7" i="10" s="1" a="1"/>
  <c r="AG7" i="10" s="1"/>
  <c r="B13" i="7"/>
  <c r="C13" i="7"/>
  <c r="M4" i="7" a="1"/>
  <c r="M4" i="7" s="1"/>
  <c r="M5" i="7" a="1"/>
  <c r="M5" i="7" s="1"/>
  <c r="M6" i="7" a="1"/>
  <c r="M6" i="7" s="1"/>
  <c r="M7" i="7" a="1"/>
  <c r="M7" i="7" s="1"/>
  <c r="C14" i="13"/>
  <c r="C15" i="13"/>
  <c r="C16" i="13"/>
  <c r="B14" i="13"/>
  <c r="B15" i="13"/>
  <c r="B16" i="13"/>
  <c r="Q4" i="15" l="1" a="1"/>
  <c r="Q4" i="15" s="1"/>
  <c r="Q4" i="10" a="1"/>
  <c r="Q4" i="10" s="1"/>
  <c r="AI4" i="10" a="1"/>
  <c r="AI4" i="10" s="1"/>
  <c r="C5" i="10" a="1"/>
  <c r="C5" i="10" s="1"/>
  <c r="C5" i="15" a="1"/>
  <c r="C5" i="15" s="1"/>
  <c r="G5" i="15" a="1"/>
  <c r="G5" i="15" s="1"/>
  <c r="G5" i="10" a="1"/>
  <c r="G5" i="10" s="1"/>
  <c r="M5" i="15" a="1"/>
  <c r="M5" i="15" s="1"/>
  <c r="M5" i="10" a="1"/>
  <c r="M5" i="10" s="1"/>
  <c r="I7" i="15" a="1"/>
  <c r="I7" i="15" s="1"/>
  <c r="I7" i="10" a="1"/>
  <c r="I7" i="10" s="1"/>
  <c r="I5" i="15" a="1"/>
  <c r="I5" i="15" s="1"/>
  <c r="I5" i="10" a="1"/>
  <c r="I5" i="10" s="1"/>
  <c r="S7" i="15" a="1"/>
  <c r="S7" i="15" s="1"/>
  <c r="S7" i="10" a="1"/>
  <c r="S7" i="10" s="1"/>
  <c r="S5" i="15" a="1"/>
  <c r="S5" i="15" s="1"/>
  <c r="S5" i="10" a="1"/>
  <c r="S5" i="10" s="1"/>
  <c r="U7" i="15" a="1"/>
  <c r="U7" i="15" s="1"/>
  <c r="U7" i="10" a="1"/>
  <c r="U7" i="10" s="1"/>
  <c r="U5" i="15" a="1"/>
  <c r="U5" i="15" s="1"/>
  <c r="U5" i="10" a="1"/>
  <c r="U5" i="10" s="1"/>
  <c r="E7" i="15" a="1"/>
  <c r="E7" i="15" s="1"/>
  <c r="E7" i="10" a="1"/>
  <c r="E7" i="10" s="1"/>
  <c r="E5" i="15" a="1"/>
  <c r="E5" i="15" s="1"/>
  <c r="E5" i="10" a="1"/>
  <c r="E5" i="10" s="1"/>
  <c r="K7" i="15" a="1"/>
  <c r="K7" i="15" s="1"/>
  <c r="K7" i="10" a="1"/>
  <c r="K7" i="10" s="1"/>
  <c r="K5" i="15" a="1"/>
  <c r="K5" i="15" s="1"/>
  <c r="K5" i="10" a="1"/>
  <c r="K5" i="10" s="1"/>
  <c r="I14" i="15" a="1"/>
  <c r="I14" i="15" s="1"/>
  <c r="I14" i="10" a="1"/>
  <c r="I14" i="10" s="1"/>
  <c r="D17" i="15" a="1"/>
  <c r="D17" i="15" s="1"/>
  <c r="D17" i="10" a="1"/>
  <c r="D17" i="10" s="1"/>
  <c r="T17" i="15" a="1"/>
  <c r="T17" i="15" s="1"/>
  <c r="T17" i="10" a="1"/>
  <c r="T17" i="10" s="1"/>
  <c r="F17" i="15" a="1"/>
  <c r="F17" i="15" s="1"/>
  <c r="F17" i="10" a="1"/>
  <c r="F17" i="10" s="1"/>
  <c r="D16" i="15" a="1"/>
  <c r="D16" i="15" s="1"/>
  <c r="D16" i="10" a="1"/>
  <c r="D16" i="10" s="1"/>
  <c r="T16" i="15" a="1"/>
  <c r="T16" i="15" s="1"/>
  <c r="T16" i="10" a="1"/>
  <c r="T16" i="10" s="1"/>
  <c r="F16" i="15" a="1"/>
  <c r="F16" i="15" s="1"/>
  <c r="F16" i="10" a="1"/>
  <c r="F16" i="10" s="1"/>
  <c r="D15" i="15" a="1"/>
  <c r="D15" i="15" s="1"/>
  <c r="D15" i="10" a="1"/>
  <c r="D15" i="10" s="1"/>
  <c r="V15" i="15" a="1"/>
  <c r="V15" i="15" s="1"/>
  <c r="V15" i="10" a="1"/>
  <c r="V15" i="10" s="1"/>
  <c r="D14" i="15" a="1"/>
  <c r="D14" i="15" s="1"/>
  <c r="D14" i="10" a="1"/>
  <c r="D14" i="10" s="1"/>
  <c r="F14" i="15" a="1"/>
  <c r="F14" i="15" s="1"/>
  <c r="F14" i="10" a="1"/>
  <c r="F14" i="10" s="1"/>
  <c r="H17" i="15" a="1"/>
  <c r="H17" i="15" s="1"/>
  <c r="H17" i="10" a="1"/>
  <c r="H17" i="10" s="1"/>
  <c r="J16" i="15" a="1"/>
  <c r="J16" i="15" s="1"/>
  <c r="J16" i="10" a="1"/>
  <c r="J16" i="10" s="1"/>
  <c r="L16" i="15" a="1"/>
  <c r="L16" i="15" s="1"/>
  <c r="L16" i="10" a="1"/>
  <c r="L16" i="10" s="1"/>
  <c r="H15" i="15" a="1"/>
  <c r="H15" i="15" s="1"/>
  <c r="H15" i="10" a="1"/>
  <c r="H15" i="10" s="1"/>
  <c r="R14" i="10" a="1"/>
  <c r="R14" i="10" s="1"/>
  <c r="R14" i="15" a="1"/>
  <c r="R14" i="15" s="1"/>
  <c r="V14" i="10" a="1"/>
  <c r="V14" i="10" s="1"/>
  <c r="V14" i="15" a="1"/>
  <c r="V14" i="15" s="1"/>
  <c r="T15" i="15" a="1"/>
  <c r="T15" i="15" s="1"/>
  <c r="T15" i="10" a="1"/>
  <c r="T15" i="10" s="1"/>
  <c r="Q6" i="15" a="1"/>
  <c r="Q6" i="15" s="1"/>
  <c r="Q6" i="10" a="1"/>
  <c r="Q6" i="10" s="1"/>
  <c r="AI6" i="10" a="1"/>
  <c r="AI6" i="10" s="1"/>
  <c r="C7" i="15" a="1"/>
  <c r="C7" i="15" s="1"/>
  <c r="C7" i="10" a="1"/>
  <c r="C7" i="10" s="1"/>
  <c r="G7" i="10" a="1"/>
  <c r="G7" i="10" s="1"/>
  <c r="G7" i="15" a="1"/>
  <c r="G7" i="15" s="1"/>
  <c r="M7" i="15" a="1"/>
  <c r="M7" i="15" s="1"/>
  <c r="M7" i="10" a="1"/>
  <c r="M7" i="10" s="1"/>
  <c r="Q7" i="15" a="1"/>
  <c r="Q7" i="15" s="1"/>
  <c r="Q7" i="10" a="1"/>
  <c r="Q7" i="10" s="1"/>
  <c r="AI7" i="10" a="1"/>
  <c r="AI7" i="10" s="1"/>
  <c r="Q5" i="15" a="1"/>
  <c r="Q5" i="15" s="1"/>
  <c r="AI5" i="10" a="1"/>
  <c r="AI5" i="10" s="1"/>
  <c r="Q5" i="10" a="1"/>
  <c r="Q5" i="10" s="1"/>
  <c r="E13" i="15" a="1"/>
  <c r="E13" i="15" s="1"/>
  <c r="E13" i="10" a="1"/>
  <c r="E13" i="10" s="1"/>
  <c r="C6" i="15" a="1"/>
  <c r="C6" i="15" s="1"/>
  <c r="C6" i="10" a="1"/>
  <c r="C6" i="10" s="1"/>
  <c r="C4" i="15" a="1"/>
  <c r="C4" i="15" s="1"/>
  <c r="C4" i="10" a="1"/>
  <c r="C4" i="10" s="1"/>
  <c r="G6" i="10" a="1"/>
  <c r="G6" i="10" s="1"/>
  <c r="G6" i="15" a="1"/>
  <c r="G6" i="15" s="1"/>
  <c r="G4" i="15" a="1"/>
  <c r="G4" i="15" s="1"/>
  <c r="G4" i="10" a="1"/>
  <c r="G4" i="10" s="1"/>
  <c r="M6" i="15" a="1"/>
  <c r="M6" i="15" s="1"/>
  <c r="M6" i="10" a="1"/>
  <c r="M6" i="10" s="1"/>
  <c r="M4" i="15" a="1"/>
  <c r="M4" i="15" s="1"/>
  <c r="M4" i="10" a="1"/>
  <c r="M4" i="10" s="1"/>
  <c r="I6" i="15" a="1"/>
  <c r="I6" i="15" s="1"/>
  <c r="I6" i="10" a="1"/>
  <c r="I6" i="10" s="1"/>
  <c r="I4" i="15" a="1"/>
  <c r="I4" i="15" s="1"/>
  <c r="I4" i="10" a="1"/>
  <c r="I4" i="10" s="1"/>
  <c r="S6" i="15" a="1"/>
  <c r="S6" i="15" s="1"/>
  <c r="S6" i="10" a="1"/>
  <c r="S6" i="10" s="1"/>
  <c r="S4" i="15" a="1"/>
  <c r="S4" i="15" s="1"/>
  <c r="S4" i="10" a="1"/>
  <c r="S4" i="10" s="1"/>
  <c r="U6" i="15" a="1"/>
  <c r="U6" i="15" s="1"/>
  <c r="U6" i="10" a="1"/>
  <c r="U6" i="10" s="1"/>
  <c r="U4" i="15" a="1"/>
  <c r="U4" i="15" s="1"/>
  <c r="U4" i="10" a="1"/>
  <c r="U4" i="10" s="1"/>
  <c r="E6" i="15" a="1"/>
  <c r="E6" i="15" s="1"/>
  <c r="E6" i="10" a="1"/>
  <c r="E6" i="10" s="1"/>
  <c r="E4" i="15" a="1"/>
  <c r="E4" i="15" s="1"/>
  <c r="E4" i="10" a="1"/>
  <c r="E4" i="10" s="1"/>
  <c r="K6" i="15" a="1"/>
  <c r="K6" i="15" s="1"/>
  <c r="K6" i="10" a="1"/>
  <c r="K6" i="10" s="1"/>
  <c r="K4" i="15" a="1"/>
  <c r="K4" i="15" s="1"/>
  <c r="K4" i="10" a="1"/>
  <c r="K4" i="10" s="1"/>
  <c r="G14" i="15" a="1"/>
  <c r="G14" i="15" s="1"/>
  <c r="G14" i="10" a="1"/>
  <c r="G14" i="10" s="1"/>
  <c r="K14" i="15" a="1"/>
  <c r="K14" i="15" s="1"/>
  <c r="K14" i="10" a="1"/>
  <c r="K14" i="10" s="1"/>
  <c r="R17" i="15" a="1"/>
  <c r="R17" i="15" s="1"/>
  <c r="R17" i="10" a="1"/>
  <c r="R17" i="10" s="1"/>
  <c r="N17" i="15" a="1"/>
  <c r="N17" i="15" s="1"/>
  <c r="N17" i="10" a="1"/>
  <c r="N17" i="10" s="1"/>
  <c r="V17" i="15" a="1"/>
  <c r="V17" i="15" s="1"/>
  <c r="V17" i="10" a="1"/>
  <c r="V17" i="10" s="1"/>
  <c r="R16" i="15" a="1"/>
  <c r="R16" i="15" s="1"/>
  <c r="R16" i="10" a="1"/>
  <c r="R16" i="10" s="1"/>
  <c r="N16" i="15" a="1"/>
  <c r="N16" i="15" s="1"/>
  <c r="N16" i="10" a="1"/>
  <c r="N16" i="10" s="1"/>
  <c r="V16" i="15" a="1"/>
  <c r="V16" i="15" s="1"/>
  <c r="V16" i="10" a="1"/>
  <c r="V16" i="10" s="1"/>
  <c r="R15" i="15" a="1"/>
  <c r="R15" i="15" s="1"/>
  <c r="R15" i="10" a="1"/>
  <c r="R15" i="10" s="1"/>
  <c r="N15" i="15" a="1"/>
  <c r="N15" i="15" s="1"/>
  <c r="N15" i="10" a="1"/>
  <c r="N15" i="10" s="1"/>
  <c r="F15" i="15" a="1"/>
  <c r="F15" i="15" s="1"/>
  <c r="F15" i="10" a="1"/>
  <c r="F15" i="10" s="1"/>
  <c r="J17" i="15" a="1"/>
  <c r="J17" i="15" s="1"/>
  <c r="J17" i="10" a="1"/>
  <c r="J17" i="10" s="1"/>
  <c r="L17" i="15" a="1"/>
  <c r="L17" i="15" s="1"/>
  <c r="L17" i="10" a="1"/>
  <c r="L17" i="10" s="1"/>
  <c r="H16" i="15" a="1"/>
  <c r="H16" i="15" s="1"/>
  <c r="H16" i="10" a="1"/>
  <c r="H16" i="10" s="1"/>
  <c r="J15" i="15" a="1"/>
  <c r="J15" i="15" s="1"/>
  <c r="J15" i="10" a="1"/>
  <c r="J15" i="10" s="1"/>
  <c r="L15" i="15" a="1"/>
  <c r="L15" i="15" s="1"/>
  <c r="L15" i="10" a="1"/>
  <c r="L15" i="10" s="1"/>
  <c r="N14" i="15" a="1"/>
  <c r="N14" i="15" s="1"/>
  <c r="N14" i="10" a="1"/>
  <c r="N14" i="10" s="1"/>
  <c r="T14" i="15" a="1"/>
  <c r="T14" i="15" s="1"/>
  <c r="T14" i="10" a="1"/>
  <c r="T14" i="10" s="1"/>
  <c r="U6" i="7"/>
  <c r="X6" i="7"/>
  <c r="X4" i="7"/>
  <c r="AA6" i="7"/>
  <c r="AA4" i="7"/>
  <c r="AD6" i="7"/>
  <c r="AD4" i="7"/>
  <c r="AG6" i="7"/>
  <c r="AG4" i="7"/>
  <c r="AM4" i="7"/>
  <c r="R14" i="7"/>
  <c r="AH14" i="10" s="1" a="1"/>
  <c r="AH14" i="10" s="1"/>
  <c r="AD14" i="7"/>
  <c r="AP14" i="7"/>
  <c r="X14" i="10" s="1" a="1"/>
  <c r="X14" i="10" s="1"/>
  <c r="BB14" i="7"/>
  <c r="AF14" i="10" s="1" a="1"/>
  <c r="AF14" i="10" s="1"/>
  <c r="U4" i="7"/>
  <c r="BE13" i="7"/>
  <c r="U7" i="7"/>
  <c r="U5" i="7"/>
  <c r="X7" i="7"/>
  <c r="X5" i="7"/>
  <c r="AA7" i="7"/>
  <c r="AA5" i="7"/>
  <c r="AD7" i="7"/>
  <c r="AD5" i="7"/>
  <c r="AG7" i="7"/>
  <c r="AG5" i="7"/>
  <c r="X14" i="7"/>
  <c r="AV14" i="7"/>
  <c r="AB14" i="10" s="1" a="1"/>
  <c r="AB14" i="10" s="1"/>
  <c r="BH14" i="7"/>
  <c r="P13" i="7" a="1"/>
  <c r="P13" i="7" s="1"/>
  <c r="AG13" i="10" s="1" a="1"/>
  <c r="AG13" i="10" s="1"/>
  <c r="V13" i="7" a="1"/>
  <c r="V13" i="7" s="1"/>
  <c r="AB13" i="7" a="1"/>
  <c r="AB13" i="7" s="1"/>
  <c r="AH13" i="7" a="1"/>
  <c r="AH13" i="7" s="1"/>
  <c r="AJ13" i="7" s="1"/>
  <c r="AJ13" i="10" s="1" a="1"/>
  <c r="AJ13" i="10" s="1"/>
  <c r="AQ13" i="7"/>
  <c r="Y13" i="10" s="1" a="1"/>
  <c r="Y13" i="10" s="1"/>
  <c r="AT13" i="7" a="1"/>
  <c r="AT13" i="7" s="1"/>
  <c r="AA13" i="10" s="1" a="1"/>
  <c r="AA13" i="10" s="1"/>
  <c r="AZ13" i="7" a="1"/>
  <c r="AZ13" i="7" s="1"/>
  <c r="AE13" i="10" s="1" a="1"/>
  <c r="AE13" i="10" s="1"/>
  <c r="BF13" i="7" a="1"/>
  <c r="BF13" i="7" s="1"/>
  <c r="M13" i="7" a="1"/>
  <c r="M13" i="7" s="1"/>
  <c r="S13" i="7" a="1"/>
  <c r="S13" i="7" s="1"/>
  <c r="Y13" i="7" a="1"/>
  <c r="Y13" i="7" s="1"/>
  <c r="AE13" i="7" a="1"/>
  <c r="AE13" i="7" s="1"/>
  <c r="AK13" i="7" a="1"/>
  <c r="AK13" i="7" s="1"/>
  <c r="AN13" i="7" a="1"/>
  <c r="AN13" i="7" s="1"/>
  <c r="W13" i="10" s="1" a="1"/>
  <c r="W13" i="10" s="1"/>
  <c r="AW13" i="7" a="1"/>
  <c r="AW13" i="7" s="1"/>
  <c r="AC13" i="10" s="1" a="1"/>
  <c r="AC13" i="10" s="1"/>
  <c r="U13" i="15" l="1" a="1"/>
  <c r="U13" i="15" s="1"/>
  <c r="U13" i="10" a="1"/>
  <c r="U13" i="10" s="1"/>
  <c r="Q13" i="15" a="1"/>
  <c r="Q13" i="15" s="1"/>
  <c r="AI13" i="10" a="1"/>
  <c r="AI13" i="10" s="1"/>
  <c r="Q13" i="10" a="1"/>
  <c r="Q13" i="10" s="1"/>
  <c r="I13" i="15" a="1"/>
  <c r="I13" i="15" s="1"/>
  <c r="I13" i="10" a="1"/>
  <c r="I13" i="10" s="1"/>
  <c r="T5" i="10" a="1"/>
  <c r="T5" i="10" s="1"/>
  <c r="T5" i="15" a="1"/>
  <c r="T5" i="15" s="1"/>
  <c r="J5" i="15" a="1"/>
  <c r="J5" i="15" s="1"/>
  <c r="J5" i="10" a="1"/>
  <c r="J5" i="10" s="1"/>
  <c r="N5" i="15" a="1"/>
  <c r="N5" i="15" s="1"/>
  <c r="N5" i="10" a="1"/>
  <c r="N5" i="10" s="1"/>
  <c r="H5" i="15" a="1"/>
  <c r="H5" i="15" s="1"/>
  <c r="H5" i="10" a="1"/>
  <c r="H5" i="10" s="1"/>
  <c r="D5" i="15" a="1"/>
  <c r="D5" i="15" s="1"/>
  <c r="D5" i="10" a="1"/>
  <c r="D5" i="10" s="1"/>
  <c r="F13" i="15" a="1"/>
  <c r="F13" i="15" s="1"/>
  <c r="F13" i="10" a="1"/>
  <c r="F13" i="10" s="1"/>
  <c r="J14" i="15" a="1"/>
  <c r="J14" i="15" s="1"/>
  <c r="J14" i="10" a="1"/>
  <c r="J14" i="10" s="1"/>
  <c r="V4" i="15" a="1"/>
  <c r="V4" i="15" s="1"/>
  <c r="V4" i="10" a="1"/>
  <c r="V4" i="10" s="1"/>
  <c r="T6" i="15" a="1"/>
  <c r="T6" i="15" s="1"/>
  <c r="T6" i="10" a="1"/>
  <c r="T6" i="10" s="1"/>
  <c r="J6" i="15" a="1"/>
  <c r="J6" i="15" s="1"/>
  <c r="J6" i="10" a="1"/>
  <c r="J6" i="10" s="1"/>
  <c r="N6" i="15" a="1"/>
  <c r="N6" i="15" s="1"/>
  <c r="N6" i="10" a="1"/>
  <c r="N6" i="10" s="1"/>
  <c r="H6" i="15" a="1"/>
  <c r="H6" i="15" s="1"/>
  <c r="H6" i="10" a="1"/>
  <c r="H6" i="10" s="1"/>
  <c r="M13" i="15" a="1"/>
  <c r="M13" i="15" s="1"/>
  <c r="M13" i="10" a="1"/>
  <c r="M13" i="10" s="1"/>
  <c r="S13" i="15" a="1"/>
  <c r="S13" i="15" s="1"/>
  <c r="S13" i="10" a="1"/>
  <c r="S13" i="10" s="1"/>
  <c r="C13" i="15" a="1"/>
  <c r="C13" i="15" s="1"/>
  <c r="C13" i="10" a="1"/>
  <c r="C13" i="10" s="1"/>
  <c r="K13" i="15" a="1"/>
  <c r="K13" i="15" s="1"/>
  <c r="K13" i="10" a="1"/>
  <c r="K13" i="10" s="1"/>
  <c r="G13" i="10" a="1"/>
  <c r="G13" i="10" s="1"/>
  <c r="G13" i="15" a="1"/>
  <c r="G13" i="15" s="1"/>
  <c r="L14" i="15" a="1"/>
  <c r="L14" i="15" s="1"/>
  <c r="L14" i="10" a="1"/>
  <c r="L14" i="10" s="1"/>
  <c r="H14" i="15" a="1"/>
  <c r="H14" i="15" s="1"/>
  <c r="H14" i="10" a="1"/>
  <c r="H14" i="10" s="1"/>
  <c r="T7" i="15" a="1"/>
  <c r="T7" i="15" s="1"/>
  <c r="T7" i="10" a="1"/>
  <c r="T7" i="10" s="1"/>
  <c r="J7" i="15" a="1"/>
  <c r="J7" i="15" s="1"/>
  <c r="J7" i="10" a="1"/>
  <c r="J7" i="10" s="1"/>
  <c r="N7" i="15" a="1"/>
  <c r="N7" i="15" s="1"/>
  <c r="N7" i="10" a="1"/>
  <c r="N7" i="10" s="1"/>
  <c r="H7" i="15" a="1"/>
  <c r="H7" i="15" s="1"/>
  <c r="H7" i="10" a="1"/>
  <c r="H7" i="10" s="1"/>
  <c r="D7" i="15" a="1"/>
  <c r="D7" i="15" s="1"/>
  <c r="D7" i="10" a="1"/>
  <c r="D7" i="10" s="1"/>
  <c r="D4" i="15" a="1"/>
  <c r="D4" i="15" s="1"/>
  <c r="D4" i="10" a="1"/>
  <c r="D4" i="10" s="1"/>
  <c r="T4" i="15" a="1"/>
  <c r="T4" i="15" s="1"/>
  <c r="T4" i="10" a="1"/>
  <c r="T4" i="10" s="1"/>
  <c r="J4" i="15" a="1"/>
  <c r="J4" i="15" s="1"/>
  <c r="J4" i="10" a="1"/>
  <c r="J4" i="10" s="1"/>
  <c r="N4" i="15" a="1"/>
  <c r="N4" i="15" s="1"/>
  <c r="N4" i="10" a="1"/>
  <c r="N4" i="10" s="1"/>
  <c r="H4" i="15" a="1"/>
  <c r="H4" i="15" s="1"/>
  <c r="H4" i="10" a="1"/>
  <c r="H4" i="10" s="1"/>
  <c r="D6" i="15" a="1"/>
  <c r="D6" i="15" s="1"/>
  <c r="D6" i="10" a="1"/>
  <c r="D6" i="10" s="1"/>
  <c r="AY13" i="7"/>
  <c r="AD13" i="10" s="1" a="1"/>
  <c r="AD13" i="10" s="1"/>
  <c r="AM13" i="7"/>
  <c r="AA13" i="7"/>
  <c r="BH13" i="7"/>
  <c r="AV13" i="7"/>
  <c r="AB13" i="10" s="1" a="1"/>
  <c r="AB13" i="10" s="1"/>
  <c r="X13" i="7"/>
  <c r="AP13" i="7"/>
  <c r="X13" i="10" s="1" a="1"/>
  <c r="X13" i="10" s="1"/>
  <c r="AG13" i="7"/>
  <c r="U13" i="7"/>
  <c r="O13" i="7"/>
  <c r="BB13" i="7"/>
  <c r="AF13" i="10" s="1" a="1"/>
  <c r="AF13" i="10" s="1"/>
  <c r="AS13" i="7"/>
  <c r="Z13" i="10" s="1" a="1"/>
  <c r="Z13" i="10" s="1"/>
  <c r="AD13" i="7"/>
  <c r="R13" i="7"/>
  <c r="AH13" i="10" s="1" a="1"/>
  <c r="AH13" i="10" s="1"/>
  <c r="F12" i="13"/>
  <c r="D13" i="15" l="1" a="1"/>
  <c r="D13" i="15" s="1"/>
  <c r="D13" i="10" a="1"/>
  <c r="D13" i="10" s="1"/>
  <c r="N13" i="15" a="1"/>
  <c r="N13" i="15" s="1"/>
  <c r="N13" i="10" a="1"/>
  <c r="N13" i="10" s="1"/>
  <c r="J13" i="15" a="1"/>
  <c r="J13" i="15" s="1"/>
  <c r="J13" i="10" a="1"/>
  <c r="J13" i="10" s="1"/>
  <c r="R13" i="15" a="1"/>
  <c r="R13" i="15" s="1"/>
  <c r="R13" i="10" a="1"/>
  <c r="R13" i="10" s="1"/>
  <c r="T13" i="15" a="1"/>
  <c r="T13" i="15" s="1"/>
  <c r="T13" i="10" a="1"/>
  <c r="T13" i="10" s="1"/>
  <c r="H13" i="15" a="1"/>
  <c r="H13" i="15" s="1"/>
  <c r="H13" i="10" a="1"/>
  <c r="H13" i="10" s="1"/>
  <c r="L13" i="15" a="1"/>
  <c r="L13" i="15" s="1"/>
  <c r="L13" i="10" a="1"/>
  <c r="L13" i="10" s="1"/>
  <c r="V13" i="15" a="1"/>
  <c r="V13" i="15" s="1"/>
  <c r="V13" i="10" a="1"/>
  <c r="V13" i="10" s="1"/>
  <c r="M23" i="8"/>
  <c r="K23" i="8"/>
  <c r="B12" i="7"/>
  <c r="C12" i="7"/>
  <c r="B11" i="7"/>
  <c r="C11" i="7"/>
  <c r="B10" i="7"/>
  <c r="C10" i="7"/>
  <c r="M23" i="12"/>
  <c r="K23" i="12"/>
  <c r="F3" i="12"/>
  <c r="D3" i="12"/>
  <c r="M3" i="12"/>
  <c r="K3" i="12"/>
  <c r="F23" i="12"/>
  <c r="D23" i="12"/>
  <c r="M43" i="8"/>
  <c r="K43" i="8"/>
  <c r="F3" i="8"/>
  <c r="D3" i="8"/>
  <c r="F23" i="11"/>
  <c r="D23" i="11"/>
  <c r="M3" i="11"/>
  <c r="K3" i="11"/>
  <c r="F3" i="11"/>
  <c r="D3" i="11"/>
  <c r="M3" i="8"/>
  <c r="K3" i="8"/>
  <c r="BE4" i="7"/>
  <c r="BE5" i="7"/>
  <c r="BE6" i="7"/>
  <c r="BE7" i="7"/>
  <c r="F43" i="8"/>
  <c r="D43" i="8"/>
  <c r="F23" i="8"/>
  <c r="D23" i="8"/>
  <c r="F6" i="15" l="1" a="1"/>
  <c r="F6" i="15" s="1"/>
  <c r="F6" i="10" a="1"/>
  <c r="F6" i="10" s="1"/>
  <c r="F4" i="15" a="1"/>
  <c r="F4" i="15" s="1"/>
  <c r="F4" i="10" a="1"/>
  <c r="F4" i="10" s="1"/>
  <c r="F7" i="15" a="1"/>
  <c r="F7" i="15" s="1"/>
  <c r="F7" i="10" a="1"/>
  <c r="F7" i="10" s="1"/>
  <c r="F5" i="15" a="1"/>
  <c r="F5" i="15" s="1"/>
  <c r="F5" i="10" a="1"/>
  <c r="F5" i="10" s="1"/>
  <c r="BF12" i="7" a="1"/>
  <c r="BF12" i="7" s="1"/>
  <c r="AZ12" i="7" a="1"/>
  <c r="AZ12" i="7" s="1"/>
  <c r="AE12" i="10" s="1" a="1"/>
  <c r="AE12" i="10" s="1"/>
  <c r="AW12" i="7" a="1"/>
  <c r="AW12" i="7" s="1"/>
  <c r="AC12" i="10" s="1" a="1"/>
  <c r="AC12" i="10" s="1"/>
  <c r="AT12" i="7" a="1"/>
  <c r="AT12" i="7" s="1"/>
  <c r="AA12" i="10" s="1" a="1"/>
  <c r="AA12" i="10" s="1"/>
  <c r="AN12" i="7" a="1"/>
  <c r="AN12" i="7" s="1"/>
  <c r="W12" i="10" s="1" a="1"/>
  <c r="W12" i="10" s="1"/>
  <c r="AQ12" i="7"/>
  <c r="Y12" i="10" s="1" a="1"/>
  <c r="Y12" i="10" s="1"/>
  <c r="AK12" i="7" a="1"/>
  <c r="AK12" i="7" s="1"/>
  <c r="AH12" i="7" a="1"/>
  <c r="AH12" i="7" s="1"/>
  <c r="AJ12" i="7" s="1"/>
  <c r="AJ12" i="10" s="1" a="1"/>
  <c r="AJ12" i="10" s="1"/>
  <c r="AE12" i="7" a="1"/>
  <c r="AE12" i="7" s="1"/>
  <c r="AB12" i="7" a="1"/>
  <c r="AB12" i="7" s="1"/>
  <c r="Y12" i="7" a="1"/>
  <c r="Y12" i="7" s="1"/>
  <c r="V12" i="7" a="1"/>
  <c r="V12" i="7" s="1"/>
  <c r="S12" i="7" a="1"/>
  <c r="S12" i="7" s="1"/>
  <c r="P12" i="7" a="1"/>
  <c r="P12" i="7" s="1"/>
  <c r="AG12" i="10" s="1" a="1"/>
  <c r="AG12" i="10" s="1"/>
  <c r="M12" i="7" a="1"/>
  <c r="M12" i="7" s="1"/>
  <c r="AW11" i="7" a="1"/>
  <c r="AW11" i="7" s="1"/>
  <c r="AC11" i="10" s="1" a="1"/>
  <c r="AC11" i="10" s="1"/>
  <c r="AN11" i="7" a="1"/>
  <c r="AN11" i="7" s="1"/>
  <c r="W11" i="10" s="1" a="1"/>
  <c r="W11" i="10" s="1"/>
  <c r="AK11" i="7" a="1"/>
  <c r="AK11" i="7" s="1"/>
  <c r="AE11" i="7" a="1"/>
  <c r="AE11" i="7" s="1"/>
  <c r="Y11" i="7" a="1"/>
  <c r="Y11" i="7" s="1"/>
  <c r="S11" i="7" a="1"/>
  <c r="S11" i="7" s="1"/>
  <c r="M11" i="7" a="1"/>
  <c r="M11" i="7" s="1"/>
  <c r="BF11" i="7" a="1"/>
  <c r="BF11" i="7" s="1"/>
  <c r="AZ11" i="7" a="1"/>
  <c r="AZ11" i="7" s="1"/>
  <c r="AE11" i="10" s="1" a="1"/>
  <c r="AE11" i="10" s="1"/>
  <c r="AT11" i="7" a="1"/>
  <c r="AT11" i="7" s="1"/>
  <c r="AA11" i="10" s="1" a="1"/>
  <c r="AA11" i="10" s="1"/>
  <c r="AQ11" i="7"/>
  <c r="Y11" i="10" s="1" a="1"/>
  <c r="Y11" i="10" s="1"/>
  <c r="AH11" i="7" a="1"/>
  <c r="AH11" i="7" s="1"/>
  <c r="AJ11" i="7" s="1"/>
  <c r="AJ11" i="10" s="1" a="1"/>
  <c r="AJ11" i="10" s="1"/>
  <c r="AB11" i="7" a="1"/>
  <c r="AB11" i="7" s="1"/>
  <c r="V11" i="7" a="1"/>
  <c r="V11" i="7" s="1"/>
  <c r="P11" i="7" a="1"/>
  <c r="P11" i="7" s="1"/>
  <c r="AG11" i="10" s="1" a="1"/>
  <c r="AG11" i="10" s="1"/>
  <c r="BF10" i="7" a="1"/>
  <c r="BF10" i="7" s="1"/>
  <c r="AZ10" i="7" a="1"/>
  <c r="AZ10" i="7" s="1"/>
  <c r="AE10" i="10" s="1" a="1"/>
  <c r="AE10" i="10" s="1"/>
  <c r="AW10" i="7" a="1"/>
  <c r="AW10" i="7" s="1"/>
  <c r="AC10" i="10" s="1" a="1"/>
  <c r="AC10" i="10" s="1"/>
  <c r="AT10" i="7" a="1"/>
  <c r="AT10" i="7" s="1"/>
  <c r="AA10" i="10" s="1" a="1"/>
  <c r="AA10" i="10" s="1"/>
  <c r="AN10" i="7" a="1"/>
  <c r="AN10" i="7" s="1"/>
  <c r="W10" i="10" s="1" a="1"/>
  <c r="W10" i="10" s="1"/>
  <c r="AQ10" i="7"/>
  <c r="Y10" i="10" s="1" a="1"/>
  <c r="Y10" i="10" s="1"/>
  <c r="AK10" i="7" a="1"/>
  <c r="AK10" i="7" s="1"/>
  <c r="AH10" i="7" a="1"/>
  <c r="AH10" i="7" s="1"/>
  <c r="AJ10" i="7" s="1"/>
  <c r="AJ10" i="10" s="1" a="1"/>
  <c r="AJ10" i="10" s="1"/>
  <c r="AE10" i="7" a="1"/>
  <c r="AE10" i="7" s="1"/>
  <c r="AB10" i="7" a="1"/>
  <c r="AB10" i="7" s="1"/>
  <c r="Y10" i="7" a="1"/>
  <c r="Y10" i="7" s="1"/>
  <c r="V10" i="7" a="1"/>
  <c r="V10" i="7" s="1"/>
  <c r="S10" i="7" a="1"/>
  <c r="S10" i="7" s="1"/>
  <c r="P10" i="7" a="1"/>
  <c r="P10" i="7" s="1"/>
  <c r="AG10" i="10" s="1" a="1"/>
  <c r="AG10" i="10" s="1"/>
  <c r="M10" i="7" a="1"/>
  <c r="M10" i="7" s="1"/>
  <c r="M23" i="11"/>
  <c r="K23" i="11"/>
  <c r="AS4" i="7"/>
  <c r="AS5" i="7"/>
  <c r="Z5" i="10" s="1" a="1"/>
  <c r="Z5" i="10" s="1"/>
  <c r="AS6" i="7"/>
  <c r="Z6" i="10" s="1" a="1"/>
  <c r="Z6" i="10" s="1"/>
  <c r="AS7" i="7"/>
  <c r="Z7" i="10" s="1" a="1"/>
  <c r="Z7" i="10" s="1"/>
  <c r="AP4" i="7"/>
  <c r="AP5" i="7"/>
  <c r="X5" i="10" s="1" a="1"/>
  <c r="X5" i="10" s="1"/>
  <c r="AP6" i="7"/>
  <c r="X6" i="10" s="1" a="1"/>
  <c r="X6" i="10" s="1"/>
  <c r="AP7" i="7"/>
  <c r="X7" i="10" s="1" a="1"/>
  <c r="X7" i="10" s="1"/>
  <c r="B9" i="7"/>
  <c r="C9" i="7"/>
  <c r="M23" i="9"/>
  <c r="K23" i="9"/>
  <c r="F23" i="9"/>
  <c r="D23" i="9"/>
  <c r="B4" i="7"/>
  <c r="B5" i="7"/>
  <c r="B6" i="7"/>
  <c r="B7" i="7"/>
  <c r="B8" i="7"/>
  <c r="C4" i="7"/>
  <c r="C5" i="7"/>
  <c r="C6" i="7"/>
  <c r="C7" i="7"/>
  <c r="C8" i="7"/>
  <c r="M3" i="9"/>
  <c r="K3" i="9"/>
  <c r="F3" i="9"/>
  <c r="D3" i="9"/>
  <c r="Q10" i="10" l="1" a="1"/>
  <c r="Q10" i="10" s="1"/>
  <c r="AI10" i="10" a="1"/>
  <c r="AI10" i="10" s="1"/>
  <c r="Q10" i="15" a="1"/>
  <c r="Q10" i="15" s="1"/>
  <c r="C10" i="15" a="1"/>
  <c r="C10" i="15" s="1"/>
  <c r="C10" i="10" a="1"/>
  <c r="C10" i="10" s="1"/>
  <c r="M10" i="15" a="1"/>
  <c r="M10" i="15" s="1"/>
  <c r="M10" i="10" a="1"/>
  <c r="M10" i="10" s="1"/>
  <c r="S10" i="15" a="1"/>
  <c r="S10" i="15" s="1"/>
  <c r="S10" i="10" a="1"/>
  <c r="S10" i="10" s="1"/>
  <c r="U10" i="10" a="1"/>
  <c r="U10" i="10" s="1"/>
  <c r="U10" i="15" a="1"/>
  <c r="U10" i="15" s="1"/>
  <c r="E10" i="15" a="1"/>
  <c r="E10" i="15" s="1"/>
  <c r="E10" i="10" a="1"/>
  <c r="E10" i="10" s="1"/>
  <c r="I11" i="15" a="1"/>
  <c r="I11" i="15" s="1"/>
  <c r="I11" i="10" a="1"/>
  <c r="I11" i="10" s="1"/>
  <c r="Q11" i="15" a="1"/>
  <c r="Q11" i="15" s="1"/>
  <c r="Q11" i="10" a="1"/>
  <c r="Q11" i="10" s="1"/>
  <c r="AI11" i="10" a="1"/>
  <c r="AI11" i="10" s="1"/>
  <c r="M11" i="15" a="1"/>
  <c r="M11" i="15" s="1"/>
  <c r="M11" i="10" a="1"/>
  <c r="M11" i="10" s="1"/>
  <c r="U11" i="15" a="1"/>
  <c r="U11" i="15" s="1"/>
  <c r="U11" i="10" a="1"/>
  <c r="U11" i="10" s="1"/>
  <c r="Q12" i="15" a="1"/>
  <c r="Q12" i="15" s="1"/>
  <c r="AI12" i="10" a="1"/>
  <c r="AI12" i="10" s="1"/>
  <c r="Q12" i="10" a="1"/>
  <c r="Q12" i="10" s="1"/>
  <c r="C12" i="15" a="1"/>
  <c r="C12" i="15" s="1"/>
  <c r="C12" i="10" a="1"/>
  <c r="C12" i="10" s="1"/>
  <c r="M12" i="15" a="1"/>
  <c r="M12" i="15" s="1"/>
  <c r="M12" i="10" a="1"/>
  <c r="M12" i="10" s="1"/>
  <c r="S12" i="15" a="1"/>
  <c r="S12" i="15" s="1"/>
  <c r="S12" i="10" a="1"/>
  <c r="S12" i="10" s="1"/>
  <c r="U12" i="15" a="1"/>
  <c r="U12" i="15" s="1"/>
  <c r="U12" i="10" a="1"/>
  <c r="U12" i="10" s="1"/>
  <c r="E12" i="10" a="1"/>
  <c r="E12" i="10" s="1"/>
  <c r="E12" i="15" a="1"/>
  <c r="E12" i="15" s="1"/>
  <c r="X4" i="10" a="1"/>
  <c r="X4" i="10" s="1"/>
  <c r="G10" i="15" a="1"/>
  <c r="G10" i="15" s="1"/>
  <c r="G10" i="10" a="1"/>
  <c r="G10" i="10" s="1"/>
  <c r="I10" i="15" a="1"/>
  <c r="I10" i="15" s="1"/>
  <c r="I10" i="10" a="1"/>
  <c r="I10" i="10" s="1"/>
  <c r="K10" i="15" a="1"/>
  <c r="K10" i="15" s="1"/>
  <c r="K10" i="10" a="1"/>
  <c r="K10" i="10" s="1"/>
  <c r="G11" i="15" a="1"/>
  <c r="G11" i="15" s="1"/>
  <c r="G11" i="10" a="1"/>
  <c r="G11" i="10" s="1"/>
  <c r="K11" i="15" a="1"/>
  <c r="K11" i="15" s="1"/>
  <c r="K11" i="10" a="1"/>
  <c r="K11" i="10" s="1"/>
  <c r="C11" i="10" a="1"/>
  <c r="C11" i="10" s="1"/>
  <c r="C11" i="15" a="1"/>
  <c r="C11" i="15" s="1"/>
  <c r="S11" i="15" a="1"/>
  <c r="S11" i="15" s="1"/>
  <c r="S11" i="10" a="1"/>
  <c r="S11" i="10" s="1"/>
  <c r="E11" i="15" a="1"/>
  <c r="E11" i="15" s="1"/>
  <c r="E11" i="10" a="1"/>
  <c r="E11" i="10" s="1"/>
  <c r="G12" i="15" a="1"/>
  <c r="G12" i="15" s="1"/>
  <c r="G12" i="10" a="1"/>
  <c r="G12" i="10" s="1"/>
  <c r="I12" i="15" a="1"/>
  <c r="I12" i="15" s="1"/>
  <c r="I12" i="10" a="1"/>
  <c r="I12" i="10" s="1"/>
  <c r="K12" i="15" a="1"/>
  <c r="K12" i="15" s="1"/>
  <c r="K12" i="10" a="1"/>
  <c r="K12" i="10" s="1"/>
  <c r="R11" i="7"/>
  <c r="AH11" i="10" s="1" a="1"/>
  <c r="AH11" i="10" s="1"/>
  <c r="AD11" i="7"/>
  <c r="AS11" i="7"/>
  <c r="Z11" i="10" s="1" a="1"/>
  <c r="Z11" i="10" s="1"/>
  <c r="BB11" i="7"/>
  <c r="AF11" i="10" s="1" a="1"/>
  <c r="AF11" i="10" s="1"/>
  <c r="O11" i="7"/>
  <c r="U11" i="7"/>
  <c r="AG11" i="7"/>
  <c r="AP11" i="7"/>
  <c r="X11" i="10" s="1" a="1"/>
  <c r="X11" i="10" s="1"/>
  <c r="BE11" i="7"/>
  <c r="X11" i="7"/>
  <c r="AV11" i="7"/>
  <c r="AB11" i="10" s="1" a="1"/>
  <c r="AB11" i="10" s="1"/>
  <c r="BH11" i="7"/>
  <c r="AA11" i="7"/>
  <c r="AM11" i="7"/>
  <c r="AY11" i="7"/>
  <c r="AD11" i="10" s="1" a="1"/>
  <c r="AD11" i="10" s="1"/>
  <c r="U10" i="7"/>
  <c r="AA10" i="7"/>
  <c r="AG10" i="7"/>
  <c r="AM10" i="7"/>
  <c r="AP10" i="7"/>
  <c r="X10" i="10" s="1" a="1"/>
  <c r="X10" i="10" s="1"/>
  <c r="AY10" i="7"/>
  <c r="AD10" i="10" s="1" a="1"/>
  <c r="AD10" i="10" s="1"/>
  <c r="BE10" i="7"/>
  <c r="U12" i="7"/>
  <c r="AA12" i="7"/>
  <c r="AG12" i="7"/>
  <c r="AM12" i="7"/>
  <c r="AP12" i="7"/>
  <c r="X12" i="10" s="1" a="1"/>
  <c r="X12" i="10" s="1"/>
  <c r="AY12" i="7"/>
  <c r="AD12" i="10" s="1" a="1"/>
  <c r="AD12" i="10" s="1"/>
  <c r="BE12" i="7"/>
  <c r="O10" i="7"/>
  <c r="R10" i="7"/>
  <c r="AH10" i="10" s="1" a="1"/>
  <c r="AH10" i="10" s="1"/>
  <c r="X10" i="7"/>
  <c r="AD10" i="7"/>
  <c r="AS10" i="7"/>
  <c r="Z10" i="10" s="1" a="1"/>
  <c r="Z10" i="10" s="1"/>
  <c r="AV10" i="7"/>
  <c r="AB10" i="10" s="1" a="1"/>
  <c r="AB10" i="10" s="1"/>
  <c r="BB10" i="7"/>
  <c r="AF10" i="10" s="1" a="1"/>
  <c r="AF10" i="10" s="1"/>
  <c r="BH10" i="7"/>
  <c r="O12" i="7"/>
  <c r="R12" i="7"/>
  <c r="AH12" i="10" s="1" a="1"/>
  <c r="AH12" i="10" s="1"/>
  <c r="X12" i="7"/>
  <c r="AD12" i="7"/>
  <c r="AS12" i="7"/>
  <c r="Z12" i="10" s="1" a="1"/>
  <c r="Z12" i="10" s="1"/>
  <c r="AV12" i="7"/>
  <c r="AB12" i="10" s="1" a="1"/>
  <c r="AB12" i="10" s="1"/>
  <c r="BB12" i="7"/>
  <c r="AF12" i="10" s="1" a="1"/>
  <c r="AF12" i="10" s="1"/>
  <c r="BH12" i="7"/>
  <c r="AW9" i="7" a="1"/>
  <c r="AW9" i="7" s="1"/>
  <c r="AC9" i="10" s="1" a="1"/>
  <c r="AC9" i="10" s="1"/>
  <c r="AN9" i="7" a="1"/>
  <c r="AN9" i="7" s="1"/>
  <c r="W9" i="10" s="1" a="1"/>
  <c r="W9" i="10" s="1"/>
  <c r="AK9" i="7" a="1"/>
  <c r="AK9" i="7" s="1"/>
  <c r="AE9" i="7" a="1"/>
  <c r="AE9" i="7" s="1"/>
  <c r="Y9" i="7" a="1"/>
  <c r="Y9" i="7" s="1"/>
  <c r="S9" i="7" a="1"/>
  <c r="S9" i="7" s="1"/>
  <c r="BF9" i="7" a="1"/>
  <c r="BF9" i="7" s="1"/>
  <c r="AZ9" i="7" a="1"/>
  <c r="AZ9" i="7" s="1"/>
  <c r="AE9" i="10" s="1" a="1"/>
  <c r="AE9" i="10" s="1"/>
  <c r="AT9" i="7" a="1"/>
  <c r="AT9" i="7" s="1"/>
  <c r="AA9" i="10" s="1" a="1"/>
  <c r="AA9" i="10" s="1"/>
  <c r="AQ9" i="7"/>
  <c r="Y9" i="10" s="1" a="1"/>
  <c r="Y9" i="10" s="1"/>
  <c r="AH9" i="7" a="1"/>
  <c r="AH9" i="7" s="1"/>
  <c r="AJ9" i="7" s="1"/>
  <c r="AJ9" i="10" s="1" a="1"/>
  <c r="AJ9" i="10" s="1"/>
  <c r="AB9" i="7" a="1"/>
  <c r="AB9" i="7" s="1"/>
  <c r="V9" i="7" a="1"/>
  <c r="V9" i="7" s="1"/>
  <c r="P9" i="7" a="1"/>
  <c r="P9" i="7" s="1"/>
  <c r="AG9" i="10" s="1" a="1"/>
  <c r="AG9" i="10" s="1"/>
  <c r="M9" i="7" a="1"/>
  <c r="M9" i="7" s="1"/>
  <c r="BF8" i="7" a="1"/>
  <c r="BF8" i="7" s="1"/>
  <c r="AZ8" i="7" a="1"/>
  <c r="AZ8" i="7" s="1"/>
  <c r="AE8" i="10" s="1" a="1"/>
  <c r="AE8" i="10" s="1"/>
  <c r="AW8" i="7" a="1"/>
  <c r="AW8" i="7" s="1"/>
  <c r="AC8" i="10" s="1" a="1"/>
  <c r="AC8" i="10" s="1"/>
  <c r="AT8" i="7" a="1"/>
  <c r="AT8" i="7" s="1"/>
  <c r="AA8" i="10" s="1" a="1"/>
  <c r="AA8" i="10" s="1"/>
  <c r="AN8" i="7" a="1"/>
  <c r="AN8" i="7" s="1"/>
  <c r="W8" i="10" s="1" a="1"/>
  <c r="W8" i="10" s="1"/>
  <c r="AQ8" i="7"/>
  <c r="Y8" i="10" s="1" a="1"/>
  <c r="Y8" i="10" s="1"/>
  <c r="AK8" i="7" a="1"/>
  <c r="AK8" i="7" s="1"/>
  <c r="AH8" i="7" a="1"/>
  <c r="AH8" i="7" s="1"/>
  <c r="AJ8" i="7" s="1"/>
  <c r="AJ8" i="10" s="1" a="1"/>
  <c r="AJ8" i="10" s="1"/>
  <c r="AE8" i="7" a="1"/>
  <c r="AE8" i="7" s="1"/>
  <c r="AB8" i="7" a="1"/>
  <c r="AB8" i="7" s="1"/>
  <c r="Y8" i="7" a="1"/>
  <c r="Y8" i="7" s="1"/>
  <c r="V8" i="7" a="1"/>
  <c r="V8" i="7" s="1"/>
  <c r="S8" i="7" a="1"/>
  <c r="S8" i="7" s="1"/>
  <c r="P8" i="7" a="1"/>
  <c r="P8" i="7" s="1"/>
  <c r="AG8" i="10" s="1" a="1"/>
  <c r="AG8" i="10" s="1"/>
  <c r="M8" i="7" a="1"/>
  <c r="M8" i="7" s="1"/>
  <c r="BH4" i="7"/>
  <c r="BH5" i="7"/>
  <c r="BH6" i="7"/>
  <c r="BH7" i="7"/>
  <c r="I8" i="15" l="1" a="1"/>
  <c r="I8" i="15" s="1"/>
  <c r="I8" i="10" a="1"/>
  <c r="I8" i="10" s="1"/>
  <c r="K8" i="15" a="1"/>
  <c r="K8" i="15" s="1"/>
  <c r="K8" i="10" a="1"/>
  <c r="K8" i="10" s="1"/>
  <c r="I9" i="15" a="1"/>
  <c r="I9" i="15" s="1"/>
  <c r="I9" i="10" a="1"/>
  <c r="I9" i="10" s="1"/>
  <c r="C9" i="15" a="1"/>
  <c r="C9" i="15" s="1"/>
  <c r="C9" i="10" a="1"/>
  <c r="C9" i="10" s="1"/>
  <c r="S9" i="15" a="1"/>
  <c r="S9" i="15" s="1"/>
  <c r="S9" i="10" a="1"/>
  <c r="S9" i="10" s="1"/>
  <c r="E9" i="15" a="1"/>
  <c r="E9" i="15" s="1"/>
  <c r="E9" i="10" a="1"/>
  <c r="E9" i="10" s="1"/>
  <c r="H12" i="15" a="1"/>
  <c r="H12" i="15" s="1"/>
  <c r="H12" i="10" a="1"/>
  <c r="H12" i="10" s="1"/>
  <c r="R12" i="10" a="1"/>
  <c r="R12" i="10" s="1"/>
  <c r="R12" i="15" a="1"/>
  <c r="R12" i="15" s="1"/>
  <c r="H10" i="15" a="1"/>
  <c r="H10" i="15" s="1"/>
  <c r="H10" i="10" a="1"/>
  <c r="H10" i="10" s="1"/>
  <c r="R10" i="15" a="1"/>
  <c r="R10" i="15" s="1"/>
  <c r="R10" i="10" a="1"/>
  <c r="R10" i="10" s="1"/>
  <c r="V12" i="15" a="1"/>
  <c r="V12" i="15" s="1"/>
  <c r="V12" i="10" a="1"/>
  <c r="V12" i="10" s="1"/>
  <c r="N12" i="15" a="1"/>
  <c r="N12" i="15" s="1"/>
  <c r="N12" i="10" a="1"/>
  <c r="N12" i="10" s="1"/>
  <c r="F10" i="15" a="1"/>
  <c r="F10" i="15" s="1"/>
  <c r="F10" i="10" a="1"/>
  <c r="F10" i="10" s="1"/>
  <c r="T10" i="15" a="1"/>
  <c r="T10" i="15" s="1"/>
  <c r="T10" i="10" a="1"/>
  <c r="T10" i="10" s="1"/>
  <c r="D10" i="15" a="1"/>
  <c r="D10" i="15" s="1"/>
  <c r="D10" i="10" a="1"/>
  <c r="D10" i="10" s="1"/>
  <c r="V11" i="15" a="1"/>
  <c r="V11" i="15" s="1"/>
  <c r="V11" i="10" a="1"/>
  <c r="V11" i="10" s="1"/>
  <c r="F11" i="15" a="1"/>
  <c r="F11" i="15" s="1"/>
  <c r="F11" i="10" a="1"/>
  <c r="F11" i="10" s="1"/>
  <c r="T11" i="15" a="1"/>
  <c r="T11" i="15" s="1"/>
  <c r="T11" i="10" a="1"/>
  <c r="T11" i="10" s="1"/>
  <c r="R11" i="15" a="1"/>
  <c r="R11" i="15" s="1"/>
  <c r="R11" i="10" a="1"/>
  <c r="R11" i="10" s="1"/>
  <c r="L6" i="15" a="1"/>
  <c r="L6" i="15" s="1"/>
  <c r="L6" i="10" a="1"/>
  <c r="L6" i="10" s="1"/>
  <c r="L4" i="15" a="1"/>
  <c r="L4" i="15" s="1"/>
  <c r="L4" i="10" a="1"/>
  <c r="L4" i="10" s="1"/>
  <c r="G8" i="15" a="1"/>
  <c r="G8" i="15" s="1"/>
  <c r="G8" i="10" a="1"/>
  <c r="G8" i="10" s="1"/>
  <c r="L7" i="15" a="1"/>
  <c r="L7" i="15" s="1"/>
  <c r="L7" i="10" a="1"/>
  <c r="L7" i="10" s="1"/>
  <c r="L5" i="15" a="1"/>
  <c r="L5" i="15" s="1"/>
  <c r="L5" i="10" a="1"/>
  <c r="L5" i="10" s="1"/>
  <c r="AI8" i="10" a="1"/>
  <c r="AI8" i="10" s="1"/>
  <c r="Q8" i="15" a="1"/>
  <c r="Q8" i="15" s="1"/>
  <c r="Q8" i="10" a="1"/>
  <c r="Q8" i="10" s="1"/>
  <c r="C8" i="15" a="1"/>
  <c r="C8" i="15" s="1"/>
  <c r="C8" i="10" a="1"/>
  <c r="C8" i="10" s="1"/>
  <c r="M8" i="15" a="1"/>
  <c r="M8" i="15" s="1"/>
  <c r="M8" i="10" a="1"/>
  <c r="M8" i="10" s="1"/>
  <c r="S8" i="10" a="1"/>
  <c r="S8" i="10" s="1"/>
  <c r="S8" i="15" a="1"/>
  <c r="S8" i="15" s="1"/>
  <c r="U8" i="10" a="1"/>
  <c r="U8" i="10" s="1"/>
  <c r="U8" i="15" a="1"/>
  <c r="U8" i="15" s="1"/>
  <c r="E8" i="15" a="1"/>
  <c r="E8" i="15" s="1"/>
  <c r="E8" i="10" a="1"/>
  <c r="E8" i="10" s="1"/>
  <c r="Q9" i="15" a="1"/>
  <c r="Q9" i="15" s="1"/>
  <c r="Q9" i="10" a="1"/>
  <c r="Q9" i="10" s="1"/>
  <c r="AI9" i="10" a="1"/>
  <c r="AI9" i="10" s="1"/>
  <c r="G9" i="10" a="1"/>
  <c r="G9" i="10" s="1"/>
  <c r="G9" i="15" a="1"/>
  <c r="G9" i="15" s="1"/>
  <c r="K9" i="15" a="1"/>
  <c r="K9" i="15" s="1"/>
  <c r="K9" i="10" a="1"/>
  <c r="K9" i="10" s="1"/>
  <c r="M9" i="15" a="1"/>
  <c r="M9" i="15" s="1"/>
  <c r="M9" i="10" a="1"/>
  <c r="M9" i="10" s="1"/>
  <c r="U9" i="15" a="1"/>
  <c r="U9" i="15" s="1"/>
  <c r="U9" i="10" a="1"/>
  <c r="U9" i="10" s="1"/>
  <c r="L12" i="15" a="1"/>
  <c r="L12" i="15" s="1"/>
  <c r="L12" i="10" a="1"/>
  <c r="L12" i="10" s="1"/>
  <c r="J12" i="15" a="1"/>
  <c r="J12" i="15" s="1"/>
  <c r="J12" i="10" a="1"/>
  <c r="J12" i="10" s="1"/>
  <c r="L10" i="15" a="1"/>
  <c r="L10" i="15" s="1"/>
  <c r="L10" i="10" a="1"/>
  <c r="L10" i="10" s="1"/>
  <c r="J10" i="15" a="1"/>
  <c r="J10" i="15" s="1"/>
  <c r="J10" i="10" a="1"/>
  <c r="J10" i="10" s="1"/>
  <c r="F12" i="15" a="1"/>
  <c r="F12" i="15" s="1"/>
  <c r="F12" i="10" a="1"/>
  <c r="F12" i="10" s="1"/>
  <c r="T12" i="15" a="1"/>
  <c r="T12" i="15" s="1"/>
  <c r="T12" i="10" a="1"/>
  <c r="T12" i="10" s="1"/>
  <c r="D12" i="15" a="1"/>
  <c r="D12" i="15" s="1"/>
  <c r="D12" i="10" a="1"/>
  <c r="D12" i="10" s="1"/>
  <c r="V10" i="15" a="1"/>
  <c r="V10" i="15" s="1"/>
  <c r="V10" i="10" a="1"/>
  <c r="V10" i="10" s="1"/>
  <c r="N10" i="15" a="1"/>
  <c r="N10" i="15" s="1"/>
  <c r="N10" i="10" a="1"/>
  <c r="N10" i="10" s="1"/>
  <c r="N11" i="15" a="1"/>
  <c r="N11" i="15" s="1"/>
  <c r="N11" i="10" a="1"/>
  <c r="N11" i="10" s="1"/>
  <c r="L11" i="15" a="1"/>
  <c r="L11" i="15" s="1"/>
  <c r="L11" i="10" a="1"/>
  <c r="L11" i="10" s="1"/>
  <c r="H11" i="15" a="1"/>
  <c r="H11" i="15" s="1"/>
  <c r="H11" i="10" a="1"/>
  <c r="H11" i="10" s="1"/>
  <c r="D11" i="15" a="1"/>
  <c r="D11" i="15" s="1"/>
  <c r="D11" i="10" a="1"/>
  <c r="D11" i="10" s="1"/>
  <c r="J11" i="15" a="1"/>
  <c r="J11" i="15" s="1"/>
  <c r="J11" i="10" a="1"/>
  <c r="J11" i="10" s="1"/>
  <c r="AA8" i="7"/>
  <c r="AG8" i="7"/>
  <c r="J8" i="13" s="1" a="1"/>
  <c r="J8" i="13" s="1"/>
  <c r="AM8" i="7"/>
  <c r="AP8" i="7"/>
  <c r="AY8" i="7"/>
  <c r="AD8" i="10" s="1" a="1"/>
  <c r="AD8" i="10" s="1"/>
  <c r="BE8" i="7"/>
  <c r="O9" i="7"/>
  <c r="X9" i="7"/>
  <c r="J10" i="13" a="1"/>
  <c r="J10" i="13" s="1"/>
  <c r="AV9" i="7"/>
  <c r="AB9" i="10" s="1" a="1"/>
  <c r="AB9" i="10" s="1"/>
  <c r="BH9" i="7"/>
  <c r="U9" i="7"/>
  <c r="AG9" i="7"/>
  <c r="AP9" i="7"/>
  <c r="X9" i="10" s="1" a="1"/>
  <c r="X9" i="10" s="1"/>
  <c r="BE9" i="7"/>
  <c r="U8" i="7"/>
  <c r="O8" i="7"/>
  <c r="R8" i="7"/>
  <c r="AH8" i="10" s="1" a="1"/>
  <c r="AH8" i="10" s="1"/>
  <c r="X8" i="7"/>
  <c r="AD8" i="7"/>
  <c r="AS8" i="7"/>
  <c r="Z8" i="10" s="1" a="1"/>
  <c r="Z8" i="10" s="1"/>
  <c r="AV8" i="7"/>
  <c r="AB8" i="10" s="1" a="1"/>
  <c r="AB8" i="10" s="1"/>
  <c r="BB8" i="7"/>
  <c r="AF8" i="10" s="1" a="1"/>
  <c r="AF8" i="10" s="1"/>
  <c r="BH8" i="7"/>
  <c r="R9" i="7"/>
  <c r="AH9" i="10" s="1" a="1"/>
  <c r="AH9" i="10" s="1"/>
  <c r="AD9" i="7"/>
  <c r="AS9" i="7"/>
  <c r="Z9" i="10" s="1" a="1"/>
  <c r="Z9" i="10" s="1"/>
  <c r="BB9" i="7"/>
  <c r="AF9" i="10" s="1" a="1"/>
  <c r="AF9" i="10" s="1"/>
  <c r="AA9" i="7"/>
  <c r="AM9" i="7"/>
  <c r="AY9" i="7"/>
  <c r="AD9" i="10" s="1" a="1"/>
  <c r="AD9" i="10" s="1"/>
  <c r="J6" i="13" a="1"/>
  <c r="J6" i="13" s="1"/>
  <c r="AM5" i="7"/>
  <c r="AM6" i="7"/>
  <c r="AM7" i="7"/>
  <c r="AV5" i="7"/>
  <c r="AB5" i="10" s="1" a="1"/>
  <c r="AB5" i="10" s="1"/>
  <c r="AV6" i="7"/>
  <c r="AB6" i="10" s="1" a="1"/>
  <c r="AB6" i="10" s="1"/>
  <c r="AV7" i="7"/>
  <c r="AB7" i="10" s="1" a="1"/>
  <c r="AB7" i="10" s="1"/>
  <c r="AY5" i="7"/>
  <c r="AD5" i="10" s="1" a="1"/>
  <c r="AD5" i="10" s="1"/>
  <c r="AY6" i="7"/>
  <c r="AD6" i="10" s="1" a="1"/>
  <c r="AD6" i="10" s="1"/>
  <c r="AY7" i="7"/>
  <c r="AD7" i="10" s="1" a="1"/>
  <c r="AD7" i="10" s="1"/>
  <c r="BB5" i="7"/>
  <c r="AF5" i="10" s="1" a="1"/>
  <c r="AF5" i="10" s="1"/>
  <c r="BB6" i="7"/>
  <c r="AF6" i="10" s="1" a="1"/>
  <c r="AF6" i="10" s="1"/>
  <c r="BB7" i="7"/>
  <c r="AF7" i="10" s="1" a="1"/>
  <c r="AF7" i="10" s="1"/>
  <c r="R5" i="7"/>
  <c r="AH5" i="10" s="1" a="1"/>
  <c r="AH5" i="10" s="1"/>
  <c r="R6" i="7"/>
  <c r="AH6" i="10" s="1" a="1"/>
  <c r="AH6" i="10" s="1"/>
  <c r="R7" i="7"/>
  <c r="AH7" i="10" s="1" a="1"/>
  <c r="AH7" i="10" s="1"/>
  <c r="O5" i="7"/>
  <c r="O6" i="7"/>
  <c r="O7" i="7"/>
  <c r="BB4" i="7"/>
  <c r="AF4" i="10" s="1" a="1"/>
  <c r="AF4" i="10" s="1"/>
  <c r="AY4" i="7"/>
  <c r="AD4" i="10" s="1" a="1"/>
  <c r="AD4" i="10" s="1"/>
  <c r="AV4" i="7"/>
  <c r="AB4" i="10" s="1" a="1"/>
  <c r="AB4" i="10" s="1"/>
  <c r="J9" i="13" l="1" a="1"/>
  <c r="J9" i="13" s="1"/>
  <c r="I10" i="8" a="1"/>
  <c r="I10" i="8" s="1"/>
  <c r="J18" i="8" a="1"/>
  <c r="J18" i="8" s="1"/>
  <c r="J5" i="8" a="1"/>
  <c r="J5" i="8" s="1"/>
  <c r="N8" i="8" a="1"/>
  <c r="N8" i="8" s="1"/>
  <c r="M9" i="8" a="1"/>
  <c r="M9" i="8" s="1"/>
  <c r="G9" i="12" a="1"/>
  <c r="G9" i="12" s="1"/>
  <c r="I7" i="8" a="1"/>
  <c r="I7" i="8" s="1"/>
  <c r="K12" i="8" a="1"/>
  <c r="K12" i="8" s="1"/>
  <c r="K7" i="8" a="1"/>
  <c r="K7" i="8" s="1"/>
  <c r="I13" i="8" a="1"/>
  <c r="I13" i="8" s="1"/>
  <c r="L11" i="8" a="1"/>
  <c r="L11" i="8" s="1"/>
  <c r="J59" i="8" a="1"/>
  <c r="J59" i="8" s="1"/>
  <c r="L47" i="8" a="1"/>
  <c r="L47" i="8" s="1"/>
  <c r="M8" i="8" a="1"/>
  <c r="M8" i="8" s="1"/>
  <c r="J10" i="8" a="1"/>
  <c r="J10" i="8" s="1"/>
  <c r="I12" i="8" a="1"/>
  <c r="I12" i="8" s="1"/>
  <c r="J13" i="8" a="1"/>
  <c r="J13" i="8" s="1"/>
  <c r="J8" i="8" a="1"/>
  <c r="J8" i="8" s="1"/>
  <c r="J11" i="8" a="1"/>
  <c r="J11" i="8" s="1"/>
  <c r="M5" i="8" a="1"/>
  <c r="M5" i="8" s="1"/>
  <c r="L19" i="8" a="1"/>
  <c r="L19" i="8" s="1"/>
  <c r="M17" i="8" a="1"/>
  <c r="M17" i="8" s="1"/>
  <c r="N16" i="8" a="1"/>
  <c r="N16" i="8" s="1"/>
  <c r="K15" i="8" a="1"/>
  <c r="K15" i="8" s="1"/>
  <c r="N7" i="8" a="1"/>
  <c r="N7" i="8" s="1"/>
  <c r="J49" i="8" a="1"/>
  <c r="J49" i="8" s="1"/>
  <c r="E13" i="12" a="1"/>
  <c r="E13" i="12" s="1"/>
  <c r="G16" i="12" a="1"/>
  <c r="G16" i="12" s="1"/>
  <c r="L10" i="8" a="1"/>
  <c r="L10" i="8" s="1"/>
  <c r="N46" i="8" a="1"/>
  <c r="N46" i="8" s="1"/>
  <c r="L46" i="8" a="1"/>
  <c r="L46" i="8" s="1"/>
  <c r="N15" i="8" a="1"/>
  <c r="N15" i="8" s="1"/>
  <c r="J6" i="8" a="1"/>
  <c r="J6" i="8" s="1"/>
  <c r="J14" i="8" a="1"/>
  <c r="J14" i="8" s="1"/>
  <c r="I8" i="8" a="1"/>
  <c r="I8" i="8" s="1"/>
  <c r="I16" i="8" a="1"/>
  <c r="I16" i="8" s="1"/>
  <c r="J9" i="8" a="1"/>
  <c r="J9" i="8" s="1"/>
  <c r="J17" i="8" a="1"/>
  <c r="J17" i="8" s="1"/>
  <c r="I15" i="8" a="1"/>
  <c r="I15" i="8" s="1"/>
  <c r="J16" i="8" a="1"/>
  <c r="J16" i="8" s="1"/>
  <c r="I18" i="8" a="1"/>
  <c r="I18" i="8" s="1"/>
  <c r="J19" i="8" a="1"/>
  <c r="J19" i="8" s="1"/>
  <c r="I5" i="8" a="1"/>
  <c r="I5" i="8" s="1"/>
  <c r="K16" i="8" a="1"/>
  <c r="K16" i="8" s="1"/>
  <c r="K8" i="8" a="1"/>
  <c r="K8" i="8" s="1"/>
  <c r="L15" i="8" a="1"/>
  <c r="L15" i="8" s="1"/>
  <c r="L7" i="8" a="1"/>
  <c r="L7" i="8" s="1"/>
  <c r="M13" i="8" a="1"/>
  <c r="M13" i="8" s="1"/>
  <c r="N5" i="8" a="1"/>
  <c r="N5" i="8" s="1"/>
  <c r="N12" i="8" a="1"/>
  <c r="N12" i="8" s="1"/>
  <c r="K19" i="8" a="1"/>
  <c r="K19" i="8" s="1"/>
  <c r="K11" i="8" a="1"/>
  <c r="K11" i="8" s="1"/>
  <c r="L18" i="8" a="1"/>
  <c r="L18" i="8" s="1"/>
  <c r="M16" i="8" a="1"/>
  <c r="M16" i="8" s="1"/>
  <c r="M47" i="8" a="1"/>
  <c r="M47" i="8" s="1"/>
  <c r="J46" i="8" a="1"/>
  <c r="J46" i="8" s="1"/>
  <c r="L48" i="8" a="1"/>
  <c r="L48" i="8" s="1"/>
  <c r="K50" i="8" a="1"/>
  <c r="K50" i="8" s="1"/>
  <c r="N9" i="8" a="1"/>
  <c r="N9" i="8" s="1"/>
  <c r="L14" i="8" a="1"/>
  <c r="L14" i="8" s="1"/>
  <c r="L6" i="8" a="1"/>
  <c r="L6" i="8" s="1"/>
  <c r="M12" i="8" a="1"/>
  <c r="M12" i="8" s="1"/>
  <c r="N19" i="8" a="1"/>
  <c r="N19" i="8" s="1"/>
  <c r="N11" i="8" a="1"/>
  <c r="N11" i="8" s="1"/>
  <c r="N53" i="8" a="1"/>
  <c r="N53" i="8" s="1"/>
  <c r="M55" i="8" a="1"/>
  <c r="M55" i="8" s="1"/>
  <c r="L59" i="8" a="1"/>
  <c r="L59" i="8" s="1"/>
  <c r="I48" i="8" a="1"/>
  <c r="I48" i="8" s="1"/>
  <c r="M48" i="8" a="1"/>
  <c r="M48" i="8" s="1"/>
  <c r="K49" i="8" a="1"/>
  <c r="K49" i="8" s="1"/>
  <c r="M49" i="8" a="1"/>
  <c r="M49" i="8" s="1"/>
  <c r="I45" i="8" a="1"/>
  <c r="I45" i="8" s="1"/>
  <c r="I11" i="8" a="1"/>
  <c r="I11" i="8" s="1"/>
  <c r="I19" i="8" a="1"/>
  <c r="I19" i="8" s="1"/>
  <c r="J12" i="8" a="1"/>
  <c r="J12" i="8" s="1"/>
  <c r="I6" i="8" a="1"/>
  <c r="I6" i="8" s="1"/>
  <c r="I14" i="8" a="1"/>
  <c r="I14" i="8" s="1"/>
  <c r="J7" i="8" a="1"/>
  <c r="J7" i="8" s="1"/>
  <c r="J15" i="8" a="1"/>
  <c r="J15" i="8" s="1"/>
  <c r="I9" i="8" a="1"/>
  <c r="I9" i="8" s="1"/>
  <c r="I17" i="8" a="1"/>
  <c r="I17" i="8" s="1"/>
  <c r="K5" i="8" a="1"/>
  <c r="K5" i="8" s="1"/>
  <c r="K18" i="8" a="1"/>
  <c r="K18" i="8" s="1"/>
  <c r="K14" i="8" a="1"/>
  <c r="K14" i="8" s="1"/>
  <c r="K10" i="8" a="1"/>
  <c r="K10" i="8" s="1"/>
  <c r="K6" i="8" a="1"/>
  <c r="K6" i="8" s="1"/>
  <c r="L17" i="8" a="1"/>
  <c r="L17" i="8" s="1"/>
  <c r="L13" i="8" a="1"/>
  <c r="L13" i="8" s="1"/>
  <c r="L9" i="8" a="1"/>
  <c r="L9" i="8" s="1"/>
  <c r="M19" i="8" a="1"/>
  <c r="M19" i="8" s="1"/>
  <c r="M15" i="8" a="1"/>
  <c r="M15" i="8" s="1"/>
  <c r="M11" i="8" a="1"/>
  <c r="M11" i="8" s="1"/>
  <c r="M7" i="8" a="1"/>
  <c r="M7" i="8" s="1"/>
  <c r="N18" i="8" a="1"/>
  <c r="N18" i="8" s="1"/>
  <c r="N14" i="8" a="1"/>
  <c r="N14" i="8" s="1"/>
  <c r="N10" i="8" a="1"/>
  <c r="N10" i="8" s="1"/>
  <c r="N6" i="8" a="1"/>
  <c r="N6" i="8" s="1"/>
  <c r="K17" i="8" a="1"/>
  <c r="K17" i="8" s="1"/>
  <c r="K13" i="8" a="1"/>
  <c r="K13" i="8" s="1"/>
  <c r="K9" i="8" a="1"/>
  <c r="K9" i="8" s="1"/>
  <c r="L5" i="8" a="1"/>
  <c r="L5" i="8" s="1"/>
  <c r="L16" i="8" a="1"/>
  <c r="L16" i="8" s="1"/>
  <c r="L12" i="8" a="1"/>
  <c r="L12" i="8" s="1"/>
  <c r="L8" i="8" a="1"/>
  <c r="L8" i="8" s="1"/>
  <c r="M18" i="8" a="1"/>
  <c r="M18" i="8" s="1"/>
  <c r="M14" i="8" a="1"/>
  <c r="M14" i="8" s="1"/>
  <c r="M10" i="8" a="1"/>
  <c r="M10" i="8" s="1"/>
  <c r="M6" i="8" a="1"/>
  <c r="M6" i="8" s="1"/>
  <c r="N17" i="8" a="1"/>
  <c r="N17" i="8" s="1"/>
  <c r="N13" i="8" a="1"/>
  <c r="N13" i="8" s="1"/>
  <c r="N49" i="8" a="1"/>
  <c r="N49" i="8" s="1"/>
  <c r="N57" i="8" a="1"/>
  <c r="N57" i="8" s="1"/>
  <c r="M51" i="8" a="1"/>
  <c r="M51" i="8" s="1"/>
  <c r="M59" i="8" a="1"/>
  <c r="M59" i="8" s="1"/>
  <c r="L51" i="8" a="1"/>
  <c r="L51" i="8" s="1"/>
  <c r="K52" i="8" a="1"/>
  <c r="K52" i="8" s="1"/>
  <c r="J54" i="8" a="1"/>
  <c r="J54" i="8" s="1"/>
  <c r="I56" i="8" a="1"/>
  <c r="I56" i="8" s="1"/>
  <c r="N54" i="8" a="1"/>
  <c r="N54" i="8" s="1"/>
  <c r="M56" i="8" a="1"/>
  <c r="M56" i="8" s="1"/>
  <c r="L56" i="8" a="1"/>
  <c r="L56" i="8" s="1"/>
  <c r="K57" i="8" a="1"/>
  <c r="K57" i="8" s="1"/>
  <c r="J45" i="8" a="1"/>
  <c r="J45" i="8" s="1"/>
  <c r="L49" i="8" a="1"/>
  <c r="L49" i="8" s="1"/>
  <c r="J52" i="8" a="1"/>
  <c r="J52" i="8" s="1"/>
  <c r="R6" i="15" a="1"/>
  <c r="R6" i="15" s="1"/>
  <c r="R6" i="10" a="1"/>
  <c r="R6" i="10" s="1"/>
  <c r="V7" i="15" a="1"/>
  <c r="V7" i="15" s="1"/>
  <c r="V7" i="10" a="1"/>
  <c r="V7" i="10" s="1"/>
  <c r="V5" i="15" a="1"/>
  <c r="V5" i="15" s="1"/>
  <c r="V5" i="10" a="1"/>
  <c r="V5" i="10" s="1"/>
  <c r="N9" i="15" a="1"/>
  <c r="N9" i="15" s="1"/>
  <c r="N9" i="10" a="1"/>
  <c r="N9" i="10" s="1"/>
  <c r="H8" i="15" a="1"/>
  <c r="H8" i="15" s="1"/>
  <c r="H8" i="10" a="1"/>
  <c r="H8" i="10" s="1"/>
  <c r="R8" i="15" a="1"/>
  <c r="R8" i="15" s="1"/>
  <c r="R8" i="10" a="1"/>
  <c r="R8" i="10" s="1"/>
  <c r="F9" i="15" a="1"/>
  <c r="F9" i="15" s="1"/>
  <c r="F9" i="10" a="1"/>
  <c r="F9" i="10" s="1"/>
  <c r="T9" i="15" a="1"/>
  <c r="T9" i="15" s="1"/>
  <c r="T9" i="10" a="1"/>
  <c r="T9" i="10" s="1"/>
  <c r="L9" i="15" a="1"/>
  <c r="L9" i="15" s="1"/>
  <c r="L9" i="10" a="1"/>
  <c r="L9" i="10" s="1"/>
  <c r="R9" i="15" a="1"/>
  <c r="R9" i="15" s="1"/>
  <c r="R9" i="10" a="1"/>
  <c r="R9" i="10" s="1"/>
  <c r="V8" i="15" a="1"/>
  <c r="V8" i="15" s="1"/>
  <c r="V8" i="10" a="1"/>
  <c r="V8" i="10" s="1"/>
  <c r="N8" i="15" a="1"/>
  <c r="N8" i="15" s="1"/>
  <c r="N8" i="10" a="1"/>
  <c r="N8" i="10" s="1"/>
  <c r="R7" i="15" a="1"/>
  <c r="R7" i="15" s="1"/>
  <c r="R7" i="10" a="1"/>
  <c r="R7" i="10" s="1"/>
  <c r="R5" i="15" a="1"/>
  <c r="R5" i="15" s="1"/>
  <c r="R5" i="10" a="1"/>
  <c r="R5" i="10" s="1"/>
  <c r="V6" i="15" a="1"/>
  <c r="V6" i="15" s="1"/>
  <c r="V6" i="10" a="1"/>
  <c r="V6" i="10" s="1"/>
  <c r="V9" i="15" a="1"/>
  <c r="V9" i="15" s="1"/>
  <c r="V9" i="10" a="1"/>
  <c r="V9" i="10" s="1"/>
  <c r="J9" i="15" a="1"/>
  <c r="J9" i="15" s="1"/>
  <c r="J9" i="10" a="1"/>
  <c r="J9" i="10" s="1"/>
  <c r="L8" i="15" a="1"/>
  <c r="L8" i="15" s="1"/>
  <c r="L8" i="10" a="1"/>
  <c r="L8" i="10" s="1"/>
  <c r="J8" i="15" a="1"/>
  <c r="J8" i="15" s="1"/>
  <c r="J8" i="10" a="1"/>
  <c r="J8" i="10" s="1"/>
  <c r="D8" i="15" a="1"/>
  <c r="D8" i="15" s="1"/>
  <c r="D8" i="10" a="1"/>
  <c r="D8" i="10" s="1"/>
  <c r="D9" i="15" a="1"/>
  <c r="D9" i="15" s="1"/>
  <c r="D9" i="10" a="1"/>
  <c r="D9" i="10" s="1"/>
  <c r="H9" i="15" a="1"/>
  <c r="H9" i="15" s="1"/>
  <c r="H9" i="10" a="1"/>
  <c r="H9" i="10" s="1"/>
  <c r="F8" i="15" a="1"/>
  <c r="F8" i="15" s="1"/>
  <c r="F8" i="10" a="1"/>
  <c r="F8" i="10" s="1"/>
  <c r="X8" i="10" a="1"/>
  <c r="X8" i="10" s="1"/>
  <c r="B5" i="12" a="1"/>
  <c r="B5" i="12" s="1"/>
  <c r="T8" i="15" a="1"/>
  <c r="T8" i="15" s="1"/>
  <c r="T8" i="10" a="1"/>
  <c r="T8" i="10" s="1"/>
  <c r="P7" i="10" a="1"/>
  <c r="P7" i="10" s="1"/>
  <c r="P7" i="15" a="1"/>
  <c r="P7" i="15" s="1"/>
  <c r="P5" i="10" a="1"/>
  <c r="P5" i="10" s="1"/>
  <c r="P5" i="15" a="1"/>
  <c r="P5" i="15" s="1"/>
  <c r="P8" i="10" a="1"/>
  <c r="P8" i="10" s="1"/>
  <c r="P8" i="15" a="1"/>
  <c r="P8" i="15" s="1"/>
  <c r="P6" i="10" a="1"/>
  <c r="P6" i="10" s="1"/>
  <c r="P6" i="15" a="1"/>
  <c r="P6" i="15" s="1"/>
  <c r="P9" i="10" a="1"/>
  <c r="P9" i="10" s="1"/>
  <c r="P9" i="15" a="1"/>
  <c r="P9" i="15" s="1"/>
  <c r="D6" i="12" a="1"/>
  <c r="D6" i="12" s="1"/>
  <c r="J51" i="8" a="1"/>
  <c r="J51" i="8" s="1"/>
  <c r="I53" i="8" a="1"/>
  <c r="I53" i="8" s="1"/>
  <c r="N55" i="8" a="1"/>
  <c r="N55" i="8" s="1"/>
  <c r="M57" i="8" a="1"/>
  <c r="M57" i="8" s="1"/>
  <c r="L57" i="8" a="1"/>
  <c r="L57" i="8" s="1"/>
  <c r="K58" i="8" a="1"/>
  <c r="K58" i="8" s="1"/>
  <c r="I46" i="8" a="1"/>
  <c r="I46" i="8" s="1"/>
  <c r="M46" i="8" a="1"/>
  <c r="M46" i="8" s="1"/>
  <c r="K47" i="8" a="1"/>
  <c r="K47" i="8" s="1"/>
  <c r="I51" i="8" a="1"/>
  <c r="I51" i="8" s="1"/>
  <c r="F11" i="12" a="1"/>
  <c r="F11" i="12" s="1"/>
  <c r="D15" i="12" a="1"/>
  <c r="D15" i="12" s="1"/>
  <c r="B16" i="12" a="1"/>
  <c r="B16" i="12" s="1"/>
  <c r="F18" i="12" a="1"/>
  <c r="F18" i="12" s="1"/>
  <c r="F5" i="12" a="1"/>
  <c r="F5" i="12" s="1"/>
  <c r="G18" i="12" a="1"/>
  <c r="G18" i="12" s="1"/>
  <c r="I54" i="8" a="1"/>
  <c r="I54" i="8" s="1"/>
  <c r="N52" i="8" a="1"/>
  <c r="N52" i="8" s="1"/>
  <c r="M54" i="8" a="1"/>
  <c r="M54" i="8" s="1"/>
  <c r="L54" i="8" a="1"/>
  <c r="L54" i="8" s="1"/>
  <c r="K55" i="8" a="1"/>
  <c r="K55" i="8" s="1"/>
  <c r="J57" i="8" a="1"/>
  <c r="J57" i="8" s="1"/>
  <c r="I59" i="8" a="1"/>
  <c r="I59" i="8" s="1"/>
  <c r="G17" i="12" a="1"/>
  <c r="G17" i="12" s="1"/>
  <c r="F19" i="12" a="1"/>
  <c r="F19" i="12" s="1"/>
  <c r="D7" i="12" a="1"/>
  <c r="D7" i="12" s="1"/>
  <c r="G8" i="12" a="1"/>
  <c r="G8" i="12" s="1"/>
  <c r="F10" i="12" a="1"/>
  <c r="F10" i="12" s="1"/>
  <c r="E12" i="12" a="1"/>
  <c r="E12" i="12" s="1"/>
  <c r="D14" i="12" a="1"/>
  <c r="D14" i="12" s="1"/>
  <c r="C19" i="12" a="1"/>
  <c r="C19" i="12" s="1"/>
  <c r="G7" i="12" a="1"/>
  <c r="G7" i="12" s="1"/>
  <c r="E10" i="12" a="1"/>
  <c r="E10" i="12" s="1"/>
  <c r="C11" i="12" a="1"/>
  <c r="C11" i="12" s="1"/>
  <c r="B13" i="12" a="1"/>
  <c r="B13" i="12" s="1"/>
  <c r="B6" i="12" a="1"/>
  <c r="B6" i="12" s="1"/>
  <c r="E15" i="12" a="1"/>
  <c r="E15" i="12" s="1"/>
  <c r="D8" i="12" a="1"/>
  <c r="D8" i="12" s="1"/>
  <c r="C18" i="12" a="1"/>
  <c r="C18" i="12" s="1"/>
  <c r="C12" i="12" a="1"/>
  <c r="C12" i="12" s="1"/>
  <c r="B14" i="12" a="1"/>
  <c r="B14" i="12" s="1"/>
  <c r="F13" i="12" a="1"/>
  <c r="F13" i="12" s="1"/>
  <c r="D17" i="12" a="1"/>
  <c r="D17" i="12" s="1"/>
  <c r="E6" i="12" a="1"/>
  <c r="E6" i="12" s="1"/>
  <c r="F17" i="12" a="1"/>
  <c r="F17" i="12" s="1"/>
  <c r="C17" i="12" a="1"/>
  <c r="C17" i="12" s="1"/>
  <c r="D13" i="12" a="1"/>
  <c r="D13" i="12" s="1"/>
  <c r="G6" i="12" a="1"/>
  <c r="G6" i="12" s="1"/>
  <c r="G5" i="12" a="1"/>
  <c r="G5" i="12" s="1"/>
  <c r="B19" i="12" a="1"/>
  <c r="B19" i="12" s="1"/>
  <c r="C5" i="12" a="1"/>
  <c r="C5" i="12" s="1"/>
  <c r="D16" i="12" a="1"/>
  <c r="D16" i="12" s="1"/>
  <c r="D5" i="11" a="1"/>
  <c r="D5" i="11" s="1"/>
  <c r="J4" i="13" a="1"/>
  <c r="J4" i="13" s="1"/>
  <c r="B8" i="12" a="1"/>
  <c r="B8" i="12" s="1"/>
  <c r="B15" i="12" a="1"/>
  <c r="B15" i="12" s="1"/>
  <c r="C6" i="12" a="1"/>
  <c r="C6" i="12" s="1"/>
  <c r="E18" i="12" a="1"/>
  <c r="E18" i="12" s="1"/>
  <c r="N47" i="8" a="1"/>
  <c r="N47" i="8" s="1"/>
  <c r="I55" i="8" a="1"/>
  <c r="I55" i="8" s="1"/>
  <c r="I47" i="8" a="1"/>
  <c r="I47" i="8" s="1"/>
  <c r="J53" i="8" a="1"/>
  <c r="J53" i="8" s="1"/>
  <c r="K59" i="8" a="1"/>
  <c r="K59" i="8" s="1"/>
  <c r="K51" i="8" a="1"/>
  <c r="K51" i="8" s="1"/>
  <c r="L58" i="8" a="1"/>
  <c r="L58" i="8" s="1"/>
  <c r="L50" i="8" a="1"/>
  <c r="L50" i="8" s="1"/>
  <c r="M58" i="8" a="1"/>
  <c r="M58" i="8" s="1"/>
  <c r="M50" i="8" a="1"/>
  <c r="M50" i="8" s="1"/>
  <c r="N56" i="8" a="1"/>
  <c r="N56" i="8" s="1"/>
  <c r="N48" i="8" a="1"/>
  <c r="N48" i="8" s="1"/>
  <c r="I58" i="8" a="1"/>
  <c r="I58" i="8" s="1"/>
  <c r="I50" i="8" a="1"/>
  <c r="I50" i="8" s="1"/>
  <c r="J56" i="8" a="1"/>
  <c r="J56" i="8" s="1"/>
  <c r="J48" i="8" a="1"/>
  <c r="J48" i="8" s="1"/>
  <c r="K54" i="8" a="1"/>
  <c r="K54" i="8" s="1"/>
  <c r="K46" i="8" a="1"/>
  <c r="K46" i="8" s="1"/>
  <c r="L53" i="8" a="1"/>
  <c r="L53" i="8" s="1"/>
  <c r="M45" i="8" a="1"/>
  <c r="M45" i="8" s="1"/>
  <c r="M53" i="8" a="1"/>
  <c r="M53" i="8" s="1"/>
  <c r="N59" i="8" a="1"/>
  <c r="N59" i="8" s="1"/>
  <c r="N51" i="8" a="1"/>
  <c r="N51" i="8" s="1"/>
  <c r="I57" i="8" a="1"/>
  <c r="I57" i="8" s="1"/>
  <c r="I49" i="8" a="1"/>
  <c r="I49" i="8" s="1"/>
  <c r="J55" i="8" a="1"/>
  <c r="J55" i="8" s="1"/>
  <c r="J47" i="8" a="1"/>
  <c r="J47" i="8" s="1"/>
  <c r="K53" i="8" a="1"/>
  <c r="K53" i="8" s="1"/>
  <c r="L45" i="8" a="1"/>
  <c r="L45" i="8" s="1"/>
  <c r="L52" i="8" a="1"/>
  <c r="L52" i="8" s="1"/>
  <c r="N45" i="8" a="1"/>
  <c r="N45" i="8" s="1"/>
  <c r="M52" i="8" a="1"/>
  <c r="M52" i="8" s="1"/>
  <c r="N58" i="8" a="1"/>
  <c r="N58" i="8" s="1"/>
  <c r="N50" i="8" a="1"/>
  <c r="N50" i="8" s="1"/>
  <c r="K45" i="8" a="1"/>
  <c r="K45" i="8" s="1"/>
  <c r="I52" i="8" a="1"/>
  <c r="I52" i="8" s="1"/>
  <c r="J58" i="8" a="1"/>
  <c r="J58" i="8" s="1"/>
  <c r="J50" i="8" a="1"/>
  <c r="J50" i="8" s="1"/>
  <c r="K56" i="8" a="1"/>
  <c r="K56" i="8" s="1"/>
  <c r="K48" i="8" a="1"/>
  <c r="K48" i="8" s="1"/>
  <c r="L55" i="8" a="1"/>
  <c r="L55" i="8" s="1"/>
  <c r="E5" i="12" a="1"/>
  <c r="E5" i="12" s="1"/>
  <c r="G14" i="12" a="1"/>
  <c r="G14" i="12" s="1"/>
  <c r="B7" i="12" a="1"/>
  <c r="B7" i="12" s="1"/>
  <c r="E11" i="12" a="1"/>
  <c r="E11" i="12" s="1"/>
  <c r="C14" i="12" a="1"/>
  <c r="C14" i="12" s="1"/>
  <c r="C13" i="12" a="1"/>
  <c r="C13" i="12" s="1"/>
  <c r="F16" i="12" a="1"/>
  <c r="F16" i="12" s="1"/>
  <c r="F9" i="12" a="1"/>
  <c r="F9" i="12" s="1"/>
  <c r="B12" i="12" a="1"/>
  <c r="B12" i="12" s="1"/>
  <c r="C10" i="12" a="1"/>
  <c r="C10" i="12" s="1"/>
  <c r="B11" i="12" a="1"/>
  <c r="B11" i="12" s="1"/>
  <c r="C9" i="12" a="1"/>
  <c r="C9" i="12" s="1"/>
  <c r="D12" i="12" a="1"/>
  <c r="D12" i="12" s="1"/>
  <c r="F8" i="12" a="1"/>
  <c r="F8" i="12" s="1"/>
  <c r="E19" i="12" a="1"/>
  <c r="E19" i="12" s="1"/>
  <c r="G15" i="12" a="1"/>
  <c r="G15" i="12" s="1"/>
  <c r="E14" i="12" a="1"/>
  <c r="E14" i="12" s="1"/>
  <c r="F12" i="12" a="1"/>
  <c r="F12" i="12" s="1"/>
  <c r="G10" i="12" a="1"/>
  <c r="G10" i="12" s="1"/>
  <c r="D9" i="12" a="1"/>
  <c r="D9" i="12" s="1"/>
  <c r="E7" i="12" a="1"/>
  <c r="E7" i="12" s="1"/>
  <c r="G19" i="12" a="1"/>
  <c r="G19" i="12" s="1"/>
  <c r="B18" i="12" a="1"/>
  <c r="B18" i="12" s="1"/>
  <c r="B10" i="12" a="1"/>
  <c r="B10" i="12" s="1"/>
  <c r="C16" i="12" a="1"/>
  <c r="C16" i="12" s="1"/>
  <c r="C8" i="12" a="1"/>
  <c r="C8" i="12" s="1"/>
  <c r="B17" i="12" a="1"/>
  <c r="B17" i="12" s="1"/>
  <c r="B9" i="12" a="1"/>
  <c r="B9" i="12" s="1"/>
  <c r="C15" i="12" a="1"/>
  <c r="C15" i="12" s="1"/>
  <c r="C7" i="12" a="1"/>
  <c r="C7" i="12" s="1"/>
  <c r="D18" i="12" a="1"/>
  <c r="D18" i="12" s="1"/>
  <c r="D10" i="12" a="1"/>
  <c r="D10" i="12" s="1"/>
  <c r="E16" i="12" a="1"/>
  <c r="E16" i="12" s="1"/>
  <c r="E8" i="12" a="1"/>
  <c r="E8" i="12" s="1"/>
  <c r="F14" i="12" a="1"/>
  <c r="F14" i="12" s="1"/>
  <c r="F6" i="12" a="1"/>
  <c r="F6" i="12" s="1"/>
  <c r="G12" i="12" a="1"/>
  <c r="G12" i="12" s="1"/>
  <c r="D19" i="12" a="1"/>
  <c r="D19" i="12" s="1"/>
  <c r="D11" i="12" a="1"/>
  <c r="D11" i="12" s="1"/>
  <c r="E17" i="12" a="1"/>
  <c r="E17" i="12" s="1"/>
  <c r="E9" i="12" a="1"/>
  <c r="E9" i="12" s="1"/>
  <c r="F15" i="12" a="1"/>
  <c r="F15" i="12" s="1"/>
  <c r="F7" i="12" a="1"/>
  <c r="F7" i="12" s="1"/>
  <c r="G13" i="12" a="1"/>
  <c r="G13" i="12" s="1"/>
  <c r="J5" i="13" a="1"/>
  <c r="J5" i="13" s="1"/>
  <c r="G4" i="13" a="1"/>
  <c r="G4" i="13" s="1"/>
  <c r="J2" i="13" a="1"/>
  <c r="J2" i="13" s="1"/>
  <c r="J7" i="13" a="1"/>
  <c r="J7" i="13" s="1"/>
  <c r="J3" i="13" a="1"/>
  <c r="J3" i="13" s="1"/>
  <c r="G9" i="13" a="1"/>
  <c r="G9" i="13" s="1"/>
  <c r="G10" i="13" a="1"/>
  <c r="G10" i="13" s="1"/>
  <c r="G11" i="12" a="1"/>
  <c r="G11" i="12" s="1"/>
  <c r="D5" i="12" a="1"/>
  <c r="D5" i="12" s="1"/>
  <c r="M27" i="12" a="1"/>
  <c r="M27" i="12" s="1"/>
  <c r="L29" i="12" a="1"/>
  <c r="L29" i="12" s="1"/>
  <c r="K29" i="12" a="1"/>
  <c r="K29" i="12" s="1"/>
  <c r="K37" i="12" a="1"/>
  <c r="K37" i="12" s="1"/>
  <c r="J29" i="12" a="1"/>
  <c r="J29" i="12" s="1"/>
  <c r="J33" i="12" a="1"/>
  <c r="J33" i="12" s="1"/>
  <c r="J37" i="12" a="1"/>
  <c r="J37" i="12" s="1"/>
  <c r="I27" i="12" a="1"/>
  <c r="I27" i="12" s="1"/>
  <c r="I30" i="12" a="1"/>
  <c r="I30" i="12" s="1"/>
  <c r="I32" i="12" a="1"/>
  <c r="I32" i="12" s="1"/>
  <c r="I34" i="12" a="1"/>
  <c r="I34" i="12" s="1"/>
  <c r="I36" i="12" a="1"/>
  <c r="I36" i="12" s="1"/>
  <c r="I38" i="12" a="1"/>
  <c r="I38" i="12" s="1"/>
  <c r="N25" i="12" a="1"/>
  <c r="N25" i="12" s="1"/>
  <c r="L25" i="12" a="1"/>
  <c r="L25" i="12" s="1"/>
  <c r="J25" i="12" a="1"/>
  <c r="J25" i="12" s="1"/>
  <c r="N33" i="12" a="1"/>
  <c r="N33" i="12" s="1"/>
  <c r="M35" i="12" a="1"/>
  <c r="M35" i="12" s="1"/>
  <c r="L37" i="12" a="1"/>
  <c r="L37" i="12" s="1"/>
  <c r="K33" i="12" a="1"/>
  <c r="K33" i="12" s="1"/>
  <c r="J27" i="12" a="1"/>
  <c r="J27" i="12" s="1"/>
  <c r="J31" i="12" a="1"/>
  <c r="J31" i="12" s="1"/>
  <c r="J35" i="12" a="1"/>
  <c r="J35" i="12" s="1"/>
  <c r="J39" i="12" a="1"/>
  <c r="J39" i="12" s="1"/>
  <c r="I29" i="12" a="1"/>
  <c r="I29" i="12" s="1"/>
  <c r="I31" i="12" a="1"/>
  <c r="I31" i="12" s="1"/>
  <c r="I33" i="12" a="1"/>
  <c r="I33" i="12" s="1"/>
  <c r="I35" i="12" a="1"/>
  <c r="I35" i="12" s="1"/>
  <c r="I37" i="12" a="1"/>
  <c r="I37" i="12" s="1"/>
  <c r="I39" i="12" a="1"/>
  <c r="I39" i="12" s="1"/>
  <c r="M25" i="12" a="1"/>
  <c r="M25" i="12" s="1"/>
  <c r="K25" i="12" a="1"/>
  <c r="K25" i="12" s="1"/>
  <c r="I25" i="12" a="1"/>
  <c r="I25" i="12" s="1"/>
  <c r="N27" i="12" a="1"/>
  <c r="N27" i="12" s="1"/>
  <c r="N29" i="12" a="1"/>
  <c r="N29" i="12" s="1"/>
  <c r="K35" i="12" a="1"/>
  <c r="K35" i="12" s="1"/>
  <c r="K27" i="12" a="1"/>
  <c r="K27" i="12" s="1"/>
  <c r="M39" i="12" a="1"/>
  <c r="M39" i="12" s="1"/>
  <c r="N37" i="12" a="1"/>
  <c r="N37" i="12" s="1"/>
  <c r="L35" i="12" a="1"/>
  <c r="L35" i="12" s="1"/>
  <c r="L27" i="12" a="1"/>
  <c r="L27" i="12" s="1"/>
  <c r="M33" i="12" a="1"/>
  <c r="M33" i="12" s="1"/>
  <c r="N39" i="12" a="1"/>
  <c r="N39" i="12" s="1"/>
  <c r="N31" i="12" a="1"/>
  <c r="N31" i="12" s="1"/>
  <c r="I26" i="12" a="1"/>
  <c r="I26" i="12" s="1"/>
  <c r="J36" i="12" a="1"/>
  <c r="J36" i="12" s="1"/>
  <c r="J32" i="12" a="1"/>
  <c r="J32" i="12" s="1"/>
  <c r="J28" i="12" a="1"/>
  <c r="J28" i="12" s="1"/>
  <c r="K38" i="12" a="1"/>
  <c r="K38" i="12" s="1"/>
  <c r="K34" i="12" a="1"/>
  <c r="K34" i="12" s="1"/>
  <c r="K30" i="12" a="1"/>
  <c r="K30" i="12" s="1"/>
  <c r="K26" i="12" a="1"/>
  <c r="K26" i="12" s="1"/>
  <c r="L36" i="12" a="1"/>
  <c r="L36" i="12" s="1"/>
  <c r="L32" i="12" a="1"/>
  <c r="L32" i="12" s="1"/>
  <c r="L28" i="12" a="1"/>
  <c r="L28" i="12" s="1"/>
  <c r="M38" i="12" a="1"/>
  <c r="M38" i="12" s="1"/>
  <c r="M34" i="12" a="1"/>
  <c r="M34" i="12" s="1"/>
  <c r="M30" i="12" a="1"/>
  <c r="M30" i="12" s="1"/>
  <c r="M26" i="12" a="1"/>
  <c r="M26" i="12" s="1"/>
  <c r="N36" i="12" a="1"/>
  <c r="N36" i="12" s="1"/>
  <c r="N32" i="12" a="1"/>
  <c r="N32" i="12" s="1"/>
  <c r="N28" i="12" a="1"/>
  <c r="N28" i="12" s="1"/>
  <c r="N26" i="12" a="1"/>
  <c r="N26" i="12" s="1"/>
  <c r="K39" i="12" a="1"/>
  <c r="K39" i="12" s="1"/>
  <c r="K31" i="12" a="1"/>
  <c r="K31" i="12" s="1"/>
  <c r="L33" i="12" a="1"/>
  <c r="L33" i="12" s="1"/>
  <c r="M31" i="12" a="1"/>
  <c r="M31" i="12" s="1"/>
  <c r="L39" i="12" a="1"/>
  <c r="L39" i="12" s="1"/>
  <c r="L31" i="12" a="1"/>
  <c r="L31" i="12" s="1"/>
  <c r="M37" i="12" a="1"/>
  <c r="M37" i="12" s="1"/>
  <c r="M29" i="12" a="1"/>
  <c r="M29" i="12" s="1"/>
  <c r="N35" i="12" a="1"/>
  <c r="N35" i="12" s="1"/>
  <c r="I28" i="12" a="1"/>
  <c r="I28" i="12" s="1"/>
  <c r="J38" i="12" a="1"/>
  <c r="J38" i="12" s="1"/>
  <c r="J34" i="12" a="1"/>
  <c r="J34" i="12" s="1"/>
  <c r="J30" i="12" a="1"/>
  <c r="J30" i="12" s="1"/>
  <c r="J26" i="12" a="1"/>
  <c r="J26" i="12" s="1"/>
  <c r="K36" i="12" a="1"/>
  <c r="K36" i="12" s="1"/>
  <c r="K32" i="12" a="1"/>
  <c r="K32" i="12" s="1"/>
  <c r="K28" i="12" a="1"/>
  <c r="K28" i="12" s="1"/>
  <c r="L38" i="12" a="1"/>
  <c r="L38" i="12" s="1"/>
  <c r="L34" i="12" a="1"/>
  <c r="L34" i="12" s="1"/>
  <c r="L30" i="12" a="1"/>
  <c r="L30" i="12" s="1"/>
  <c r="L26" i="12" a="1"/>
  <c r="L26" i="12" s="1"/>
  <c r="M36" i="12" a="1"/>
  <c r="M36" i="12" s="1"/>
  <c r="M32" i="12" a="1"/>
  <c r="M32" i="12" s="1"/>
  <c r="M28" i="12" a="1"/>
  <c r="M28" i="12" s="1"/>
  <c r="N38" i="12" a="1"/>
  <c r="N38" i="12" s="1"/>
  <c r="N34" i="12" a="1"/>
  <c r="N34" i="12" s="1"/>
  <c r="N30" i="12" a="1"/>
  <c r="N30" i="12" s="1"/>
  <c r="N7" i="12" a="1"/>
  <c r="N7" i="12" s="1"/>
  <c r="N9" i="12" a="1"/>
  <c r="N9" i="12" s="1"/>
  <c r="N11" i="12" a="1"/>
  <c r="N11" i="12" s="1"/>
  <c r="N13" i="12" a="1"/>
  <c r="N13" i="12" s="1"/>
  <c r="N15" i="12" a="1"/>
  <c r="N15" i="12" s="1"/>
  <c r="N17" i="12" a="1"/>
  <c r="N17" i="12" s="1"/>
  <c r="N19" i="12" a="1"/>
  <c r="N19" i="12" s="1"/>
  <c r="M7" i="12" a="1"/>
  <c r="M7" i="12" s="1"/>
  <c r="M9" i="12" a="1"/>
  <c r="M9" i="12" s="1"/>
  <c r="M11" i="12" a="1"/>
  <c r="M11" i="12" s="1"/>
  <c r="M13" i="12" a="1"/>
  <c r="M13" i="12" s="1"/>
  <c r="M15" i="12" a="1"/>
  <c r="M15" i="12" s="1"/>
  <c r="M17" i="12" a="1"/>
  <c r="M17" i="12" s="1"/>
  <c r="M19" i="12" a="1"/>
  <c r="M19" i="12" s="1"/>
  <c r="L7" i="12" a="1"/>
  <c r="L7" i="12" s="1"/>
  <c r="L9" i="12" a="1"/>
  <c r="L9" i="12" s="1"/>
  <c r="L11" i="12" a="1"/>
  <c r="L11" i="12" s="1"/>
  <c r="L13" i="12" a="1"/>
  <c r="L13" i="12" s="1"/>
  <c r="L15" i="12" a="1"/>
  <c r="L15" i="12" s="1"/>
  <c r="L17" i="12" a="1"/>
  <c r="L17" i="12" s="1"/>
  <c r="L19" i="12" a="1"/>
  <c r="L19" i="12" s="1"/>
  <c r="K7" i="12" a="1"/>
  <c r="K7" i="12" s="1"/>
  <c r="K9" i="12" a="1"/>
  <c r="K9" i="12" s="1"/>
  <c r="K11" i="12" a="1"/>
  <c r="K11" i="12" s="1"/>
  <c r="K13" i="12" a="1"/>
  <c r="K13" i="12" s="1"/>
  <c r="K15" i="12" a="1"/>
  <c r="K15" i="12" s="1"/>
  <c r="K17" i="12" a="1"/>
  <c r="K17" i="12" s="1"/>
  <c r="K19" i="12" a="1"/>
  <c r="K19" i="12" s="1"/>
  <c r="J7" i="12" a="1"/>
  <c r="J7" i="12" s="1"/>
  <c r="J9" i="12" a="1"/>
  <c r="J9" i="12" s="1"/>
  <c r="J11" i="12" a="1"/>
  <c r="J11" i="12" s="1"/>
  <c r="J13" i="12" a="1"/>
  <c r="J13" i="12" s="1"/>
  <c r="J15" i="12" a="1"/>
  <c r="J15" i="12" s="1"/>
  <c r="J17" i="12" a="1"/>
  <c r="J17" i="12" s="1"/>
  <c r="J19" i="12" a="1"/>
  <c r="J19" i="12" s="1"/>
  <c r="I7" i="12" a="1"/>
  <c r="I7" i="12" s="1"/>
  <c r="I9" i="12" a="1"/>
  <c r="I9" i="12" s="1"/>
  <c r="I11" i="12" a="1"/>
  <c r="I11" i="12" s="1"/>
  <c r="I13" i="12" a="1"/>
  <c r="I13" i="12" s="1"/>
  <c r="I15" i="12" a="1"/>
  <c r="I15" i="12" s="1"/>
  <c r="I17" i="12" a="1"/>
  <c r="I17" i="12" s="1"/>
  <c r="I19" i="12" a="1"/>
  <c r="I19" i="12" s="1"/>
  <c r="M5" i="12" a="1"/>
  <c r="M5" i="12" s="1"/>
  <c r="K5" i="12" a="1"/>
  <c r="K5" i="12" s="1"/>
  <c r="I5" i="12" a="1"/>
  <c r="I5" i="12" s="1"/>
  <c r="N6" i="12" a="1"/>
  <c r="N6" i="12" s="1"/>
  <c r="N8" i="12" a="1"/>
  <c r="N8" i="12" s="1"/>
  <c r="N10" i="12" a="1"/>
  <c r="N10" i="12" s="1"/>
  <c r="N12" i="12" a="1"/>
  <c r="N12" i="12" s="1"/>
  <c r="N14" i="12" a="1"/>
  <c r="N14" i="12" s="1"/>
  <c r="N16" i="12" a="1"/>
  <c r="N16" i="12" s="1"/>
  <c r="N18" i="12" a="1"/>
  <c r="N18" i="12" s="1"/>
  <c r="M6" i="12" a="1"/>
  <c r="M6" i="12" s="1"/>
  <c r="M8" i="12" a="1"/>
  <c r="M8" i="12" s="1"/>
  <c r="M10" i="12" a="1"/>
  <c r="M10" i="12" s="1"/>
  <c r="M12" i="12" a="1"/>
  <c r="M12" i="12" s="1"/>
  <c r="M14" i="12" a="1"/>
  <c r="M14" i="12" s="1"/>
  <c r="M16" i="12" a="1"/>
  <c r="M16" i="12" s="1"/>
  <c r="M18" i="12" a="1"/>
  <c r="M18" i="12" s="1"/>
  <c r="L6" i="12" a="1"/>
  <c r="L6" i="12" s="1"/>
  <c r="L8" i="12" a="1"/>
  <c r="L8" i="12" s="1"/>
  <c r="L10" i="12" a="1"/>
  <c r="L10" i="12" s="1"/>
  <c r="L12" i="12" a="1"/>
  <c r="L12" i="12" s="1"/>
  <c r="L14" i="12" a="1"/>
  <c r="L14" i="12" s="1"/>
  <c r="L16" i="12" a="1"/>
  <c r="L16" i="12" s="1"/>
  <c r="L18" i="12" a="1"/>
  <c r="L18" i="12" s="1"/>
  <c r="K6" i="12" a="1"/>
  <c r="K6" i="12" s="1"/>
  <c r="K8" i="12" a="1"/>
  <c r="K8" i="12" s="1"/>
  <c r="K10" i="12" a="1"/>
  <c r="K10" i="12" s="1"/>
  <c r="K12" i="12" a="1"/>
  <c r="K12" i="12" s="1"/>
  <c r="K14" i="12" a="1"/>
  <c r="K14" i="12" s="1"/>
  <c r="K16" i="12" a="1"/>
  <c r="K16" i="12" s="1"/>
  <c r="K18" i="12" a="1"/>
  <c r="K18" i="12" s="1"/>
  <c r="J6" i="12" a="1"/>
  <c r="J6" i="12" s="1"/>
  <c r="J8" i="12" a="1"/>
  <c r="J8" i="12" s="1"/>
  <c r="J10" i="12" a="1"/>
  <c r="J10" i="12" s="1"/>
  <c r="J12" i="12" a="1"/>
  <c r="J12" i="12" s="1"/>
  <c r="J14" i="12" a="1"/>
  <c r="J14" i="12" s="1"/>
  <c r="J16" i="12" a="1"/>
  <c r="J16" i="12" s="1"/>
  <c r="J18" i="12" a="1"/>
  <c r="J18" i="12" s="1"/>
  <c r="I6" i="12" a="1"/>
  <c r="I6" i="12" s="1"/>
  <c r="I8" i="12" a="1"/>
  <c r="I8" i="12" s="1"/>
  <c r="I10" i="12" a="1"/>
  <c r="I10" i="12" s="1"/>
  <c r="I12" i="12" a="1"/>
  <c r="I12" i="12" s="1"/>
  <c r="I14" i="12" a="1"/>
  <c r="I14" i="12" s="1"/>
  <c r="I16" i="12" a="1"/>
  <c r="I16" i="12" s="1"/>
  <c r="I18" i="12" a="1"/>
  <c r="I18" i="12" s="1"/>
  <c r="N5" i="12" a="1"/>
  <c r="N5" i="12" s="1"/>
  <c r="L5" i="12" a="1"/>
  <c r="L5" i="12" s="1"/>
  <c r="J5" i="12" a="1"/>
  <c r="J5" i="12" s="1"/>
  <c r="G27" i="12" a="1"/>
  <c r="G27" i="12" s="1"/>
  <c r="G29" i="12" a="1"/>
  <c r="G29" i="12" s="1"/>
  <c r="G31" i="12" a="1"/>
  <c r="G31" i="12" s="1"/>
  <c r="G33" i="12" a="1"/>
  <c r="G33" i="12" s="1"/>
  <c r="G35" i="12" a="1"/>
  <c r="G35" i="12" s="1"/>
  <c r="G37" i="12" a="1"/>
  <c r="G37" i="12" s="1"/>
  <c r="G39" i="12" a="1"/>
  <c r="G39" i="12" s="1"/>
  <c r="F27" i="12" a="1"/>
  <c r="F27" i="12" s="1"/>
  <c r="F29" i="12" a="1"/>
  <c r="F29" i="12" s="1"/>
  <c r="F31" i="12" a="1"/>
  <c r="F31" i="12" s="1"/>
  <c r="F33" i="12" a="1"/>
  <c r="F33" i="12" s="1"/>
  <c r="F35" i="12" a="1"/>
  <c r="F35" i="12" s="1"/>
  <c r="F37" i="12" a="1"/>
  <c r="F37" i="12" s="1"/>
  <c r="F39" i="12" a="1"/>
  <c r="F39" i="12" s="1"/>
  <c r="E27" i="12" a="1"/>
  <c r="E27" i="12" s="1"/>
  <c r="E29" i="12" a="1"/>
  <c r="E29" i="12" s="1"/>
  <c r="E31" i="12" a="1"/>
  <c r="E31" i="12" s="1"/>
  <c r="E33" i="12" a="1"/>
  <c r="E33" i="12" s="1"/>
  <c r="E35" i="12" a="1"/>
  <c r="E35" i="12" s="1"/>
  <c r="E37" i="12" a="1"/>
  <c r="E37" i="12" s="1"/>
  <c r="E39" i="12" a="1"/>
  <c r="E39" i="12" s="1"/>
  <c r="D27" i="12" a="1"/>
  <c r="D27" i="12" s="1"/>
  <c r="D29" i="12" a="1"/>
  <c r="D29" i="12" s="1"/>
  <c r="D31" i="12" a="1"/>
  <c r="D31" i="12" s="1"/>
  <c r="D33" i="12" a="1"/>
  <c r="D33" i="12" s="1"/>
  <c r="D35" i="12" a="1"/>
  <c r="D35" i="12" s="1"/>
  <c r="D37" i="12" a="1"/>
  <c r="D37" i="12" s="1"/>
  <c r="D39" i="12" a="1"/>
  <c r="D39" i="12" s="1"/>
  <c r="C27" i="12" a="1"/>
  <c r="C27" i="12" s="1"/>
  <c r="C29" i="12" a="1"/>
  <c r="C29" i="12" s="1"/>
  <c r="C31" i="12" a="1"/>
  <c r="C31" i="12" s="1"/>
  <c r="C33" i="12" a="1"/>
  <c r="C33" i="12" s="1"/>
  <c r="C35" i="12" a="1"/>
  <c r="C35" i="12" s="1"/>
  <c r="C37" i="12" a="1"/>
  <c r="C37" i="12" s="1"/>
  <c r="C39" i="12" a="1"/>
  <c r="C39" i="12" s="1"/>
  <c r="B27" i="12" a="1"/>
  <c r="B27" i="12" s="1"/>
  <c r="B29" i="12" a="1"/>
  <c r="B29" i="12" s="1"/>
  <c r="B31" i="12" a="1"/>
  <c r="B31" i="12" s="1"/>
  <c r="B33" i="12" a="1"/>
  <c r="B33" i="12" s="1"/>
  <c r="B35" i="12" a="1"/>
  <c r="B35" i="12" s="1"/>
  <c r="B37" i="12" a="1"/>
  <c r="B37" i="12" s="1"/>
  <c r="B39" i="12" a="1"/>
  <c r="B39" i="12" s="1"/>
  <c r="F25" i="12" a="1"/>
  <c r="F25" i="12" s="1"/>
  <c r="D25" i="12" a="1"/>
  <c r="D25" i="12" s="1"/>
  <c r="B25" i="12" a="1"/>
  <c r="B25" i="12" s="1"/>
  <c r="G26" i="12" a="1"/>
  <c r="G26" i="12" s="1"/>
  <c r="G28" i="12" a="1"/>
  <c r="G28" i="12" s="1"/>
  <c r="G30" i="12" a="1"/>
  <c r="G30" i="12" s="1"/>
  <c r="G32" i="12" a="1"/>
  <c r="G32" i="12" s="1"/>
  <c r="G34" i="12" a="1"/>
  <c r="G34" i="12" s="1"/>
  <c r="G36" i="12" a="1"/>
  <c r="G36" i="12" s="1"/>
  <c r="G38" i="12" a="1"/>
  <c r="G38" i="12" s="1"/>
  <c r="F26" i="12" a="1"/>
  <c r="F26" i="12" s="1"/>
  <c r="F28" i="12" a="1"/>
  <c r="F28" i="12" s="1"/>
  <c r="F30" i="12" a="1"/>
  <c r="F30" i="12" s="1"/>
  <c r="F32" i="12" a="1"/>
  <c r="F32" i="12" s="1"/>
  <c r="F34" i="12" a="1"/>
  <c r="F34" i="12" s="1"/>
  <c r="F36" i="12" a="1"/>
  <c r="F36" i="12" s="1"/>
  <c r="F38" i="12" a="1"/>
  <c r="F38" i="12" s="1"/>
  <c r="E26" i="12" a="1"/>
  <c r="E26" i="12" s="1"/>
  <c r="E28" i="12" a="1"/>
  <c r="E28" i="12" s="1"/>
  <c r="E30" i="12" a="1"/>
  <c r="E30" i="12" s="1"/>
  <c r="E32" i="12" a="1"/>
  <c r="E32" i="12" s="1"/>
  <c r="E34" i="12" a="1"/>
  <c r="E34" i="12" s="1"/>
  <c r="E36" i="12" a="1"/>
  <c r="E36" i="12" s="1"/>
  <c r="E38" i="12" a="1"/>
  <c r="E38" i="12" s="1"/>
  <c r="D26" i="12" a="1"/>
  <c r="D26" i="12" s="1"/>
  <c r="D28" i="12" a="1"/>
  <c r="D28" i="12" s="1"/>
  <c r="D30" i="12" a="1"/>
  <c r="D30" i="12" s="1"/>
  <c r="D32" i="12" a="1"/>
  <c r="D32" i="12" s="1"/>
  <c r="D34" i="12" a="1"/>
  <c r="D34" i="12" s="1"/>
  <c r="D36" i="12" a="1"/>
  <c r="D36" i="12" s="1"/>
  <c r="D38" i="12" a="1"/>
  <c r="D38" i="12" s="1"/>
  <c r="C26" i="12" a="1"/>
  <c r="C26" i="12" s="1"/>
  <c r="C28" i="12" a="1"/>
  <c r="C28" i="12" s="1"/>
  <c r="C30" i="12" a="1"/>
  <c r="C30" i="12" s="1"/>
  <c r="C32" i="12" a="1"/>
  <c r="C32" i="12" s="1"/>
  <c r="C34" i="12" a="1"/>
  <c r="C34" i="12" s="1"/>
  <c r="C36" i="12" a="1"/>
  <c r="C36" i="12" s="1"/>
  <c r="C38" i="12" a="1"/>
  <c r="C38" i="12" s="1"/>
  <c r="B26" i="12" a="1"/>
  <c r="B26" i="12" s="1"/>
  <c r="B28" i="12" a="1"/>
  <c r="B28" i="12" s="1"/>
  <c r="B30" i="12" a="1"/>
  <c r="B30" i="12" s="1"/>
  <c r="B32" i="12" a="1"/>
  <c r="B32" i="12" s="1"/>
  <c r="B34" i="12" a="1"/>
  <c r="B34" i="12" s="1"/>
  <c r="B36" i="12" a="1"/>
  <c r="B36" i="12" s="1"/>
  <c r="B38" i="12" a="1"/>
  <c r="B38" i="12" s="1"/>
  <c r="G25" i="12" a="1"/>
  <c r="G25" i="12" s="1"/>
  <c r="E25" i="12" a="1"/>
  <c r="E25" i="12" s="1"/>
  <c r="C25" i="12" a="1"/>
  <c r="C25" i="12" s="1"/>
  <c r="C8" i="8" a="1"/>
  <c r="C8" i="8" s="1"/>
  <c r="C28" i="11" a="1"/>
  <c r="C28" i="11" s="1"/>
  <c r="G46" i="8" a="1"/>
  <c r="G46" i="8" s="1"/>
  <c r="G25" i="8" a="1"/>
  <c r="G25" i="8" s="1"/>
  <c r="O4" i="7"/>
  <c r="R4" i="7"/>
  <c r="AH4" i="10" s="1" a="1"/>
  <c r="AH4" i="10" s="1"/>
  <c r="R4" i="15" l="1" a="1"/>
  <c r="R4" i="15" s="1"/>
  <c r="R4" i="10" a="1"/>
  <c r="R4" i="10" s="1"/>
  <c r="E4" i="13"/>
  <c r="G8" i="13" a="1"/>
  <c r="G8" i="13" s="1"/>
  <c r="I14" i="9" a="1"/>
  <c r="I14" i="9" s="1"/>
  <c r="G7" i="13" a="1"/>
  <c r="G7" i="13" s="1"/>
  <c r="B45" i="8" a="1"/>
  <c r="B45" i="8" s="1"/>
  <c r="B57" i="8" a="1"/>
  <c r="B57" i="8" s="1"/>
  <c r="B49" i="8" a="1"/>
  <c r="B49" i="8" s="1"/>
  <c r="C55" i="8" a="1"/>
  <c r="C55" i="8" s="1"/>
  <c r="C47" i="8" a="1"/>
  <c r="C47" i="8" s="1"/>
  <c r="D53" i="8" a="1"/>
  <c r="D53" i="8" s="1"/>
  <c r="E59" i="8" a="1"/>
  <c r="E59" i="8" s="1"/>
  <c r="E51" i="8" a="1"/>
  <c r="E51" i="8" s="1"/>
  <c r="F57" i="8" a="1"/>
  <c r="F57" i="8" s="1"/>
  <c r="F49" i="8" a="1"/>
  <c r="F49" i="8" s="1"/>
  <c r="G55" i="8" a="1"/>
  <c r="G55" i="8" s="1"/>
  <c r="G47" i="8" a="1"/>
  <c r="G47" i="8" s="1"/>
  <c r="B58" i="8" a="1"/>
  <c r="B58" i="8" s="1"/>
  <c r="B50" i="8" a="1"/>
  <c r="B50" i="8" s="1"/>
  <c r="C56" i="8" a="1"/>
  <c r="C56" i="8" s="1"/>
  <c r="C48" i="8" a="1"/>
  <c r="C48" i="8" s="1"/>
  <c r="D54" i="8" a="1"/>
  <c r="D54" i="8" s="1"/>
  <c r="D46" i="8" a="1"/>
  <c r="D46" i="8" s="1"/>
  <c r="E52" i="8" a="1"/>
  <c r="E52" i="8" s="1"/>
  <c r="F58" i="8" a="1"/>
  <c r="F58" i="8" s="1"/>
  <c r="F50" i="8" a="1"/>
  <c r="F50" i="8" s="1"/>
  <c r="G56" i="8" a="1"/>
  <c r="G56" i="8" s="1"/>
  <c r="G48" i="8" a="1"/>
  <c r="G48" i="8" s="1"/>
  <c r="B59" i="8" a="1"/>
  <c r="B59" i="8" s="1"/>
  <c r="B51" i="8" a="1"/>
  <c r="B51" i="8" s="1"/>
  <c r="C57" i="8" a="1"/>
  <c r="C57" i="8" s="1"/>
  <c r="C49" i="8" a="1"/>
  <c r="C49" i="8" s="1"/>
  <c r="D55" i="8" a="1"/>
  <c r="D55" i="8" s="1"/>
  <c r="D47" i="8" a="1"/>
  <c r="D47" i="8" s="1"/>
  <c r="E53" i="8" a="1"/>
  <c r="E53" i="8" s="1"/>
  <c r="F59" i="8" a="1"/>
  <c r="F59" i="8" s="1"/>
  <c r="F51" i="8" a="1"/>
  <c r="F51" i="8" s="1"/>
  <c r="G57" i="8" a="1"/>
  <c r="G57" i="8" s="1"/>
  <c r="G49" i="8" a="1"/>
  <c r="G49" i="8" s="1"/>
  <c r="G45" i="8" a="1"/>
  <c r="G45" i="8" s="1"/>
  <c r="B52" i="8" a="1"/>
  <c r="B52" i="8" s="1"/>
  <c r="C58" i="8" a="1"/>
  <c r="C58" i="8" s="1"/>
  <c r="C50" i="8" a="1"/>
  <c r="C50" i="8" s="1"/>
  <c r="D56" i="8" a="1"/>
  <c r="D56" i="8" s="1"/>
  <c r="D48" i="8" a="1"/>
  <c r="D48" i="8" s="1"/>
  <c r="E54" i="8" a="1"/>
  <c r="E54" i="8" s="1"/>
  <c r="E46" i="8" a="1"/>
  <c r="E46" i="8" s="1"/>
  <c r="F52" i="8" a="1"/>
  <c r="F52" i="8" s="1"/>
  <c r="G58" i="8" a="1"/>
  <c r="G58" i="8" s="1"/>
  <c r="G50" i="8" a="1"/>
  <c r="G50" i="8" s="1"/>
  <c r="F45" i="8" a="1"/>
  <c r="F45" i="8" s="1"/>
  <c r="B53" i="8" a="1"/>
  <c r="B53" i="8" s="1"/>
  <c r="C59" i="8" a="1"/>
  <c r="C59" i="8" s="1"/>
  <c r="C51" i="8" a="1"/>
  <c r="C51" i="8" s="1"/>
  <c r="D57" i="8" a="1"/>
  <c r="D57" i="8" s="1"/>
  <c r="D49" i="8" a="1"/>
  <c r="D49" i="8" s="1"/>
  <c r="E55" i="8" a="1"/>
  <c r="E55" i="8" s="1"/>
  <c r="E47" i="8" a="1"/>
  <c r="E47" i="8" s="1"/>
  <c r="F53" i="8" a="1"/>
  <c r="F53" i="8" s="1"/>
  <c r="G59" i="8" a="1"/>
  <c r="G59" i="8" s="1"/>
  <c r="G51" i="8" a="1"/>
  <c r="G51" i="8" s="1"/>
  <c r="E45" i="8" a="1"/>
  <c r="E45" i="8" s="1"/>
  <c r="B54" i="8" a="1"/>
  <c r="B54" i="8" s="1"/>
  <c r="B46" i="8" a="1"/>
  <c r="B46" i="8" s="1"/>
  <c r="C52" i="8" a="1"/>
  <c r="C52" i="8" s="1"/>
  <c r="D58" i="8" a="1"/>
  <c r="D58" i="8" s="1"/>
  <c r="D50" i="8" a="1"/>
  <c r="D50" i="8" s="1"/>
  <c r="E56" i="8" a="1"/>
  <c r="E56" i="8" s="1"/>
  <c r="E48" i="8" a="1"/>
  <c r="E48" i="8" s="1"/>
  <c r="F54" i="8" a="1"/>
  <c r="F54" i="8" s="1"/>
  <c r="F46" i="8" a="1"/>
  <c r="F46" i="8" s="1"/>
  <c r="G52" i="8" a="1"/>
  <c r="G52" i="8" s="1"/>
  <c r="D45" i="8" a="1"/>
  <c r="D45" i="8" s="1"/>
  <c r="B55" i="8" a="1"/>
  <c r="B55" i="8" s="1"/>
  <c r="B47" i="8" a="1"/>
  <c r="B47" i="8" s="1"/>
  <c r="C53" i="8" a="1"/>
  <c r="C53" i="8" s="1"/>
  <c r="D59" i="8" a="1"/>
  <c r="D59" i="8" s="1"/>
  <c r="D51" i="8" a="1"/>
  <c r="D51" i="8" s="1"/>
  <c r="E57" i="8" a="1"/>
  <c r="E57" i="8" s="1"/>
  <c r="E49" i="8" a="1"/>
  <c r="E49" i="8" s="1"/>
  <c r="F55" i="8" a="1"/>
  <c r="F55" i="8" s="1"/>
  <c r="F47" i="8" a="1"/>
  <c r="F47" i="8" s="1"/>
  <c r="G53" i="8" a="1"/>
  <c r="G53" i="8" s="1"/>
  <c r="C45" i="8" a="1"/>
  <c r="C45" i="8" s="1"/>
  <c r="B56" i="8" a="1"/>
  <c r="B56" i="8" s="1"/>
  <c r="B48" i="8" a="1"/>
  <c r="B48" i="8" s="1"/>
  <c r="C54" i="8" a="1"/>
  <c r="C54" i="8" s="1"/>
  <c r="C46" i="8" a="1"/>
  <c r="C46" i="8" s="1"/>
  <c r="D52" i="8" a="1"/>
  <c r="D52" i="8" s="1"/>
  <c r="E58" i="8" a="1"/>
  <c r="E58" i="8" s="1"/>
  <c r="E50" i="8" a="1"/>
  <c r="E50" i="8" s="1"/>
  <c r="F56" i="8" a="1"/>
  <c r="F56" i="8" s="1"/>
  <c r="F48" i="8" a="1"/>
  <c r="F48" i="8" s="1"/>
  <c r="G54" i="8" a="1"/>
  <c r="G54" i="8" s="1"/>
  <c r="N26" i="8" a="1"/>
  <c r="N26" i="8" s="1"/>
  <c r="N28" i="8" a="1"/>
  <c r="N28" i="8" s="1"/>
  <c r="N30" i="8" a="1"/>
  <c r="N30" i="8" s="1"/>
  <c r="N32" i="8" a="1"/>
  <c r="N32" i="8" s="1"/>
  <c r="N34" i="8" a="1"/>
  <c r="N34" i="8" s="1"/>
  <c r="N36" i="8" a="1"/>
  <c r="N36" i="8" s="1"/>
  <c r="N38" i="8" a="1"/>
  <c r="N38" i="8" s="1"/>
  <c r="N25" i="8" a="1"/>
  <c r="N25" i="8" s="1"/>
  <c r="M27" i="8" a="1"/>
  <c r="M27" i="8" s="1"/>
  <c r="M29" i="8" a="1"/>
  <c r="M29" i="8" s="1"/>
  <c r="M31" i="8" a="1"/>
  <c r="M31" i="8" s="1"/>
  <c r="M33" i="8" a="1"/>
  <c r="M33" i="8" s="1"/>
  <c r="M35" i="8" a="1"/>
  <c r="M35" i="8" s="1"/>
  <c r="M37" i="8" a="1"/>
  <c r="M37" i="8" s="1"/>
  <c r="M39" i="8" a="1"/>
  <c r="M39" i="8" s="1"/>
  <c r="L26" i="8" a="1"/>
  <c r="L26" i="8" s="1"/>
  <c r="L28" i="8" a="1"/>
  <c r="L28" i="8" s="1"/>
  <c r="L30" i="8" a="1"/>
  <c r="L30" i="8" s="1"/>
  <c r="L32" i="8" a="1"/>
  <c r="L32" i="8" s="1"/>
  <c r="L34" i="8" a="1"/>
  <c r="L34" i="8" s="1"/>
  <c r="L36" i="8" a="1"/>
  <c r="L36" i="8" s="1"/>
  <c r="L38" i="8" a="1"/>
  <c r="L38" i="8" s="1"/>
  <c r="L25" i="8" a="1"/>
  <c r="L25" i="8" s="1"/>
  <c r="K27" i="8" a="1"/>
  <c r="K27" i="8" s="1"/>
  <c r="K29" i="8" a="1"/>
  <c r="K29" i="8" s="1"/>
  <c r="K31" i="8" a="1"/>
  <c r="K31" i="8" s="1"/>
  <c r="K33" i="8" a="1"/>
  <c r="K33" i="8" s="1"/>
  <c r="K35" i="8" a="1"/>
  <c r="K35" i="8" s="1"/>
  <c r="K37" i="8" a="1"/>
  <c r="K37" i="8" s="1"/>
  <c r="K39" i="8" a="1"/>
  <c r="K39" i="8" s="1"/>
  <c r="J29" i="8" a="1"/>
  <c r="J29" i="8" s="1"/>
  <c r="J33" i="8" a="1"/>
  <c r="J33" i="8" s="1"/>
  <c r="J37" i="8" a="1"/>
  <c r="J37" i="8" s="1"/>
  <c r="I27" i="8" a="1"/>
  <c r="I27" i="8" s="1"/>
  <c r="I35" i="8" a="1"/>
  <c r="I35" i="8" s="1"/>
  <c r="N27" i="8" a="1"/>
  <c r="N27" i="8" s="1"/>
  <c r="N29" i="8" a="1"/>
  <c r="N29" i="8" s="1"/>
  <c r="N31" i="8" a="1"/>
  <c r="N31" i="8" s="1"/>
  <c r="N33" i="8" a="1"/>
  <c r="N33" i="8" s="1"/>
  <c r="N35" i="8" a="1"/>
  <c r="N35" i="8" s="1"/>
  <c r="N37" i="8" a="1"/>
  <c r="N37" i="8" s="1"/>
  <c r="N39" i="8" a="1"/>
  <c r="N39" i="8" s="1"/>
  <c r="M26" i="8" a="1"/>
  <c r="M26" i="8" s="1"/>
  <c r="M28" i="8" a="1"/>
  <c r="M28" i="8" s="1"/>
  <c r="M30" i="8" a="1"/>
  <c r="M30" i="8" s="1"/>
  <c r="M32" i="8" a="1"/>
  <c r="M32" i="8" s="1"/>
  <c r="M34" i="8" a="1"/>
  <c r="M34" i="8" s="1"/>
  <c r="M36" i="8" a="1"/>
  <c r="M36" i="8" s="1"/>
  <c r="M38" i="8" a="1"/>
  <c r="M38" i="8" s="1"/>
  <c r="M25" i="8" a="1"/>
  <c r="M25" i="8" s="1"/>
  <c r="L27" i="8" a="1"/>
  <c r="L27" i="8" s="1"/>
  <c r="L29" i="8" a="1"/>
  <c r="L29" i="8" s="1"/>
  <c r="L31" i="8" a="1"/>
  <c r="L31" i="8" s="1"/>
  <c r="L33" i="8" a="1"/>
  <c r="L33" i="8" s="1"/>
  <c r="L35" i="8" a="1"/>
  <c r="L35" i="8" s="1"/>
  <c r="L37" i="8" a="1"/>
  <c r="L37" i="8" s="1"/>
  <c r="L39" i="8" a="1"/>
  <c r="L39" i="8" s="1"/>
  <c r="K26" i="8" a="1"/>
  <c r="K26" i="8" s="1"/>
  <c r="K28" i="8" a="1"/>
  <c r="K28" i="8" s="1"/>
  <c r="K30" i="8" a="1"/>
  <c r="K30" i="8" s="1"/>
  <c r="K32" i="8" a="1"/>
  <c r="K32" i="8" s="1"/>
  <c r="K34" i="8" a="1"/>
  <c r="K34" i="8" s="1"/>
  <c r="K36" i="8" a="1"/>
  <c r="K36" i="8" s="1"/>
  <c r="K38" i="8" a="1"/>
  <c r="K38" i="8" s="1"/>
  <c r="K25" i="8" a="1"/>
  <c r="K25" i="8" s="1"/>
  <c r="J27" i="8" a="1"/>
  <c r="J27" i="8" s="1"/>
  <c r="J31" i="8" a="1"/>
  <c r="J31" i="8" s="1"/>
  <c r="J35" i="8" a="1"/>
  <c r="J35" i="8" s="1"/>
  <c r="J39" i="8" a="1"/>
  <c r="J39" i="8" s="1"/>
  <c r="I29" i="8" a="1"/>
  <c r="I29" i="8" s="1"/>
  <c r="I33" i="8" a="1"/>
  <c r="I33" i="8" s="1"/>
  <c r="I37" i="8" a="1"/>
  <c r="I37" i="8" s="1"/>
  <c r="I25" i="8" a="1"/>
  <c r="I25" i="8" s="1"/>
  <c r="I31" i="8" a="1"/>
  <c r="I31" i="8" s="1"/>
  <c r="I39" i="8" a="1"/>
  <c r="I39" i="8" s="1"/>
  <c r="J25" i="8" a="1"/>
  <c r="J25" i="8" s="1"/>
  <c r="I36" i="8" a="1"/>
  <c r="I36" i="8" s="1"/>
  <c r="I28" i="8" a="1"/>
  <c r="I28" i="8" s="1"/>
  <c r="J34" i="8" a="1"/>
  <c r="J34" i="8" s="1"/>
  <c r="J26" i="8" a="1"/>
  <c r="J26" i="8" s="1"/>
  <c r="I38" i="8" a="1"/>
  <c r="I38" i="8" s="1"/>
  <c r="I34" i="8" a="1"/>
  <c r="I34" i="8" s="1"/>
  <c r="I30" i="8" a="1"/>
  <c r="I30" i="8" s="1"/>
  <c r="I26" i="8" a="1"/>
  <c r="I26" i="8" s="1"/>
  <c r="J36" i="8" a="1"/>
  <c r="J36" i="8" s="1"/>
  <c r="J32" i="8" a="1"/>
  <c r="J32" i="8" s="1"/>
  <c r="J28" i="8" a="1"/>
  <c r="J28" i="8" s="1"/>
  <c r="I32" i="8" a="1"/>
  <c r="I32" i="8" s="1"/>
  <c r="J38" i="8" a="1"/>
  <c r="J38" i="8" s="1"/>
  <c r="J30" i="8" a="1"/>
  <c r="J30" i="8" s="1"/>
  <c r="B39" i="8" a="1"/>
  <c r="B39" i="8" s="1"/>
  <c r="B35" i="8" a="1"/>
  <c r="B35" i="8" s="1"/>
  <c r="B31" i="8" a="1"/>
  <c r="B31" i="8" s="1"/>
  <c r="B27" i="8" a="1"/>
  <c r="B27" i="8" s="1"/>
  <c r="C37" i="8" a="1"/>
  <c r="C37" i="8" s="1"/>
  <c r="C33" i="8" a="1"/>
  <c r="C33" i="8" s="1"/>
  <c r="C29" i="8" a="1"/>
  <c r="C29" i="8" s="1"/>
  <c r="D39" i="8" a="1"/>
  <c r="D39" i="8" s="1"/>
  <c r="D35" i="8" a="1"/>
  <c r="D35" i="8" s="1"/>
  <c r="D31" i="8" a="1"/>
  <c r="D31" i="8" s="1"/>
  <c r="D27" i="8" a="1"/>
  <c r="D27" i="8" s="1"/>
  <c r="E37" i="8" a="1"/>
  <c r="E37" i="8" s="1"/>
  <c r="E33" i="8" a="1"/>
  <c r="E33" i="8" s="1"/>
  <c r="E29" i="8" a="1"/>
  <c r="E29" i="8" s="1"/>
  <c r="F39" i="8" a="1"/>
  <c r="F39" i="8" s="1"/>
  <c r="F35" i="8" a="1"/>
  <c r="F35" i="8" s="1"/>
  <c r="F31" i="8" a="1"/>
  <c r="F31" i="8" s="1"/>
  <c r="F27" i="8" a="1"/>
  <c r="F27" i="8" s="1"/>
  <c r="G37" i="8" a="1"/>
  <c r="G37" i="8" s="1"/>
  <c r="G33" i="8" a="1"/>
  <c r="G33" i="8" s="1"/>
  <c r="G29" i="8" a="1"/>
  <c r="G29" i="8" s="1"/>
  <c r="B25" i="8" a="1"/>
  <c r="B25" i="8" s="1"/>
  <c r="F25" i="8" a="1"/>
  <c r="F25" i="8" s="1"/>
  <c r="B36" i="8" a="1"/>
  <c r="B36" i="8" s="1"/>
  <c r="B32" i="8" a="1"/>
  <c r="B32" i="8" s="1"/>
  <c r="B28" i="8" a="1"/>
  <c r="B28" i="8" s="1"/>
  <c r="C38" i="8" a="1"/>
  <c r="C38" i="8" s="1"/>
  <c r="C34" i="8" a="1"/>
  <c r="C34" i="8" s="1"/>
  <c r="C30" i="8" a="1"/>
  <c r="C30" i="8" s="1"/>
  <c r="C26" i="8" a="1"/>
  <c r="C26" i="8" s="1"/>
  <c r="D36" i="8" a="1"/>
  <c r="D36" i="8" s="1"/>
  <c r="D32" i="8" a="1"/>
  <c r="D32" i="8" s="1"/>
  <c r="D28" i="8" a="1"/>
  <c r="D28" i="8" s="1"/>
  <c r="E38" i="8" a="1"/>
  <c r="E38" i="8" s="1"/>
  <c r="E34" i="8" a="1"/>
  <c r="E34" i="8" s="1"/>
  <c r="E30" i="8" a="1"/>
  <c r="E30" i="8" s="1"/>
  <c r="E26" i="8" a="1"/>
  <c r="E26" i="8" s="1"/>
  <c r="F36" i="8" a="1"/>
  <c r="F36" i="8" s="1"/>
  <c r="F32" i="8" a="1"/>
  <c r="F32" i="8" s="1"/>
  <c r="F28" i="8" a="1"/>
  <c r="F28" i="8" s="1"/>
  <c r="G38" i="8" a="1"/>
  <c r="G38" i="8" s="1"/>
  <c r="G34" i="8" a="1"/>
  <c r="G34" i="8" s="1"/>
  <c r="G30" i="8" a="1"/>
  <c r="G30" i="8" s="1"/>
  <c r="G26" i="8" a="1"/>
  <c r="G26" i="8" s="1"/>
  <c r="E25" i="8" a="1"/>
  <c r="E25" i="8" s="1"/>
  <c r="B37" i="8" a="1"/>
  <c r="B37" i="8" s="1"/>
  <c r="B33" i="8" a="1"/>
  <c r="B33" i="8" s="1"/>
  <c r="B29" i="8" a="1"/>
  <c r="B29" i="8" s="1"/>
  <c r="C39" i="8" a="1"/>
  <c r="C39" i="8" s="1"/>
  <c r="C35" i="8" a="1"/>
  <c r="C35" i="8" s="1"/>
  <c r="C31" i="8" a="1"/>
  <c r="C31" i="8" s="1"/>
  <c r="C27" i="8" a="1"/>
  <c r="C27" i="8" s="1"/>
  <c r="D37" i="8" a="1"/>
  <c r="D37" i="8" s="1"/>
  <c r="D33" i="8" a="1"/>
  <c r="D33" i="8" s="1"/>
  <c r="D29" i="8" a="1"/>
  <c r="D29" i="8" s="1"/>
  <c r="E39" i="8" a="1"/>
  <c r="E39" i="8" s="1"/>
  <c r="E35" i="8" a="1"/>
  <c r="E35" i="8" s="1"/>
  <c r="E31" i="8" a="1"/>
  <c r="E31" i="8" s="1"/>
  <c r="E27" i="8" a="1"/>
  <c r="E27" i="8" s="1"/>
  <c r="F37" i="8" a="1"/>
  <c r="F37" i="8" s="1"/>
  <c r="F33" i="8" a="1"/>
  <c r="F33" i="8" s="1"/>
  <c r="F29" i="8" a="1"/>
  <c r="F29" i="8" s="1"/>
  <c r="G39" i="8" a="1"/>
  <c r="G39" i="8" s="1"/>
  <c r="G35" i="8" a="1"/>
  <c r="G35" i="8" s="1"/>
  <c r="G31" i="8" a="1"/>
  <c r="G31" i="8" s="1"/>
  <c r="G27" i="8" a="1"/>
  <c r="G27" i="8" s="1"/>
  <c r="D25" i="8" a="1"/>
  <c r="D25" i="8" s="1"/>
  <c r="B38" i="8" a="1"/>
  <c r="B38" i="8" s="1"/>
  <c r="B34" i="8" a="1"/>
  <c r="B34" i="8" s="1"/>
  <c r="B30" i="8" a="1"/>
  <c r="B30" i="8" s="1"/>
  <c r="B26" i="8" a="1"/>
  <c r="B26" i="8" s="1"/>
  <c r="C36" i="8" a="1"/>
  <c r="C36" i="8" s="1"/>
  <c r="C32" i="8" a="1"/>
  <c r="C32" i="8" s="1"/>
  <c r="C28" i="8" a="1"/>
  <c r="C28" i="8" s="1"/>
  <c r="D38" i="8" a="1"/>
  <c r="D38" i="8" s="1"/>
  <c r="D34" i="8" a="1"/>
  <c r="D34" i="8" s="1"/>
  <c r="D30" i="8" a="1"/>
  <c r="D30" i="8" s="1"/>
  <c r="D26" i="8" a="1"/>
  <c r="D26" i="8" s="1"/>
  <c r="E36" i="8" a="1"/>
  <c r="E36" i="8" s="1"/>
  <c r="E32" i="8" a="1"/>
  <c r="E32" i="8" s="1"/>
  <c r="E28" i="8" a="1"/>
  <c r="E28" i="8" s="1"/>
  <c r="F38" i="8" a="1"/>
  <c r="F38" i="8" s="1"/>
  <c r="F34" i="8" a="1"/>
  <c r="F34" i="8" s="1"/>
  <c r="F30" i="8" a="1"/>
  <c r="F30" i="8" s="1"/>
  <c r="F26" i="8" a="1"/>
  <c r="F26" i="8" s="1"/>
  <c r="G36" i="8" a="1"/>
  <c r="G36" i="8" s="1"/>
  <c r="G32" i="8" a="1"/>
  <c r="G32" i="8" s="1"/>
  <c r="G28" i="8" a="1"/>
  <c r="G28" i="8" s="1"/>
  <c r="C25" i="8" a="1"/>
  <c r="C25" i="8" s="1"/>
  <c r="B5" i="8" a="1"/>
  <c r="B5" i="8" s="1"/>
  <c r="B17" i="8" a="1"/>
  <c r="B17" i="8" s="1"/>
  <c r="B13" i="8" a="1"/>
  <c r="B13" i="8" s="1"/>
  <c r="B9" i="8" a="1"/>
  <c r="B9" i="8" s="1"/>
  <c r="C19" i="8" a="1"/>
  <c r="C19" i="8" s="1"/>
  <c r="C15" i="8" a="1"/>
  <c r="C15" i="8" s="1"/>
  <c r="C11" i="8" a="1"/>
  <c r="C11" i="8" s="1"/>
  <c r="C7" i="8" a="1"/>
  <c r="C7" i="8" s="1"/>
  <c r="B18" i="8" a="1"/>
  <c r="B18" i="8" s="1"/>
  <c r="B14" i="8" a="1"/>
  <c r="B14" i="8" s="1"/>
  <c r="B10" i="8" a="1"/>
  <c r="B10" i="8" s="1"/>
  <c r="B6" i="8" a="1"/>
  <c r="B6" i="8" s="1"/>
  <c r="C16" i="8" a="1"/>
  <c r="C16" i="8" s="1"/>
  <c r="C12" i="8" a="1"/>
  <c r="C12" i="8" s="1"/>
  <c r="G7" i="8" a="1"/>
  <c r="G7" i="8" s="1"/>
  <c r="G9" i="8" a="1"/>
  <c r="G9" i="8" s="1"/>
  <c r="G11" i="8" a="1"/>
  <c r="G11" i="8" s="1"/>
  <c r="G13" i="8" a="1"/>
  <c r="G13" i="8" s="1"/>
  <c r="G15" i="8" a="1"/>
  <c r="G15" i="8" s="1"/>
  <c r="G17" i="8" a="1"/>
  <c r="G17" i="8" s="1"/>
  <c r="G19" i="8" a="1"/>
  <c r="G19" i="8" s="1"/>
  <c r="F6" i="8" a="1"/>
  <c r="F6" i="8" s="1"/>
  <c r="F8" i="8" a="1"/>
  <c r="F8" i="8" s="1"/>
  <c r="F10" i="8" a="1"/>
  <c r="F10" i="8" s="1"/>
  <c r="F12" i="8" a="1"/>
  <c r="F12" i="8" s="1"/>
  <c r="F14" i="8" a="1"/>
  <c r="F14" i="8" s="1"/>
  <c r="F16" i="8" a="1"/>
  <c r="F16" i="8" s="1"/>
  <c r="F18" i="8" a="1"/>
  <c r="F18" i="8" s="1"/>
  <c r="F5" i="8" a="1"/>
  <c r="F5" i="8" s="1"/>
  <c r="E7" i="8" a="1"/>
  <c r="E7" i="8" s="1"/>
  <c r="E9" i="8" a="1"/>
  <c r="E9" i="8" s="1"/>
  <c r="E11" i="8" a="1"/>
  <c r="E11" i="8" s="1"/>
  <c r="E13" i="8" a="1"/>
  <c r="E13" i="8" s="1"/>
  <c r="E15" i="8" a="1"/>
  <c r="E15" i="8" s="1"/>
  <c r="E17" i="8" a="1"/>
  <c r="E17" i="8" s="1"/>
  <c r="E19" i="8" a="1"/>
  <c r="E19" i="8" s="1"/>
  <c r="D7" i="8" a="1"/>
  <c r="D7" i="8" s="1"/>
  <c r="D9" i="8" a="1"/>
  <c r="D9" i="8" s="1"/>
  <c r="D11" i="8" a="1"/>
  <c r="D11" i="8" s="1"/>
  <c r="D13" i="8" a="1"/>
  <c r="D13" i="8" s="1"/>
  <c r="D15" i="8" a="1"/>
  <c r="D15" i="8" s="1"/>
  <c r="D17" i="8" a="1"/>
  <c r="D17" i="8" s="1"/>
  <c r="D19" i="8" a="1"/>
  <c r="D19" i="8" s="1"/>
  <c r="D5" i="8" a="1"/>
  <c r="D5" i="8" s="1"/>
  <c r="G6" i="8" a="1"/>
  <c r="G6" i="8" s="1"/>
  <c r="G8" i="8" a="1"/>
  <c r="G8" i="8" s="1"/>
  <c r="G10" i="8" a="1"/>
  <c r="G10" i="8" s="1"/>
  <c r="G12" i="8" a="1"/>
  <c r="G12" i="8" s="1"/>
  <c r="G14" i="8" a="1"/>
  <c r="G14" i="8" s="1"/>
  <c r="G16" i="8" a="1"/>
  <c r="G16" i="8" s="1"/>
  <c r="G18" i="8" a="1"/>
  <c r="G18" i="8" s="1"/>
  <c r="G5" i="8" a="1"/>
  <c r="G5" i="8" s="1"/>
  <c r="F7" i="8" a="1"/>
  <c r="F7" i="8" s="1"/>
  <c r="F9" i="8" a="1"/>
  <c r="F9" i="8" s="1"/>
  <c r="F11" i="8" a="1"/>
  <c r="F11" i="8" s="1"/>
  <c r="F13" i="8" a="1"/>
  <c r="F13" i="8" s="1"/>
  <c r="F15" i="8" a="1"/>
  <c r="F15" i="8" s="1"/>
  <c r="F17" i="8" a="1"/>
  <c r="F17" i="8" s="1"/>
  <c r="F19" i="8" a="1"/>
  <c r="F19" i="8" s="1"/>
  <c r="E6" i="8" a="1"/>
  <c r="E6" i="8" s="1"/>
  <c r="E8" i="8" a="1"/>
  <c r="E8" i="8" s="1"/>
  <c r="E10" i="8" a="1"/>
  <c r="E10" i="8" s="1"/>
  <c r="E12" i="8" a="1"/>
  <c r="E12" i="8" s="1"/>
  <c r="E14" i="8" a="1"/>
  <c r="E14" i="8" s="1"/>
  <c r="E16" i="8" a="1"/>
  <c r="E16" i="8" s="1"/>
  <c r="E18" i="8" a="1"/>
  <c r="E18" i="8" s="1"/>
  <c r="D6" i="8" a="1"/>
  <c r="D6" i="8" s="1"/>
  <c r="D8" i="8" a="1"/>
  <c r="D8" i="8" s="1"/>
  <c r="D10" i="8" a="1"/>
  <c r="D10" i="8" s="1"/>
  <c r="D12" i="8" a="1"/>
  <c r="D12" i="8" s="1"/>
  <c r="D14" i="8" a="1"/>
  <c r="D14" i="8" s="1"/>
  <c r="D16" i="8" a="1"/>
  <c r="D16" i="8" s="1"/>
  <c r="D18" i="8" a="1"/>
  <c r="D18" i="8" s="1"/>
  <c r="E5" i="8" a="1"/>
  <c r="E5" i="8" s="1"/>
  <c r="B19" i="8" a="1"/>
  <c r="B19" i="8" s="1"/>
  <c r="B15" i="8" a="1"/>
  <c r="B15" i="8" s="1"/>
  <c r="B11" i="8" a="1"/>
  <c r="B11" i="8" s="1"/>
  <c r="B7" i="8" a="1"/>
  <c r="B7" i="8" s="1"/>
  <c r="C17" i="8" a="1"/>
  <c r="C17" i="8" s="1"/>
  <c r="C13" i="8" a="1"/>
  <c r="C13" i="8" s="1"/>
  <c r="C9" i="8" a="1"/>
  <c r="C9" i="8" s="1"/>
  <c r="C5" i="8" a="1"/>
  <c r="C5" i="8" s="1"/>
  <c r="B16" i="8" a="1"/>
  <c r="B16" i="8" s="1"/>
  <c r="B12" i="8" a="1"/>
  <c r="B12" i="8" s="1"/>
  <c r="B8" i="8" a="1"/>
  <c r="B8" i="8" s="1"/>
  <c r="C18" i="8" a="1"/>
  <c r="C18" i="8" s="1"/>
  <c r="C14" i="8" a="1"/>
  <c r="C14" i="8" s="1"/>
  <c r="C10" i="8" a="1"/>
  <c r="C10" i="8" s="1"/>
  <c r="C6" i="8" a="1"/>
  <c r="C6" i="8" s="1"/>
  <c r="N7" i="11" a="1"/>
  <c r="N7" i="11" s="1"/>
  <c r="N9" i="11" a="1"/>
  <c r="N9" i="11" s="1"/>
  <c r="N11" i="11" a="1"/>
  <c r="N11" i="11" s="1"/>
  <c r="N13" i="11" a="1"/>
  <c r="N13" i="11" s="1"/>
  <c r="N15" i="11" a="1"/>
  <c r="N15" i="11" s="1"/>
  <c r="N17" i="11" a="1"/>
  <c r="N17" i="11" s="1"/>
  <c r="N19" i="11" a="1"/>
  <c r="N19" i="11" s="1"/>
  <c r="M7" i="11" a="1"/>
  <c r="M7" i="11" s="1"/>
  <c r="M9" i="11" a="1"/>
  <c r="M9" i="11" s="1"/>
  <c r="M11" i="11" a="1"/>
  <c r="M11" i="11" s="1"/>
  <c r="M13" i="11" a="1"/>
  <c r="M13" i="11" s="1"/>
  <c r="M15" i="11" a="1"/>
  <c r="M15" i="11" s="1"/>
  <c r="M17" i="11" a="1"/>
  <c r="M17" i="11" s="1"/>
  <c r="M19" i="11" a="1"/>
  <c r="M19" i="11" s="1"/>
  <c r="L7" i="11" a="1"/>
  <c r="L7" i="11" s="1"/>
  <c r="L9" i="11" a="1"/>
  <c r="L9" i="11" s="1"/>
  <c r="L11" i="11" a="1"/>
  <c r="L11" i="11" s="1"/>
  <c r="L13" i="11" a="1"/>
  <c r="L13" i="11" s="1"/>
  <c r="L15" i="11" a="1"/>
  <c r="L15" i="11" s="1"/>
  <c r="L17" i="11" a="1"/>
  <c r="L17" i="11" s="1"/>
  <c r="L19" i="11" a="1"/>
  <c r="L19" i="11" s="1"/>
  <c r="K7" i="11" a="1"/>
  <c r="K7" i="11" s="1"/>
  <c r="K9" i="11" a="1"/>
  <c r="K9" i="11" s="1"/>
  <c r="K11" i="11" a="1"/>
  <c r="K11" i="11" s="1"/>
  <c r="K13" i="11" a="1"/>
  <c r="K13" i="11" s="1"/>
  <c r="K15" i="11" a="1"/>
  <c r="K15" i="11" s="1"/>
  <c r="K17" i="11" a="1"/>
  <c r="K17" i="11" s="1"/>
  <c r="K19" i="11" a="1"/>
  <c r="K19" i="11" s="1"/>
  <c r="M5" i="11" a="1"/>
  <c r="M5" i="11" s="1"/>
  <c r="K5" i="11" a="1"/>
  <c r="K5" i="11" s="1"/>
  <c r="N6" i="11" a="1"/>
  <c r="N6" i="11" s="1"/>
  <c r="N8" i="11" a="1"/>
  <c r="N8" i="11" s="1"/>
  <c r="N10" i="11" a="1"/>
  <c r="N10" i="11" s="1"/>
  <c r="N12" i="11" a="1"/>
  <c r="N12" i="11" s="1"/>
  <c r="N14" i="11" a="1"/>
  <c r="N14" i="11" s="1"/>
  <c r="N16" i="11" a="1"/>
  <c r="N16" i="11" s="1"/>
  <c r="N18" i="11" a="1"/>
  <c r="N18" i="11" s="1"/>
  <c r="M6" i="11" a="1"/>
  <c r="M6" i="11" s="1"/>
  <c r="M8" i="11" a="1"/>
  <c r="M8" i="11" s="1"/>
  <c r="M10" i="11" a="1"/>
  <c r="M10" i="11" s="1"/>
  <c r="M12" i="11" a="1"/>
  <c r="M12" i="11" s="1"/>
  <c r="M14" i="11" a="1"/>
  <c r="M14" i="11" s="1"/>
  <c r="M16" i="11" a="1"/>
  <c r="M16" i="11" s="1"/>
  <c r="M18" i="11" a="1"/>
  <c r="M18" i="11" s="1"/>
  <c r="L6" i="11" a="1"/>
  <c r="L6" i="11" s="1"/>
  <c r="L8" i="11" a="1"/>
  <c r="L8" i="11" s="1"/>
  <c r="L10" i="11" a="1"/>
  <c r="L10" i="11" s="1"/>
  <c r="L12" i="11" a="1"/>
  <c r="L12" i="11" s="1"/>
  <c r="L14" i="11" a="1"/>
  <c r="L14" i="11" s="1"/>
  <c r="L16" i="11" a="1"/>
  <c r="L16" i="11" s="1"/>
  <c r="L18" i="11" a="1"/>
  <c r="L18" i="11" s="1"/>
  <c r="K6" i="11" a="1"/>
  <c r="K6" i="11" s="1"/>
  <c r="K8" i="11" a="1"/>
  <c r="K8" i="11" s="1"/>
  <c r="K10" i="11" a="1"/>
  <c r="K10" i="11" s="1"/>
  <c r="K12" i="11" a="1"/>
  <c r="K12" i="11" s="1"/>
  <c r="K14" i="11" a="1"/>
  <c r="K14" i="11" s="1"/>
  <c r="K16" i="11" a="1"/>
  <c r="K16" i="11" s="1"/>
  <c r="K18" i="11" a="1"/>
  <c r="K18" i="11" s="1"/>
  <c r="N5" i="11" a="1"/>
  <c r="N5" i="11" s="1"/>
  <c r="L5" i="11" a="1"/>
  <c r="L5" i="11" s="1"/>
  <c r="J7" i="11" a="1"/>
  <c r="J7" i="11" s="1"/>
  <c r="J9" i="11" a="1"/>
  <c r="J9" i="11" s="1"/>
  <c r="J11" i="11" a="1"/>
  <c r="J11" i="11" s="1"/>
  <c r="J13" i="11" a="1"/>
  <c r="J13" i="11" s="1"/>
  <c r="J15" i="11" a="1"/>
  <c r="J15" i="11" s="1"/>
  <c r="J17" i="11" a="1"/>
  <c r="J17" i="11" s="1"/>
  <c r="J19" i="11" a="1"/>
  <c r="J19" i="11" s="1"/>
  <c r="I7" i="11" a="1"/>
  <c r="I7" i="11" s="1"/>
  <c r="I9" i="11" a="1"/>
  <c r="I9" i="11" s="1"/>
  <c r="I11" i="11" a="1"/>
  <c r="I11" i="11" s="1"/>
  <c r="I13" i="11" a="1"/>
  <c r="I13" i="11" s="1"/>
  <c r="I17" i="11" a="1"/>
  <c r="I17" i="11" s="1"/>
  <c r="I5" i="11" a="1"/>
  <c r="I5" i="11" s="1"/>
  <c r="J6" i="11" a="1"/>
  <c r="J6" i="11" s="1"/>
  <c r="J8" i="11" a="1"/>
  <c r="J8" i="11" s="1"/>
  <c r="J10" i="11" a="1"/>
  <c r="J10" i="11" s="1"/>
  <c r="J12" i="11" a="1"/>
  <c r="J12" i="11" s="1"/>
  <c r="J14" i="11" a="1"/>
  <c r="J14" i="11" s="1"/>
  <c r="J16" i="11" a="1"/>
  <c r="J16" i="11" s="1"/>
  <c r="J18" i="11" a="1"/>
  <c r="J18" i="11" s="1"/>
  <c r="I6" i="11" a="1"/>
  <c r="I6" i="11" s="1"/>
  <c r="I8" i="11" a="1"/>
  <c r="I8" i="11" s="1"/>
  <c r="I10" i="11" a="1"/>
  <c r="I10" i="11" s="1"/>
  <c r="I12" i="11" a="1"/>
  <c r="I12" i="11" s="1"/>
  <c r="I14" i="11" a="1"/>
  <c r="I14" i="11" s="1"/>
  <c r="I16" i="11" a="1"/>
  <c r="I16" i="11" s="1"/>
  <c r="I18" i="11" a="1"/>
  <c r="I18" i="11" s="1"/>
  <c r="J5" i="11" a="1"/>
  <c r="J5" i="11" s="1"/>
  <c r="I15" i="11" a="1"/>
  <c r="I15" i="11" s="1"/>
  <c r="I19" i="11" a="1"/>
  <c r="I19" i="11" s="1"/>
  <c r="G5" i="11" a="1"/>
  <c r="G5" i="11" s="1"/>
  <c r="B5" i="11" a="1"/>
  <c r="B5" i="11" s="1"/>
  <c r="B7" i="11" a="1"/>
  <c r="B7" i="11" s="1"/>
  <c r="B9" i="11" a="1"/>
  <c r="B9" i="11" s="1"/>
  <c r="B11" i="11" a="1"/>
  <c r="B11" i="11" s="1"/>
  <c r="B13" i="11" a="1"/>
  <c r="B13" i="11" s="1"/>
  <c r="B15" i="11" a="1"/>
  <c r="B15" i="11" s="1"/>
  <c r="B17" i="11" a="1"/>
  <c r="B17" i="11" s="1"/>
  <c r="B19" i="11" a="1"/>
  <c r="B19" i="11" s="1"/>
  <c r="F5" i="11" a="1"/>
  <c r="F5" i="11" s="1"/>
  <c r="E5" i="11" a="1"/>
  <c r="E5" i="11" s="1"/>
  <c r="C5" i="11" a="1"/>
  <c r="C5" i="11" s="1"/>
  <c r="B6" i="11" a="1"/>
  <c r="B6" i="11" s="1"/>
  <c r="B8" i="11" a="1"/>
  <c r="B8" i="11" s="1"/>
  <c r="B10" i="11" a="1"/>
  <c r="B10" i="11" s="1"/>
  <c r="B12" i="11" a="1"/>
  <c r="B12" i="11" s="1"/>
  <c r="B14" i="11" a="1"/>
  <c r="B14" i="11" s="1"/>
  <c r="B16" i="11" a="1"/>
  <c r="B16" i="11" s="1"/>
  <c r="B18" i="11" a="1"/>
  <c r="B18" i="11" s="1"/>
  <c r="C19" i="11" a="1"/>
  <c r="C19" i="11" s="1"/>
  <c r="C15" i="11" a="1"/>
  <c r="C15" i="11" s="1"/>
  <c r="C11" i="11" a="1"/>
  <c r="C11" i="11" s="1"/>
  <c r="C7" i="11" a="1"/>
  <c r="C7" i="11" s="1"/>
  <c r="C16" i="11" a="1"/>
  <c r="C16" i="11" s="1"/>
  <c r="C12" i="11" a="1"/>
  <c r="C12" i="11" s="1"/>
  <c r="C8" i="11" a="1"/>
  <c r="C8" i="11" s="1"/>
  <c r="D19" i="11" a="1"/>
  <c r="D19" i="11" s="1"/>
  <c r="D15" i="11" a="1"/>
  <c r="D15" i="11" s="1"/>
  <c r="D11" i="11" a="1"/>
  <c r="D11" i="11" s="1"/>
  <c r="D7" i="11" a="1"/>
  <c r="D7" i="11" s="1"/>
  <c r="F17" i="11" a="1"/>
  <c r="F17" i="11" s="1"/>
  <c r="F13" i="11" a="1"/>
  <c r="F13" i="11" s="1"/>
  <c r="F9" i="11" a="1"/>
  <c r="F9" i="11" s="1"/>
  <c r="G19" i="11" a="1"/>
  <c r="G19" i="11" s="1"/>
  <c r="G15" i="11" a="1"/>
  <c r="G15" i="11" s="1"/>
  <c r="G11" i="11" a="1"/>
  <c r="G11" i="11" s="1"/>
  <c r="G7" i="11" a="1"/>
  <c r="G7" i="11" s="1"/>
  <c r="D16" i="11" a="1"/>
  <c r="D16" i="11" s="1"/>
  <c r="D12" i="11" a="1"/>
  <c r="D12" i="11" s="1"/>
  <c r="D8" i="11" a="1"/>
  <c r="D8" i="11" s="1"/>
  <c r="F18" i="11" a="1"/>
  <c r="F18" i="11" s="1"/>
  <c r="F14" i="11" a="1"/>
  <c r="F14" i="11" s="1"/>
  <c r="F10" i="11" a="1"/>
  <c r="F10" i="11" s="1"/>
  <c r="F6" i="11" a="1"/>
  <c r="F6" i="11" s="1"/>
  <c r="G16" i="11" a="1"/>
  <c r="G16" i="11" s="1"/>
  <c r="G12" i="11" a="1"/>
  <c r="G12" i="11" s="1"/>
  <c r="G8" i="11" a="1"/>
  <c r="G8" i="11" s="1"/>
  <c r="E19" i="11" a="1"/>
  <c r="E19" i="11" s="1"/>
  <c r="E15" i="11" a="1"/>
  <c r="E15" i="11" s="1"/>
  <c r="E11" i="11" a="1"/>
  <c r="E11" i="11" s="1"/>
  <c r="E7" i="11" a="1"/>
  <c r="E7" i="11" s="1"/>
  <c r="E16" i="11" a="1"/>
  <c r="E16" i="11" s="1"/>
  <c r="E12" i="11" a="1"/>
  <c r="E12" i="11" s="1"/>
  <c r="E8" i="11" a="1"/>
  <c r="E8" i="11" s="1"/>
  <c r="C17" i="11" a="1"/>
  <c r="C17" i="11" s="1"/>
  <c r="C13" i="11" a="1"/>
  <c r="C13" i="11" s="1"/>
  <c r="C9" i="11" a="1"/>
  <c r="C9" i="11" s="1"/>
  <c r="C18" i="11" a="1"/>
  <c r="C18" i="11" s="1"/>
  <c r="C14" i="11" a="1"/>
  <c r="C14" i="11" s="1"/>
  <c r="C10" i="11" a="1"/>
  <c r="C10" i="11" s="1"/>
  <c r="C6" i="11" a="1"/>
  <c r="C6" i="11" s="1"/>
  <c r="D17" i="11" a="1"/>
  <c r="D17" i="11" s="1"/>
  <c r="D13" i="11" a="1"/>
  <c r="D13" i="11" s="1"/>
  <c r="D9" i="11" a="1"/>
  <c r="D9" i="11" s="1"/>
  <c r="F19" i="11" a="1"/>
  <c r="F19" i="11" s="1"/>
  <c r="F15" i="11" a="1"/>
  <c r="F15" i="11" s="1"/>
  <c r="F11" i="11" a="1"/>
  <c r="F11" i="11" s="1"/>
  <c r="F7" i="11" a="1"/>
  <c r="F7" i="11" s="1"/>
  <c r="G17" i="11" a="1"/>
  <c r="G17" i="11" s="1"/>
  <c r="G13" i="11" a="1"/>
  <c r="G13" i="11" s="1"/>
  <c r="G9" i="11" a="1"/>
  <c r="G9" i="11" s="1"/>
  <c r="D18" i="11" a="1"/>
  <c r="D18" i="11" s="1"/>
  <c r="D14" i="11" a="1"/>
  <c r="D14" i="11" s="1"/>
  <c r="D10" i="11" a="1"/>
  <c r="D10" i="11" s="1"/>
  <c r="D6" i="11" a="1"/>
  <c r="D6" i="11" s="1"/>
  <c r="F16" i="11" a="1"/>
  <c r="F16" i="11" s="1"/>
  <c r="F12" i="11" a="1"/>
  <c r="F12" i="11" s="1"/>
  <c r="F8" i="11" a="1"/>
  <c r="F8" i="11" s="1"/>
  <c r="G18" i="11" a="1"/>
  <c r="G18" i="11" s="1"/>
  <c r="G14" i="11" a="1"/>
  <c r="G14" i="11" s="1"/>
  <c r="G10" i="11" a="1"/>
  <c r="G10" i="11" s="1"/>
  <c r="G6" i="11" a="1"/>
  <c r="G6" i="11" s="1"/>
  <c r="E17" i="11" a="1"/>
  <c r="E17" i="11" s="1"/>
  <c r="E13" i="11" a="1"/>
  <c r="E13" i="11" s="1"/>
  <c r="E9" i="11" a="1"/>
  <c r="E9" i="11" s="1"/>
  <c r="E18" i="11" a="1"/>
  <c r="E18" i="11" s="1"/>
  <c r="E14" i="11" a="1"/>
  <c r="E14" i="11" s="1"/>
  <c r="E10" i="11" a="1"/>
  <c r="E10" i="11" s="1"/>
  <c r="E6" i="11" a="1"/>
  <c r="E6" i="11" s="1"/>
  <c r="G26" i="9" a="1"/>
  <c r="G26" i="9" s="1"/>
  <c r="C25" i="9" a="1"/>
  <c r="C25" i="9" s="1"/>
  <c r="F25" i="9" a="1"/>
  <c r="F25" i="9" s="1"/>
  <c r="B37" i="9" a="1"/>
  <c r="B37" i="9" s="1"/>
  <c r="B33" i="9" a="1"/>
  <c r="B33" i="9" s="1"/>
  <c r="B29" i="9" a="1"/>
  <c r="B29" i="9" s="1"/>
  <c r="C39" i="9" a="1"/>
  <c r="C39" i="9" s="1"/>
  <c r="C35" i="9" a="1"/>
  <c r="C35" i="9" s="1"/>
  <c r="C31" i="9" a="1"/>
  <c r="C31" i="9" s="1"/>
  <c r="C27" i="9" a="1"/>
  <c r="C27" i="9" s="1"/>
  <c r="D37" i="9" a="1"/>
  <c r="D37" i="9" s="1"/>
  <c r="D33" i="9" a="1"/>
  <c r="D33" i="9" s="1"/>
  <c r="D29" i="9" a="1"/>
  <c r="D29" i="9" s="1"/>
  <c r="E39" i="9" a="1"/>
  <c r="E39" i="9" s="1"/>
  <c r="E35" i="9" a="1"/>
  <c r="E35" i="9" s="1"/>
  <c r="E31" i="9" a="1"/>
  <c r="E31" i="9" s="1"/>
  <c r="E27" i="9" a="1"/>
  <c r="E27" i="9" s="1"/>
  <c r="F37" i="9" a="1"/>
  <c r="F37" i="9" s="1"/>
  <c r="F33" i="9" a="1"/>
  <c r="F33" i="9" s="1"/>
  <c r="F29" i="9" a="1"/>
  <c r="F29" i="9" s="1"/>
  <c r="G39" i="9" a="1"/>
  <c r="G39" i="9" s="1"/>
  <c r="G35" i="9" a="1"/>
  <c r="G35" i="9" s="1"/>
  <c r="G31" i="9" a="1"/>
  <c r="G31" i="9" s="1"/>
  <c r="G27" i="9" a="1"/>
  <c r="G27" i="9" s="1"/>
  <c r="E25" i="9" a="1"/>
  <c r="E25" i="9" s="1"/>
  <c r="B38" i="9" a="1"/>
  <c r="B38" i="9" s="1"/>
  <c r="B34" i="9" a="1"/>
  <c r="B34" i="9" s="1"/>
  <c r="B30" i="9" a="1"/>
  <c r="B30" i="9" s="1"/>
  <c r="B26" i="9" a="1"/>
  <c r="B26" i="9" s="1"/>
  <c r="C36" i="9" a="1"/>
  <c r="C36" i="9" s="1"/>
  <c r="C32" i="9" a="1"/>
  <c r="C32" i="9" s="1"/>
  <c r="C28" i="9" a="1"/>
  <c r="C28" i="9" s="1"/>
  <c r="D38" i="9" a="1"/>
  <c r="D38" i="9" s="1"/>
  <c r="D34" i="9" a="1"/>
  <c r="D34" i="9" s="1"/>
  <c r="D30" i="9" a="1"/>
  <c r="D30" i="9" s="1"/>
  <c r="D26" i="9" a="1"/>
  <c r="D26" i="9" s="1"/>
  <c r="E36" i="9" a="1"/>
  <c r="E36" i="9" s="1"/>
  <c r="E32" i="9" a="1"/>
  <c r="E32" i="9" s="1"/>
  <c r="E28" i="9" a="1"/>
  <c r="E28" i="9" s="1"/>
  <c r="F38" i="9" a="1"/>
  <c r="F38" i="9" s="1"/>
  <c r="F34" i="9" a="1"/>
  <c r="F34" i="9" s="1"/>
  <c r="F30" i="9" a="1"/>
  <c r="F30" i="9" s="1"/>
  <c r="F26" i="9" a="1"/>
  <c r="F26" i="9" s="1"/>
  <c r="G36" i="9" a="1"/>
  <c r="G36" i="9" s="1"/>
  <c r="G32" i="9" a="1"/>
  <c r="G32" i="9" s="1"/>
  <c r="G28" i="9" a="1"/>
  <c r="G28" i="9" s="1"/>
  <c r="D25" i="9" a="1"/>
  <c r="D25" i="9" s="1"/>
  <c r="B39" i="9" a="1"/>
  <c r="B39" i="9" s="1"/>
  <c r="B35" i="9" a="1"/>
  <c r="B35" i="9" s="1"/>
  <c r="B31" i="9" a="1"/>
  <c r="B31" i="9" s="1"/>
  <c r="B27" i="9" a="1"/>
  <c r="B27" i="9" s="1"/>
  <c r="C37" i="9" a="1"/>
  <c r="C37" i="9" s="1"/>
  <c r="C33" i="9" a="1"/>
  <c r="C33" i="9" s="1"/>
  <c r="C29" i="9" a="1"/>
  <c r="C29" i="9" s="1"/>
  <c r="D39" i="9" a="1"/>
  <c r="D39" i="9" s="1"/>
  <c r="D35" i="9" a="1"/>
  <c r="D35" i="9" s="1"/>
  <c r="D31" i="9" a="1"/>
  <c r="D31" i="9" s="1"/>
  <c r="D27" i="9" a="1"/>
  <c r="D27" i="9" s="1"/>
  <c r="E37" i="9" a="1"/>
  <c r="E37" i="9" s="1"/>
  <c r="E33" i="9" a="1"/>
  <c r="E33" i="9" s="1"/>
  <c r="E29" i="9" a="1"/>
  <c r="E29" i="9" s="1"/>
  <c r="F39" i="9" a="1"/>
  <c r="F39" i="9" s="1"/>
  <c r="F35" i="9" a="1"/>
  <c r="F35" i="9" s="1"/>
  <c r="F31" i="9" a="1"/>
  <c r="F31" i="9" s="1"/>
  <c r="F27" i="9" a="1"/>
  <c r="F27" i="9" s="1"/>
  <c r="G37" i="9" a="1"/>
  <c r="G37" i="9" s="1"/>
  <c r="G33" i="9" a="1"/>
  <c r="G33" i="9" s="1"/>
  <c r="G29" i="9" a="1"/>
  <c r="G29" i="9" s="1"/>
  <c r="B25" i="9" a="1"/>
  <c r="B25" i="9" s="1"/>
  <c r="G25" i="9" a="1"/>
  <c r="G25" i="9" s="1"/>
  <c r="B36" i="9" a="1"/>
  <c r="B36" i="9" s="1"/>
  <c r="B32" i="9" a="1"/>
  <c r="B32" i="9" s="1"/>
  <c r="B28" i="9" a="1"/>
  <c r="B28" i="9" s="1"/>
  <c r="C38" i="9" a="1"/>
  <c r="C38" i="9" s="1"/>
  <c r="C34" i="9" a="1"/>
  <c r="C34" i="9" s="1"/>
  <c r="C30" i="9" a="1"/>
  <c r="C30" i="9" s="1"/>
  <c r="C26" i="9" a="1"/>
  <c r="C26" i="9" s="1"/>
  <c r="D36" i="9" a="1"/>
  <c r="D36" i="9" s="1"/>
  <c r="D32" i="9" a="1"/>
  <c r="D32" i="9" s="1"/>
  <c r="D28" i="9" a="1"/>
  <c r="D28" i="9" s="1"/>
  <c r="E38" i="9" a="1"/>
  <c r="E38" i="9" s="1"/>
  <c r="E34" i="9" a="1"/>
  <c r="E34" i="9" s="1"/>
  <c r="E30" i="9" a="1"/>
  <c r="E30" i="9" s="1"/>
  <c r="E26" i="9" a="1"/>
  <c r="E26" i="9" s="1"/>
  <c r="F36" i="9" a="1"/>
  <c r="F36" i="9" s="1"/>
  <c r="F32" i="9" a="1"/>
  <c r="F32" i="9" s="1"/>
  <c r="F28" i="9" a="1"/>
  <c r="F28" i="9" s="1"/>
  <c r="G38" i="9" a="1"/>
  <c r="G38" i="9" s="1"/>
  <c r="G34" i="9" a="1"/>
  <c r="G34" i="9" s="1"/>
  <c r="G30" i="9" a="1"/>
  <c r="G30" i="9" s="1"/>
  <c r="I15" i="9" a="1"/>
  <c r="I15" i="9" s="1"/>
  <c r="I7" i="9" a="1"/>
  <c r="I7" i="9" s="1"/>
  <c r="I19" i="9" a="1"/>
  <c r="I19" i="9" s="1"/>
  <c r="I11" i="9" a="1"/>
  <c r="I11" i="9" s="1"/>
  <c r="J17" i="9" a="1"/>
  <c r="J17" i="9" s="1"/>
  <c r="J8" i="9" a="1"/>
  <c r="J8" i="9" s="1"/>
  <c r="I18" i="9" a="1"/>
  <c r="I18" i="9" s="1"/>
  <c r="J12" i="9" a="1"/>
  <c r="J12" i="9" s="1"/>
  <c r="K5" i="9" a="1"/>
  <c r="K5" i="9" s="1"/>
  <c r="N6" i="9" a="1"/>
  <c r="N6" i="9" s="1"/>
  <c r="N8" i="9" a="1"/>
  <c r="N8" i="9" s="1"/>
  <c r="N10" i="9" a="1"/>
  <c r="N10" i="9" s="1"/>
  <c r="N12" i="9" a="1"/>
  <c r="N12" i="9" s="1"/>
  <c r="N14" i="9" a="1"/>
  <c r="N14" i="9" s="1"/>
  <c r="N16" i="9" a="1"/>
  <c r="N16" i="9" s="1"/>
  <c r="N18" i="9" a="1"/>
  <c r="N18" i="9" s="1"/>
  <c r="M6" i="9" a="1"/>
  <c r="M6" i="9" s="1"/>
  <c r="M8" i="9" a="1"/>
  <c r="M8" i="9" s="1"/>
  <c r="M10" i="9" a="1"/>
  <c r="M10" i="9" s="1"/>
  <c r="M12" i="9" a="1"/>
  <c r="M12" i="9" s="1"/>
  <c r="M14" i="9" a="1"/>
  <c r="M14" i="9" s="1"/>
  <c r="M16" i="9" a="1"/>
  <c r="M16" i="9" s="1"/>
  <c r="M18" i="9" a="1"/>
  <c r="M18" i="9" s="1"/>
  <c r="N7" i="9" a="1"/>
  <c r="N7" i="9" s="1"/>
  <c r="N9" i="9" a="1"/>
  <c r="N9" i="9" s="1"/>
  <c r="N13" i="9" a="1"/>
  <c r="N13" i="9" s="1"/>
  <c r="N15" i="9" a="1"/>
  <c r="N15" i="9" s="1"/>
  <c r="N19" i="9" a="1"/>
  <c r="N19" i="9" s="1"/>
  <c r="M9" i="9" a="1"/>
  <c r="M9" i="9" s="1"/>
  <c r="M13" i="9" a="1"/>
  <c r="M13" i="9" s="1"/>
  <c r="M17" i="9" a="1"/>
  <c r="M17" i="9" s="1"/>
  <c r="N11" i="9" a="1"/>
  <c r="N11" i="9" s="1"/>
  <c r="N17" i="9" a="1"/>
  <c r="N17" i="9" s="1"/>
  <c r="M7" i="9" a="1"/>
  <c r="M7" i="9" s="1"/>
  <c r="M11" i="9" a="1"/>
  <c r="M11" i="9" s="1"/>
  <c r="M15" i="9" a="1"/>
  <c r="M15" i="9" s="1"/>
  <c r="M19" i="9" a="1"/>
  <c r="M19" i="9" s="1"/>
  <c r="M5" i="9" a="1"/>
  <c r="M5" i="9" s="1"/>
  <c r="N5" i="9" a="1"/>
  <c r="N5" i="9" s="1"/>
  <c r="J5" i="9" a="1"/>
  <c r="J5" i="9" s="1"/>
  <c r="I17" i="9" a="1"/>
  <c r="I17" i="9" s="1"/>
  <c r="I13" i="9" a="1"/>
  <c r="I13" i="9" s="1"/>
  <c r="I9" i="9" a="1"/>
  <c r="I9" i="9" s="1"/>
  <c r="J19" i="9" a="1"/>
  <c r="J19" i="9" s="1"/>
  <c r="J15" i="9" a="1"/>
  <c r="J15" i="9" s="1"/>
  <c r="J10" i="9" a="1"/>
  <c r="J10" i="9" s="1"/>
  <c r="I5" i="9" a="1"/>
  <c r="I5" i="9" s="1"/>
  <c r="L5" i="9" a="1"/>
  <c r="L5" i="9" s="1"/>
  <c r="I16" i="9" a="1"/>
  <c r="I16" i="9" s="1"/>
  <c r="I12" i="9" a="1"/>
  <c r="I12" i="9" s="1"/>
  <c r="I8" i="9" a="1"/>
  <c r="I8" i="9" s="1"/>
  <c r="J18" i="9" a="1"/>
  <c r="J18" i="9" s="1"/>
  <c r="J14" i="9" a="1"/>
  <c r="J14" i="9" s="1"/>
  <c r="J11" i="9" a="1"/>
  <c r="J11" i="9" s="1"/>
  <c r="J7" i="9" a="1"/>
  <c r="J7" i="9" s="1"/>
  <c r="K19" i="9" a="1"/>
  <c r="K19" i="9" s="1"/>
  <c r="K17" i="9" a="1"/>
  <c r="K17" i="9" s="1"/>
  <c r="K15" i="9" a="1"/>
  <c r="K15" i="9" s="1"/>
  <c r="K13" i="9" a="1"/>
  <c r="K13" i="9" s="1"/>
  <c r="K11" i="9" a="1"/>
  <c r="K11" i="9" s="1"/>
  <c r="K9" i="9" a="1"/>
  <c r="K9" i="9" s="1"/>
  <c r="K7" i="9" a="1"/>
  <c r="K7" i="9" s="1"/>
  <c r="L19" i="9" a="1"/>
  <c r="L19" i="9" s="1"/>
  <c r="L17" i="9" a="1"/>
  <c r="L17" i="9" s="1"/>
  <c r="L15" i="9" a="1"/>
  <c r="L15" i="9" s="1"/>
  <c r="L13" i="9" a="1"/>
  <c r="L13" i="9" s="1"/>
  <c r="L11" i="9" a="1"/>
  <c r="L11" i="9" s="1"/>
  <c r="L9" i="9" a="1"/>
  <c r="L9" i="9" s="1"/>
  <c r="L7" i="9" a="1"/>
  <c r="L7" i="9" s="1"/>
  <c r="I10" i="9" a="1"/>
  <c r="I10" i="9" s="1"/>
  <c r="I6" i="9" a="1"/>
  <c r="I6" i="9" s="1"/>
  <c r="J16" i="9" a="1"/>
  <c r="J16" i="9" s="1"/>
  <c r="J13" i="9" a="1"/>
  <c r="J13" i="9" s="1"/>
  <c r="J9" i="9" a="1"/>
  <c r="J9" i="9" s="1"/>
  <c r="J6" i="9" a="1"/>
  <c r="J6" i="9" s="1"/>
  <c r="K18" i="9" a="1"/>
  <c r="K18" i="9" s="1"/>
  <c r="K16" i="9" a="1"/>
  <c r="K16" i="9" s="1"/>
  <c r="K14" i="9" a="1"/>
  <c r="K14" i="9" s="1"/>
  <c r="K12" i="9" a="1"/>
  <c r="K12" i="9" s="1"/>
  <c r="K10" i="9" a="1"/>
  <c r="K10" i="9" s="1"/>
  <c r="K8" i="9" a="1"/>
  <c r="K8" i="9" s="1"/>
  <c r="K6" i="9" a="1"/>
  <c r="K6" i="9" s="1"/>
  <c r="L18" i="9" a="1"/>
  <c r="L18" i="9" s="1"/>
  <c r="L16" i="9" a="1"/>
  <c r="L16" i="9" s="1"/>
  <c r="L14" i="9" a="1"/>
  <c r="L14" i="9" s="1"/>
  <c r="L12" i="9" a="1"/>
  <c r="L12" i="9" s="1"/>
  <c r="L10" i="9" a="1"/>
  <c r="L10" i="9" s="1"/>
  <c r="L8" i="9" a="1"/>
  <c r="L8" i="9" s="1"/>
  <c r="L6" i="9" a="1"/>
  <c r="L6" i="9" s="1"/>
  <c r="B25" i="11" a="1"/>
  <c r="B25" i="11" s="1"/>
  <c r="B37" i="11" a="1"/>
  <c r="B37" i="11" s="1"/>
  <c r="B33" i="11" a="1"/>
  <c r="B33" i="11" s="1"/>
  <c r="B29" i="11" a="1"/>
  <c r="B29" i="11" s="1"/>
  <c r="C39" i="11" a="1"/>
  <c r="C39" i="11" s="1"/>
  <c r="C35" i="11" a="1"/>
  <c r="C35" i="11" s="1"/>
  <c r="C31" i="11" a="1"/>
  <c r="C31" i="11" s="1"/>
  <c r="C27" i="11" a="1"/>
  <c r="C27" i="11" s="1"/>
  <c r="B38" i="11" a="1"/>
  <c r="B38" i="11" s="1"/>
  <c r="B34" i="11" a="1"/>
  <c r="B34" i="11" s="1"/>
  <c r="B30" i="11" a="1"/>
  <c r="B30" i="11" s="1"/>
  <c r="B26" i="11" a="1"/>
  <c r="B26" i="11" s="1"/>
  <c r="C36" i="11" a="1"/>
  <c r="C36" i="11" s="1"/>
  <c r="C32" i="11" a="1"/>
  <c r="C32" i="11" s="1"/>
  <c r="G26" i="11" a="1"/>
  <c r="G26" i="11" s="1"/>
  <c r="G27" i="11" a="1"/>
  <c r="G27" i="11" s="1"/>
  <c r="G28" i="11" a="1"/>
  <c r="G28" i="11" s="1"/>
  <c r="G29" i="11" a="1"/>
  <c r="G29" i="11" s="1"/>
  <c r="G30" i="11" a="1"/>
  <c r="G30" i="11" s="1"/>
  <c r="G31" i="11" a="1"/>
  <c r="G31" i="11" s="1"/>
  <c r="G32" i="11" a="1"/>
  <c r="G32" i="11" s="1"/>
  <c r="G33" i="11" a="1"/>
  <c r="G33" i="11" s="1"/>
  <c r="G34" i="11" a="1"/>
  <c r="G34" i="11" s="1"/>
  <c r="G35" i="11" a="1"/>
  <c r="G35" i="11" s="1"/>
  <c r="G36" i="11" a="1"/>
  <c r="G36" i="11" s="1"/>
  <c r="G37" i="11" a="1"/>
  <c r="G37" i="11" s="1"/>
  <c r="G38" i="11" a="1"/>
  <c r="G38" i="11" s="1"/>
  <c r="G39" i="11" a="1"/>
  <c r="G39" i="11" s="1"/>
  <c r="F26" i="11" a="1"/>
  <c r="F26" i="11" s="1"/>
  <c r="F27" i="11" a="1"/>
  <c r="F27" i="11" s="1"/>
  <c r="F28" i="11" a="1"/>
  <c r="F28" i="11" s="1"/>
  <c r="F29" i="11" a="1"/>
  <c r="F29" i="11" s="1"/>
  <c r="F30" i="11" a="1"/>
  <c r="F30" i="11" s="1"/>
  <c r="F31" i="11" a="1"/>
  <c r="F31" i="11" s="1"/>
  <c r="F32" i="11" a="1"/>
  <c r="F32" i="11" s="1"/>
  <c r="F33" i="11" a="1"/>
  <c r="F33" i="11" s="1"/>
  <c r="F34" i="11" a="1"/>
  <c r="F34" i="11" s="1"/>
  <c r="F35" i="11" a="1"/>
  <c r="F35" i="11" s="1"/>
  <c r="F36" i="11" a="1"/>
  <c r="F36" i="11" s="1"/>
  <c r="F37" i="11" a="1"/>
  <c r="F37" i="11" s="1"/>
  <c r="F38" i="11" a="1"/>
  <c r="F38" i="11" s="1"/>
  <c r="F39" i="11" a="1"/>
  <c r="F39" i="11" s="1"/>
  <c r="E26" i="11" a="1"/>
  <c r="E26" i="11" s="1"/>
  <c r="E27" i="11" a="1"/>
  <c r="E27" i="11" s="1"/>
  <c r="E28" i="11" a="1"/>
  <c r="E28" i="11" s="1"/>
  <c r="E29" i="11" a="1"/>
  <c r="E29" i="11" s="1"/>
  <c r="E30" i="11" a="1"/>
  <c r="E30" i="11" s="1"/>
  <c r="E31" i="11" a="1"/>
  <c r="E31" i="11" s="1"/>
  <c r="E32" i="11" a="1"/>
  <c r="E32" i="11" s="1"/>
  <c r="E33" i="11" a="1"/>
  <c r="E33" i="11" s="1"/>
  <c r="E34" i="11" a="1"/>
  <c r="E34" i="11" s="1"/>
  <c r="E35" i="11" a="1"/>
  <c r="E35" i="11" s="1"/>
  <c r="E36" i="11" a="1"/>
  <c r="E36" i="11" s="1"/>
  <c r="E37" i="11" a="1"/>
  <c r="E37" i="11" s="1"/>
  <c r="E38" i="11" a="1"/>
  <c r="E38" i="11" s="1"/>
  <c r="E39" i="11" a="1"/>
  <c r="E39" i="11" s="1"/>
  <c r="D26" i="11" a="1"/>
  <c r="D26" i="11" s="1"/>
  <c r="D27" i="11" a="1"/>
  <c r="D27" i="11" s="1"/>
  <c r="D28" i="11" a="1"/>
  <c r="D28" i="11" s="1"/>
  <c r="D29" i="11" a="1"/>
  <c r="D29" i="11" s="1"/>
  <c r="D30" i="11" a="1"/>
  <c r="D30" i="11" s="1"/>
  <c r="D31" i="11" a="1"/>
  <c r="D31" i="11" s="1"/>
  <c r="D32" i="11" a="1"/>
  <c r="D32" i="11" s="1"/>
  <c r="D33" i="11" a="1"/>
  <c r="D33" i="11" s="1"/>
  <c r="D34" i="11" a="1"/>
  <c r="D34" i="11" s="1"/>
  <c r="D35" i="11" a="1"/>
  <c r="D35" i="11" s="1"/>
  <c r="D36" i="11" a="1"/>
  <c r="D36" i="11" s="1"/>
  <c r="D37" i="11" a="1"/>
  <c r="D37" i="11" s="1"/>
  <c r="D38" i="11" a="1"/>
  <c r="D38" i="11" s="1"/>
  <c r="D39" i="11" a="1"/>
  <c r="D39" i="11" s="1"/>
  <c r="G25" i="11" a="1"/>
  <c r="G25" i="11" s="1"/>
  <c r="F25" i="11" a="1"/>
  <c r="F25" i="11" s="1"/>
  <c r="E25" i="11" a="1"/>
  <c r="E25" i="11" s="1"/>
  <c r="D25" i="11" a="1"/>
  <c r="D25" i="11" s="1"/>
  <c r="B39" i="11" a="1"/>
  <c r="B39" i="11" s="1"/>
  <c r="B35" i="11" a="1"/>
  <c r="B35" i="11" s="1"/>
  <c r="B31" i="11" a="1"/>
  <c r="B31" i="11" s="1"/>
  <c r="B27" i="11" a="1"/>
  <c r="B27" i="11" s="1"/>
  <c r="C37" i="11" a="1"/>
  <c r="C37" i="11" s="1"/>
  <c r="C33" i="11" a="1"/>
  <c r="C33" i="11" s="1"/>
  <c r="C29" i="11" a="1"/>
  <c r="C29" i="11" s="1"/>
  <c r="C25" i="11" a="1"/>
  <c r="C25" i="11" s="1"/>
  <c r="B36" i="11" a="1"/>
  <c r="B36" i="11" s="1"/>
  <c r="B32" i="11" a="1"/>
  <c r="B32" i="11" s="1"/>
  <c r="B28" i="11" a="1"/>
  <c r="B28" i="11" s="1"/>
  <c r="C38" i="11" a="1"/>
  <c r="C38" i="11" s="1"/>
  <c r="C34" i="11" a="1"/>
  <c r="C34" i="11" s="1"/>
  <c r="C30" i="11" a="1"/>
  <c r="C30" i="11" s="1"/>
  <c r="C26" i="11" a="1"/>
  <c r="C26" i="11" s="1"/>
  <c r="Y4" i="10" l="1" a="1"/>
  <c r="Y4" i="10" s="1"/>
  <c r="Z4" i="10" a="1"/>
  <c r="Z4" i="10" s="1"/>
  <c r="O6" i="10" a="1"/>
  <c r="O6" i="10" s="1"/>
  <c r="O6" i="15" a="1"/>
  <c r="O6" i="15" s="1"/>
  <c r="O8" i="10" a="1"/>
  <c r="O8" i="10" s="1"/>
  <c r="O8" i="15" a="1"/>
  <c r="O8" i="15" s="1"/>
  <c r="O10" i="15" a="1"/>
  <c r="O10" i="15" s="1"/>
  <c r="O10" i="10" a="1"/>
  <c r="O10" i="10" s="1"/>
  <c r="O12" i="15" a="1"/>
  <c r="O12" i="15" s="1"/>
  <c r="O12" i="10" a="1"/>
  <c r="O12" i="10" s="1"/>
  <c r="O5" i="15" a="1"/>
  <c r="O5" i="15" s="1"/>
  <c r="O5" i="10" a="1"/>
  <c r="O5" i="10" s="1"/>
  <c r="O7" i="10" a="1"/>
  <c r="O7" i="10" s="1"/>
  <c r="O7" i="15" a="1"/>
  <c r="O7" i="15" s="1"/>
  <c r="O9" i="15" a="1"/>
  <c r="O9" i="15" s="1"/>
  <c r="O9" i="10" a="1"/>
  <c r="O9" i="10" s="1"/>
  <c r="O11" i="15" a="1"/>
  <c r="O11" i="15" s="1"/>
  <c r="O11" i="10" a="1"/>
  <c r="O11" i="10" s="1"/>
  <c r="O13" i="10" a="1"/>
  <c r="O13" i="10" s="1"/>
  <c r="O13" i="15" a="1"/>
  <c r="O13" i="15" s="1"/>
  <c r="O15" i="15" a="1"/>
  <c r="O15" i="15" s="1"/>
  <c r="O15" i="10" a="1"/>
  <c r="O15" i="10" s="1"/>
  <c r="O17" i="15" a="1"/>
  <c r="O17" i="15" s="1"/>
  <c r="O17" i="10" a="1"/>
  <c r="O17" i="10" s="1"/>
  <c r="O14" i="15" a="1"/>
  <c r="O14" i="15" s="1"/>
  <c r="O14" i="10" a="1"/>
  <c r="O14" i="10" s="1"/>
  <c r="O4" i="15" a="1"/>
  <c r="O4" i="15" s="1"/>
  <c r="O4" i="10" a="1"/>
  <c r="O4" i="10" s="1"/>
  <c r="P4" i="10" a="1"/>
  <c r="P4" i="10" s="1"/>
  <c r="O16" i="15" a="1"/>
  <c r="O16" i="15" s="1"/>
  <c r="O16" i="10" a="1"/>
  <c r="O16" i="10" s="1"/>
  <c r="P16" i="10" a="1"/>
  <c r="P16" i="10" s="1"/>
  <c r="P13" i="10" a="1"/>
  <c r="P13" i="10" s="1"/>
  <c r="P17" i="15" a="1"/>
  <c r="P17" i="15" s="1"/>
  <c r="P17" i="10" l="1" a="1"/>
  <c r="P17" i="10" s="1"/>
  <c r="P16" i="15" a="1"/>
  <c r="P16" i="15" s="1"/>
  <c r="P14" i="15" a="1"/>
  <c r="P14" i="15" s="1"/>
  <c r="P14" i="10" a="1"/>
  <c r="P14" i="10" s="1"/>
  <c r="E17" i="9" a="1"/>
  <c r="E17" i="9" s="1"/>
  <c r="G13" i="9" a="1"/>
  <c r="G13" i="9" s="1"/>
  <c r="F6" i="9" a="1"/>
  <c r="F6" i="9" s="1"/>
  <c r="G19" i="9" a="1"/>
  <c r="G19" i="9" s="1"/>
  <c r="C13" i="9" a="1"/>
  <c r="C13" i="9" s="1"/>
  <c r="D7" i="9" a="1"/>
  <c r="D7" i="9" s="1"/>
  <c r="D16" i="9" a="1"/>
  <c r="D16" i="9" s="1"/>
  <c r="F13" i="9" a="1"/>
  <c r="F13" i="9" s="1"/>
  <c r="B6" i="9" a="1"/>
  <c r="B6" i="9" s="1"/>
  <c r="E7" i="9" a="1"/>
  <c r="E7" i="9" s="1"/>
  <c r="F10" i="9" a="1"/>
  <c r="F10" i="9" s="1"/>
  <c r="G15" i="9" a="1"/>
  <c r="G15" i="9" s="1"/>
  <c r="F19" i="9" a="1"/>
  <c r="F19" i="9" s="1"/>
  <c r="E15" i="9" a="1"/>
  <c r="E15" i="9" s="1"/>
  <c r="F14" i="9" a="1"/>
  <c r="F14" i="9" s="1"/>
  <c r="P13" i="15" a="1"/>
  <c r="P13" i="15" s="1"/>
  <c r="P4" i="15" a="1"/>
  <c r="P4" i="15" s="1"/>
  <c r="B14" i="9" a="1"/>
  <c r="B14" i="9" s="1"/>
  <c r="D11" i="9" a="1"/>
  <c r="D11" i="9" s="1"/>
  <c r="F9" i="9" a="1"/>
  <c r="F9" i="9" s="1"/>
  <c r="D17" i="9" a="1"/>
  <c r="D17" i="9" s="1"/>
  <c r="G9" i="9" a="1"/>
  <c r="G9" i="9" s="1"/>
  <c r="G18" i="9" a="1"/>
  <c r="G18" i="9" s="1"/>
  <c r="C12" i="9" a="1"/>
  <c r="C12" i="9" s="1"/>
  <c r="E9" i="9" a="1"/>
  <c r="E9" i="9" s="1"/>
  <c r="F11" i="9" a="1"/>
  <c r="F11" i="9" s="1"/>
  <c r="D19" i="9" a="1"/>
  <c r="D19" i="9" s="1"/>
  <c r="C19" i="9" a="1"/>
  <c r="C19" i="9" s="1"/>
  <c r="D13" i="9" a="1"/>
  <c r="D13" i="9" s="1"/>
  <c r="C17" i="9" a="1"/>
  <c r="C17" i="9" s="1"/>
  <c r="B12" i="9" a="1"/>
  <c r="B12" i="9" s="1"/>
  <c r="P10" i="10" a="1"/>
  <c r="P10" i="10" s="1"/>
  <c r="P10" i="15" a="1"/>
  <c r="P10" i="15" s="1"/>
  <c r="P11" i="15" a="1"/>
  <c r="P11" i="15" s="1"/>
  <c r="P11" i="10" a="1"/>
  <c r="P11" i="10" s="1"/>
  <c r="P15" i="15" a="1"/>
  <c r="P15" i="15" s="1"/>
  <c r="P15" i="10" a="1"/>
  <c r="P15" i="10" s="1"/>
  <c r="D10" i="9" a="1"/>
  <c r="D10" i="9" s="1"/>
  <c r="B11" i="9" a="1"/>
  <c r="B11" i="9" s="1"/>
  <c r="G12" i="9" a="1"/>
  <c r="G12" i="9" s="1"/>
  <c r="B7" i="9" a="1"/>
  <c r="B7" i="9" s="1"/>
  <c r="D14" i="9" a="1"/>
  <c r="D14" i="9" s="1"/>
  <c r="B15" i="9" a="1"/>
  <c r="B15" i="9" s="1"/>
  <c r="F5" i="9" a="1"/>
  <c r="F5" i="9" s="1"/>
  <c r="D5" i="9" a="1"/>
  <c r="D5" i="9" s="1"/>
  <c r="G6" i="9" a="1"/>
  <c r="G6" i="9" s="1"/>
  <c r="C6" i="9" a="1"/>
  <c r="C6" i="9" s="1"/>
  <c r="C14" i="9" a="1"/>
  <c r="C14" i="9" s="1"/>
  <c r="B9" i="9" a="1"/>
  <c r="B9" i="9" s="1"/>
  <c r="C18" i="9" a="1"/>
  <c r="C18" i="9" s="1"/>
  <c r="F12" i="9" a="1"/>
  <c r="F12" i="9" s="1"/>
  <c r="D15" i="9" a="1"/>
  <c r="D15" i="9" s="1"/>
  <c r="G17" i="9" a="1"/>
  <c r="G17" i="9" s="1"/>
  <c r="F7" i="9" a="1"/>
  <c r="F7" i="9" s="1"/>
  <c r="F17" i="9" a="1"/>
  <c r="F17" i="9" s="1"/>
  <c r="F18" i="9" a="1"/>
  <c r="F18" i="9" s="1"/>
  <c r="C5" i="9" a="1"/>
  <c r="C5" i="9" s="1"/>
  <c r="C9" i="9" a="1"/>
  <c r="C9" i="9" s="1"/>
  <c r="G5" i="9" a="1"/>
  <c r="G5" i="9" s="1"/>
  <c r="G7" i="9" a="1"/>
  <c r="G7" i="9" s="1"/>
  <c r="C11" i="9" a="1"/>
  <c r="C11" i="9" s="1"/>
  <c r="C8" i="9" a="1"/>
  <c r="C8" i="9" s="1"/>
  <c r="C16" i="9" a="1"/>
  <c r="C16" i="9" s="1"/>
  <c r="B17" i="9" a="1"/>
  <c r="B17" i="9" s="1"/>
  <c r="B5" i="9" a="1"/>
  <c r="B5" i="9" s="1"/>
  <c r="B8" i="9" a="1"/>
  <c r="B8" i="9" s="1"/>
  <c r="E11" i="9" a="1"/>
  <c r="E11" i="9" s="1"/>
  <c r="D6" i="9" a="1"/>
  <c r="D6" i="9" s="1"/>
  <c r="G8" i="9" a="1"/>
  <c r="G8" i="9" s="1"/>
  <c r="E5" i="9" a="1"/>
  <c r="E5" i="9" s="1"/>
  <c r="B19" i="9" a="1"/>
  <c r="B19" i="9" s="1"/>
  <c r="E8" i="9" a="1"/>
  <c r="E8" i="9" s="1"/>
  <c r="E12" i="9" a="1"/>
  <c r="E12" i="9" s="1"/>
  <c r="E16" i="9" a="1"/>
  <c r="E16" i="9" s="1"/>
  <c r="G16" i="9" a="1"/>
  <c r="G16" i="9" s="1"/>
  <c r="D12" i="9" a="1"/>
  <c r="D12" i="9" s="1"/>
  <c r="B13" i="9" a="1"/>
  <c r="B13" i="9" s="1"/>
  <c r="G14" i="9" a="1"/>
  <c r="G14" i="9" s="1"/>
  <c r="C10" i="9" a="1"/>
  <c r="C10" i="9" s="1"/>
  <c r="D8" i="9" a="1"/>
  <c r="D8" i="9" s="1"/>
  <c r="G10" i="9" a="1"/>
  <c r="G10" i="9" s="1"/>
  <c r="F8" i="9" a="1"/>
  <c r="F8" i="9" s="1"/>
  <c r="F16" i="9" a="1"/>
  <c r="F16" i="9" s="1"/>
  <c r="B16" i="9" a="1"/>
  <c r="B16" i="9" s="1"/>
  <c r="E19" i="9" a="1"/>
  <c r="E19" i="9" s="1"/>
  <c r="D9" i="9" a="1"/>
  <c r="D9" i="9" s="1"/>
  <c r="B10" i="9" a="1"/>
  <c r="B10" i="9" s="1"/>
  <c r="G11" i="9" a="1"/>
  <c r="G11" i="9" s="1"/>
  <c r="E13" i="9" a="1"/>
  <c r="E13" i="9" s="1"/>
  <c r="C15" i="9" a="1"/>
  <c r="C15" i="9" s="1"/>
  <c r="D18" i="9" a="1"/>
  <c r="D18" i="9" s="1"/>
  <c r="E6" i="9" a="1"/>
  <c r="E6" i="9" s="1"/>
  <c r="E10" i="9" a="1"/>
  <c r="E10" i="9" s="1"/>
  <c r="E14" i="9" a="1"/>
  <c r="E14" i="9" s="1"/>
  <c r="E18" i="9" a="1"/>
  <c r="E18" i="9" s="1"/>
  <c r="B18" i="9" a="1"/>
  <c r="B18" i="9" s="1"/>
  <c r="P12" i="10" a="1"/>
  <c r="P12" i="10" s="1"/>
  <c r="P12" i="15" a="1"/>
  <c r="P12" i="15" s="1"/>
  <c r="G6" i="13" a="1"/>
  <c r="G6" i="13" s="1"/>
  <c r="C7" i="9" a="1"/>
  <c r="C7" i="9" s="1"/>
  <c r="F15" i="9" a="1"/>
  <c r="F15" i="9" s="1"/>
</calcChain>
</file>

<file path=xl/sharedStrings.xml><?xml version="1.0" encoding="utf-8"?>
<sst xmlns="http://schemas.openxmlformats.org/spreadsheetml/2006/main" count="648" uniqueCount="259">
  <si>
    <t>Aire de mouvement</t>
  </si>
  <si>
    <t>Véhicules</t>
  </si>
  <si>
    <t>CO²</t>
  </si>
  <si>
    <t>Date</t>
  </si>
  <si>
    <t>LEROY France</t>
  </si>
  <si>
    <t>SCHWEITZER Jean-Michel</t>
  </si>
  <si>
    <t>Initiale CM</t>
  </si>
  <si>
    <t>âge</t>
  </si>
  <si>
    <t>LEROY</t>
  </si>
  <si>
    <t>France</t>
  </si>
  <si>
    <t>Actif</t>
  </si>
  <si>
    <t>TRAVAIL</t>
  </si>
  <si>
    <t>MEDICALE</t>
  </si>
  <si>
    <t>période trv</t>
  </si>
  <si>
    <t>période méd</t>
  </si>
  <si>
    <t>période per</t>
  </si>
  <si>
    <t>dernière visite trv</t>
  </si>
  <si>
    <t>prochaine visite trv</t>
  </si>
  <si>
    <t>dernière visite méd</t>
  </si>
  <si>
    <t>prochaine visite méd</t>
  </si>
  <si>
    <t>dernière visite per</t>
  </si>
  <si>
    <t>prochaine visite per</t>
  </si>
  <si>
    <t>SCHWEITZER</t>
  </si>
  <si>
    <t>Jean-Michel</t>
  </si>
  <si>
    <t>En retard</t>
  </si>
  <si>
    <t>date</t>
  </si>
  <si>
    <t>qui</t>
  </si>
  <si>
    <t>Qui</t>
  </si>
  <si>
    <t>Quoi</t>
  </si>
  <si>
    <t>Travail</t>
  </si>
  <si>
    <t>Médicale</t>
  </si>
  <si>
    <t>BENAZET</t>
  </si>
  <si>
    <t>ZARAGOZA</t>
  </si>
  <si>
    <t>Didier</t>
  </si>
  <si>
    <t>SANTOS</t>
  </si>
  <si>
    <t>Jean-François</t>
  </si>
  <si>
    <t>NAVARRO</t>
  </si>
  <si>
    <t>Christophe</t>
  </si>
  <si>
    <t>AUDIE</t>
  </si>
  <si>
    <t>Anthony</t>
  </si>
  <si>
    <t>DISTEFANO</t>
  </si>
  <si>
    <t>Alexis</t>
  </si>
  <si>
    <t>Jean-Sébastien</t>
  </si>
  <si>
    <t>Nom affiche</t>
  </si>
  <si>
    <t>Nom</t>
  </si>
  <si>
    <t>Prénom</t>
  </si>
  <si>
    <t>Date de naissance</t>
  </si>
  <si>
    <t>Jean-René</t>
  </si>
  <si>
    <t>AIRE DE MOUVEMENT</t>
  </si>
  <si>
    <t>ENSEMBLE DE L'AERODROME</t>
  </si>
  <si>
    <t>ABORDS DE L'AERODROME</t>
  </si>
  <si>
    <t>dernière visite mvt</t>
  </si>
  <si>
    <t>prochaine visite mvt</t>
  </si>
  <si>
    <t>dernière visite za</t>
  </si>
  <si>
    <t>prochaine visite za</t>
  </si>
  <si>
    <t>dernière visite zva</t>
  </si>
  <si>
    <t>prochaine visite zva</t>
  </si>
  <si>
    <t>EQUIPEMENTS</t>
  </si>
  <si>
    <t>dernière visite pou</t>
  </si>
  <si>
    <t>prochaine visite pou</t>
  </si>
  <si>
    <t>POUDRE FEUX DE METAUX</t>
  </si>
  <si>
    <t>dernière visite mét</t>
  </si>
  <si>
    <t>prochaine visite mét</t>
  </si>
  <si>
    <t>CO2</t>
  </si>
  <si>
    <t>dernière visite co²</t>
  </si>
  <si>
    <t>prochaine visite co²</t>
  </si>
  <si>
    <t>POUDRE ET EAU PULVE</t>
  </si>
  <si>
    <t>Status</t>
  </si>
  <si>
    <t>PERMIS PL</t>
  </si>
  <si>
    <t>en année</t>
  </si>
  <si>
    <t>en jour</t>
  </si>
  <si>
    <t>en mois</t>
  </si>
  <si>
    <t>BADGE ROUGE</t>
  </si>
  <si>
    <t>SURETE</t>
  </si>
  <si>
    <t>CIRCULATION PISTE</t>
  </si>
  <si>
    <t>période mvt</t>
  </si>
  <si>
    <t>période za</t>
  </si>
  <si>
    <t>période zva</t>
  </si>
  <si>
    <t>période pou</t>
  </si>
  <si>
    <t>période mét</t>
  </si>
  <si>
    <t>période co²</t>
  </si>
  <si>
    <t>période rpa</t>
  </si>
  <si>
    <t>prochaine visite rpa</t>
  </si>
  <si>
    <t>dernière visite bad</t>
  </si>
  <si>
    <t>période bad</t>
  </si>
  <si>
    <t>prochaine visite bad</t>
  </si>
  <si>
    <t>dernière visite sur</t>
  </si>
  <si>
    <t>période sur</t>
  </si>
  <si>
    <t>prochaine visite sur</t>
  </si>
  <si>
    <t>dernière visite pis</t>
  </si>
  <si>
    <t>période pis</t>
  </si>
  <si>
    <t>prochaine visite pis</t>
  </si>
  <si>
    <t>A R I</t>
  </si>
  <si>
    <t>dernière visite ari</t>
  </si>
  <si>
    <t>période ari</t>
  </si>
  <si>
    <t>prochaine visite ari</t>
  </si>
  <si>
    <t>Visite médicale</t>
  </si>
  <si>
    <t>Visite du travail</t>
  </si>
  <si>
    <t>Nom abrégé</t>
  </si>
  <si>
    <t>Visite permis poids lourd</t>
  </si>
  <si>
    <t>Visite ! ! ! !</t>
  </si>
  <si>
    <t>Nom Prénom</t>
  </si>
  <si>
    <t>Zone Aérodrome</t>
  </si>
  <si>
    <t>Zone Voisine Aérodrome</t>
  </si>
  <si>
    <t>Zone ! ! ! !</t>
  </si>
  <si>
    <t>dernière visite epi</t>
  </si>
  <si>
    <t>période epi</t>
  </si>
  <si>
    <t>prochaine visite epi</t>
  </si>
  <si>
    <t>EQUIPEMENT</t>
  </si>
  <si>
    <t>Equipement EPI</t>
  </si>
  <si>
    <t>Equipement ARI</t>
  </si>
  <si>
    <t>Equipement poudre et eau pulvérisée</t>
  </si>
  <si>
    <t>Equipement poudre feux de métaux</t>
  </si>
  <si>
    <t>Equipement co²</t>
  </si>
  <si>
    <t>dernière visite véh</t>
  </si>
  <si>
    <t>période véh</t>
  </si>
  <si>
    <t>prochaine visite véh</t>
  </si>
  <si>
    <t>1 fois par an</t>
  </si>
  <si>
    <t>tous les 3 mois</t>
  </si>
  <si>
    <t>tous les 5 ans</t>
  </si>
  <si>
    <t>toutes les 2 semaines</t>
  </si>
  <si>
    <t>1 fois par mois</t>
  </si>
  <si>
    <t>Equipement véhicules</t>
  </si>
  <si>
    <t>Recyclage sûreté</t>
  </si>
  <si>
    <t>Recyclage badge</t>
  </si>
  <si>
    <t>Recyclage circulation piste</t>
  </si>
  <si>
    <t>tous les 3 ans</t>
  </si>
  <si>
    <t>RECYCLAGE CM ET PA</t>
  </si>
  <si>
    <t>RECYCLAGE</t>
  </si>
  <si>
    <t>dernière visite ! !</t>
  </si>
  <si>
    <t>période ! !</t>
  </si>
  <si>
    <t>prochaine visite ! !</t>
  </si>
  <si>
    <t>dernière visite rpa</t>
  </si>
  <si>
    <t>Recyclage chef de manœuvre et pompier aéroport</t>
  </si>
  <si>
    <t>an</t>
  </si>
  <si>
    <t>mois</t>
  </si>
  <si>
    <t>Détail</t>
  </si>
  <si>
    <t>Durée</t>
  </si>
  <si>
    <t>Formateur</t>
  </si>
  <si>
    <t>Evaluateur</t>
  </si>
  <si>
    <t>Initiale PA</t>
  </si>
  <si>
    <t>Permis PL</t>
  </si>
  <si>
    <t>Badge</t>
  </si>
  <si>
    <t>Théorie Incendie</t>
  </si>
  <si>
    <t>Théorie SAP</t>
  </si>
  <si>
    <t>Pratique Incendie</t>
  </si>
  <si>
    <t>Pratique SAP</t>
  </si>
  <si>
    <t>Pompier Aéroport</t>
  </si>
  <si>
    <t>Chef de Manœuvre</t>
  </si>
  <si>
    <t>Visite poids lourd</t>
  </si>
  <si>
    <t>Sapeur-Pompier</t>
  </si>
  <si>
    <t>Permis piste</t>
  </si>
  <si>
    <t>Zone aérodrome</t>
  </si>
  <si>
    <t>Zone voisine d'aéridrome</t>
  </si>
  <si>
    <t>EPI</t>
  </si>
  <si>
    <t>ARI</t>
  </si>
  <si>
    <t>Poudre métaux</t>
  </si>
  <si>
    <t>Initiale SP</t>
  </si>
  <si>
    <t>VEHICULES</t>
  </si>
  <si>
    <t>Initiale RSSLIA</t>
  </si>
  <si>
    <t>Sûreté</t>
  </si>
  <si>
    <t>Circulation piste</t>
  </si>
  <si>
    <t>Poudre et eau pulvé</t>
  </si>
  <si>
    <t>Théorie divers</t>
  </si>
  <si>
    <t>Pratique divers</t>
  </si>
  <si>
    <t>Pratique autres</t>
  </si>
  <si>
    <t>Théorie autres</t>
  </si>
  <si>
    <t>Descriptif</t>
  </si>
  <si>
    <t>Reconnaissance aire de mouvement</t>
  </si>
  <si>
    <t>Reconnaissance zone aérodrome</t>
  </si>
  <si>
    <t>Reconnaissance zone voisine aérodrome</t>
  </si>
  <si>
    <t>Recyclage pompier aérodrome</t>
  </si>
  <si>
    <t>Vérification EPI</t>
  </si>
  <si>
    <t>Connaissance ARI</t>
  </si>
  <si>
    <t>Participer à la percussion</t>
  </si>
  <si>
    <t>Connaissance véicules</t>
  </si>
  <si>
    <t>Formation journalière</t>
  </si>
  <si>
    <t>Document initial</t>
  </si>
  <si>
    <t>FERRARA</t>
  </si>
  <si>
    <t>Julien</t>
  </si>
  <si>
    <t>Rec SSLIA</t>
  </si>
  <si>
    <t>AFONSO</t>
  </si>
  <si>
    <t>Xavier</t>
  </si>
  <si>
    <t>BALLESTER</t>
  </si>
  <si>
    <t>DESMYTER</t>
  </si>
  <si>
    <t>Damien</t>
  </si>
  <si>
    <t>NAJJARI</t>
  </si>
  <si>
    <t>Mohamed</t>
  </si>
  <si>
    <t>Recyclage sslia</t>
  </si>
  <si>
    <t>Responsable sslia</t>
  </si>
  <si>
    <t>date entrée</t>
  </si>
  <si>
    <t>ii</t>
  </si>
  <si>
    <t>Prochaine visite</t>
  </si>
  <si>
    <t>ENSEMBLE AERODROME</t>
  </si>
  <si>
    <t>ABORDS AERODROME</t>
  </si>
  <si>
    <t>VISITE TRAVAIL</t>
  </si>
  <si>
    <t>VISITE MEDICALE</t>
  </si>
  <si>
    <t>RECYCLAGE SSLIA</t>
  </si>
  <si>
    <t>RECYCLAGE ! !</t>
  </si>
  <si>
    <t>Poudre et eau pulvérisée</t>
  </si>
  <si>
    <t>THEMES</t>
  </si>
  <si>
    <t>Vis Médicale</t>
  </si>
  <si>
    <t>Vis Travail</t>
  </si>
  <si>
    <t>Médecin du travail</t>
  </si>
  <si>
    <t>DGAC</t>
  </si>
  <si>
    <t>SDIS</t>
  </si>
  <si>
    <t>Vis Permis Lourd</t>
  </si>
  <si>
    <t>Formation Sapeur-Pompier</t>
  </si>
  <si>
    <t>Sect Nord</t>
  </si>
  <si>
    <t xml:space="preserve">Zone Voisine Aérodrome </t>
  </si>
  <si>
    <t>Sect Sud</t>
  </si>
  <si>
    <t>Sect Est</t>
  </si>
  <si>
    <t>Sous-Themes</t>
  </si>
  <si>
    <t>Aires de manœuvre + trafic</t>
  </si>
  <si>
    <t>Sect Ouest</t>
  </si>
  <si>
    <t>Sect Nord Est</t>
  </si>
  <si>
    <t>Sect Sud Est</t>
  </si>
  <si>
    <t>Sect Sud Ouest</t>
  </si>
  <si>
    <t>Sect Nord Ouest</t>
  </si>
  <si>
    <t>Recyclage sslia PA ou CM</t>
  </si>
  <si>
    <t>Renouvellement badge</t>
  </si>
  <si>
    <t>Renouvellement permis piste</t>
  </si>
  <si>
    <t>E.P.I</t>
  </si>
  <si>
    <t>Vérification des E.P.I</t>
  </si>
  <si>
    <t>A.R.I</t>
  </si>
  <si>
    <t>Connaissance de l'A.R.I</t>
  </si>
  <si>
    <t>Percussion + vérification sécu 2</t>
  </si>
  <si>
    <t>Percussion + vérification sécu 3</t>
  </si>
  <si>
    <t>Véhicules et embarcations</t>
  </si>
  <si>
    <t>Connaissance + essais sécu 2</t>
  </si>
  <si>
    <t>Connaissance + essais sécu 3</t>
  </si>
  <si>
    <t>Formation Pompier Arérodrome</t>
  </si>
  <si>
    <t>Formation Chef de manœuvre</t>
  </si>
  <si>
    <t>Formation Responsable de service</t>
  </si>
  <si>
    <t>Médecin privé</t>
  </si>
  <si>
    <t>Formateur et Evaluateur</t>
  </si>
  <si>
    <t>jj/10/aaaa</t>
  </si>
  <si>
    <t>SANTOS Jean-François</t>
  </si>
  <si>
    <t/>
  </si>
  <si>
    <t>02/11/2010</t>
  </si>
  <si>
    <t>04/10/2018</t>
  </si>
  <si>
    <t>DISTEFANO Alexis</t>
  </si>
  <si>
    <t>LEROY Jean-Sébastien</t>
  </si>
  <si>
    <t>Zone damaniale</t>
  </si>
  <si>
    <t>1200 m seuil 09</t>
  </si>
  <si>
    <t>1200 m seuil 27</t>
  </si>
  <si>
    <t>02/10/2018</t>
  </si>
  <si>
    <t>NAVARRO Christophe</t>
  </si>
  <si>
    <t>NAJJARI Mohamed</t>
  </si>
  <si>
    <t>03/10/2018</t>
  </si>
  <si>
    <t>SANGO Olivier</t>
  </si>
  <si>
    <t>PINTRE Pascal</t>
  </si>
  <si>
    <t>BENAZET Jean-René</t>
  </si>
  <si>
    <t>PRESIDENT région</t>
  </si>
  <si>
    <t>ZARAGOZA Didier</t>
  </si>
  <si>
    <t>AFONSO Julien</t>
  </si>
  <si>
    <t>AUDIE Anthony</t>
  </si>
  <si>
    <t>01/07/2010</t>
  </si>
  <si>
    <t>BALLESTER Xavier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</si>
</sst>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;;"/>
    <numFmt numFmtId="165" formatCode="[h]:mm"/>
  </numFmts>
  <fonts count="21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"/>
      <color theme="0"/>
      <name val="Times New Roman"/>
      <family val="1"/>
    </font>
    <font>
      <b/>
      <sz val="10"/>
      <color theme="1"/>
      <name val="Times New Roman"/>
      <family val="1"/>
    </font>
    <font>
      <sz val="9"/>
      <color theme="1"/>
      <name val="Times New Roman"/>
      <family val="1"/>
    </font>
    <font>
      <b/>
      <sz val="10"/>
      <color theme="1"/>
      <name val="Calibri Light"/>
      <family val="2"/>
      <scheme val="major"/>
    </font>
    <font>
      <sz val="10"/>
      <name val="Times New Roman"/>
      <family val="1"/>
    </font>
    <font>
      <b/>
      <sz val="9"/>
      <color theme="1"/>
      <name val="Times New Roman"/>
      <family val="1"/>
    </font>
    <font>
      <i/>
      <sz val="9"/>
      <color theme="1"/>
      <name val="Times New Roman"/>
      <family val="1"/>
    </font>
    <font>
      <sz val="10"/>
      <color theme="0"/>
      <name val="Times New Roman"/>
      <family val="1"/>
    </font>
    <font>
      <b/>
      <sz val="11"/>
      <color theme="1"/>
      <name val="Calibri"/>
      <family val="2"/>
      <scheme val="minor"/>
    </font>
    <font>
      <i/>
      <sz val="9"/>
      <color rgb="FFC00000"/>
      <name val="Times New Roman"/>
      <family val="1"/>
    </font>
    <font>
      <b/>
      <sz val="11"/>
      <color theme="1"/>
      <name val="Times New Roman"/>
      <family val="1"/>
    </font>
    <font>
      <sz val="9"/>
      <color rgb="FFC00000"/>
      <name val="Times New Roman"/>
      <family val="1"/>
    </font>
    <font>
      <i/>
      <sz val="8"/>
      <color rgb="FFC00000"/>
      <name val="Times New Roman"/>
      <family val="1"/>
    </font>
    <font>
      <sz val="9"/>
      <color theme="4"/>
      <name val="Times New Roman"/>
      <family val="1"/>
    </font>
    <font>
      <b/>
      <sz val="10"/>
      <color theme="4"/>
      <name val="Times New Roman"/>
      <family val="1"/>
    </font>
    <font>
      <b/>
      <sz val="10"/>
      <color theme="4"/>
      <name val="Wingdings 3"/>
      <family val="1"/>
      <charset val="2"/>
    </font>
    <font>
      <b/>
      <sz val="8"/>
      <color theme="1"/>
      <name val="Verdana"/>
      <family val="2"/>
    </font>
    <font>
      <b/>
      <sz val="10"/>
      <color rgb="FF003366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3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theme="0" tint="-4.9989318521683403E-2"/>
      </left>
      <right/>
      <top/>
      <bottom/>
      <diagonal/>
    </border>
    <border>
      <left/>
      <right style="thin">
        <color theme="0" tint="-4.9989318521683403E-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 style="double">
        <color theme="1" tint="0.499984740745262"/>
      </left>
      <right/>
      <top style="double">
        <color theme="1" tint="0.499984740745262"/>
      </top>
      <bottom/>
      <diagonal/>
    </border>
    <border>
      <left/>
      <right/>
      <top style="double">
        <color theme="1" tint="0.499984740745262"/>
      </top>
      <bottom/>
      <diagonal/>
    </border>
    <border>
      <left/>
      <right style="double">
        <color theme="1" tint="0.499984740745262"/>
      </right>
      <top style="double">
        <color theme="1" tint="0.499984740745262"/>
      </top>
      <bottom/>
      <diagonal/>
    </border>
    <border>
      <left style="double">
        <color theme="1" tint="0.499984740745262"/>
      </left>
      <right/>
      <top/>
      <bottom/>
      <diagonal/>
    </border>
    <border>
      <left/>
      <right style="double">
        <color theme="1" tint="0.499984740745262"/>
      </right>
      <top/>
      <bottom/>
      <diagonal/>
    </border>
    <border>
      <left style="double">
        <color theme="1" tint="0.499984740745262"/>
      </left>
      <right/>
      <top/>
      <bottom style="double">
        <color theme="1" tint="0.499984740745262"/>
      </bottom>
      <diagonal/>
    </border>
    <border>
      <left/>
      <right/>
      <top/>
      <bottom style="double">
        <color theme="1" tint="0.499984740745262"/>
      </bottom>
      <diagonal/>
    </border>
    <border>
      <left/>
      <right style="double">
        <color theme="1" tint="0.499984740745262"/>
      </right>
      <top/>
      <bottom style="double">
        <color theme="1" tint="0.499984740745262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0" xfId="0" applyFont="1" applyAlignment="1"/>
    <xf numFmtId="0" fontId="1" fillId="0" borderId="0" xfId="0" applyFont="1"/>
    <xf numFmtId="0" fontId="1" fillId="0" borderId="0" xfId="0" applyFont="1" applyAlignment="1">
      <alignment horizontal="left"/>
    </xf>
    <xf numFmtId="14" fontId="7" fillId="0" borderId="0" xfId="0" applyNumberFormat="1" applyFont="1"/>
    <xf numFmtId="14" fontId="1" fillId="0" borderId="0" xfId="0" quotePrefix="1" applyNumberFormat="1" applyFont="1" applyFill="1" applyAlignment="1">
      <alignment horizontal="center" vertical="center"/>
    </xf>
    <xf numFmtId="14" fontId="1" fillId="0" borderId="0" xfId="0" quotePrefix="1" applyNumberFormat="1" applyFont="1" applyFill="1" applyAlignment="1"/>
    <xf numFmtId="14" fontId="5" fillId="0" borderId="0" xfId="0" applyNumberFormat="1" applyFont="1" applyAlignment="1">
      <alignment horizontal="center"/>
    </xf>
    <xf numFmtId="14" fontId="4" fillId="0" borderId="0" xfId="0" applyNumberFormat="1" applyFont="1" applyAlignment="1">
      <alignment horizontal="center" vertical="center" wrapText="1"/>
    </xf>
    <xf numFmtId="0" fontId="1" fillId="8" borderId="3" xfId="0" applyFont="1" applyFill="1" applyBorder="1" applyAlignment="1">
      <alignment horizontal="center" vertical="center"/>
    </xf>
    <xf numFmtId="14" fontId="1" fillId="0" borderId="7" xfId="0" applyNumberFormat="1" applyFont="1" applyBorder="1" applyAlignment="1">
      <alignment horizontal="center" vertical="center"/>
    </xf>
    <xf numFmtId="14" fontId="7" fillId="0" borderId="7" xfId="0" applyNumberFormat="1" applyFont="1" applyBorder="1"/>
    <xf numFmtId="14" fontId="1" fillId="0" borderId="7" xfId="0" quotePrefix="1" applyNumberFormat="1" applyFont="1" applyFill="1" applyBorder="1" applyAlignment="1">
      <alignment horizontal="center" vertical="center"/>
    </xf>
    <xf numFmtId="14" fontId="1" fillId="0" borderId="7" xfId="0" quotePrefix="1" applyNumberFormat="1" applyFont="1" applyFill="1" applyBorder="1" applyAlignment="1"/>
    <xf numFmtId="0" fontId="1" fillId="0" borderId="7" xfId="0" applyFont="1" applyBorder="1"/>
    <xf numFmtId="14" fontId="1" fillId="0" borderId="8" xfId="0" applyNumberFormat="1" applyFont="1" applyFill="1" applyBorder="1" applyAlignment="1">
      <alignment horizontal="center" vertical="center"/>
    </xf>
    <xf numFmtId="0" fontId="1" fillId="0" borderId="8" xfId="0" applyFont="1" applyFill="1" applyBorder="1"/>
    <xf numFmtId="0" fontId="5" fillId="0" borderId="0" xfId="0" applyFont="1"/>
    <xf numFmtId="0" fontId="1" fillId="0" borderId="8" xfId="0" applyFont="1" applyBorder="1"/>
    <xf numFmtId="0" fontId="9" fillId="0" borderId="0" xfId="0" applyFont="1"/>
    <xf numFmtId="0" fontId="10" fillId="0" borderId="0" xfId="0" applyFont="1"/>
    <xf numFmtId="0" fontId="4" fillId="0" borderId="0" xfId="0" applyFont="1" applyAlignment="1">
      <alignment horizontal="center" vertical="center"/>
    </xf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0" xfId="0" applyFont="1" applyBorder="1"/>
    <xf numFmtId="0" fontId="1" fillId="0" borderId="0" xfId="0" applyFont="1" applyBorder="1" applyAlignment="1">
      <alignment horizontal="right"/>
    </xf>
    <xf numFmtId="0" fontId="1" fillId="0" borderId="13" xfId="0" applyFont="1" applyBorder="1"/>
    <xf numFmtId="0" fontId="1" fillId="0" borderId="0" xfId="0" applyFont="1" applyBorder="1" applyAlignment="1"/>
    <xf numFmtId="0" fontId="1" fillId="0" borderId="14" xfId="0" applyFont="1" applyBorder="1"/>
    <xf numFmtId="0" fontId="1" fillId="0" borderId="15" xfId="0" applyFont="1" applyBorder="1"/>
    <xf numFmtId="0" fontId="1" fillId="0" borderId="16" xfId="0" applyFont="1" applyBorder="1"/>
    <xf numFmtId="0" fontId="11" fillId="0" borderId="0" xfId="0" applyFont="1"/>
    <xf numFmtId="0" fontId="1" fillId="0" borderId="0" xfId="0" applyNumberFormat="1" applyFont="1"/>
    <xf numFmtId="0" fontId="13" fillId="0" borderId="0" xfId="0" applyFont="1"/>
    <xf numFmtId="164" fontId="5" fillId="0" borderId="0" xfId="0" applyNumberFormat="1" applyFont="1" applyBorder="1"/>
    <xf numFmtId="164" fontId="5" fillId="0" borderId="0" xfId="0" quotePrefix="1" applyNumberFormat="1" applyFont="1" applyBorder="1" applyAlignment="1">
      <alignment horizontal="left" indent="1"/>
    </xf>
    <xf numFmtId="164" fontId="5" fillId="0" borderId="0" xfId="0" applyNumberFormat="1" applyFont="1"/>
    <xf numFmtId="0" fontId="5" fillId="0" borderId="0" xfId="0" applyFont="1" applyAlignment="1">
      <alignment horizontal="center" vertical="center"/>
    </xf>
    <xf numFmtId="14" fontId="5" fillId="0" borderId="3" xfId="0" applyNumberFormat="1" applyFont="1" applyBorder="1" applyAlignment="1">
      <alignment horizontal="center" vertical="center"/>
    </xf>
    <xf numFmtId="0" fontId="15" fillId="0" borderId="0" xfId="0" applyFont="1"/>
    <xf numFmtId="14" fontId="16" fillId="10" borderId="3" xfId="0" applyNumberFormat="1" applyFont="1" applyFill="1" applyBorder="1" applyAlignment="1">
      <alignment horizontal="center" vertical="center"/>
    </xf>
    <xf numFmtId="14" fontId="8" fillId="14" borderId="3" xfId="0" applyNumberFormat="1" applyFont="1" applyFill="1" applyBorder="1" applyAlignment="1">
      <alignment horizontal="center" vertical="center"/>
    </xf>
    <xf numFmtId="0" fontId="17" fillId="0" borderId="0" xfId="0" applyFont="1"/>
    <xf numFmtId="0" fontId="18" fillId="0" borderId="0" xfId="0" applyFont="1" applyAlignment="1">
      <alignment horizontal="left" indent="3"/>
    </xf>
    <xf numFmtId="0" fontId="5" fillId="11" borderId="3" xfId="0" quotePrefix="1" applyFont="1" applyFill="1" applyBorder="1" applyAlignment="1">
      <alignment vertical="center"/>
    </xf>
    <xf numFmtId="0" fontId="13" fillId="13" borderId="3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/>
    </xf>
    <xf numFmtId="0" fontId="12" fillId="8" borderId="4" xfId="0" applyFont="1" applyFill="1" applyBorder="1" applyAlignment="1">
      <alignment vertical="center"/>
    </xf>
    <xf numFmtId="0" fontId="14" fillId="8" borderId="6" xfId="0" applyFont="1" applyFill="1" applyBorder="1" applyAlignment="1">
      <alignment vertical="center"/>
    </xf>
    <xf numFmtId="0" fontId="14" fillId="8" borderId="5" xfId="0" applyFont="1" applyFill="1" applyBorder="1" applyAlignment="1">
      <alignment vertical="center"/>
    </xf>
    <xf numFmtId="0" fontId="12" fillId="12" borderId="4" xfId="0" applyFont="1" applyFill="1" applyBorder="1" applyAlignment="1">
      <alignment vertical="center"/>
    </xf>
    <xf numFmtId="0" fontId="14" fillId="12" borderId="5" xfId="0" applyFont="1" applyFill="1" applyBorder="1" applyAlignment="1">
      <alignment vertical="center"/>
    </xf>
    <xf numFmtId="0" fontId="14" fillId="12" borderId="6" xfId="0" applyFont="1" applyFill="1" applyBorder="1" applyAlignment="1">
      <alignment vertical="center"/>
    </xf>
    <xf numFmtId="14" fontId="1" fillId="0" borderId="0" xfId="0" quotePrefix="1" applyNumberFormat="1" applyFont="1" applyAlignment="1">
      <alignment horizontal="center" vertical="center"/>
    </xf>
    <xf numFmtId="14" fontId="4" fillId="0" borderId="0" xfId="0" quotePrefix="1" applyNumberFormat="1" applyFont="1" applyBorder="1" applyAlignment="1">
      <alignment horizontal="left" indent="1"/>
    </xf>
    <xf numFmtId="0" fontId="4" fillId="0" borderId="0" xfId="0" applyNumberFormat="1" applyFont="1" applyBorder="1" applyAlignment="1">
      <alignment horizontal="left"/>
    </xf>
    <xf numFmtId="14" fontId="4" fillId="0" borderId="0" xfId="0" quotePrefix="1" applyNumberFormat="1" applyFont="1" applyBorder="1" applyAlignment="1">
      <alignment horizontal="left"/>
    </xf>
    <xf numFmtId="0" fontId="4" fillId="15" borderId="0" xfId="0" applyFont="1" applyFill="1" applyAlignment="1">
      <alignment horizontal="center" vertical="center"/>
    </xf>
    <xf numFmtId="0" fontId="19" fillId="15" borderId="0" xfId="0" applyFont="1" applyFill="1"/>
    <xf numFmtId="0" fontId="1" fillId="0" borderId="1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20" fontId="1" fillId="0" borderId="0" xfId="0" applyNumberFormat="1" applyFont="1" applyAlignment="1">
      <alignment horizontal="center" vertical="center"/>
    </xf>
    <xf numFmtId="46" fontId="1" fillId="0" borderId="0" xfId="0" applyNumberFormat="1" applyFont="1" applyAlignment="1">
      <alignment horizontal="center" vertical="center"/>
    </xf>
    <xf numFmtId="165" fontId="15" fillId="0" borderId="0" xfId="0" applyNumberFormat="1" applyFont="1" applyAlignment="1">
      <alignment horizontal="center"/>
    </xf>
    <xf numFmtId="0" fontId="3" fillId="6" borderId="0" xfId="0" applyFont="1" applyFill="1" applyAlignment="1">
      <alignment horizontal="center" vertical="center"/>
    </xf>
    <xf numFmtId="0" fontId="3" fillId="9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7" borderId="0" xfId="0" applyFont="1" applyFill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7" borderId="0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6" fillId="2" borderId="3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13" fillId="12" borderId="3" xfId="0" applyFont="1" applyFill="1" applyBorder="1" applyAlignment="1">
      <alignment horizontal="center" vertical="center" wrapText="1"/>
    </xf>
    <xf numFmtId="0" fontId="13" fillId="8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155">
    <dxf>
      <font>
        <b val="0"/>
        <i val="0"/>
        <color theme="2"/>
      </font>
      <fill>
        <patternFill>
          <bgColor rgb="FFC00000"/>
        </patternFill>
      </fill>
    </dxf>
    <dxf>
      <font>
        <color theme="2"/>
      </font>
      <fill>
        <patternFill>
          <bgColor theme="4"/>
        </patternFill>
      </fill>
    </dxf>
    <dxf>
      <font>
        <color theme="2"/>
      </font>
      <fill>
        <patternFill>
          <bgColor rgb="FFC00000"/>
        </patternFill>
      </fill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font>
        <color theme="2"/>
      </font>
      <fill>
        <patternFill>
          <bgColor theme="4"/>
        </patternFill>
      </fill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font>
        <color theme="2"/>
      </font>
      <fill>
        <patternFill>
          <bgColor rgb="FF00B050"/>
        </patternFill>
      </fill>
    </dxf>
    <dxf>
      <font>
        <color theme="2"/>
      </font>
      <fill>
        <patternFill>
          <bgColor theme="4"/>
        </patternFill>
      </fill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font>
        <color theme="2"/>
      </font>
      <fill>
        <patternFill>
          <bgColor rgb="FFC00000"/>
        </patternFill>
      </fill>
    </dxf>
    <dxf>
      <font>
        <color theme="2"/>
      </font>
      <fill>
        <patternFill>
          <bgColor rgb="FF00B050"/>
        </patternFill>
      </fill>
    </dxf>
    <dxf>
      <font>
        <color theme="2"/>
      </font>
      <fill>
        <patternFill>
          <bgColor rgb="FF00B050"/>
        </patternFill>
      </fill>
    </dxf>
    <dxf>
      <font>
        <color theme="2"/>
      </font>
      <fill>
        <patternFill>
          <bgColor theme="4"/>
        </patternFill>
      </fill>
    </dxf>
    <dxf>
      <font>
        <color theme="2"/>
      </font>
      <fill>
        <patternFill>
          <bgColor rgb="FFC00000"/>
        </patternFill>
      </fill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font>
        <color theme="2"/>
      </font>
      <fill>
        <patternFill>
          <bgColor rgb="FF00B050"/>
        </patternFill>
      </fill>
    </dxf>
    <dxf>
      <font>
        <color theme="2"/>
      </font>
      <fill>
        <patternFill>
          <bgColor theme="4"/>
        </patternFill>
      </fill>
    </dxf>
    <dxf>
      <font>
        <color theme="2"/>
      </font>
      <fill>
        <patternFill>
          <bgColor rgb="FFC00000"/>
        </patternFill>
      </fill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font>
        <color theme="2"/>
      </font>
      <fill>
        <patternFill>
          <bgColor rgb="FF00B050"/>
        </patternFill>
      </fill>
    </dxf>
    <dxf>
      <font>
        <color theme="2"/>
      </font>
      <fill>
        <patternFill>
          <bgColor theme="4"/>
        </patternFill>
      </fill>
    </dxf>
    <dxf>
      <border>
        <right style="thin">
          <color auto="1"/>
        </right>
        <vertical/>
        <horizontal/>
      </border>
    </dxf>
    <dxf>
      <font>
        <b val="0"/>
        <i val="0"/>
        <color theme="2"/>
      </font>
      <fill>
        <patternFill>
          <bgColor rgb="FFC00000"/>
        </patternFill>
      </fill>
    </dxf>
    <dxf>
      <border>
        <right style="thin">
          <color auto="1"/>
        </right>
        <vertical/>
        <horizontal/>
      </border>
    </dxf>
    <dxf>
      <font>
        <color theme="2"/>
      </font>
      <fill>
        <patternFill>
          <bgColor rgb="FF00B050"/>
        </patternFill>
      </fill>
    </dxf>
    <dxf>
      <font>
        <color theme="2"/>
      </font>
      <fill>
        <patternFill>
          <bgColor theme="4"/>
        </patternFill>
      </fill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font>
        <color theme="2"/>
      </font>
      <fill>
        <patternFill>
          <bgColor rgb="FFC00000"/>
        </patternFill>
      </fill>
    </dxf>
    <dxf>
      <font>
        <color theme="2"/>
      </font>
      <fill>
        <patternFill>
          <bgColor rgb="FF00B050"/>
        </patternFill>
      </fill>
    </dxf>
    <dxf>
      <font>
        <color theme="2"/>
      </font>
      <fill>
        <patternFill>
          <bgColor theme="4"/>
        </patternFill>
      </fill>
    </dxf>
    <dxf>
      <font>
        <color theme="2"/>
      </font>
      <fill>
        <patternFill>
          <bgColor rgb="FFC00000"/>
        </patternFill>
      </fill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font>
        <color theme="2"/>
      </font>
      <fill>
        <patternFill>
          <bgColor rgb="FF00B050"/>
        </patternFill>
      </fill>
    </dxf>
    <dxf>
      <font>
        <color theme="2"/>
      </font>
      <fill>
        <patternFill>
          <bgColor theme="4"/>
        </patternFill>
      </fill>
    </dxf>
    <dxf>
      <border>
        <right style="thin">
          <color auto="1"/>
        </right>
        <vertical/>
        <horizontal/>
      </border>
    </dxf>
    <dxf>
      <font>
        <b val="0"/>
        <i val="0"/>
        <color theme="2"/>
      </font>
      <fill>
        <patternFill>
          <bgColor rgb="FFC00000"/>
        </patternFill>
      </fill>
    </dxf>
    <dxf>
      <border>
        <right style="thin">
          <color auto="1"/>
        </right>
        <vertical/>
        <horizontal/>
      </border>
    </dxf>
    <dxf>
      <font>
        <color theme="2"/>
      </font>
      <fill>
        <patternFill>
          <bgColor rgb="FF00B050"/>
        </patternFill>
      </fill>
    </dxf>
    <dxf>
      <font>
        <color theme="2"/>
      </font>
      <fill>
        <patternFill>
          <bgColor theme="4"/>
        </patternFill>
      </fill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font>
        <color theme="2"/>
      </font>
      <fill>
        <patternFill>
          <bgColor rgb="FFC00000"/>
        </patternFill>
      </fill>
    </dxf>
    <dxf>
      <font>
        <color theme="2"/>
      </font>
      <fill>
        <patternFill>
          <bgColor rgb="FF00B050"/>
        </patternFill>
      </fill>
    </dxf>
    <dxf>
      <font>
        <color theme="2"/>
      </font>
      <fill>
        <patternFill>
          <bgColor theme="4"/>
        </patternFill>
      </fill>
    </dxf>
    <dxf>
      <font>
        <color theme="2"/>
      </font>
      <fill>
        <patternFill>
          <bgColor rgb="FFC00000"/>
        </patternFill>
      </fill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font>
        <color theme="2"/>
      </font>
      <fill>
        <patternFill>
          <bgColor rgb="FF00B050"/>
        </patternFill>
      </fill>
    </dxf>
    <dxf>
      <font>
        <color theme="2"/>
      </font>
      <fill>
        <patternFill>
          <bgColor theme="4"/>
        </patternFill>
      </fill>
    </dxf>
    <dxf>
      <border>
        <right style="thin">
          <color auto="1"/>
        </right>
        <vertical/>
        <horizontal/>
      </border>
    </dxf>
    <dxf>
      <font>
        <b val="0"/>
        <i val="0"/>
        <color theme="2"/>
      </font>
      <fill>
        <patternFill>
          <bgColor rgb="FFC00000"/>
        </patternFill>
      </fill>
    </dxf>
    <dxf>
      <border>
        <right style="thin">
          <color auto="1"/>
        </right>
        <vertical/>
        <horizontal/>
      </border>
    </dxf>
    <dxf>
      <font>
        <color theme="2"/>
      </font>
      <fill>
        <patternFill>
          <bgColor rgb="FF00B050"/>
        </patternFill>
      </fill>
    </dxf>
    <dxf>
      <font>
        <color theme="2"/>
      </font>
      <fill>
        <patternFill>
          <bgColor theme="4"/>
        </patternFill>
      </fill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font>
        <color theme="2"/>
      </font>
      <fill>
        <patternFill>
          <bgColor rgb="FFC00000"/>
        </patternFill>
      </fill>
    </dxf>
    <dxf>
      <font>
        <color theme="2"/>
      </font>
      <fill>
        <patternFill>
          <bgColor rgb="FF00B050"/>
        </patternFill>
      </fill>
    </dxf>
    <dxf>
      <font>
        <color theme="2"/>
      </font>
      <fill>
        <patternFill>
          <bgColor theme="4"/>
        </patternFill>
      </fill>
    </dxf>
    <dxf>
      <font>
        <color theme="2"/>
      </font>
      <fill>
        <patternFill>
          <bgColor rgb="FFC00000"/>
        </patternFill>
      </fill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font>
        <color theme="2"/>
      </font>
      <fill>
        <patternFill>
          <bgColor rgb="FF00B050"/>
        </patternFill>
      </fill>
    </dxf>
    <dxf>
      <font>
        <color theme="2"/>
      </font>
      <fill>
        <patternFill>
          <bgColor theme="4"/>
        </patternFill>
      </fill>
    </dxf>
    <dxf>
      <border>
        <right style="thin">
          <color auto="1"/>
        </right>
        <vertical/>
        <horizontal/>
      </border>
    </dxf>
    <dxf>
      <font>
        <b val="0"/>
        <i val="0"/>
        <color theme="2"/>
      </font>
      <fill>
        <patternFill>
          <bgColor rgb="FFC00000"/>
        </patternFill>
      </fill>
    </dxf>
    <dxf>
      <border>
        <right style="thin">
          <color auto="1"/>
        </right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fill>
        <patternFill patternType="solid">
          <fgColor indexed="64"/>
          <bgColor theme="3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fill>
        <patternFill patternType="solid">
          <fgColor indexed="64"/>
          <bgColor theme="3" tint="0.59999389629810485"/>
        </patternFill>
      </fill>
      <alignment horizontal="center" vertical="center" textRotation="0" wrapText="0" indent="0" justifyLastLine="0" shrinkToFit="0" readingOrder="0"/>
    </dxf>
    <dxf>
      <font>
        <b/>
        <color theme="1"/>
      </font>
      <border>
        <bottom style="thin">
          <color theme="4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</dxfs>
  <tableStyles count="1" defaultTableStyle="TableStyleMedium2" defaultPivotStyle="PivotStyleLight16">
    <tableStyle name="SlicerStyleLight1 2" pivot="0" table="0" count="10">
      <tableStyleElement type="wholeTable" dxfId="154"/>
      <tableStyleElement type="headerRow" dxfId="153"/>
    </tableStyle>
  </tableStyles>
  <colors>
    <mruColors>
      <color rgb="FFCCFFCC"/>
    </mruColors>
  </colors>
  <extLst>
    <ext xmlns:x14="http://schemas.microsoft.com/office/spreadsheetml/2009/9/main" uri="{46F421CA-312F-682f-3DD2-61675219B42D}">
      <x14:dxfs count="8"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theme="4" tint="0.79998168889431442"/>
              <bgColor theme="4" tint="0.79998168889431442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theme="4" tint="0.59999389629810485"/>
              <bgColor theme="4" tint="0.59999389629810485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E0E0E0"/>
            </left>
            <right style="thin">
              <color rgb="FFE0E0E0"/>
            </right>
            <top style="thin">
              <color rgb="FFE0E0E0"/>
            </top>
            <bottom style="thin">
              <color rgb="FFE0E0E0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SlicerStyleLight1">
        <x14:slicerStyle name="SlicerStyleLight1 2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7/relationships/slicerCache" Target="slicerCaches/slicerCache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7/relationships/slicerCache" Target="slicerCaches/slicerCache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7/relationships/slicerCache" Target="slicerCaches/slicerCache4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25</xdr:colOff>
      <xdr:row>1</xdr:row>
      <xdr:rowOff>8</xdr:rowOff>
    </xdr:from>
    <xdr:to>
      <xdr:col>3</xdr:col>
      <xdr:colOff>631818</xdr:colOff>
      <xdr:row>5</xdr:row>
      <xdr:rowOff>122214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1500" y="171458"/>
          <a:ext cx="631793" cy="788956"/>
        </a:xfrm>
        <a:prstGeom prst="rect">
          <a:avLst/>
        </a:prstGeom>
      </xdr:spPr>
    </xdr:pic>
    <xdr:clientData/>
  </xdr:twoCellAnchor>
  <xdr:twoCellAnchor editAs="absolute">
    <xdr:from>
      <xdr:col>13</xdr:col>
      <xdr:colOff>752475</xdr:colOff>
      <xdr:row>0</xdr:row>
      <xdr:rowOff>1</xdr:rowOff>
    </xdr:from>
    <xdr:to>
      <xdr:col>16</xdr:col>
      <xdr:colOff>295275</xdr:colOff>
      <xdr:row>5</xdr:row>
      <xdr:rowOff>61801</xdr:rowOff>
    </xdr:to>
    <mc:AlternateContent xmlns:mc="http://schemas.openxmlformats.org/markup-compatibility/2006">
      <mc:Choice xmlns:sle15="http://schemas.microsoft.com/office/drawing/2012/slicer" xmlns="" Requires="sle15">
        <xdr:graphicFrame macro="">
          <xdr:nvGraphicFramePr>
            <xdr:cNvPr id="6" name="an">
              <a:extLst>
                <a:ext uri="{FF2B5EF4-FFF2-40B4-BE49-F238E27FC236}">
                  <a16:creationId xmlns:a16="http://schemas.microsoft.com/office/drawing/2014/main" id="{00000000-0008-0000-0300-000006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"/>
            </a:graphicData>
          </a:graphic>
        </xdr:graphicFrame>
      </mc:Choice>
      <mc:Fallback>
        <xdr:sp macro="" textlink="">
          <xdr:nvSpPr>
            <xdr:cNvPr id="2" name="Rectangle 1"/>
            <xdr:cNvSpPr>
              <a:spLocks noTextEdit="1"/>
            </xdr:cNvSpPr>
          </xdr:nvSpPr>
          <xdr:spPr>
            <a:xfrm>
              <a:off x="10534650" y="1"/>
              <a:ext cx="1828800" cy="90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 fPrintsWithSheet="0"/>
  </xdr:twoCellAnchor>
  <xdr:twoCellAnchor editAs="absolute">
    <xdr:from>
      <xdr:col>11</xdr:col>
      <xdr:colOff>19050</xdr:colOff>
      <xdr:row>0</xdr:row>
      <xdr:rowOff>0</xdr:rowOff>
    </xdr:from>
    <xdr:to>
      <xdr:col>13</xdr:col>
      <xdr:colOff>475050</xdr:colOff>
      <xdr:row>5</xdr:row>
      <xdr:rowOff>61800</xdr:rowOff>
    </xdr:to>
    <mc:AlternateContent xmlns:mc="http://schemas.openxmlformats.org/markup-compatibility/2006">
      <mc:Choice xmlns:sle15="http://schemas.microsoft.com/office/drawing/2012/slicer" xmlns="" Requires="sle15">
        <xdr:graphicFrame macro="">
          <xdr:nvGraphicFramePr>
            <xdr:cNvPr id="7" name="mois">
              <a:extLst>
                <a:ext uri="{FF2B5EF4-FFF2-40B4-BE49-F238E27FC236}">
                  <a16:creationId xmlns:a16="http://schemas.microsoft.com/office/drawing/2014/main" id="{00000000-0008-0000-0300-000007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>
        <xdr:sp macro="" textlink="">
          <xdr:nvSpPr>
            <xdr:cNvPr id="4" name="Rectangle 3"/>
            <xdr:cNvSpPr>
              <a:spLocks noTextEdit="1"/>
            </xdr:cNvSpPr>
          </xdr:nvSpPr>
          <xdr:spPr>
            <a:xfrm>
              <a:off x="8277225" y="0"/>
              <a:ext cx="1980000" cy="90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 fPrintsWithSheet="0"/>
  </xdr:twoCellAnchor>
  <xdr:twoCellAnchor editAs="absolute">
    <xdr:from>
      <xdr:col>11</xdr:col>
      <xdr:colOff>66675</xdr:colOff>
      <xdr:row>5</xdr:row>
      <xdr:rowOff>133350</xdr:rowOff>
    </xdr:from>
    <xdr:to>
      <xdr:col>13</xdr:col>
      <xdr:colOff>371475</xdr:colOff>
      <xdr:row>13</xdr:row>
      <xdr:rowOff>0</xdr:rowOff>
    </xdr:to>
    <mc:AlternateContent xmlns:mc="http://schemas.openxmlformats.org/markup-compatibility/2006">
      <mc:Choice xmlns:sle15="http://schemas.microsoft.com/office/drawing/2012/slicer" xmlns="" Requires="sle15">
        <xdr:graphicFrame macro="">
          <xdr:nvGraphicFramePr>
            <xdr:cNvPr id="8" name="Qui 1">
              <a:extLst>
                <a:ext uri="{FF2B5EF4-FFF2-40B4-BE49-F238E27FC236}">
                  <a16:creationId xmlns:a16="http://schemas.microsoft.com/office/drawing/2014/main" id="{00000000-0008-0000-0300-000008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Qui 1"/>
            </a:graphicData>
          </a:graphic>
        </xdr:graphicFrame>
      </mc:Choice>
      <mc:Fallback>
        <xdr:sp macro="" textlink="">
          <xdr:nvSpPr>
            <xdr:cNvPr id="5" name="Rectangle 4"/>
            <xdr:cNvSpPr>
              <a:spLocks noTextEdit="1"/>
            </xdr:cNvSpPr>
          </xdr:nvSpPr>
          <xdr:spPr>
            <a:xfrm>
              <a:off x="8324850" y="971550"/>
              <a:ext cx="1828800" cy="11811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 fPrintsWithSheet="0"/>
  </xdr:twoCellAnchor>
  <xdr:twoCellAnchor editAs="absolute">
    <xdr:from>
      <xdr:col>14</xdr:col>
      <xdr:colOff>9525</xdr:colOff>
      <xdr:row>5</xdr:row>
      <xdr:rowOff>133350</xdr:rowOff>
    </xdr:from>
    <xdr:to>
      <xdr:col>16</xdr:col>
      <xdr:colOff>314325</xdr:colOff>
      <xdr:row>13</xdr:row>
      <xdr:rowOff>0</xdr:rowOff>
    </xdr:to>
    <mc:AlternateContent xmlns:mc="http://schemas.openxmlformats.org/markup-compatibility/2006">
      <mc:Choice xmlns:sle15="http://schemas.microsoft.com/office/drawing/2012/slicer" xmlns="" Requires="sle15">
        <xdr:graphicFrame macro="">
          <xdr:nvGraphicFramePr>
            <xdr:cNvPr id="9" name="Quoi 1">
              <a:extLst>
                <a:ext uri="{FF2B5EF4-FFF2-40B4-BE49-F238E27FC236}">
                  <a16:creationId xmlns:a16="http://schemas.microsoft.com/office/drawing/2014/main" id="{00000000-0008-0000-0300-000009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Quoi 1"/>
            </a:graphicData>
          </a:graphic>
        </xdr:graphicFrame>
      </mc:Choice>
      <mc:Fallback>
        <xdr:sp macro="" textlink="">
          <xdr:nvSpPr>
            <xdr:cNvPr id="6" name="Rectangle 5"/>
            <xdr:cNvSpPr>
              <a:spLocks noTextEdit="1"/>
            </xdr:cNvSpPr>
          </xdr:nvSpPr>
          <xdr:spPr>
            <a:xfrm>
              <a:off x="10553700" y="971550"/>
              <a:ext cx="1828800" cy="11811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1123950</xdr:colOff>
          <xdr:row>9</xdr:row>
          <xdr:rowOff>38100</xdr:rowOff>
        </xdr:from>
        <xdr:to>
          <xdr:col>8</xdr:col>
          <xdr:colOff>133350</xdr:colOff>
          <xdr:row>10</xdr:row>
          <xdr:rowOff>123825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3366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" xr10:uid="{57DAB063-058B-46F6-A2CF-7465AEE476F7}" sourceName="an">
  <extLst>
    <x:ext xmlns:x15="http://schemas.microsoft.com/office/spreadsheetml/2010/11/main" uri="{2F2917AC-EB37-4324-AD4E-5DD8C200BD13}">
      <x15:tableSlicerCache tableId="4" column="1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08073443-556F-4121-91EC-C0D941C07A0A}" sourceName="mois">
  <extLst>
    <x:ext xmlns:x15="http://schemas.microsoft.com/office/spreadsheetml/2010/11/main" uri="{2F2917AC-EB37-4324-AD4E-5DD8C200BD13}">
      <x15:tableSlicerCache tableId="4" column="2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Qui1" xr10:uid="{D2661DB9-BFDF-44A7-BC61-A51270EA4B61}" sourceName="Qui">
  <extLst>
    <x:ext xmlns:x15="http://schemas.microsoft.com/office/spreadsheetml/2010/11/main" uri="{2F2917AC-EB37-4324-AD4E-5DD8C200BD13}">
      <x15:tableSlicerCache tableId="4" column="4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Quoi1" xr10:uid="{91273F1A-6935-4B60-9A55-C6537D3CE477}" sourceName="Quoi">
  <extLst>
    <x:ext xmlns:x15="http://schemas.microsoft.com/office/spreadsheetml/2010/11/main" uri="{2F2917AC-EB37-4324-AD4E-5DD8C200BD13}">
      <x15:tableSlicerCache tableId="4" column="5"/>
    </x:ex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" xr10:uid="{B6275015-A5A5-4BB7-BB0A-5A50A2D5801F}" cache="Segment_an" caption="an" columnCount="3" style="SlicerStyleLight1 2" rowHeight="241300"/>
  <slicer name="mois" xr10:uid="{B1507973-8B5C-4C42-9512-43D1486C0BAE}" cache="Segment_mois" caption="mois" columnCount="2" style="SlicerStyleLight1 2" rowHeight="241300"/>
  <slicer name="Qui 1" xr10:uid="{6A0FEB12-878A-4C8B-BBA5-ED37BDFA39B0}" cache="Segment_Qui1" caption="Qui" style="SlicerStyleLight1 2" rowHeight="241300"/>
  <slicer name="Quoi 1" xr10:uid="{95DABCCA-80DA-49E1-A634-643B4097EA3F}" cache="Segment_Quoi1" caption="Quoi" style="SlicerStyleLight1 2" rowHeight="241300"/>
</slicers>
</file>

<file path=xl/tables/table1.xml><?xml version="1.0" encoding="utf-8"?>
<table xmlns="http://schemas.openxmlformats.org/spreadsheetml/2006/main" id="1" name="Tableau1" displayName="Tableau1" ref="D1:D15" totalsRowShown="0" headerRowDxfId="152" dataDxfId="151">
  <autoFilter ref="D1:D15">
    <filterColumn colId="0" hiddenButton="1"/>
  </autoFilter>
  <tableColumns count="1">
    <tableColumn id="1" name="Formateur et Evaluateur" dataDxfId="150">
      <calculatedColumnFormula array="1">IFERROR(INDEX(Tableau6[Nom affiche],SMALL(IF((Tableau6[Nom affiche]&lt;&gt;"")*(Tableau6[Status]="Actif"),ROW(Tableau6[Nom affiche])-MIN(ROW(Employé!$B$4))+1,""),ROWS(D$2:D2))),"")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B36" totalsRowShown="0" headerRowDxfId="149" dataDxfId="148">
  <autoFilter ref="A1:B36"/>
  <tableColumns count="2">
    <tableColumn id="1" name="THEMES" dataDxfId="147"/>
    <tableColumn id="2" name="Sous-Themes" dataDxfId="146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id="5" name="Tableau5" displayName="Tableau5" ref="B1:C29" totalsRowShown="0">
  <autoFilter ref="B1:C29"/>
  <tableColumns count="2">
    <tableColumn id="1" name="Quoi"/>
    <tableColumn id="2" name="Descriptif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6" name="Tableau6" displayName="Tableau6" ref="B3:BH17" totalsRowShown="0" headerRowDxfId="145" dataDxfId="144">
  <autoFilter ref="B3:BH17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  <filterColumn colId="38" hiddenButton="1"/>
    <filterColumn colId="39" hiddenButton="1"/>
    <filterColumn colId="40" hiddenButton="1"/>
    <filterColumn colId="41" hiddenButton="1"/>
    <filterColumn colId="42" hiddenButton="1"/>
    <filterColumn colId="43" hiddenButton="1"/>
    <filterColumn colId="44" hiddenButton="1"/>
    <filterColumn colId="45" hiddenButton="1"/>
    <filterColumn colId="46" hiddenButton="1"/>
    <filterColumn colId="47" hiddenButton="1"/>
    <filterColumn colId="48" hiddenButton="1"/>
    <filterColumn colId="49" hiddenButton="1"/>
    <filterColumn colId="50" hiddenButton="1"/>
    <filterColumn colId="51" hiddenButton="1"/>
    <filterColumn colId="52" hiddenButton="1"/>
    <filterColumn colId="53" hiddenButton="1"/>
    <filterColumn colId="54" hiddenButton="1"/>
    <filterColumn colId="55" hiddenButton="1"/>
    <filterColumn colId="56" hiddenButton="1"/>
    <filterColumn colId="57" hiddenButton="1"/>
    <filterColumn colId="58" hiddenButton="1"/>
  </autoFilter>
  <tableColumns count="59">
    <tableColumn id="1" name="Nom affiche" dataDxfId="143">
      <calculatedColumnFormula>D4&amp;" "&amp;E4</calculatedColumnFormula>
    </tableColumn>
    <tableColumn id="59" name="Nom abrégé" dataDxfId="142">
      <calculatedColumnFormula>D4&amp;" "&amp;MID(E4,1,2)</calculatedColumnFormula>
    </tableColumn>
    <tableColumn id="2" name="Nom" dataDxfId="141"/>
    <tableColumn id="3" name="Prénom" dataDxfId="140"/>
    <tableColumn id="4" name="Date de naissance" dataDxfId="139"/>
    <tableColumn id="5" name="âge" dataDxfId="138">
      <calculatedColumnFormula>IF(F4="","",DATEDIF(F4,TODAY(),"y"))</calculatedColumnFormula>
    </tableColumn>
    <tableColumn id="6" name="date entrée" dataDxfId="137"/>
    <tableColumn id="7" name="Status" dataDxfId="136"/>
    <tableColumn id="8" name="dernière visite trv" dataDxfId="135">
      <calculatedColumnFormula array="1">MAX(IF((Tableau4[Qui]=Tableau6[[#This Row],[Nom affiche]])*(Tableau4[Quoi]="Travail"),Tableau4[Date],""))</calculatedColumnFormula>
    </tableColumn>
    <tableColumn id="9" name="période trv" dataDxfId="134"/>
    <tableColumn id="10" name="prochaine visite trv" dataDxfId="133">
      <calculatedColumnFormula array="1">IF(G4&lt;18,H4,IF(J4="",EDATE(H4,3),DATE(YEAR(J4)+K4,MONTH(J4),DAY(J4))))</calculatedColumnFormula>
    </tableColumn>
    <tableColumn id="11" name="dernière visite méd" dataDxfId="132">
      <calculatedColumnFormula array="1">MAX(IF((Tableau4[Qui]=Tableau6[[#This Row],[Nom affiche]])*(Tableau4[Quoi]="Médicale"),Tableau4[Date],""))</calculatedColumnFormula>
    </tableColumn>
    <tableColumn id="12" name="période méd" dataDxfId="131"/>
    <tableColumn id="13" name="prochaine visite méd" dataDxfId="130">
      <calculatedColumnFormula>DATE(YEAR(M4)+N4,MONTH(M4),DAY(M4))</calculatedColumnFormula>
    </tableColumn>
    <tableColumn id="14" name="dernière visite per" dataDxfId="129">
      <calculatedColumnFormula array="1">MAX(IF((Tableau4[Qui]=Tableau6[[#This Row],[Nom affiche]])*(Tableau4[Quoi]="Permis PL"),Tableau4[Date],""))</calculatedColumnFormula>
    </tableColumn>
    <tableColumn id="15" name="période per" dataDxfId="128"/>
    <tableColumn id="16" name="prochaine visite per" dataDxfId="127">
      <calculatedColumnFormula>DATE(YEAR(P4)+Q4,MONTH(P4),DAY(P4))</calculatedColumnFormula>
    </tableColumn>
    <tableColumn id="17" name="dernière visite mvt" dataDxfId="126">
      <calculatedColumnFormula array="1">MAX(IF((Tableau4[Qui]=Tableau6[[#This Row],[Nom affiche]])*(Tableau4[Quoi]="Aire de mouvement"),Tableau4[Date],""))</calculatedColumnFormula>
    </tableColumn>
    <tableColumn id="18" name="période mvt" dataDxfId="125"/>
    <tableColumn id="19" name="prochaine visite mvt" dataDxfId="124">
      <calculatedColumnFormula>DATE(YEAR(S4),MONTH(S4),DAY(S4)+T4)</calculatedColumnFormula>
    </tableColumn>
    <tableColumn id="20" name="dernière visite za" dataDxfId="123">
      <calculatedColumnFormula array="1">MAX(IF((Tableau4[Qui]=Tableau6[[#This Row],[Nom affiche]])*(Tableau4[Quoi]="Zone Aérodrome"),Tableau4[Date],""))</calculatedColumnFormula>
    </tableColumn>
    <tableColumn id="21" name="période za" dataDxfId="122"/>
    <tableColumn id="22" name="prochaine visite za" dataDxfId="121">
      <calculatedColumnFormula>DATE(YEAR(V4),MONTH(V4)+W4,DAY(V4))</calculatedColumnFormula>
    </tableColumn>
    <tableColumn id="23" name="dernière visite zva" dataDxfId="120">
      <calculatedColumnFormula array="1">MAX(IF((Tableau4[Qui]=Tableau6[[#This Row],[Nom affiche]])*(Tableau4[Quoi]="Zone Voisine Aérodrome"),Tableau4[Date],""))</calculatedColumnFormula>
    </tableColumn>
    <tableColumn id="24" name="période zva" dataDxfId="119"/>
    <tableColumn id="25" name="prochaine visite zva" dataDxfId="118">
      <calculatedColumnFormula>DATE(YEAR(Y4),MONTH(Y4)+Z4,DAY(Y4))</calculatedColumnFormula>
    </tableColumn>
    <tableColumn id="26" name="dernière visite epi" dataDxfId="117">
      <calculatedColumnFormula array="1">MAX(IF((Tableau4[Qui]=Tableau6[[#This Row],[Nom affiche]])*(Tableau4[Quoi]="EPI"),Tableau4[Date],""))</calculatedColumnFormula>
    </tableColumn>
    <tableColumn id="27" name="période epi" dataDxfId="116"/>
    <tableColumn id="28" name="prochaine visite epi" dataDxfId="115">
      <calculatedColumnFormula>DATE(YEAR(AB4),MONTH(AB4)+AC4,DAY(AB4))</calculatedColumnFormula>
    </tableColumn>
    <tableColumn id="29" name="dernière visite pou" dataDxfId="114">
      <calculatedColumnFormula array="1">MAX(IF((Tableau4[Qui]=Tableau6[[#This Row],[Nom affiche]])*(Tableau4[Quoi]="Poudre et eau pulvé"),Tableau4[Date],""))</calculatedColumnFormula>
    </tableColumn>
    <tableColumn id="30" name="période pou" dataDxfId="113"/>
    <tableColumn id="31" name="prochaine visite pou" dataDxfId="112">
      <calculatedColumnFormula>DATE(YEAR(AE4)+AF4,MONTH(AE4),DAY(AE4))</calculatedColumnFormula>
    </tableColumn>
    <tableColumn id="32" name="dernière visite mét" dataDxfId="111">
      <calculatedColumnFormula array="1">MAX(IF((Tableau4[Qui]=Tableau6[[#This Row],[Nom affiche]])*(Tableau4[Quoi]="Poudre métaux"),Tableau4[Date],""))</calculatedColumnFormula>
    </tableColumn>
    <tableColumn id="33" name="période mét" dataDxfId="110"/>
    <tableColumn id="34" name="prochaine visite mét" dataDxfId="109">
      <calculatedColumnFormula>DATE(YEAR(AH4)+AI4,MONTH(AH4),DAY(AH4))</calculatedColumnFormula>
    </tableColumn>
    <tableColumn id="35" name="dernière visite co²" dataDxfId="108">
      <calculatedColumnFormula array="1">MAX(IF((Tableau4[Qui]=Tableau6[[#This Row],[Nom affiche]])*(Tableau4[Quoi]="CO²"),Tableau4[Date],""))</calculatedColumnFormula>
    </tableColumn>
    <tableColumn id="36" name="période co²" dataDxfId="107"/>
    <tableColumn id="37" name="prochaine visite co²" dataDxfId="106">
      <calculatedColumnFormula>DATE(YEAR(AK4)+AL4,MONTH(AK4),DAY(AK4))</calculatedColumnFormula>
    </tableColumn>
    <tableColumn id="38" name="dernière visite rpa" dataDxfId="105">
      <calculatedColumnFormula array="1">MAX(IF((Tableau4[Qui]=Tableau6[[#This Row],[Nom affiche]])*(Tableau4[Quoi]="Rec SSLIA"),Tableau4[Date],""))</calculatedColumnFormula>
    </tableColumn>
    <tableColumn id="39" name="période rpa" dataDxfId="104"/>
    <tableColumn id="40" name="prochaine visite rpa" dataDxfId="103">
      <calculatedColumnFormula>IF(AN4="","",DATE(YEAR(AN4)+AO4,MONTH(AN4),DAY(AN4)))</calculatedColumnFormula>
    </tableColumn>
    <tableColumn id="41" name="dernière visite ! !" dataDxfId="102">
      <calculatedColumnFormula>MAX(IF((Tableau4[Qui]=Tableau6[[#This Row],[Nom affiche]])*(Tableau4[Quoi]="Rec pompier aérodrome"),Tableau4[Date],""))</calculatedColumnFormula>
    </tableColumn>
    <tableColumn id="42" name="période ! !" dataDxfId="101"/>
    <tableColumn id="43" name="prochaine visite ! !" dataDxfId="100">
      <calculatedColumnFormula>IF(AQ4="","",DATE(YEAR(AQ4)+AR4,MONTH(AQ4),DAY(AQ4)))</calculatedColumnFormula>
    </tableColumn>
    <tableColumn id="44" name="dernière visite bad" dataDxfId="99">
      <calculatedColumnFormula array="1">MAX(IF((Tableau4[Qui]=Tableau6[[#This Row],[Nom affiche]])*(Tableau4[Quoi]="Badge"),Tableau4[Date],""))</calculatedColumnFormula>
    </tableColumn>
    <tableColumn id="45" name="période bad" dataDxfId="98"/>
    <tableColumn id="46" name="prochaine visite bad" dataDxfId="97">
      <calculatedColumnFormula>DATE(YEAR(AT4)+AU4,MONTH(AT4),DAY(AT4))</calculatedColumnFormula>
    </tableColumn>
    <tableColumn id="47" name="dernière visite sur" dataDxfId="96">
      <calculatedColumnFormula array="1">MAX(IF((Tableau4[Qui]=Tableau6[[#This Row],[Nom affiche]])*(Tableau4[Quoi]="Sûreté"),Tableau4[Date],""))</calculatedColumnFormula>
    </tableColumn>
    <tableColumn id="48" name="période sur" dataDxfId="95"/>
    <tableColumn id="49" name="prochaine visite sur" dataDxfId="94">
      <calculatedColumnFormula>DATE(YEAR(AW4)+AX4,MONTH(AW4),DAY(AW4))</calculatedColumnFormula>
    </tableColumn>
    <tableColumn id="50" name="dernière visite pis" dataDxfId="93">
      <calculatedColumnFormula array="1">MAX(IF((Tableau4[Qui]=Tableau6[[#This Row],[Nom affiche]])*(Tableau4[Quoi]="Circulation piste"),Tableau4[Date],""))</calculatedColumnFormula>
    </tableColumn>
    <tableColumn id="51" name="période pis" dataDxfId="92"/>
    <tableColumn id="52" name="prochaine visite pis" dataDxfId="91">
      <calculatedColumnFormula>DATE(YEAR(AZ4)+BA4,MONTH(AZ4),DAY(AZ4))</calculatedColumnFormula>
    </tableColumn>
    <tableColumn id="53" name="dernière visite véh" dataDxfId="90">
      <calculatedColumnFormula array="1">MAX(IF((Tableau4[Qui]=Tableau6[[#This Row],[Nom affiche]])*(Tableau4[Quoi]="Véhicules"),Tableau4[Date],""))</calculatedColumnFormula>
    </tableColumn>
    <tableColumn id="54" name="période véh" dataDxfId="89"/>
    <tableColumn id="55" name="prochaine visite véh" dataDxfId="88">
      <calculatedColumnFormula>DATE(YEAR(BC4),MONTH(BC4),DAY(BC4)+BD4)</calculatedColumnFormula>
    </tableColumn>
    <tableColumn id="56" name="dernière visite ari" dataDxfId="87">
      <calculatedColumnFormula array="1">MAX(IF((Tableau4[Qui]=Tableau6[[#This Row],[Nom affiche]])*(Tableau4[Quoi]="ARI"),Tableau4[Date],""))</calculatedColumnFormula>
    </tableColumn>
    <tableColumn id="57" name="période ari" dataDxfId="86"/>
    <tableColumn id="58" name="prochaine visite ari" dataDxfId="85">
      <calculatedColumnFormula>DATE(YEAR(BF4),MONTH(BF4)+BG4,DAY(BF4))</calculatedColumnFormula>
    </tableColumn>
  </tableColumns>
  <tableStyleInfo name="TableStyleMedium8" showFirstColumn="0" showLastColumn="0" showRowStripes="1" showColumnStripes="0"/>
</table>
</file>

<file path=xl/tables/table5.xml><?xml version="1.0" encoding="utf-8"?>
<table xmlns="http://schemas.openxmlformats.org/spreadsheetml/2006/main" id="4" name="Tableau4" displayName="Tableau4" ref="B13:J41" totalsRowShown="0" headerRowDxfId="84" dataDxfId="83">
  <autoFilter ref="B13:J41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name="an" dataDxfId="82">
      <calculatedColumnFormula>YEAR(Tableau4[[#This Row],[Date]])</calculatedColumnFormula>
    </tableColumn>
    <tableColumn id="2" name="mois" dataDxfId="81">
      <calculatedColumnFormula>TEXT(Tableau4[[#This Row],[Date]],"mmmm")</calculatedColumnFormula>
    </tableColumn>
    <tableColumn id="3" name="Date" dataDxfId="80"/>
    <tableColumn id="4" name="Qui" dataDxfId="79"/>
    <tableColumn id="5" name="Quoi" dataDxfId="78"/>
    <tableColumn id="6" name="Détail" dataDxfId="77"/>
    <tableColumn id="7" name="Durée" dataDxfId="76"/>
    <tableColumn id="8" name="Formateur" dataDxfId="75"/>
    <tableColumn id="9" name="Evaluateur" dataDxfId="74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microsoft.com/office/2007/relationships/slicer" Target="../slicers/slicer1.xml"/><Relationship Id="rId5" Type="http://schemas.openxmlformats.org/officeDocument/2006/relationships/table" Target="../tables/table5.xml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36"/>
  <sheetViews>
    <sheetView workbookViewId="0">
      <pane ySplit="1" topLeftCell="A2" activePane="bottomLeft" state="frozen"/>
      <selection pane="bottomLeft" activeCell="H12" sqref="H12"/>
    </sheetView>
  </sheetViews>
  <sheetFormatPr baseColWidth="10" defaultRowHeight="12.75" x14ac:dyDescent="0.2"/>
  <cols>
    <col min="1" max="1" width="23.42578125" style="8" bestFit="1" customWidth="1"/>
    <col min="2" max="2" width="27.5703125" style="8" bestFit="1" customWidth="1"/>
    <col min="3" max="3" width="17.5703125" style="8" customWidth="1"/>
    <col min="4" max="4" width="22.28515625" style="8" bestFit="1" customWidth="1"/>
    <col min="5" max="16384" width="11.42578125" style="8"/>
  </cols>
  <sheetData>
    <row r="1" spans="1:6" x14ac:dyDescent="0.2">
      <c r="A1" s="67" t="s">
        <v>200</v>
      </c>
      <c r="B1" s="67" t="s">
        <v>212</v>
      </c>
      <c r="D1" s="66" t="s">
        <v>235</v>
      </c>
      <c r="F1" s="8">
        <f>SUBTOTAL(3,Tableau1[Formateur et Evaluateur])</f>
        <v>14</v>
      </c>
    </row>
    <row r="2" spans="1:6" x14ac:dyDescent="0.2">
      <c r="A2" s="8" t="s">
        <v>201</v>
      </c>
      <c r="B2" s="8" t="s">
        <v>205</v>
      </c>
      <c r="D2" s="8" t="str">
        <f t="array" ref="D2">IFERROR(INDEX(Tableau6[Nom affiche],SMALL(IF((Tableau6[Nom affiche]&lt;&gt;"")*(Tableau6[Status]="Actif"),ROW(Tableau6[Nom affiche])-MIN(ROW(Employé!$B$4))+1,""),ROWS(D$2:D2))),"")</f>
        <v>BENAZET Jean-René</v>
      </c>
    </row>
    <row r="3" spans="1:6" x14ac:dyDescent="0.2">
      <c r="A3" s="8" t="s">
        <v>201</v>
      </c>
      <c r="B3" s="8" t="s">
        <v>204</v>
      </c>
      <c r="D3" s="8" t="str">
        <f t="array" ref="D3">IFERROR(INDEX(Tableau6[Nom affiche],SMALL(IF((Tableau6[Nom affiche]&lt;&gt;"")*(Tableau6[Status]="Actif"),ROW(Tableau6[Nom affiche])-MIN(ROW(Employé!$B$4))+1,""),ROWS(D$2:D3))),"")</f>
        <v>ZARAGOZA Didier</v>
      </c>
    </row>
    <row r="4" spans="1:6" x14ac:dyDescent="0.2">
      <c r="A4" s="8" t="s">
        <v>202</v>
      </c>
      <c r="B4" s="8" t="s">
        <v>203</v>
      </c>
      <c r="D4" s="8" t="str">
        <f t="array" ref="D4">IFERROR(INDEX(Tableau6[Nom affiche],SMALL(IF((Tableau6[Nom affiche]&lt;&gt;"")*(Tableau6[Status]="Actif"),ROW(Tableau6[Nom affiche])-MIN(ROW(Employé!$B$4))+1,""),ROWS(D$2:D4))),"")</f>
        <v>SANTOS Jean-François</v>
      </c>
    </row>
    <row r="5" spans="1:6" x14ac:dyDescent="0.2">
      <c r="A5" s="8" t="s">
        <v>206</v>
      </c>
      <c r="B5" s="8" t="s">
        <v>205</v>
      </c>
      <c r="D5" s="8" t="str">
        <f t="array" ref="D5">IFERROR(INDEX(Tableau6[Nom affiche],SMALL(IF((Tableau6[Nom affiche]&lt;&gt;"")*(Tableau6[Status]="Actif"),ROW(Tableau6[Nom affiche])-MIN(ROW(Employé!$B$4))+1,""),ROWS(D$2:D5))),"")</f>
        <v>NAVARRO Christophe</v>
      </c>
    </row>
    <row r="6" spans="1:6" x14ac:dyDescent="0.2">
      <c r="A6" s="8" t="s">
        <v>0</v>
      </c>
      <c r="B6" s="8" t="s">
        <v>213</v>
      </c>
      <c r="D6" s="8" t="str">
        <f t="array" ref="D6">IFERROR(INDEX(Tableau6[Nom affiche],SMALL(IF((Tableau6[Nom affiche]&lt;&gt;"")*(Tableau6[Status]="Actif"),ROW(Tableau6[Nom affiche])-MIN(ROW(Employé!$B$4))+1,""),ROWS(D$2:D6))),"")</f>
        <v>AUDIE Anthony</v>
      </c>
    </row>
    <row r="7" spans="1:6" x14ac:dyDescent="0.2">
      <c r="A7" s="8" t="s">
        <v>102</v>
      </c>
      <c r="B7" s="8" t="s">
        <v>243</v>
      </c>
      <c r="D7" s="8" t="str">
        <f t="array" ref="D7">IFERROR(INDEX(Tableau6[Nom affiche],SMALL(IF((Tableau6[Nom affiche]&lt;&gt;"")*(Tableau6[Status]="Actif"),ROW(Tableau6[Nom affiche])-MIN(ROW(Employé!$B$4))+1,""),ROWS(D$2:D7))),"")</f>
        <v>DISTEFANO Alexis</v>
      </c>
    </row>
    <row r="8" spans="1:6" x14ac:dyDescent="0.2">
      <c r="A8" s="8" t="s">
        <v>102</v>
      </c>
      <c r="B8" s="8" t="s">
        <v>244</v>
      </c>
      <c r="D8" s="8" t="str">
        <f t="array" ref="D8">IFERROR(INDEX(Tableau6[Nom affiche],SMALL(IF((Tableau6[Nom affiche]&lt;&gt;"")*(Tableau6[Status]="Actif"),ROW(Tableau6[Nom affiche])-MIN(ROW(Employé!$B$4))+1,""),ROWS(D$2:D8))),"")</f>
        <v>SCHWEITZER Jean-Michel</v>
      </c>
    </row>
    <row r="9" spans="1:6" x14ac:dyDescent="0.2">
      <c r="A9" s="8" t="s">
        <v>102</v>
      </c>
      <c r="B9" s="8" t="s">
        <v>245</v>
      </c>
      <c r="D9" s="8" t="str">
        <f t="array" ref="D9">IFERROR(INDEX(Tableau6[Nom affiche],SMALL(IF((Tableau6[Nom affiche]&lt;&gt;"")*(Tableau6[Status]="Actif"),ROW(Tableau6[Nom affiche])-MIN(ROW(Employé!$B$4))+1,""),ROWS(D$2:D9))),"")</f>
        <v>AFONSO Julien</v>
      </c>
    </row>
    <row r="10" spans="1:6" x14ac:dyDescent="0.2">
      <c r="A10" s="8" t="s">
        <v>209</v>
      </c>
      <c r="B10" s="8" t="s">
        <v>208</v>
      </c>
      <c r="D10" s="8" t="str">
        <f t="array" ref="D10">IFERROR(INDEX(Tableau6[Nom affiche],SMALL(IF((Tableau6[Nom affiche]&lt;&gt;"")*(Tableau6[Status]="Actif"),ROW(Tableau6[Nom affiche])-MIN(ROW(Employé!$B$4))+1,""),ROWS(D$2:D10))),"")</f>
        <v>LEROY France</v>
      </c>
    </row>
    <row r="11" spans="1:6" x14ac:dyDescent="0.2">
      <c r="A11" s="8" t="s">
        <v>209</v>
      </c>
      <c r="B11" s="8" t="s">
        <v>211</v>
      </c>
      <c r="D11" s="8" t="str">
        <f t="array" ref="D11">IFERROR(INDEX(Tableau6[Nom affiche],SMALL(IF((Tableau6[Nom affiche]&lt;&gt;"")*(Tableau6[Status]="Actif"),ROW(Tableau6[Nom affiche])-MIN(ROW(Employé!$B$4))+1,""),ROWS(D$2:D11))),"")</f>
        <v>LEROY Jean-Sébastien</v>
      </c>
    </row>
    <row r="12" spans="1:6" x14ac:dyDescent="0.2">
      <c r="A12" s="8" t="s">
        <v>209</v>
      </c>
      <c r="B12" s="8" t="s">
        <v>210</v>
      </c>
      <c r="D12" s="8" t="str">
        <f t="array" ref="D12">IFERROR(INDEX(Tableau6[Nom affiche],SMALL(IF((Tableau6[Nom affiche]&lt;&gt;"")*(Tableau6[Status]="Actif"),ROW(Tableau6[Nom affiche])-MIN(ROW(Employé!$B$4))+1,""),ROWS(D$2:D12))),"")</f>
        <v>FERRARA Julien</v>
      </c>
    </row>
    <row r="13" spans="1:6" x14ac:dyDescent="0.2">
      <c r="A13" s="8" t="s">
        <v>209</v>
      </c>
      <c r="B13" s="8" t="s">
        <v>214</v>
      </c>
      <c r="D13" s="8" t="str">
        <f t="array" ref="D13">IFERROR(INDEX(Tableau6[Nom affiche],SMALL(IF((Tableau6[Nom affiche]&lt;&gt;"")*(Tableau6[Status]="Actif"),ROW(Tableau6[Nom affiche])-MIN(ROW(Employé!$B$4))+1,""),ROWS(D$2:D13))),"")</f>
        <v>BALLESTER Xavier</v>
      </c>
    </row>
    <row r="14" spans="1:6" x14ac:dyDescent="0.2">
      <c r="A14" s="8" t="s">
        <v>209</v>
      </c>
      <c r="B14" s="8" t="s">
        <v>215</v>
      </c>
      <c r="D14" s="8" t="str">
        <f t="array" ref="D14">IFERROR(INDEX(Tableau6[Nom affiche],SMALL(IF((Tableau6[Nom affiche]&lt;&gt;"")*(Tableau6[Status]="Actif"),ROW(Tableau6[Nom affiche])-MIN(ROW(Employé!$B$4))+1,""),ROWS(D$2:D14))),"")</f>
        <v>DESMYTER Damien</v>
      </c>
    </row>
    <row r="15" spans="1:6" x14ac:dyDescent="0.2">
      <c r="A15" s="8" t="s">
        <v>209</v>
      </c>
      <c r="B15" s="8" t="s">
        <v>216</v>
      </c>
      <c r="D15" s="8" t="str">
        <f t="array" ref="D15">IFERROR(INDEX(Tableau6[Nom affiche],SMALL(IF((Tableau6[Nom affiche]&lt;&gt;"")*(Tableau6[Status]="Actif"),ROW(Tableau6[Nom affiche])-MIN(ROW(Employé!$B$4))+1,""),ROWS(D$2:D15))),"")</f>
        <v>NAJJARI Mohamed</v>
      </c>
    </row>
    <row r="16" spans="1:6" x14ac:dyDescent="0.2">
      <c r="A16" s="8" t="s">
        <v>209</v>
      </c>
      <c r="B16" s="8" t="s">
        <v>217</v>
      </c>
    </row>
    <row r="17" spans="1:2" x14ac:dyDescent="0.2">
      <c r="A17" s="8" t="s">
        <v>209</v>
      </c>
      <c r="B17" s="8" t="s">
        <v>218</v>
      </c>
    </row>
    <row r="18" spans="1:2" x14ac:dyDescent="0.2">
      <c r="A18" s="8" t="s">
        <v>180</v>
      </c>
      <c r="B18" s="8" t="s">
        <v>219</v>
      </c>
    </row>
    <row r="19" spans="1:2" x14ac:dyDescent="0.2">
      <c r="A19" s="8" t="s">
        <v>160</v>
      </c>
      <c r="B19" s="8" t="s">
        <v>123</v>
      </c>
    </row>
    <row r="20" spans="1:2" x14ac:dyDescent="0.2">
      <c r="A20" s="8" t="s">
        <v>142</v>
      </c>
      <c r="B20" s="8" t="s">
        <v>220</v>
      </c>
    </row>
    <row r="21" spans="1:2" x14ac:dyDescent="0.2">
      <c r="A21" s="8" t="s">
        <v>161</v>
      </c>
      <c r="B21" s="8" t="s">
        <v>221</v>
      </c>
    </row>
    <row r="22" spans="1:2" x14ac:dyDescent="0.2">
      <c r="A22" s="8" t="s">
        <v>222</v>
      </c>
      <c r="B22" s="8" t="s">
        <v>223</v>
      </c>
    </row>
    <row r="23" spans="1:2" x14ac:dyDescent="0.2">
      <c r="A23" s="8" t="s">
        <v>224</v>
      </c>
      <c r="B23" s="8" t="s">
        <v>225</v>
      </c>
    </row>
    <row r="24" spans="1:2" x14ac:dyDescent="0.2">
      <c r="A24" s="8" t="s">
        <v>162</v>
      </c>
      <c r="B24" s="8" t="s">
        <v>226</v>
      </c>
    </row>
    <row r="25" spans="1:2" x14ac:dyDescent="0.2">
      <c r="A25" s="8" t="s">
        <v>162</v>
      </c>
      <c r="B25" s="8" t="s">
        <v>227</v>
      </c>
    </row>
    <row r="26" spans="1:2" x14ac:dyDescent="0.2">
      <c r="A26" s="8" t="s">
        <v>2</v>
      </c>
      <c r="B26" s="8" t="s">
        <v>226</v>
      </c>
    </row>
    <row r="27" spans="1:2" x14ac:dyDescent="0.2">
      <c r="A27" s="8" t="s">
        <v>2</v>
      </c>
      <c r="B27" s="8" t="s">
        <v>226</v>
      </c>
    </row>
    <row r="28" spans="1:2" x14ac:dyDescent="0.2">
      <c r="A28" s="8" t="s">
        <v>156</v>
      </c>
      <c r="B28" s="8" t="s">
        <v>226</v>
      </c>
    </row>
    <row r="29" spans="1:2" x14ac:dyDescent="0.2">
      <c r="A29" s="8" t="s">
        <v>156</v>
      </c>
      <c r="B29" s="8" t="s">
        <v>227</v>
      </c>
    </row>
    <row r="30" spans="1:2" x14ac:dyDescent="0.2">
      <c r="A30" s="8" t="s">
        <v>228</v>
      </c>
      <c r="B30" s="8" t="s">
        <v>229</v>
      </c>
    </row>
    <row r="31" spans="1:2" x14ac:dyDescent="0.2">
      <c r="A31" s="8" t="s">
        <v>228</v>
      </c>
      <c r="B31" s="8" t="s">
        <v>230</v>
      </c>
    </row>
    <row r="32" spans="1:2" x14ac:dyDescent="0.2">
      <c r="A32" s="8" t="s">
        <v>157</v>
      </c>
      <c r="B32" s="8" t="s">
        <v>207</v>
      </c>
    </row>
    <row r="33" spans="1:2" x14ac:dyDescent="0.2">
      <c r="A33" s="8" t="s">
        <v>140</v>
      </c>
      <c r="B33" s="8" t="s">
        <v>231</v>
      </c>
    </row>
    <row r="34" spans="1:2" x14ac:dyDescent="0.2">
      <c r="A34" s="8" t="s">
        <v>6</v>
      </c>
      <c r="B34" s="8" t="s">
        <v>232</v>
      </c>
    </row>
    <row r="35" spans="1:2" x14ac:dyDescent="0.2">
      <c r="A35" s="8" t="s">
        <v>159</v>
      </c>
      <c r="B35" s="8" t="s">
        <v>233</v>
      </c>
    </row>
    <row r="36" spans="1:2" x14ac:dyDescent="0.2">
      <c r="A36" s="8" t="s">
        <v>206</v>
      </c>
      <c r="B36" s="8" t="s">
        <v>234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C29"/>
  <sheetViews>
    <sheetView workbookViewId="0">
      <selection activeCell="F15" sqref="F15"/>
    </sheetView>
  </sheetViews>
  <sheetFormatPr baseColWidth="10" defaultRowHeight="15" x14ac:dyDescent="0.25"/>
  <cols>
    <col min="2" max="2" width="25.42578125" customWidth="1"/>
    <col min="3" max="3" width="37.5703125" bestFit="1" customWidth="1"/>
  </cols>
  <sheetData>
    <row r="1" spans="2:3" x14ac:dyDescent="0.25">
      <c r="B1" s="39" t="s">
        <v>28</v>
      </c>
      <c r="C1" t="s">
        <v>167</v>
      </c>
    </row>
    <row r="2" spans="2:3" x14ac:dyDescent="0.25">
      <c r="B2" t="s">
        <v>30</v>
      </c>
      <c r="C2" t="s">
        <v>96</v>
      </c>
    </row>
    <row r="3" spans="2:3" x14ac:dyDescent="0.25">
      <c r="B3" t="s">
        <v>29</v>
      </c>
      <c r="C3" t="s">
        <v>97</v>
      </c>
    </row>
    <row r="4" spans="2:3" x14ac:dyDescent="0.25">
      <c r="B4" t="s">
        <v>141</v>
      </c>
      <c r="C4" t="s">
        <v>99</v>
      </c>
    </row>
    <row r="5" spans="2:3" x14ac:dyDescent="0.25">
      <c r="B5" t="s">
        <v>0</v>
      </c>
      <c r="C5" t="s">
        <v>168</v>
      </c>
    </row>
    <row r="6" spans="2:3" x14ac:dyDescent="0.25">
      <c r="B6" t="s">
        <v>102</v>
      </c>
      <c r="C6" t="s">
        <v>169</v>
      </c>
    </row>
    <row r="7" spans="2:3" x14ac:dyDescent="0.25">
      <c r="B7" t="s">
        <v>103</v>
      </c>
      <c r="C7" t="s">
        <v>170</v>
      </c>
    </row>
    <row r="8" spans="2:3" x14ac:dyDescent="0.25">
      <c r="B8" t="s">
        <v>180</v>
      </c>
      <c r="C8" t="s">
        <v>171</v>
      </c>
    </row>
    <row r="9" spans="2:3" x14ac:dyDescent="0.25">
      <c r="B9" t="s">
        <v>160</v>
      </c>
      <c r="C9" t="s">
        <v>123</v>
      </c>
    </row>
    <row r="10" spans="2:3" x14ac:dyDescent="0.25">
      <c r="B10" t="s">
        <v>142</v>
      </c>
      <c r="C10" t="s">
        <v>124</v>
      </c>
    </row>
    <row r="11" spans="2:3" x14ac:dyDescent="0.25">
      <c r="B11" t="s">
        <v>161</v>
      </c>
      <c r="C11" t="s">
        <v>125</v>
      </c>
    </row>
    <row r="12" spans="2:3" x14ac:dyDescent="0.25">
      <c r="B12" t="s">
        <v>154</v>
      </c>
      <c r="C12" t="s">
        <v>172</v>
      </c>
    </row>
    <row r="13" spans="2:3" x14ac:dyDescent="0.25">
      <c r="B13" t="s">
        <v>155</v>
      </c>
      <c r="C13" t="s">
        <v>173</v>
      </c>
    </row>
    <row r="14" spans="2:3" x14ac:dyDescent="0.25">
      <c r="B14" t="s">
        <v>162</v>
      </c>
      <c r="C14" t="s">
        <v>174</v>
      </c>
    </row>
    <row r="15" spans="2:3" x14ac:dyDescent="0.25">
      <c r="B15" t="s">
        <v>2</v>
      </c>
      <c r="C15" t="s">
        <v>174</v>
      </c>
    </row>
    <row r="16" spans="2:3" x14ac:dyDescent="0.25">
      <c r="B16" t="s">
        <v>156</v>
      </c>
      <c r="C16" t="s">
        <v>174</v>
      </c>
    </row>
    <row r="17" spans="2:3" x14ac:dyDescent="0.25">
      <c r="B17" t="s">
        <v>1</v>
      </c>
      <c r="C17" t="s">
        <v>175</v>
      </c>
    </row>
    <row r="18" spans="2:3" x14ac:dyDescent="0.25">
      <c r="B18" t="s">
        <v>143</v>
      </c>
      <c r="C18" t="s">
        <v>176</v>
      </c>
    </row>
    <row r="19" spans="2:3" x14ac:dyDescent="0.25">
      <c r="B19" t="s">
        <v>144</v>
      </c>
      <c r="C19" t="s">
        <v>176</v>
      </c>
    </row>
    <row r="20" spans="2:3" x14ac:dyDescent="0.25">
      <c r="B20" t="s">
        <v>163</v>
      </c>
      <c r="C20" t="s">
        <v>176</v>
      </c>
    </row>
    <row r="21" spans="2:3" x14ac:dyDescent="0.25">
      <c r="B21" t="s">
        <v>166</v>
      </c>
      <c r="C21" t="s">
        <v>176</v>
      </c>
    </row>
    <row r="22" spans="2:3" x14ac:dyDescent="0.25">
      <c r="B22" t="s">
        <v>145</v>
      </c>
      <c r="C22" t="s">
        <v>176</v>
      </c>
    </row>
    <row r="23" spans="2:3" x14ac:dyDescent="0.25">
      <c r="B23" t="s">
        <v>146</v>
      </c>
      <c r="C23" t="s">
        <v>176</v>
      </c>
    </row>
    <row r="24" spans="2:3" x14ac:dyDescent="0.25">
      <c r="B24" t="s">
        <v>164</v>
      </c>
      <c r="C24" t="s">
        <v>176</v>
      </c>
    </row>
    <row r="25" spans="2:3" x14ac:dyDescent="0.25">
      <c r="B25" t="s">
        <v>165</v>
      </c>
      <c r="C25" t="s">
        <v>176</v>
      </c>
    </row>
    <row r="26" spans="2:3" x14ac:dyDescent="0.25">
      <c r="B26" t="s">
        <v>157</v>
      </c>
      <c r="C26" t="s">
        <v>177</v>
      </c>
    </row>
    <row r="27" spans="2:3" x14ac:dyDescent="0.25">
      <c r="B27" t="s">
        <v>140</v>
      </c>
      <c r="C27" t="s">
        <v>177</v>
      </c>
    </row>
    <row r="28" spans="2:3" x14ac:dyDescent="0.25">
      <c r="B28" t="s">
        <v>6</v>
      </c>
      <c r="C28" t="s">
        <v>177</v>
      </c>
    </row>
    <row r="29" spans="2:3" x14ac:dyDescent="0.25">
      <c r="B29" t="s">
        <v>159</v>
      </c>
      <c r="C29" t="s">
        <v>177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BH17"/>
  <sheetViews>
    <sheetView workbookViewId="0">
      <pane xSplit="5" ySplit="3" topLeftCell="F4" activePane="bottomRight" state="frozen"/>
      <selection pane="topRight" activeCell="F1" sqref="F1"/>
      <selection pane="bottomLeft" activeCell="A4" sqref="A4"/>
      <selection pane="bottomRight"/>
    </sheetView>
  </sheetViews>
  <sheetFormatPr baseColWidth="10" defaultRowHeight="12.75" x14ac:dyDescent="0.25"/>
  <cols>
    <col min="1" max="1" width="2.7109375" style="1" customWidth="1"/>
    <col min="2" max="2" width="11.28515625" style="1" hidden="1" customWidth="1"/>
    <col min="3" max="3" width="11.42578125" style="1" hidden="1" customWidth="1"/>
    <col min="4" max="4" width="12.28515625" style="4" bestFit="1" customWidth="1"/>
    <col min="5" max="5" width="12.42578125" style="4" bestFit="1" customWidth="1"/>
    <col min="6" max="6" width="9.7109375" style="1" customWidth="1"/>
    <col min="7" max="7" width="5.85546875" style="1" customWidth="1"/>
    <col min="8" max="8" width="9.7109375" style="1" customWidth="1"/>
    <col min="9" max="9" width="8.7109375" style="1" customWidth="1"/>
    <col min="10" max="10" width="9.7109375" style="1" customWidth="1"/>
    <col min="11" max="11" width="6.7109375" style="1" customWidth="1"/>
    <col min="12" max="12" width="9.7109375" style="2" customWidth="1"/>
    <col min="13" max="13" width="9.7109375" style="1" customWidth="1"/>
    <col min="14" max="14" width="6.7109375" style="1" customWidth="1"/>
    <col min="15" max="15" width="9.7109375" style="2" customWidth="1"/>
    <col min="16" max="16" width="9.7109375" style="1" customWidth="1"/>
    <col min="17" max="17" width="6.7109375" style="1" customWidth="1"/>
    <col min="18" max="18" width="9.7109375" style="2" customWidth="1"/>
    <col min="19" max="19" width="9.7109375" style="1" customWidth="1"/>
    <col min="20" max="20" width="6.7109375" style="1" customWidth="1"/>
    <col min="21" max="22" width="9.7109375" style="1" customWidth="1"/>
    <col min="23" max="23" width="6.7109375" style="1" customWidth="1"/>
    <col min="24" max="25" width="9.7109375" style="1" customWidth="1"/>
    <col min="26" max="26" width="6.7109375" style="1" customWidth="1"/>
    <col min="27" max="28" width="9.7109375" style="1" customWidth="1"/>
    <col min="29" max="29" width="6.7109375" style="1" customWidth="1"/>
    <col min="30" max="31" width="9.7109375" style="1" customWidth="1"/>
    <col min="32" max="32" width="6.7109375" style="1" customWidth="1"/>
    <col min="33" max="34" width="9.7109375" style="1" customWidth="1"/>
    <col min="35" max="35" width="6.7109375" style="1" customWidth="1"/>
    <col min="36" max="37" width="9.7109375" style="1" customWidth="1"/>
    <col min="38" max="38" width="6.7109375" style="1" customWidth="1"/>
    <col min="39" max="39" width="9.7109375" style="2" customWidth="1"/>
    <col min="40" max="40" width="9.7109375" style="1" customWidth="1"/>
    <col min="41" max="41" width="6.7109375" style="1" customWidth="1"/>
    <col min="42" max="42" width="9.7109375" style="2" customWidth="1"/>
    <col min="43" max="43" width="9.7109375" style="1" customWidth="1"/>
    <col min="44" max="44" width="6.7109375" style="1" customWidth="1"/>
    <col min="45" max="45" width="9.7109375" style="2" customWidth="1"/>
    <col min="46" max="46" width="9.7109375" style="1" customWidth="1"/>
    <col min="47" max="47" width="6.7109375" style="1" customWidth="1"/>
    <col min="48" max="48" width="9.7109375" style="2" customWidth="1"/>
    <col min="49" max="49" width="9.7109375" style="1" customWidth="1"/>
    <col min="50" max="50" width="6.7109375" style="1" customWidth="1"/>
    <col min="51" max="51" width="9.7109375" style="2" customWidth="1"/>
    <col min="52" max="52" width="9.7109375" style="1" customWidth="1"/>
    <col min="53" max="53" width="6.7109375" style="1" customWidth="1"/>
    <col min="54" max="54" width="9.7109375" style="2" customWidth="1"/>
    <col min="55" max="55" width="9.7109375" style="1" customWidth="1"/>
    <col min="56" max="56" width="6.7109375" style="1" customWidth="1"/>
    <col min="57" max="58" width="9.7109375" style="1" customWidth="1"/>
    <col min="59" max="59" width="6.7109375" style="1" customWidth="1"/>
    <col min="60" max="60" width="9.7109375" style="1" customWidth="1"/>
    <col min="61" max="16384" width="11.42578125" style="1"/>
  </cols>
  <sheetData>
    <row r="1" spans="2:60" s="6" customFormat="1" ht="15.75" customHeight="1" x14ac:dyDescent="0.2">
      <c r="D1" s="7"/>
      <c r="E1" s="7"/>
      <c r="K1" s="6" t="s">
        <v>69</v>
      </c>
      <c r="L1" s="13"/>
      <c r="N1" s="6" t="s">
        <v>69</v>
      </c>
      <c r="O1" s="13"/>
      <c r="Q1" s="6" t="s">
        <v>69</v>
      </c>
      <c r="R1" s="13"/>
      <c r="T1" s="6" t="s">
        <v>70</v>
      </c>
      <c r="W1" s="6" t="s">
        <v>71</v>
      </c>
      <c r="Z1" s="6" t="s">
        <v>71</v>
      </c>
      <c r="AC1" s="6" t="s">
        <v>71</v>
      </c>
      <c r="AF1" s="6" t="s">
        <v>69</v>
      </c>
      <c r="AI1" s="6" t="s">
        <v>69</v>
      </c>
      <c r="AL1" s="6" t="s">
        <v>69</v>
      </c>
      <c r="AM1" s="13"/>
      <c r="AO1" s="6" t="s">
        <v>69</v>
      </c>
      <c r="AP1" s="13"/>
      <c r="AR1" s="6" t="s">
        <v>69</v>
      </c>
      <c r="AS1" s="13"/>
      <c r="AU1" s="6" t="s">
        <v>69</v>
      </c>
      <c r="AV1" s="13"/>
      <c r="AX1" s="6" t="s">
        <v>69</v>
      </c>
      <c r="AY1" s="13"/>
      <c r="BA1" s="6" t="s">
        <v>69</v>
      </c>
      <c r="BB1" s="13"/>
      <c r="BD1" s="6" t="s">
        <v>70</v>
      </c>
      <c r="BG1" s="6" t="s">
        <v>71</v>
      </c>
    </row>
    <row r="2" spans="2:60" x14ac:dyDescent="0.25">
      <c r="J2" s="77" t="s">
        <v>11</v>
      </c>
      <c r="K2" s="77"/>
      <c r="L2" s="77"/>
      <c r="M2" s="78" t="s">
        <v>12</v>
      </c>
      <c r="N2" s="79"/>
      <c r="O2" s="80"/>
      <c r="P2" s="77" t="s">
        <v>68</v>
      </c>
      <c r="Q2" s="77"/>
      <c r="R2" s="77"/>
      <c r="S2" s="76" t="s">
        <v>48</v>
      </c>
      <c r="T2" s="76"/>
      <c r="U2" s="76"/>
      <c r="V2" s="76" t="s">
        <v>49</v>
      </c>
      <c r="W2" s="76"/>
      <c r="X2" s="76"/>
      <c r="Y2" s="76" t="s">
        <v>50</v>
      </c>
      <c r="Z2" s="76"/>
      <c r="AA2" s="76"/>
      <c r="AB2" s="74" t="s">
        <v>57</v>
      </c>
      <c r="AC2" s="74"/>
      <c r="AD2" s="74"/>
      <c r="AE2" s="74" t="s">
        <v>66</v>
      </c>
      <c r="AF2" s="74"/>
      <c r="AG2" s="74"/>
      <c r="AH2" s="74" t="s">
        <v>60</v>
      </c>
      <c r="AI2" s="74"/>
      <c r="AJ2" s="74"/>
      <c r="AK2" s="74" t="s">
        <v>63</v>
      </c>
      <c r="AL2" s="74"/>
      <c r="AM2" s="74"/>
      <c r="AN2" s="75" t="s">
        <v>127</v>
      </c>
      <c r="AO2" s="75"/>
      <c r="AP2" s="75"/>
      <c r="AQ2" s="75" t="s">
        <v>128</v>
      </c>
      <c r="AR2" s="75"/>
      <c r="AS2" s="75"/>
      <c r="AT2" s="75" t="s">
        <v>72</v>
      </c>
      <c r="AU2" s="75"/>
      <c r="AV2" s="75"/>
      <c r="AW2" s="75" t="s">
        <v>73</v>
      </c>
      <c r="AX2" s="75"/>
      <c r="AY2" s="75"/>
      <c r="AZ2" s="75" t="s">
        <v>74</v>
      </c>
      <c r="BA2" s="75"/>
      <c r="BB2" s="75"/>
      <c r="BC2" s="74" t="s">
        <v>108</v>
      </c>
      <c r="BD2" s="74"/>
      <c r="BE2" s="74"/>
      <c r="BF2" s="74" t="s">
        <v>108</v>
      </c>
      <c r="BG2" s="74"/>
      <c r="BH2" s="74"/>
    </row>
    <row r="3" spans="2:60" s="5" customFormat="1" ht="25.5" x14ac:dyDescent="0.25">
      <c r="B3" s="5" t="s">
        <v>43</v>
      </c>
      <c r="C3" s="5" t="s">
        <v>98</v>
      </c>
      <c r="D3" s="5" t="s">
        <v>44</v>
      </c>
      <c r="E3" s="5" t="s">
        <v>45</v>
      </c>
      <c r="F3" s="5" t="s">
        <v>46</v>
      </c>
      <c r="G3" s="5" t="s">
        <v>7</v>
      </c>
      <c r="H3" s="5" t="s">
        <v>190</v>
      </c>
      <c r="I3" s="5" t="s">
        <v>67</v>
      </c>
      <c r="J3" s="5" t="s">
        <v>16</v>
      </c>
      <c r="K3" s="5" t="s">
        <v>13</v>
      </c>
      <c r="L3" s="14" t="s">
        <v>17</v>
      </c>
      <c r="M3" s="5" t="s">
        <v>18</v>
      </c>
      <c r="N3" s="5" t="s">
        <v>14</v>
      </c>
      <c r="O3" s="14" t="s">
        <v>19</v>
      </c>
      <c r="P3" s="5" t="s">
        <v>20</v>
      </c>
      <c r="Q3" s="5" t="s">
        <v>15</v>
      </c>
      <c r="R3" s="14" t="s">
        <v>21</v>
      </c>
      <c r="S3" s="5" t="s">
        <v>51</v>
      </c>
      <c r="T3" s="5" t="s">
        <v>75</v>
      </c>
      <c r="U3" s="5" t="s">
        <v>52</v>
      </c>
      <c r="V3" s="5" t="s">
        <v>53</v>
      </c>
      <c r="W3" s="5" t="s">
        <v>76</v>
      </c>
      <c r="X3" s="5" t="s">
        <v>54</v>
      </c>
      <c r="Y3" s="5" t="s">
        <v>55</v>
      </c>
      <c r="Z3" s="5" t="s">
        <v>77</v>
      </c>
      <c r="AA3" s="5" t="s">
        <v>56</v>
      </c>
      <c r="AB3" s="5" t="s">
        <v>105</v>
      </c>
      <c r="AC3" s="5" t="s">
        <v>106</v>
      </c>
      <c r="AD3" s="5" t="s">
        <v>107</v>
      </c>
      <c r="AE3" s="5" t="s">
        <v>58</v>
      </c>
      <c r="AF3" s="5" t="s">
        <v>78</v>
      </c>
      <c r="AG3" s="5" t="s">
        <v>59</v>
      </c>
      <c r="AH3" s="5" t="s">
        <v>61</v>
      </c>
      <c r="AI3" s="5" t="s">
        <v>79</v>
      </c>
      <c r="AJ3" s="5" t="s">
        <v>62</v>
      </c>
      <c r="AK3" s="5" t="s">
        <v>64</v>
      </c>
      <c r="AL3" s="5" t="s">
        <v>80</v>
      </c>
      <c r="AM3" s="14" t="s">
        <v>65</v>
      </c>
      <c r="AN3" s="5" t="s">
        <v>132</v>
      </c>
      <c r="AO3" s="5" t="s">
        <v>81</v>
      </c>
      <c r="AP3" s="14" t="s">
        <v>82</v>
      </c>
      <c r="AQ3" s="5" t="s">
        <v>129</v>
      </c>
      <c r="AR3" s="5" t="s">
        <v>130</v>
      </c>
      <c r="AS3" s="14" t="s">
        <v>131</v>
      </c>
      <c r="AT3" s="5" t="s">
        <v>83</v>
      </c>
      <c r="AU3" s="5" t="s">
        <v>84</v>
      </c>
      <c r="AV3" s="14" t="s">
        <v>85</v>
      </c>
      <c r="AW3" s="5" t="s">
        <v>86</v>
      </c>
      <c r="AX3" s="5" t="s">
        <v>87</v>
      </c>
      <c r="AY3" s="14" t="s">
        <v>88</v>
      </c>
      <c r="AZ3" s="5" t="s">
        <v>89</v>
      </c>
      <c r="BA3" s="5" t="s">
        <v>90</v>
      </c>
      <c r="BB3" s="14" t="s">
        <v>91</v>
      </c>
      <c r="BC3" s="5" t="s">
        <v>114</v>
      </c>
      <c r="BD3" s="5" t="s">
        <v>115</v>
      </c>
      <c r="BE3" s="5" t="s">
        <v>116</v>
      </c>
      <c r="BF3" s="5" t="s">
        <v>93</v>
      </c>
      <c r="BG3" s="5" t="s">
        <v>94</v>
      </c>
      <c r="BH3" s="5" t="s">
        <v>95</v>
      </c>
    </row>
    <row r="4" spans="2:60" x14ac:dyDescent="0.25">
      <c r="B4" s="1" t="str">
        <f t="shared" ref="B4:B8" si="0">D4&amp;" "&amp;E4</f>
        <v>BENAZET Jean-René</v>
      </c>
      <c r="C4" s="1" t="str">
        <f t="shared" ref="C4:C8" si="1">D4&amp;" "&amp;MID(E4,1,2)</f>
        <v>BENAZET Je</v>
      </c>
      <c r="D4" s="4" t="s">
        <v>31</v>
      </c>
      <c r="E4" s="4" t="s">
        <v>47</v>
      </c>
      <c r="F4" s="2">
        <v>21804</v>
      </c>
      <c r="G4" s="1">
        <f t="shared" ref="G4:G17" ca="1" si="2">IF(F4="","",DATEDIF(F4,TODAY(),"y"))</f>
        <v>59</v>
      </c>
      <c r="H4" s="2">
        <v>32339</v>
      </c>
      <c r="I4" s="1" t="s">
        <v>10</v>
      </c>
      <c r="J4" s="62">
        <f t="array" ref="J4">MAX(IF((Tableau4[Qui]=Tableau6[[#This Row],[Nom affiche]])*(Tableau4[Quoi]="Travail"),Tableau4[Date],""))</f>
        <v>0</v>
      </c>
      <c r="K4" s="1">
        <v>1</v>
      </c>
      <c r="L4" s="2">
        <f t="array" aca="1" ref="L4" ca="1">IF(G4&lt;18,H4,IF(J4="",EDATE(H4,3),DATE(YEAR(J4)+K4,MONTH(J4),DAY(J4))))</f>
        <v>366</v>
      </c>
      <c r="M4" s="2">
        <f t="array" ref="M4">MAX(IF((Tableau4[Qui]=Tableau6[[#This Row],[Nom affiche]])*(Tableau4[Quoi]="Médicale"),Tableau4[Date],""))</f>
        <v>0</v>
      </c>
      <c r="N4" s="1">
        <v>1</v>
      </c>
      <c r="O4" s="2">
        <f>DATE(YEAR(M4)+N4,MONTH(M4),DAY(M4))</f>
        <v>366</v>
      </c>
      <c r="P4" s="2">
        <f t="array" ref="P4">MAX(IF((Tableau4[Qui]=Tableau6[[#This Row],[Nom affiche]])*(Tableau4[Quoi]="Permis PL"),Tableau4[Date],""))</f>
        <v>0</v>
      </c>
      <c r="Q4" s="3">
        <v>5</v>
      </c>
      <c r="R4" s="2">
        <f>DATE(YEAR(P4)+Q4,MONTH(P4),DAY(P4))</f>
        <v>1827</v>
      </c>
      <c r="S4" s="2">
        <f t="array" ref="S4">MAX(IF((Tableau4[Qui]=Tableau6[[#This Row],[Nom affiche]])*(Tableau4[Quoi]="Aire de mouvement"),Tableau4[Date],""))</f>
        <v>0</v>
      </c>
      <c r="T4" s="3">
        <v>15</v>
      </c>
      <c r="U4" s="2">
        <f t="shared" ref="U4:U17" si="3">DATE(YEAR(S4),MONTH(S4),DAY(S4)+T4)</f>
        <v>15</v>
      </c>
      <c r="V4" s="2">
        <f t="array" ref="V4">MAX(IF((Tableau4[Qui]=Tableau6[[#This Row],[Nom affiche]])*(Tableau4[Quoi]="Zone Aérodrome"),Tableau4[Date],""))</f>
        <v>0</v>
      </c>
      <c r="W4" s="3">
        <v>1</v>
      </c>
      <c r="X4" s="2">
        <f t="shared" ref="X4:X17" si="4">DATE(YEAR(V4),MONTH(V4)+W4,DAY(V4))</f>
        <v>31</v>
      </c>
      <c r="Y4" s="2">
        <f t="array" ref="Y4">MAX(IF((Tableau4[Qui]=Tableau6[[#This Row],[Nom affiche]])*(Tableau4[Quoi]="Zone Voisine Aérodrome"),Tableau4[Date],""))</f>
        <v>0</v>
      </c>
      <c r="Z4" s="3">
        <v>3</v>
      </c>
      <c r="AA4" s="2">
        <f t="shared" ref="AA4:AA17" si="5">DATE(YEAR(Y4),MONTH(Y4)+Z4,DAY(Y4))</f>
        <v>91</v>
      </c>
      <c r="AB4" s="2">
        <f t="array" ref="AB4">MAX(IF((Tableau4[Qui]=Tableau6[[#This Row],[Nom affiche]])*(Tableau4[Quoi]="EPI"),Tableau4[Date],""))</f>
        <v>0</v>
      </c>
      <c r="AC4" s="3">
        <v>3</v>
      </c>
      <c r="AD4" s="2">
        <f t="shared" ref="AD4:AD17" si="6">DATE(YEAR(AB4),MONTH(AB4)+AC4,DAY(AB4))</f>
        <v>91</v>
      </c>
      <c r="AE4" s="2">
        <f t="array" ref="AE4">MAX(IF((Tableau4[Qui]=Tableau6[[#This Row],[Nom affiche]])*(Tableau4[Quoi]="Poudre et eau pulvé"),Tableau4[Date],""))</f>
        <v>0</v>
      </c>
      <c r="AF4" s="3">
        <v>1</v>
      </c>
      <c r="AG4" s="2">
        <f t="shared" ref="AG4:AG17" si="7">DATE(YEAR(AE4)+AF4,MONTH(AE4),DAY(AE4))</f>
        <v>366</v>
      </c>
      <c r="AH4" s="2">
        <f t="array" ref="AH4">MAX(IF((Tableau4[Qui]=Tableau6[[#This Row],[Nom affiche]])*(Tableau4[Quoi]="Poudre métaux"),Tableau4[Date],""))</f>
        <v>0</v>
      </c>
      <c r="AI4" s="3">
        <v>5</v>
      </c>
      <c r="AJ4" s="2">
        <f t="shared" ref="AJ4:AJ17" si="8">DATE(YEAR(AH4)+AI4,MONTH(AH4),DAY(AH4))</f>
        <v>1827</v>
      </c>
      <c r="AK4" s="2">
        <f t="array" ref="AK4">MAX(IF((Tableau4[Qui]=Tableau6[[#This Row],[Nom affiche]])*(Tableau4[Quoi]="CO²"),Tableau4[Date],""))</f>
        <v>0</v>
      </c>
      <c r="AL4" s="3">
        <v>1</v>
      </c>
      <c r="AM4" s="2">
        <f>DATE(YEAR(AK4)+AL4,MONTH(AK4),DAY(AK4))</f>
        <v>366</v>
      </c>
      <c r="AN4" s="2">
        <f t="array" ref="AN4">MAX(IF((Tableau4[Qui]=Tableau6[[#This Row],[Nom affiche]])*(Tableau4[Quoi]="Rec SSLIA"),Tableau4[Date],""))</f>
        <v>0</v>
      </c>
      <c r="AO4" s="3">
        <v>3</v>
      </c>
      <c r="AP4" s="2">
        <f t="shared" ref="AP4:AP9" si="9">IF(AN4="","",DATE(YEAR(AN4)+AO4,MONTH(AN4),DAY(AN4)))</f>
        <v>1096</v>
      </c>
      <c r="AQ4" s="2" t="e">
        <f>MAX(IF((Tableau4[Qui]=Tableau6[[#This Row],[Nom affiche]])*(Tableau4[Quoi]="Rec pompier aérodrome"),Tableau4[Date],""))</f>
        <v>#VALUE!</v>
      </c>
      <c r="AR4" s="3"/>
      <c r="AS4" s="2" t="e">
        <f t="shared" ref="AS4:AS9" si="10">IF(AQ4="","",DATE(YEAR(AQ4)+AR4,MONTH(AQ4),DAY(AQ4)))</f>
        <v>#VALUE!</v>
      </c>
      <c r="AT4" s="2">
        <f t="array" ref="AT4">MAX(IF((Tableau4[Qui]=Tableau6[[#This Row],[Nom affiche]])*(Tableau4[Quoi]="Badge"),Tableau4[Date],""))</f>
        <v>0</v>
      </c>
      <c r="AU4" s="3">
        <v>3</v>
      </c>
      <c r="AV4" s="2">
        <f>DATE(YEAR(AT4)+AU4,MONTH(AT4),DAY(AT4))</f>
        <v>1096</v>
      </c>
      <c r="AW4" s="2">
        <f t="array" ref="AW4">MAX(IF((Tableau4[Qui]=Tableau6[[#This Row],[Nom affiche]])*(Tableau4[Quoi]="Sûreté"),Tableau4[Date],""))</f>
        <v>0</v>
      </c>
      <c r="AX4" s="3">
        <v>3</v>
      </c>
      <c r="AY4" s="2">
        <f>DATE(YEAR(AW4)+AX4,MONTH(AW4),DAY(AW4))</f>
        <v>1096</v>
      </c>
      <c r="AZ4" s="2">
        <f t="array" ref="AZ4">MAX(IF((Tableau4[Qui]=Tableau6[[#This Row],[Nom affiche]])*(Tableau4[Quoi]="Circulation piste"),Tableau4[Date],""))</f>
        <v>0</v>
      </c>
      <c r="BA4" s="3">
        <v>3</v>
      </c>
      <c r="BB4" s="2">
        <f>DATE(YEAR(AZ4)+BA4,MONTH(AZ4),DAY(AZ4))</f>
        <v>1096</v>
      </c>
      <c r="BC4" s="2">
        <f t="array" ref="BC4">MAX(IF((Tableau4[Qui]=Tableau6[[#This Row],[Nom affiche]])*(Tableau4[Quoi]="Véhicules"),Tableau4[Date],""))</f>
        <v>0</v>
      </c>
      <c r="BD4" s="3">
        <v>15</v>
      </c>
      <c r="BE4" s="2">
        <f t="shared" ref="BE4:BE9" si="11">DATE(YEAR(BC4),MONTH(BC4),DAY(BC4)+BD4)</f>
        <v>15</v>
      </c>
      <c r="BF4" s="2">
        <f t="array" ref="BF4">MAX(IF((Tableau4[Qui]=Tableau6[[#This Row],[Nom affiche]])*(Tableau4[Quoi]="ARI"),Tableau4[Date],""))</f>
        <v>0</v>
      </c>
      <c r="BG4" s="1">
        <v>3</v>
      </c>
      <c r="BH4" s="2">
        <f t="shared" ref="BH4:BH7" si="12">DATE(YEAR(BF4),MONTH(BF4)+BG4,DAY(BF4))</f>
        <v>91</v>
      </c>
    </row>
    <row r="5" spans="2:60" x14ac:dyDescent="0.25">
      <c r="B5" s="1" t="str">
        <f t="shared" si="0"/>
        <v>ZARAGOZA Didier</v>
      </c>
      <c r="C5" s="1" t="str">
        <f t="shared" si="1"/>
        <v>ZARAGOZA Di</v>
      </c>
      <c r="D5" s="4" t="s">
        <v>32</v>
      </c>
      <c r="E5" s="4" t="s">
        <v>33</v>
      </c>
      <c r="F5" s="2">
        <v>23743</v>
      </c>
      <c r="G5" s="1">
        <f t="shared" ca="1" si="2"/>
        <v>53</v>
      </c>
      <c r="I5" s="1" t="s">
        <v>10</v>
      </c>
      <c r="J5" s="2">
        <f t="array" ref="J5">MAX(IF((Tableau4[Qui]=Tableau6[[#This Row],[Nom affiche]])*(Tableau4[Quoi]="Travail"),Tableau4[Date],""))</f>
        <v>0</v>
      </c>
      <c r="K5" s="1">
        <v>1</v>
      </c>
      <c r="L5" s="2">
        <f t="array" aca="1" ref="L5" ca="1">IF(G5&lt;18,H5,IF(J5="",EDATE(H5,3),DATE(YEAR(J5)+K5,MONTH(J5),DAY(J5))))</f>
        <v>366</v>
      </c>
      <c r="M5" s="2">
        <f t="array" ref="M5">MAX(IF((Tableau4[Qui]=Tableau6[[#This Row],[Nom affiche]])*(Tableau4[Quoi]="Médicale"),Tableau4[Date],""))</f>
        <v>0</v>
      </c>
      <c r="N5" s="1">
        <v>1</v>
      </c>
      <c r="O5" s="2">
        <f t="shared" ref="O5:O7" si="13">DATE(YEAR(M5)+N5,MONTH(M5),DAY(M5))</f>
        <v>366</v>
      </c>
      <c r="P5" s="2">
        <f t="array" ref="P5">MAX(IF((Tableau4[Qui]=Tableau6[[#This Row],[Nom affiche]])*(Tableau4[Quoi]="Permis PL"),Tableau4[Date],""))</f>
        <v>0</v>
      </c>
      <c r="Q5" s="1">
        <v>5</v>
      </c>
      <c r="R5" s="2">
        <f t="shared" ref="R5:R7" si="14">DATE(YEAR(P5)+Q5,MONTH(P5),DAY(P5))</f>
        <v>1827</v>
      </c>
      <c r="S5" s="2">
        <f t="array" ref="S5">MAX(IF((Tableau4[Qui]=Tableau6[[#This Row],[Nom affiche]])*(Tableau4[Quoi]="Aire de mouvement"),Tableau4[Date],""))</f>
        <v>0</v>
      </c>
      <c r="T5" s="1">
        <v>15</v>
      </c>
      <c r="U5" s="2">
        <f t="shared" si="3"/>
        <v>15</v>
      </c>
      <c r="V5" s="2">
        <f t="array" ref="V5">MAX(IF((Tableau4[Qui]=Tableau6[[#This Row],[Nom affiche]])*(Tableau4[Quoi]="Zone Aérodrome"),Tableau4[Date],""))</f>
        <v>0</v>
      </c>
      <c r="W5" s="1">
        <v>1</v>
      </c>
      <c r="X5" s="2">
        <f t="shared" si="4"/>
        <v>31</v>
      </c>
      <c r="Y5" s="2">
        <f t="array" ref="Y5">MAX(IF((Tableau4[Qui]=Tableau6[[#This Row],[Nom affiche]])*(Tableau4[Quoi]="Zone Voisine Aérodrome"),Tableau4[Date],""))</f>
        <v>0</v>
      </c>
      <c r="Z5" s="1">
        <v>3</v>
      </c>
      <c r="AA5" s="2">
        <f t="shared" si="5"/>
        <v>91</v>
      </c>
      <c r="AB5" s="2">
        <f t="array" ref="AB5">MAX(IF((Tableau4[Qui]=Tableau6[[#This Row],[Nom affiche]])*(Tableau4[Quoi]="EPI"),Tableau4[Date],""))</f>
        <v>0</v>
      </c>
      <c r="AC5" s="1">
        <v>3</v>
      </c>
      <c r="AD5" s="2">
        <f t="shared" si="6"/>
        <v>91</v>
      </c>
      <c r="AE5" s="2">
        <f t="array" ref="AE5">MAX(IF((Tableau4[Qui]=Tableau6[[#This Row],[Nom affiche]])*(Tableau4[Quoi]="Poudre et eau pulvé"),Tableau4[Date],""))</f>
        <v>0</v>
      </c>
      <c r="AF5" s="1">
        <v>1</v>
      </c>
      <c r="AG5" s="2">
        <f t="shared" si="7"/>
        <v>366</v>
      </c>
      <c r="AH5" s="2">
        <f t="array" ref="AH5">MAX(IF((Tableau4[Qui]=Tableau6[[#This Row],[Nom affiche]])*(Tableau4[Quoi]="Poudre métaux"),Tableau4[Date],""))</f>
        <v>0</v>
      </c>
      <c r="AI5" s="1">
        <v>5</v>
      </c>
      <c r="AJ5" s="2">
        <f t="shared" si="8"/>
        <v>1827</v>
      </c>
      <c r="AK5" s="2">
        <f t="array" ref="AK5">MAX(IF((Tableau4[Qui]=Tableau6[[#This Row],[Nom affiche]])*(Tableau4[Quoi]="CO²"),Tableau4[Date],""))</f>
        <v>0</v>
      </c>
      <c r="AL5" s="1">
        <v>1</v>
      </c>
      <c r="AM5" s="2">
        <f t="shared" ref="AM5:AM7" si="15">DATE(YEAR(AK5)+AL5,MONTH(AK5),DAY(AK5))</f>
        <v>366</v>
      </c>
      <c r="AN5" s="2">
        <f t="array" ref="AN5">MAX(IF((Tableau4[Qui]=Tableau6[[#This Row],[Nom affiche]])*(Tableau4[Quoi]="Rec SSLIA"),Tableau4[Date],""))</f>
        <v>0</v>
      </c>
      <c r="AO5" s="1">
        <v>3</v>
      </c>
      <c r="AP5" s="2">
        <f t="shared" si="9"/>
        <v>1096</v>
      </c>
      <c r="AQ5" s="2" t="e">
        <f>MAX(IF((Tableau4[Qui]=Tableau6[[#This Row],[Nom affiche]])*(Tableau4[Quoi]="Rec pompier aérodrome"),Tableau4[Date],""))</f>
        <v>#VALUE!</v>
      </c>
      <c r="AS5" s="2" t="e">
        <f t="shared" si="10"/>
        <v>#VALUE!</v>
      </c>
      <c r="AT5" s="2">
        <f t="array" ref="AT5">MAX(IF((Tableau4[Qui]=Tableau6[[#This Row],[Nom affiche]])*(Tableau4[Quoi]="Badge"),Tableau4[Date],""))</f>
        <v>0</v>
      </c>
      <c r="AU5" s="1">
        <v>3</v>
      </c>
      <c r="AV5" s="2">
        <f t="shared" ref="AV5:AV7" si="16">DATE(YEAR(AT5)+AU5,MONTH(AT5),DAY(AT5))</f>
        <v>1096</v>
      </c>
      <c r="AW5" s="2">
        <f t="array" ref="AW5">MAX(IF((Tableau4[Qui]=Tableau6[[#This Row],[Nom affiche]])*(Tableau4[Quoi]="Sûreté"),Tableau4[Date],""))</f>
        <v>0</v>
      </c>
      <c r="AX5" s="1">
        <v>3</v>
      </c>
      <c r="AY5" s="2">
        <f t="shared" ref="AY5:AY7" si="17">DATE(YEAR(AW5)+AX5,MONTH(AW5),DAY(AW5))</f>
        <v>1096</v>
      </c>
      <c r="AZ5" s="2">
        <f t="array" ref="AZ5">MAX(IF((Tableau4[Qui]=Tableau6[[#This Row],[Nom affiche]])*(Tableau4[Quoi]="Circulation piste"),Tableau4[Date],""))</f>
        <v>0</v>
      </c>
      <c r="BA5" s="1">
        <v>3</v>
      </c>
      <c r="BB5" s="2">
        <f t="shared" ref="BB5:BB7" si="18">DATE(YEAR(AZ5)+BA5,MONTH(AZ5),DAY(AZ5))</f>
        <v>1096</v>
      </c>
      <c r="BC5" s="2">
        <f t="array" ref="BC5">MAX(IF((Tableau4[Qui]=Tableau6[[#This Row],[Nom affiche]])*(Tableau4[Quoi]="Véhicules"),Tableau4[Date],""))</f>
        <v>0</v>
      </c>
      <c r="BD5" s="1">
        <v>15</v>
      </c>
      <c r="BE5" s="2">
        <f t="shared" si="11"/>
        <v>15</v>
      </c>
      <c r="BF5" s="2">
        <f t="array" ref="BF5">MAX(IF((Tableau4[Qui]=Tableau6[[#This Row],[Nom affiche]])*(Tableau4[Quoi]="ARI"),Tableau4[Date],""))</f>
        <v>0</v>
      </c>
      <c r="BG5" s="1">
        <v>3</v>
      </c>
      <c r="BH5" s="2">
        <f t="shared" si="12"/>
        <v>91</v>
      </c>
    </row>
    <row r="6" spans="2:60" x14ac:dyDescent="0.25">
      <c r="B6" s="1" t="str">
        <f t="shared" si="0"/>
        <v>SANTOS Jean-François</v>
      </c>
      <c r="C6" s="1" t="str">
        <f t="shared" si="1"/>
        <v>SANTOS Je</v>
      </c>
      <c r="D6" s="4" t="s">
        <v>34</v>
      </c>
      <c r="E6" s="4" t="s">
        <v>35</v>
      </c>
      <c r="F6" s="2">
        <v>22519</v>
      </c>
      <c r="G6" s="1">
        <f t="shared" ca="1" si="2"/>
        <v>57</v>
      </c>
      <c r="I6" s="1" t="s">
        <v>10</v>
      </c>
      <c r="J6" s="2">
        <f t="array" ref="J6">MAX(IF((Tableau4[Qui]=Tableau6[[#This Row],[Nom affiche]])*(Tableau4[Quoi]="Travail"),Tableau4[Date],""))</f>
        <v>0</v>
      </c>
      <c r="K6" s="1">
        <v>1</v>
      </c>
      <c r="L6" s="2">
        <f t="array" aca="1" ref="L6" ca="1">IF(G6&lt;18,H6,IF(J6="",EDATE(H6,3),DATE(YEAR(J6)+K6,MONTH(J6),DAY(J6))))</f>
        <v>366</v>
      </c>
      <c r="M6" s="2">
        <f t="array" ref="M6">MAX(IF((Tableau4[Qui]=Tableau6[[#This Row],[Nom affiche]])*(Tableau4[Quoi]="Médicale"),Tableau4[Date],""))</f>
        <v>0</v>
      </c>
      <c r="N6" s="1">
        <v>1</v>
      </c>
      <c r="O6" s="2">
        <f t="shared" si="13"/>
        <v>366</v>
      </c>
      <c r="P6" s="2">
        <f t="array" ref="P6">MAX(IF((Tableau4[Qui]=Tableau6[[#This Row],[Nom affiche]])*(Tableau4[Quoi]="Permis PL"),Tableau4[Date],""))</f>
        <v>0</v>
      </c>
      <c r="Q6" s="1">
        <v>5</v>
      </c>
      <c r="R6" s="2">
        <f t="shared" si="14"/>
        <v>1827</v>
      </c>
      <c r="S6" s="2">
        <f t="array" ref="S6">MAX(IF((Tableau4[Qui]=Tableau6[[#This Row],[Nom affiche]])*(Tableau4[Quoi]="Aire de mouvement"),Tableau4[Date],""))</f>
        <v>0</v>
      </c>
      <c r="T6" s="1">
        <v>15</v>
      </c>
      <c r="U6" s="2">
        <f t="shared" si="3"/>
        <v>15</v>
      </c>
      <c r="V6" s="2">
        <f t="array" ref="V6">MAX(IF((Tableau4[Qui]=Tableau6[[#This Row],[Nom affiche]])*(Tableau4[Quoi]="Zone Aérodrome"),Tableau4[Date],""))</f>
        <v>43383</v>
      </c>
      <c r="W6" s="1">
        <v>1</v>
      </c>
      <c r="X6" s="2">
        <f t="shared" si="4"/>
        <v>43414</v>
      </c>
      <c r="Y6" s="2">
        <f t="array" ref="Y6">MAX(IF((Tableau4[Qui]=Tableau6[[#This Row],[Nom affiche]])*(Tableau4[Quoi]="Zone Voisine Aérodrome"),Tableau4[Date],""))</f>
        <v>0</v>
      </c>
      <c r="Z6" s="1">
        <v>3</v>
      </c>
      <c r="AA6" s="2">
        <f t="shared" si="5"/>
        <v>91</v>
      </c>
      <c r="AB6" s="2">
        <f t="array" ref="AB6">MAX(IF((Tableau4[Qui]=Tableau6[[#This Row],[Nom affiche]])*(Tableau4[Quoi]="EPI"),Tableau4[Date],""))</f>
        <v>0</v>
      </c>
      <c r="AC6" s="1">
        <v>3</v>
      </c>
      <c r="AD6" s="2">
        <f t="shared" si="6"/>
        <v>91</v>
      </c>
      <c r="AE6" s="2">
        <f t="array" ref="AE6">MAX(IF((Tableau4[Qui]=Tableau6[[#This Row],[Nom affiche]])*(Tableau4[Quoi]="Poudre et eau pulvé"),Tableau4[Date],""))</f>
        <v>0</v>
      </c>
      <c r="AF6" s="1">
        <v>1</v>
      </c>
      <c r="AG6" s="2">
        <f t="shared" si="7"/>
        <v>366</v>
      </c>
      <c r="AH6" s="2">
        <f t="array" ref="AH6">MAX(IF((Tableau4[Qui]=Tableau6[[#This Row],[Nom affiche]])*(Tableau4[Quoi]="Poudre métaux"),Tableau4[Date],""))</f>
        <v>0</v>
      </c>
      <c r="AI6" s="1">
        <v>5</v>
      </c>
      <c r="AJ6" s="2">
        <f t="shared" si="8"/>
        <v>1827</v>
      </c>
      <c r="AK6" s="2">
        <f t="array" ref="AK6">MAX(IF((Tableau4[Qui]=Tableau6[[#This Row],[Nom affiche]])*(Tableau4[Quoi]="CO²"),Tableau4[Date],""))</f>
        <v>0</v>
      </c>
      <c r="AL6" s="1">
        <v>1</v>
      </c>
      <c r="AM6" s="2">
        <f t="shared" si="15"/>
        <v>366</v>
      </c>
      <c r="AN6" s="2">
        <f t="array" ref="AN6">MAX(IF((Tableau4[Qui]=Tableau6[[#This Row],[Nom affiche]])*(Tableau4[Quoi]="Rec SSLIA"),Tableau4[Date],""))</f>
        <v>0</v>
      </c>
      <c r="AO6" s="1">
        <v>3</v>
      </c>
      <c r="AP6" s="2">
        <f t="shared" si="9"/>
        <v>1096</v>
      </c>
      <c r="AQ6" s="2" t="e">
        <f>MAX(IF((Tableau4[Qui]=Tableau6[[#This Row],[Nom affiche]])*(Tableau4[Quoi]="Rec pompier aérodrome"),Tableau4[Date],""))</f>
        <v>#VALUE!</v>
      </c>
      <c r="AS6" s="2" t="e">
        <f t="shared" si="10"/>
        <v>#VALUE!</v>
      </c>
      <c r="AT6" s="2">
        <f t="array" ref="AT6">MAX(IF((Tableau4[Qui]=Tableau6[[#This Row],[Nom affiche]])*(Tableau4[Quoi]="Badge"),Tableau4[Date],""))</f>
        <v>0</v>
      </c>
      <c r="AU6" s="1">
        <v>3</v>
      </c>
      <c r="AV6" s="2">
        <f t="shared" si="16"/>
        <v>1096</v>
      </c>
      <c r="AW6" s="2">
        <f t="array" ref="AW6">MAX(IF((Tableau4[Qui]=Tableau6[[#This Row],[Nom affiche]])*(Tableau4[Quoi]="Sûreté"),Tableau4[Date],""))</f>
        <v>0</v>
      </c>
      <c r="AX6" s="1">
        <v>3</v>
      </c>
      <c r="AY6" s="2">
        <f t="shared" si="17"/>
        <v>1096</v>
      </c>
      <c r="AZ6" s="2">
        <f t="array" ref="AZ6">MAX(IF((Tableau4[Qui]=Tableau6[[#This Row],[Nom affiche]])*(Tableau4[Quoi]="Circulation piste"),Tableau4[Date],""))</f>
        <v>0</v>
      </c>
      <c r="BA6" s="1">
        <v>3</v>
      </c>
      <c r="BB6" s="2">
        <f t="shared" si="18"/>
        <v>1096</v>
      </c>
      <c r="BC6" s="2">
        <f t="array" ref="BC6">MAX(IF((Tableau4[Qui]=Tableau6[[#This Row],[Nom affiche]])*(Tableau4[Quoi]="Véhicules"),Tableau4[Date],""))</f>
        <v>0</v>
      </c>
      <c r="BD6" s="1">
        <v>15</v>
      </c>
      <c r="BE6" s="2">
        <f t="shared" si="11"/>
        <v>15</v>
      </c>
      <c r="BF6" s="2">
        <f t="array" ref="BF6">MAX(IF((Tableau4[Qui]=Tableau6[[#This Row],[Nom affiche]])*(Tableau4[Quoi]="ARI"),Tableau4[Date],""))</f>
        <v>0</v>
      </c>
      <c r="BG6" s="1">
        <v>3</v>
      </c>
      <c r="BH6" s="2">
        <f t="shared" si="12"/>
        <v>91</v>
      </c>
    </row>
    <row r="7" spans="2:60" x14ac:dyDescent="0.25">
      <c r="B7" s="1" t="str">
        <f t="shared" si="0"/>
        <v>NAVARRO Christophe</v>
      </c>
      <c r="C7" s="1" t="str">
        <f t="shared" si="1"/>
        <v>NAVARRO Ch</v>
      </c>
      <c r="D7" s="4" t="s">
        <v>36</v>
      </c>
      <c r="E7" s="4" t="s">
        <v>37</v>
      </c>
      <c r="F7" s="2">
        <v>26246</v>
      </c>
      <c r="G7" s="1">
        <f t="shared" ca="1" si="2"/>
        <v>46</v>
      </c>
      <c r="I7" s="1" t="s">
        <v>10</v>
      </c>
      <c r="J7" s="2">
        <f t="array" ref="J7">MAX(IF((Tableau4[Qui]=Tableau6[[#This Row],[Nom affiche]])*(Tableau4[Quoi]="Travail"),Tableau4[Date],""))</f>
        <v>0</v>
      </c>
      <c r="K7" s="1">
        <v>1</v>
      </c>
      <c r="L7" s="2">
        <f t="array" aca="1" ref="L7" ca="1">IF(G7&lt;18,H7,IF(J7="",EDATE(H7,3),DATE(YEAR(J7)+K7,MONTH(J7),DAY(J7))))</f>
        <v>366</v>
      </c>
      <c r="M7" s="2">
        <f t="array" ref="M7">MAX(IF((Tableau4[Qui]=Tableau6[[#This Row],[Nom affiche]])*(Tableau4[Quoi]="Médicale"),Tableau4[Date],""))</f>
        <v>0</v>
      </c>
      <c r="N7" s="1">
        <v>1</v>
      </c>
      <c r="O7" s="2">
        <f t="shared" si="13"/>
        <v>366</v>
      </c>
      <c r="P7" s="2">
        <f t="array" ref="P7">MAX(IF((Tableau4[Qui]=Tableau6[[#This Row],[Nom affiche]])*(Tableau4[Quoi]="Permis PL"),Tableau4[Date],""))</f>
        <v>0</v>
      </c>
      <c r="Q7" s="1">
        <v>5</v>
      </c>
      <c r="R7" s="2">
        <f t="shared" si="14"/>
        <v>1827</v>
      </c>
      <c r="S7" s="2">
        <f t="array" ref="S7">MAX(IF((Tableau4[Qui]=Tableau6[[#This Row],[Nom affiche]])*(Tableau4[Quoi]="Aire de mouvement"),Tableau4[Date],""))</f>
        <v>0</v>
      </c>
      <c r="T7" s="1">
        <v>15</v>
      </c>
      <c r="U7" s="2">
        <f t="shared" si="3"/>
        <v>15</v>
      </c>
      <c r="V7" s="2">
        <f t="array" ref="V7">MAX(IF((Tableau4[Qui]=Tableau6[[#This Row],[Nom affiche]])*(Tableau4[Quoi]="Zone Aérodrome"),Tableau4[Date],""))</f>
        <v>0</v>
      </c>
      <c r="W7" s="1">
        <v>1</v>
      </c>
      <c r="X7" s="2">
        <f t="shared" si="4"/>
        <v>31</v>
      </c>
      <c r="Y7" s="2">
        <f t="array" ref="Y7">MAX(IF((Tableau4[Qui]=Tableau6[[#This Row],[Nom affiche]])*(Tableau4[Quoi]="Zone Voisine Aérodrome"),Tableau4[Date],""))</f>
        <v>0</v>
      </c>
      <c r="Z7" s="1">
        <v>3</v>
      </c>
      <c r="AA7" s="2">
        <f t="shared" si="5"/>
        <v>91</v>
      </c>
      <c r="AB7" s="2">
        <f t="array" ref="AB7">MAX(IF((Tableau4[Qui]=Tableau6[[#This Row],[Nom affiche]])*(Tableau4[Quoi]="EPI"),Tableau4[Date],""))</f>
        <v>0</v>
      </c>
      <c r="AC7" s="1">
        <v>3</v>
      </c>
      <c r="AD7" s="2">
        <f t="shared" si="6"/>
        <v>91</v>
      </c>
      <c r="AE7" s="2">
        <f t="array" ref="AE7">MAX(IF((Tableau4[Qui]=Tableau6[[#This Row],[Nom affiche]])*(Tableau4[Quoi]="Poudre et eau pulvé"),Tableau4[Date],""))</f>
        <v>0</v>
      </c>
      <c r="AF7" s="1">
        <v>1</v>
      </c>
      <c r="AG7" s="2">
        <f t="shared" si="7"/>
        <v>366</v>
      </c>
      <c r="AH7" s="2">
        <f t="array" ref="AH7">MAX(IF((Tableau4[Qui]=Tableau6[[#This Row],[Nom affiche]])*(Tableau4[Quoi]="Poudre métaux"),Tableau4[Date],""))</f>
        <v>0</v>
      </c>
      <c r="AI7" s="1">
        <v>5</v>
      </c>
      <c r="AJ7" s="2">
        <f t="shared" si="8"/>
        <v>1827</v>
      </c>
      <c r="AK7" s="2">
        <f t="array" ref="AK7">MAX(IF((Tableau4[Qui]=Tableau6[[#This Row],[Nom affiche]])*(Tableau4[Quoi]="CO²"),Tableau4[Date],""))</f>
        <v>0</v>
      </c>
      <c r="AL7" s="1">
        <v>1</v>
      </c>
      <c r="AM7" s="2">
        <f t="shared" si="15"/>
        <v>366</v>
      </c>
      <c r="AN7" s="2">
        <f t="array" ref="AN7">MAX(IF((Tableau4[Qui]=Tableau6[[#This Row],[Nom affiche]])*(Tableau4[Quoi]="Rec SSLIA"),Tableau4[Date],""))</f>
        <v>0</v>
      </c>
      <c r="AO7" s="1">
        <v>3</v>
      </c>
      <c r="AP7" s="2">
        <f t="shared" si="9"/>
        <v>1096</v>
      </c>
      <c r="AQ7" s="2" t="e">
        <f>MAX(IF((Tableau4[Qui]=Tableau6[[#This Row],[Nom affiche]])*(Tableau4[Quoi]="Rec pompier aérodrome"),Tableau4[Date],""))</f>
        <v>#VALUE!</v>
      </c>
      <c r="AS7" s="2" t="e">
        <f t="shared" si="10"/>
        <v>#VALUE!</v>
      </c>
      <c r="AT7" s="2">
        <f t="array" ref="AT7">MAX(IF((Tableau4[Qui]=Tableau6[[#This Row],[Nom affiche]])*(Tableau4[Quoi]="Badge"),Tableau4[Date],""))</f>
        <v>0</v>
      </c>
      <c r="AU7" s="1">
        <v>3</v>
      </c>
      <c r="AV7" s="2">
        <f t="shared" si="16"/>
        <v>1096</v>
      </c>
      <c r="AW7" s="2">
        <f t="array" ref="AW7">MAX(IF((Tableau4[Qui]=Tableau6[[#This Row],[Nom affiche]])*(Tableau4[Quoi]="Sûreté"),Tableau4[Date],""))</f>
        <v>0</v>
      </c>
      <c r="AX7" s="1">
        <v>3</v>
      </c>
      <c r="AY7" s="2">
        <f t="shared" si="17"/>
        <v>1096</v>
      </c>
      <c r="AZ7" s="2">
        <f t="array" ref="AZ7">MAX(IF((Tableau4[Qui]=Tableau6[[#This Row],[Nom affiche]])*(Tableau4[Quoi]="Circulation piste"),Tableau4[Date],""))</f>
        <v>0</v>
      </c>
      <c r="BA7" s="1">
        <v>3</v>
      </c>
      <c r="BB7" s="2">
        <f t="shared" si="18"/>
        <v>1096</v>
      </c>
      <c r="BC7" s="2">
        <f t="array" ref="BC7">MAX(IF((Tableau4[Qui]=Tableau6[[#This Row],[Nom affiche]])*(Tableau4[Quoi]="Véhicules"),Tableau4[Date],""))</f>
        <v>0</v>
      </c>
      <c r="BD7" s="1">
        <v>15</v>
      </c>
      <c r="BE7" s="2">
        <f t="shared" si="11"/>
        <v>15</v>
      </c>
      <c r="BF7" s="2">
        <f t="array" ref="BF7">MAX(IF((Tableau4[Qui]=Tableau6[[#This Row],[Nom affiche]])*(Tableau4[Quoi]="ARI"),Tableau4[Date],""))</f>
        <v>0</v>
      </c>
      <c r="BG7" s="1">
        <v>3</v>
      </c>
      <c r="BH7" s="2">
        <f t="shared" si="12"/>
        <v>91</v>
      </c>
    </row>
    <row r="8" spans="2:60" x14ac:dyDescent="0.25">
      <c r="B8" s="1" t="str">
        <f t="shared" si="0"/>
        <v>AUDIE Anthony</v>
      </c>
      <c r="C8" s="1" t="str">
        <f t="shared" si="1"/>
        <v>AUDIE An</v>
      </c>
      <c r="D8" s="4" t="s">
        <v>38</v>
      </c>
      <c r="E8" s="4" t="s">
        <v>39</v>
      </c>
      <c r="F8" s="2">
        <v>30149</v>
      </c>
      <c r="G8" s="1">
        <f t="shared" ca="1" si="2"/>
        <v>36</v>
      </c>
      <c r="H8" s="2"/>
      <c r="I8" s="1" t="s">
        <v>10</v>
      </c>
      <c r="J8" s="2">
        <f t="array" ref="J8">MAX(IF((Tableau4[Qui]=Tableau6[[#This Row],[Nom affiche]])*(Tableau4[Quoi]="Travail"),Tableau4[Date],""))</f>
        <v>0</v>
      </c>
      <c r="K8" s="1">
        <v>1</v>
      </c>
      <c r="L8" s="2">
        <f t="array" aca="1" ref="L8" ca="1">IF(G8&lt;18,H8,IF(J8="",EDATE(H8,3),DATE(YEAR(J8)+K8,MONTH(J8),DAY(J8))))</f>
        <v>366</v>
      </c>
      <c r="M8" s="2">
        <f t="array" ref="M8">MAX(IF((Tableau4[Qui]=Tableau6[[#This Row],[Nom affiche]])*(Tableau4[Quoi]="Médicale"),Tableau4[Date],""))</f>
        <v>0</v>
      </c>
      <c r="N8" s="1">
        <v>1</v>
      </c>
      <c r="O8" s="2">
        <f t="shared" ref="O8:O17" si="19">DATE(YEAR(M8)+N8,MONTH(M8),DAY(M8))</f>
        <v>366</v>
      </c>
      <c r="P8" s="2">
        <f t="array" ref="P8">MAX(IF((Tableau4[Qui]=Tableau6[[#This Row],[Nom affiche]])*(Tableau4[Quoi]="Permis PL"),Tableau4[Date],""))</f>
        <v>0</v>
      </c>
      <c r="Q8" s="1">
        <v>5</v>
      </c>
      <c r="R8" s="2">
        <f t="shared" ref="R8:R17" si="20">DATE(YEAR(P8)+Q8,MONTH(P8),DAY(P8))</f>
        <v>1827</v>
      </c>
      <c r="S8" s="2">
        <f t="array" ref="S8">MAX(IF((Tableau4[Qui]=Tableau6[[#This Row],[Nom affiche]])*(Tableau4[Quoi]="Aire de mouvement"),Tableau4[Date],""))</f>
        <v>0</v>
      </c>
      <c r="T8" s="1">
        <v>15</v>
      </c>
      <c r="U8" s="2">
        <f t="shared" si="3"/>
        <v>15</v>
      </c>
      <c r="V8" s="2">
        <f t="array" ref="V8">MAX(IF((Tableau4[Qui]=Tableau6[[#This Row],[Nom affiche]])*(Tableau4[Quoi]="Zone Aérodrome"),Tableau4[Date],""))</f>
        <v>0</v>
      </c>
      <c r="W8" s="1">
        <v>1</v>
      </c>
      <c r="X8" s="2">
        <f t="shared" si="4"/>
        <v>31</v>
      </c>
      <c r="Y8" s="2">
        <f t="array" ref="Y8">MAX(IF((Tableau4[Qui]=Tableau6[[#This Row],[Nom affiche]])*(Tableau4[Quoi]="Zone Voisine Aérodrome"),Tableau4[Date],""))</f>
        <v>0</v>
      </c>
      <c r="Z8" s="1">
        <v>3</v>
      </c>
      <c r="AA8" s="2">
        <f t="shared" si="5"/>
        <v>91</v>
      </c>
      <c r="AB8" s="2">
        <f t="array" ref="AB8">MAX(IF((Tableau4[Qui]=Tableau6[[#This Row],[Nom affiche]])*(Tableau4[Quoi]="EPI"),Tableau4[Date],""))</f>
        <v>0</v>
      </c>
      <c r="AC8" s="1">
        <v>3</v>
      </c>
      <c r="AD8" s="2">
        <f t="shared" si="6"/>
        <v>91</v>
      </c>
      <c r="AE8" s="2">
        <f t="array" ref="AE8">MAX(IF((Tableau4[Qui]=Tableau6[[#This Row],[Nom affiche]])*(Tableau4[Quoi]="Poudre et eau pulvé"),Tableau4[Date],""))</f>
        <v>0</v>
      </c>
      <c r="AF8" s="1">
        <v>1</v>
      </c>
      <c r="AG8" s="2">
        <f t="shared" si="7"/>
        <v>366</v>
      </c>
      <c r="AH8" s="2">
        <f t="array" ref="AH8">MAX(IF((Tableau4[Qui]=Tableau6[[#This Row],[Nom affiche]])*(Tableau4[Quoi]="Poudre métaux"),Tableau4[Date],""))</f>
        <v>0</v>
      </c>
      <c r="AI8" s="1">
        <v>5</v>
      </c>
      <c r="AJ8" s="2">
        <f t="shared" si="8"/>
        <v>1827</v>
      </c>
      <c r="AK8" s="2">
        <f t="array" ref="AK8">MAX(IF((Tableau4[Qui]=Tableau6[[#This Row],[Nom affiche]])*(Tableau4[Quoi]="CO²"),Tableau4[Date],""))</f>
        <v>0</v>
      </c>
      <c r="AL8" s="1">
        <v>1</v>
      </c>
      <c r="AM8" s="2">
        <f t="shared" ref="AM8:AM17" si="21">DATE(YEAR(AK8)+AL8,MONTH(AK8),DAY(AK8))</f>
        <v>366</v>
      </c>
      <c r="AN8" s="2">
        <f t="array" ref="AN8">MAX(IF((Tableau4[Qui]=Tableau6[[#This Row],[Nom affiche]])*(Tableau4[Quoi]="Rec SSLIA"),Tableau4[Date],""))</f>
        <v>0</v>
      </c>
      <c r="AO8" s="1">
        <v>3</v>
      </c>
      <c r="AP8" s="2">
        <f t="shared" si="9"/>
        <v>1096</v>
      </c>
      <c r="AQ8" s="2" t="e">
        <f>MAX(IF((Tableau4[Qui]=Tableau6[[#This Row],[Nom affiche]])*(Tableau4[Quoi]="Rec pompier aérodrome"),Tableau4[Date],""))</f>
        <v>#VALUE!</v>
      </c>
      <c r="AS8" s="2" t="e">
        <f t="shared" si="10"/>
        <v>#VALUE!</v>
      </c>
      <c r="AT8" s="2">
        <f t="array" ref="AT8">MAX(IF((Tableau4[Qui]=Tableau6[[#This Row],[Nom affiche]])*(Tableau4[Quoi]="Badge"),Tableau4[Date],""))</f>
        <v>0</v>
      </c>
      <c r="AU8" s="1">
        <v>3</v>
      </c>
      <c r="AV8" s="2">
        <f t="shared" ref="AV8:AV17" si="22">DATE(YEAR(AT8)+AU8,MONTH(AT8),DAY(AT8))</f>
        <v>1096</v>
      </c>
      <c r="AW8" s="2">
        <f t="array" ref="AW8">MAX(IF((Tableau4[Qui]=Tableau6[[#This Row],[Nom affiche]])*(Tableau4[Quoi]="Sûreté"),Tableau4[Date],""))</f>
        <v>0</v>
      </c>
      <c r="AX8" s="1">
        <v>3</v>
      </c>
      <c r="AY8" s="2">
        <f t="shared" ref="AY8:AY17" si="23">DATE(YEAR(AW8)+AX8,MONTH(AW8),DAY(AW8))</f>
        <v>1096</v>
      </c>
      <c r="AZ8" s="2">
        <f t="array" ref="AZ8">MAX(IF((Tableau4[Qui]=Tableau6[[#This Row],[Nom affiche]])*(Tableau4[Quoi]="Circulation piste"),Tableau4[Date],""))</f>
        <v>0</v>
      </c>
      <c r="BA8" s="1">
        <v>3</v>
      </c>
      <c r="BB8" s="2">
        <f t="shared" ref="BB8:BB17" si="24">DATE(YEAR(AZ8)+BA8,MONTH(AZ8),DAY(AZ8))</f>
        <v>1096</v>
      </c>
      <c r="BC8" s="2">
        <f t="array" ref="BC8">MAX(IF((Tableau4[Qui]=Tableau6[[#This Row],[Nom affiche]])*(Tableau4[Quoi]="Véhicules"),Tableau4[Date],""))</f>
        <v>0</v>
      </c>
      <c r="BD8" s="1">
        <v>15</v>
      </c>
      <c r="BE8" s="2">
        <f t="shared" si="11"/>
        <v>15</v>
      </c>
      <c r="BF8" s="2">
        <f t="array" ref="BF8">MAX(IF((Tableau4[Qui]=Tableau6[[#This Row],[Nom affiche]])*(Tableau4[Quoi]="ARI"),Tableau4[Date],""))</f>
        <v>0</v>
      </c>
      <c r="BG8" s="1">
        <v>3</v>
      </c>
      <c r="BH8" s="2">
        <f t="shared" ref="BH8:BH17" si="25">DATE(YEAR(BF8),MONTH(BF8)+BG8,DAY(BF8))</f>
        <v>91</v>
      </c>
    </row>
    <row r="9" spans="2:60" x14ac:dyDescent="0.25">
      <c r="B9" s="3" t="str">
        <f t="shared" ref="B9:B17" si="26">D9&amp;" "&amp;E9</f>
        <v>DISTEFANO Alexis</v>
      </c>
      <c r="C9" s="3" t="str">
        <f t="shared" ref="C9:C17" si="27">D9&amp;" "&amp;MID(E9,1,2)</f>
        <v>DISTEFANO Al</v>
      </c>
      <c r="D9" s="4" t="s">
        <v>40</v>
      </c>
      <c r="E9" s="4" t="s">
        <v>41</v>
      </c>
      <c r="F9" s="2">
        <v>26392</v>
      </c>
      <c r="G9" s="1">
        <f t="shared" ca="1" si="2"/>
        <v>46</v>
      </c>
      <c r="H9" s="2"/>
      <c r="I9" s="1" t="s">
        <v>10</v>
      </c>
      <c r="J9" s="2">
        <f t="array" ref="J9">MAX(IF((Tableau4[Qui]=Tableau6[[#This Row],[Nom affiche]])*(Tableau4[Quoi]="Travail"),Tableau4[Date],""))</f>
        <v>0</v>
      </c>
      <c r="K9" s="1">
        <v>1</v>
      </c>
      <c r="L9" s="2">
        <f t="array" aca="1" ref="L9" ca="1">IF(G9&lt;18,H9,IF(J9="",EDATE(H9,3),DATE(YEAR(J9)+K9,MONTH(J9),DAY(J9))))</f>
        <v>366</v>
      </c>
      <c r="M9" s="2">
        <f t="array" ref="M9">MAX(IF((Tableau4[Qui]=Tableau6[[#This Row],[Nom affiche]])*(Tableau4[Quoi]="Médicale"),Tableau4[Date],""))</f>
        <v>0</v>
      </c>
      <c r="N9" s="1">
        <v>1</v>
      </c>
      <c r="O9" s="2">
        <f t="shared" si="19"/>
        <v>366</v>
      </c>
      <c r="P9" s="2">
        <f t="array" ref="P9">MAX(IF((Tableau4[Qui]=Tableau6[[#This Row],[Nom affiche]])*(Tableau4[Quoi]="Permis PL"),Tableau4[Date],""))</f>
        <v>0</v>
      </c>
      <c r="Q9" s="1">
        <v>5</v>
      </c>
      <c r="R9" s="2">
        <f t="shared" si="20"/>
        <v>1827</v>
      </c>
      <c r="S9" s="2">
        <f t="array" ref="S9">MAX(IF((Tableau4[Qui]=Tableau6[[#This Row],[Nom affiche]])*(Tableau4[Quoi]="Aire de mouvement"),Tableau4[Date],""))</f>
        <v>0</v>
      </c>
      <c r="T9" s="1">
        <v>15</v>
      </c>
      <c r="U9" s="2">
        <f t="shared" si="3"/>
        <v>15</v>
      </c>
      <c r="V9" s="2">
        <f t="array" ref="V9">MAX(IF((Tableau4[Qui]=Tableau6[[#This Row],[Nom affiche]])*(Tableau4[Quoi]="Zone Aérodrome"),Tableau4[Date],""))</f>
        <v>0</v>
      </c>
      <c r="W9" s="1">
        <v>1</v>
      </c>
      <c r="X9" s="2">
        <f t="shared" si="4"/>
        <v>31</v>
      </c>
      <c r="Y9" s="2">
        <f t="array" ref="Y9">MAX(IF((Tableau4[Qui]=Tableau6[[#This Row],[Nom affiche]])*(Tableau4[Quoi]="Zone Voisine Aérodrome"),Tableau4[Date],""))</f>
        <v>0</v>
      </c>
      <c r="Z9" s="1">
        <v>3</v>
      </c>
      <c r="AA9" s="2">
        <f t="shared" si="5"/>
        <v>91</v>
      </c>
      <c r="AB9" s="2">
        <f t="array" ref="AB9">MAX(IF((Tableau4[Qui]=Tableau6[[#This Row],[Nom affiche]])*(Tableau4[Quoi]="EPI"),Tableau4[Date],""))</f>
        <v>0</v>
      </c>
      <c r="AC9" s="1">
        <v>3</v>
      </c>
      <c r="AD9" s="2">
        <f t="shared" si="6"/>
        <v>91</v>
      </c>
      <c r="AE9" s="2">
        <f t="array" ref="AE9">MAX(IF((Tableau4[Qui]=Tableau6[[#This Row],[Nom affiche]])*(Tableau4[Quoi]="Poudre et eau pulvé"),Tableau4[Date],""))</f>
        <v>0</v>
      </c>
      <c r="AF9" s="1">
        <v>1</v>
      </c>
      <c r="AG9" s="2">
        <f t="shared" si="7"/>
        <v>366</v>
      </c>
      <c r="AH9" s="2">
        <f t="array" ref="AH9">MAX(IF((Tableau4[Qui]=Tableau6[[#This Row],[Nom affiche]])*(Tableau4[Quoi]="Poudre métaux"),Tableau4[Date],""))</f>
        <v>0</v>
      </c>
      <c r="AI9" s="1">
        <v>5</v>
      </c>
      <c r="AJ9" s="2">
        <f t="shared" si="8"/>
        <v>1827</v>
      </c>
      <c r="AK9" s="2">
        <f t="array" ref="AK9">MAX(IF((Tableau4[Qui]=Tableau6[[#This Row],[Nom affiche]])*(Tableau4[Quoi]="CO²"),Tableau4[Date],""))</f>
        <v>0</v>
      </c>
      <c r="AL9" s="1">
        <v>1</v>
      </c>
      <c r="AM9" s="2">
        <f t="shared" si="21"/>
        <v>366</v>
      </c>
      <c r="AN9" s="2">
        <f t="array" ref="AN9">MAX(IF((Tableau4[Qui]=Tableau6[[#This Row],[Nom affiche]])*(Tableau4[Quoi]="Rec SSLIA"),Tableau4[Date],""))</f>
        <v>0</v>
      </c>
      <c r="AO9" s="1">
        <v>3</v>
      </c>
      <c r="AP9" s="2">
        <f t="shared" si="9"/>
        <v>1096</v>
      </c>
      <c r="AQ9" s="2" t="e">
        <f>MAX(IF((Tableau4[Qui]=Tableau6[[#This Row],[Nom affiche]])*(Tableau4[Quoi]="Rec pompier aérodrome"),Tableau4[Date],""))</f>
        <v>#VALUE!</v>
      </c>
      <c r="AS9" s="2" t="e">
        <f t="shared" si="10"/>
        <v>#VALUE!</v>
      </c>
      <c r="AT9" s="2">
        <f t="array" ref="AT9">MAX(IF((Tableau4[Qui]=Tableau6[[#This Row],[Nom affiche]])*(Tableau4[Quoi]="Badge"),Tableau4[Date],""))</f>
        <v>0</v>
      </c>
      <c r="AU9" s="1">
        <v>3</v>
      </c>
      <c r="AV9" s="2">
        <f t="shared" si="22"/>
        <v>1096</v>
      </c>
      <c r="AW9" s="2">
        <f t="array" ref="AW9">MAX(IF((Tableau4[Qui]=Tableau6[[#This Row],[Nom affiche]])*(Tableau4[Quoi]="Sûreté"),Tableau4[Date],""))</f>
        <v>0</v>
      </c>
      <c r="AX9" s="1">
        <v>3</v>
      </c>
      <c r="AY9" s="2">
        <f t="shared" si="23"/>
        <v>1096</v>
      </c>
      <c r="AZ9" s="2">
        <f t="array" ref="AZ9">MAX(IF((Tableau4[Qui]=Tableau6[[#This Row],[Nom affiche]])*(Tableau4[Quoi]="Circulation piste"),Tableau4[Date],""))</f>
        <v>0</v>
      </c>
      <c r="BA9" s="1">
        <v>3</v>
      </c>
      <c r="BB9" s="2">
        <f t="shared" si="24"/>
        <v>1096</v>
      </c>
      <c r="BC9" s="2">
        <f t="array" ref="BC9">MAX(IF((Tableau4[Qui]=Tableau6[[#This Row],[Nom affiche]])*(Tableau4[Quoi]="Véhicules"),Tableau4[Date],""))</f>
        <v>0</v>
      </c>
      <c r="BD9" s="1">
        <v>15</v>
      </c>
      <c r="BE9" s="2">
        <f t="shared" si="11"/>
        <v>15</v>
      </c>
      <c r="BF9" s="2">
        <f t="array" ref="BF9">MAX(IF((Tableau4[Qui]=Tableau6[[#This Row],[Nom affiche]])*(Tableau4[Quoi]="ARI"),Tableau4[Date],""))</f>
        <v>0</v>
      </c>
      <c r="BG9" s="1">
        <v>3</v>
      </c>
      <c r="BH9" s="2">
        <f t="shared" si="25"/>
        <v>91</v>
      </c>
    </row>
    <row r="10" spans="2:60" x14ac:dyDescent="0.25">
      <c r="B10" s="3" t="str">
        <f t="shared" si="26"/>
        <v>SCHWEITZER Jean-Michel</v>
      </c>
      <c r="C10" s="3" t="str">
        <f t="shared" si="27"/>
        <v>SCHWEITZER Je</v>
      </c>
      <c r="D10" s="4" t="s">
        <v>22</v>
      </c>
      <c r="E10" s="4" t="s">
        <v>23</v>
      </c>
      <c r="F10" s="2">
        <v>26497</v>
      </c>
      <c r="G10" s="1">
        <f t="shared" ca="1" si="2"/>
        <v>46</v>
      </c>
      <c r="H10" s="2">
        <v>39532</v>
      </c>
      <c r="I10" s="1" t="s">
        <v>10</v>
      </c>
      <c r="J10" s="2">
        <f t="array" ref="J10">MAX(IF((Tableau4[Qui]=Tableau6[[#This Row],[Nom affiche]])*(Tableau4[Quoi]="Travail"),Tableau4[Date],""))</f>
        <v>0</v>
      </c>
      <c r="K10" s="1">
        <v>1</v>
      </c>
      <c r="L10" s="2">
        <f t="array" aca="1" ref="L10" ca="1">IF(G10&lt;18,H10,IF(J10="",EDATE(H10,3),DATE(YEAR(J10)+K10,MONTH(J10),DAY(J10))))</f>
        <v>366</v>
      </c>
      <c r="M10" s="2">
        <f t="array" ref="M10">MAX(IF((Tableau4[Qui]=Tableau6[[#This Row],[Nom affiche]])*(Tableau4[Quoi]="Médicale"),Tableau4[Date],""))</f>
        <v>0</v>
      </c>
      <c r="N10" s="1">
        <v>1</v>
      </c>
      <c r="O10" s="2">
        <f t="shared" si="19"/>
        <v>366</v>
      </c>
      <c r="P10" s="2">
        <f t="array" ref="P10">MAX(IF((Tableau4[Qui]=Tableau6[[#This Row],[Nom affiche]])*(Tableau4[Quoi]="Permis PL"),Tableau4[Date],""))</f>
        <v>0</v>
      </c>
      <c r="Q10" s="1">
        <v>5</v>
      </c>
      <c r="R10" s="2">
        <f t="shared" si="20"/>
        <v>1827</v>
      </c>
      <c r="S10" s="2">
        <f t="array" ref="S10">MAX(IF((Tableau4[Qui]=Tableau6[[#This Row],[Nom affiche]])*(Tableau4[Quoi]="Aire de mouvement"),Tableau4[Date],""))</f>
        <v>0</v>
      </c>
      <c r="T10" s="1">
        <v>15</v>
      </c>
      <c r="U10" s="2">
        <f t="shared" si="3"/>
        <v>15</v>
      </c>
      <c r="V10" s="2">
        <f t="array" ref="V10">MAX(IF((Tableau4[Qui]=Tableau6[[#This Row],[Nom affiche]])*(Tableau4[Quoi]="Zone Aérodrome"),Tableau4[Date],""))</f>
        <v>43383</v>
      </c>
      <c r="W10" s="1">
        <v>1</v>
      </c>
      <c r="X10" s="2">
        <f t="shared" si="4"/>
        <v>43414</v>
      </c>
      <c r="Y10" s="2">
        <f t="array" ref="Y10">MAX(IF((Tableau4[Qui]=Tableau6[[#This Row],[Nom affiche]])*(Tableau4[Quoi]="Zone Voisine Aérodrome"),Tableau4[Date],""))</f>
        <v>0</v>
      </c>
      <c r="Z10" s="1">
        <v>3</v>
      </c>
      <c r="AA10" s="2">
        <f t="shared" si="5"/>
        <v>91</v>
      </c>
      <c r="AB10" s="2">
        <f t="array" ref="AB10">MAX(IF((Tableau4[Qui]=Tableau6[[#This Row],[Nom affiche]])*(Tableau4[Quoi]="EPI"),Tableau4[Date],""))</f>
        <v>0</v>
      </c>
      <c r="AC10" s="1">
        <v>3</v>
      </c>
      <c r="AD10" s="2">
        <f t="shared" si="6"/>
        <v>91</v>
      </c>
      <c r="AE10" s="2">
        <f t="array" ref="AE10">MAX(IF((Tableau4[Qui]=Tableau6[[#This Row],[Nom affiche]])*(Tableau4[Quoi]="Poudre et eau pulvé"),Tableau4[Date],""))</f>
        <v>0</v>
      </c>
      <c r="AF10" s="1">
        <v>1</v>
      </c>
      <c r="AG10" s="2">
        <f t="shared" si="7"/>
        <v>366</v>
      </c>
      <c r="AH10" s="2">
        <f t="array" ref="AH10">MAX(IF((Tableau4[Qui]=Tableau6[[#This Row],[Nom affiche]])*(Tableau4[Quoi]="Poudre métaux"),Tableau4[Date],""))</f>
        <v>0</v>
      </c>
      <c r="AI10" s="1">
        <v>5</v>
      </c>
      <c r="AJ10" s="2">
        <f t="shared" si="8"/>
        <v>1827</v>
      </c>
      <c r="AK10" s="2">
        <f t="array" ref="AK10">MAX(IF((Tableau4[Qui]=Tableau6[[#This Row],[Nom affiche]])*(Tableau4[Quoi]="CO²"),Tableau4[Date],""))</f>
        <v>0</v>
      </c>
      <c r="AL10" s="1">
        <v>1</v>
      </c>
      <c r="AM10" s="2">
        <f t="shared" si="21"/>
        <v>366</v>
      </c>
      <c r="AN10" s="2">
        <f t="array" ref="AN10">MAX(IF((Tableau4[Qui]=Tableau6[[#This Row],[Nom affiche]])*(Tableau4[Quoi]="Rec SSLIA"),Tableau4[Date],""))</f>
        <v>0</v>
      </c>
      <c r="AO10" s="1">
        <v>3</v>
      </c>
      <c r="AP10" s="2">
        <f t="shared" ref="AP10:AP17" si="28">IF(AN10="","",DATE(YEAR(AN10)+AO10,MONTH(AN10),DAY(AN10)))</f>
        <v>1096</v>
      </c>
      <c r="AQ10" s="2" t="e">
        <f>MAX(IF((Tableau4[Qui]=Tableau6[[#This Row],[Nom affiche]])*(Tableau4[Quoi]="Rec pompier aérodrome"),Tableau4[Date],""))</f>
        <v>#VALUE!</v>
      </c>
      <c r="AS10" s="2" t="e">
        <f t="shared" ref="AS10:AS17" si="29">IF(AQ10="","",DATE(YEAR(AQ10)+AR10,MONTH(AQ10),DAY(AQ10)))</f>
        <v>#VALUE!</v>
      </c>
      <c r="AT10" s="2">
        <f t="array" ref="AT10">MAX(IF((Tableau4[Qui]=Tableau6[[#This Row],[Nom affiche]])*(Tableau4[Quoi]="Badge"),Tableau4[Date],""))</f>
        <v>0</v>
      </c>
      <c r="AU10" s="1">
        <v>3</v>
      </c>
      <c r="AV10" s="2">
        <f t="shared" si="22"/>
        <v>1096</v>
      </c>
      <c r="AW10" s="2">
        <f t="array" ref="AW10">MAX(IF((Tableau4[Qui]=Tableau6[[#This Row],[Nom affiche]])*(Tableau4[Quoi]="Sûreté"),Tableau4[Date],""))</f>
        <v>0</v>
      </c>
      <c r="AX10" s="1">
        <v>3</v>
      </c>
      <c r="AY10" s="2">
        <f t="shared" si="23"/>
        <v>1096</v>
      </c>
      <c r="AZ10" s="2">
        <f t="array" ref="AZ10">MAX(IF((Tableau4[Qui]=Tableau6[[#This Row],[Nom affiche]])*(Tableau4[Quoi]="Circulation piste"),Tableau4[Date],""))</f>
        <v>0</v>
      </c>
      <c r="BA10" s="1">
        <v>3</v>
      </c>
      <c r="BB10" s="2">
        <f t="shared" si="24"/>
        <v>1096</v>
      </c>
      <c r="BC10" s="2">
        <f t="array" ref="BC10">MAX(IF((Tableau4[Qui]=Tableau6[[#This Row],[Nom affiche]])*(Tableau4[Quoi]="Véhicules"),Tableau4[Date],""))</f>
        <v>0</v>
      </c>
      <c r="BD10" s="1">
        <v>15</v>
      </c>
      <c r="BE10" s="2">
        <f t="shared" ref="BE10:BE17" si="30">DATE(YEAR(BC10),MONTH(BC10),DAY(BC10)+BD10)</f>
        <v>15</v>
      </c>
      <c r="BF10" s="2">
        <f t="array" ref="BF10">MAX(IF((Tableau4[Qui]=Tableau6[[#This Row],[Nom affiche]])*(Tableau4[Quoi]="ARI"),Tableau4[Date],""))</f>
        <v>0</v>
      </c>
      <c r="BG10" s="1">
        <v>3</v>
      </c>
      <c r="BH10" s="2">
        <f t="shared" si="25"/>
        <v>91</v>
      </c>
    </row>
    <row r="11" spans="2:60" x14ac:dyDescent="0.25">
      <c r="B11" s="3" t="str">
        <f t="shared" si="26"/>
        <v>AFONSO Julien</v>
      </c>
      <c r="C11" s="3" t="str">
        <f t="shared" si="27"/>
        <v>AFONSO Ju</v>
      </c>
      <c r="D11" s="4" t="s">
        <v>181</v>
      </c>
      <c r="E11" s="4" t="s">
        <v>179</v>
      </c>
      <c r="F11" s="2">
        <v>29688</v>
      </c>
      <c r="G11" s="1">
        <f t="shared" ca="1" si="2"/>
        <v>37</v>
      </c>
      <c r="H11" s="2">
        <v>40515</v>
      </c>
      <c r="I11" s="1" t="s">
        <v>10</v>
      </c>
      <c r="J11" s="2">
        <f t="array" ref="J11">MAX(IF((Tableau4[Qui]=Tableau6[[#This Row],[Nom affiche]])*(Tableau4[Quoi]="Travail"),Tableau4[Date],""))</f>
        <v>0</v>
      </c>
      <c r="K11" s="1">
        <v>1</v>
      </c>
      <c r="L11" s="2">
        <f t="array" aca="1" ref="L11" ca="1">IF(G11&lt;18,H11,IF(J11="",EDATE(H11,3),DATE(YEAR(J11)+K11,MONTH(J11),DAY(J11))))</f>
        <v>366</v>
      </c>
      <c r="M11" s="2">
        <f t="array" ref="M11">MAX(IF((Tableau4[Qui]=Tableau6[[#This Row],[Nom affiche]])*(Tableau4[Quoi]="Médicale"),Tableau4[Date],""))</f>
        <v>0</v>
      </c>
      <c r="N11" s="1">
        <v>1</v>
      </c>
      <c r="O11" s="2">
        <f t="shared" si="19"/>
        <v>366</v>
      </c>
      <c r="P11" s="2">
        <f t="array" ref="P11">MAX(IF((Tableau4[Qui]=Tableau6[[#This Row],[Nom affiche]])*(Tableau4[Quoi]="Permis PL"),Tableau4[Date],""))</f>
        <v>0</v>
      </c>
      <c r="Q11" s="1">
        <v>5</v>
      </c>
      <c r="R11" s="2">
        <f t="shared" si="20"/>
        <v>1827</v>
      </c>
      <c r="S11" s="2">
        <f t="array" ref="S11">MAX(IF((Tableau4[Qui]=Tableau6[[#This Row],[Nom affiche]])*(Tableau4[Quoi]="Aire de mouvement"),Tableau4[Date],""))</f>
        <v>0</v>
      </c>
      <c r="T11" s="1">
        <v>15</v>
      </c>
      <c r="U11" s="2">
        <f t="shared" si="3"/>
        <v>15</v>
      </c>
      <c r="V11" s="2">
        <f t="array" ref="V11">MAX(IF((Tableau4[Qui]=Tableau6[[#This Row],[Nom affiche]])*(Tableau4[Quoi]="Zone Aérodrome"),Tableau4[Date],""))</f>
        <v>0</v>
      </c>
      <c r="W11" s="1">
        <v>1</v>
      </c>
      <c r="X11" s="2">
        <f t="shared" si="4"/>
        <v>31</v>
      </c>
      <c r="Y11" s="2">
        <f t="array" ref="Y11">MAX(IF((Tableau4[Qui]=Tableau6[[#This Row],[Nom affiche]])*(Tableau4[Quoi]="Zone Voisine Aérodrome"),Tableau4[Date],""))</f>
        <v>0</v>
      </c>
      <c r="Z11" s="1">
        <v>3</v>
      </c>
      <c r="AA11" s="2">
        <f t="shared" si="5"/>
        <v>91</v>
      </c>
      <c r="AB11" s="2">
        <f t="array" ref="AB11">MAX(IF((Tableau4[Qui]=Tableau6[[#This Row],[Nom affiche]])*(Tableau4[Quoi]="EPI"),Tableau4[Date],""))</f>
        <v>0</v>
      </c>
      <c r="AC11" s="1">
        <v>3</v>
      </c>
      <c r="AD11" s="2">
        <f t="shared" si="6"/>
        <v>91</v>
      </c>
      <c r="AE11" s="2">
        <f t="array" ref="AE11">MAX(IF((Tableau4[Qui]=Tableau6[[#This Row],[Nom affiche]])*(Tableau4[Quoi]="Poudre et eau pulvé"),Tableau4[Date],""))</f>
        <v>0</v>
      </c>
      <c r="AF11" s="1">
        <v>1</v>
      </c>
      <c r="AG11" s="2">
        <f t="shared" si="7"/>
        <v>366</v>
      </c>
      <c r="AH11" s="2">
        <f t="array" ref="AH11">MAX(IF((Tableau4[Qui]=Tableau6[[#This Row],[Nom affiche]])*(Tableau4[Quoi]="Poudre métaux"),Tableau4[Date],""))</f>
        <v>0</v>
      </c>
      <c r="AI11" s="1">
        <v>5</v>
      </c>
      <c r="AJ11" s="2">
        <f t="shared" si="8"/>
        <v>1827</v>
      </c>
      <c r="AK11" s="2">
        <f t="array" ref="AK11">MAX(IF((Tableau4[Qui]=Tableau6[[#This Row],[Nom affiche]])*(Tableau4[Quoi]="CO²"),Tableau4[Date],""))</f>
        <v>0</v>
      </c>
      <c r="AL11" s="1">
        <v>1</v>
      </c>
      <c r="AM11" s="2">
        <f t="shared" si="21"/>
        <v>366</v>
      </c>
      <c r="AN11" s="2">
        <f t="array" ref="AN11">MAX(IF((Tableau4[Qui]=Tableau6[[#This Row],[Nom affiche]])*(Tableau4[Quoi]="Rec SSLIA"),Tableau4[Date],""))</f>
        <v>0</v>
      </c>
      <c r="AO11" s="1">
        <v>3</v>
      </c>
      <c r="AP11" s="2">
        <f t="shared" si="28"/>
        <v>1096</v>
      </c>
      <c r="AQ11" s="2" t="e">
        <f>MAX(IF((Tableau4[Qui]=Tableau6[[#This Row],[Nom affiche]])*(Tableau4[Quoi]="Rec pompier aérodrome"),Tableau4[Date],""))</f>
        <v>#VALUE!</v>
      </c>
      <c r="AS11" s="2" t="e">
        <f t="shared" si="29"/>
        <v>#VALUE!</v>
      </c>
      <c r="AT11" s="2">
        <f t="array" ref="AT11">MAX(IF((Tableau4[Qui]=Tableau6[[#This Row],[Nom affiche]])*(Tableau4[Quoi]="Badge"),Tableau4[Date],""))</f>
        <v>0</v>
      </c>
      <c r="AU11" s="1">
        <v>3</v>
      </c>
      <c r="AV11" s="2">
        <f t="shared" si="22"/>
        <v>1096</v>
      </c>
      <c r="AW11" s="2">
        <f t="array" ref="AW11">MAX(IF((Tableau4[Qui]=Tableau6[[#This Row],[Nom affiche]])*(Tableau4[Quoi]="Sûreté"),Tableau4[Date],""))</f>
        <v>0</v>
      </c>
      <c r="AX11" s="1">
        <v>3</v>
      </c>
      <c r="AY11" s="2">
        <f t="shared" si="23"/>
        <v>1096</v>
      </c>
      <c r="AZ11" s="2">
        <f t="array" ref="AZ11">MAX(IF((Tableau4[Qui]=Tableau6[[#This Row],[Nom affiche]])*(Tableau4[Quoi]="Circulation piste"),Tableau4[Date],""))</f>
        <v>0</v>
      </c>
      <c r="BA11" s="1">
        <v>3</v>
      </c>
      <c r="BB11" s="2">
        <f t="shared" si="24"/>
        <v>1096</v>
      </c>
      <c r="BC11" s="2">
        <f t="array" ref="BC11">MAX(IF((Tableau4[Qui]=Tableau6[[#This Row],[Nom affiche]])*(Tableau4[Quoi]="Véhicules"),Tableau4[Date],""))</f>
        <v>0</v>
      </c>
      <c r="BD11" s="1">
        <v>15</v>
      </c>
      <c r="BE11" s="2">
        <f t="shared" si="30"/>
        <v>15</v>
      </c>
      <c r="BF11" s="2">
        <f t="array" ref="BF11">MAX(IF((Tableau4[Qui]=Tableau6[[#This Row],[Nom affiche]])*(Tableau4[Quoi]="ARI"),Tableau4[Date],""))</f>
        <v>0</v>
      </c>
      <c r="BG11" s="1">
        <v>3</v>
      </c>
      <c r="BH11" s="2">
        <f t="shared" si="25"/>
        <v>91</v>
      </c>
    </row>
    <row r="12" spans="2:60" x14ac:dyDescent="0.25">
      <c r="B12" s="3" t="str">
        <f t="shared" si="26"/>
        <v>LEROY France</v>
      </c>
      <c r="C12" s="3" t="str">
        <f t="shared" si="27"/>
        <v>LEROY Fr</v>
      </c>
      <c r="D12" s="4" t="s">
        <v>8</v>
      </c>
      <c r="E12" s="4" t="s">
        <v>9</v>
      </c>
      <c r="F12" s="2">
        <v>24899</v>
      </c>
      <c r="G12" s="1">
        <f t="shared" ca="1" si="2"/>
        <v>50</v>
      </c>
      <c r="H12" s="2">
        <v>40731</v>
      </c>
      <c r="I12" s="1" t="s">
        <v>10</v>
      </c>
      <c r="J12" s="2">
        <f t="array" ref="J12">MAX(IF((Tableau4[Qui]=Tableau6[[#This Row],[Nom affiche]])*(Tableau4[Quoi]="Travail"),Tableau4[Date],""))</f>
        <v>0</v>
      </c>
      <c r="K12" s="1">
        <v>1</v>
      </c>
      <c r="L12" s="2">
        <f t="array" aca="1" ref="L12" ca="1">IF(G12&lt;18,H12,IF(J12="",EDATE(H12,3),DATE(YEAR(J12)+K12,MONTH(J12),DAY(J12))))</f>
        <v>366</v>
      </c>
      <c r="M12" s="2">
        <f t="array" ref="M12">MAX(IF((Tableau4[Qui]=Tableau6[[#This Row],[Nom affiche]])*(Tableau4[Quoi]="Médicale"),Tableau4[Date],""))</f>
        <v>38482</v>
      </c>
      <c r="N12" s="1">
        <v>1</v>
      </c>
      <c r="O12" s="2">
        <f t="shared" si="19"/>
        <v>38847</v>
      </c>
      <c r="P12" s="2">
        <f t="array" ref="P12">MAX(IF((Tableau4[Qui]=Tableau6[[#This Row],[Nom affiche]])*(Tableau4[Quoi]="Permis PL"),Tableau4[Date],""))</f>
        <v>0</v>
      </c>
      <c r="Q12" s="1">
        <v>5</v>
      </c>
      <c r="R12" s="2">
        <f t="shared" si="20"/>
        <v>1827</v>
      </c>
      <c r="S12" s="2">
        <f t="array" ref="S12">MAX(IF((Tableau4[Qui]=Tableau6[[#This Row],[Nom affiche]])*(Tableau4[Quoi]="Aire de mouvement"),Tableau4[Date],""))</f>
        <v>0</v>
      </c>
      <c r="T12" s="1">
        <v>15</v>
      </c>
      <c r="U12" s="2">
        <f t="shared" si="3"/>
        <v>15</v>
      </c>
      <c r="V12" s="2">
        <f t="array" ref="V12">MAX(IF((Tableau4[Qui]=Tableau6[[#This Row],[Nom affiche]])*(Tableau4[Quoi]="Zone Aérodrome"),Tableau4[Date],""))</f>
        <v>43383</v>
      </c>
      <c r="W12" s="1">
        <v>1</v>
      </c>
      <c r="X12" s="2">
        <f t="shared" si="4"/>
        <v>43414</v>
      </c>
      <c r="Y12" s="2">
        <f t="array" ref="Y12">MAX(IF((Tableau4[Qui]=Tableau6[[#This Row],[Nom affiche]])*(Tableau4[Quoi]="Zone Voisine Aérodrome"),Tableau4[Date],""))</f>
        <v>0</v>
      </c>
      <c r="Z12" s="1">
        <v>3</v>
      </c>
      <c r="AA12" s="2">
        <f t="shared" si="5"/>
        <v>91</v>
      </c>
      <c r="AB12" s="2">
        <f t="array" ref="AB12">MAX(IF((Tableau4[Qui]=Tableau6[[#This Row],[Nom affiche]])*(Tableau4[Quoi]="EPI"),Tableau4[Date],""))</f>
        <v>0</v>
      </c>
      <c r="AC12" s="1">
        <v>3</v>
      </c>
      <c r="AD12" s="2">
        <f t="shared" si="6"/>
        <v>91</v>
      </c>
      <c r="AE12" s="2">
        <f t="array" ref="AE12">MAX(IF((Tableau4[Qui]=Tableau6[[#This Row],[Nom affiche]])*(Tableau4[Quoi]="Poudre et eau pulvé"),Tableau4[Date],""))</f>
        <v>0</v>
      </c>
      <c r="AF12" s="1">
        <v>1</v>
      </c>
      <c r="AG12" s="2">
        <f t="shared" si="7"/>
        <v>366</v>
      </c>
      <c r="AH12" s="2">
        <f t="array" ref="AH12">MAX(IF((Tableau4[Qui]=Tableau6[[#This Row],[Nom affiche]])*(Tableau4[Quoi]="Poudre métaux"),Tableau4[Date],""))</f>
        <v>0</v>
      </c>
      <c r="AI12" s="1">
        <v>5</v>
      </c>
      <c r="AJ12" s="2">
        <f t="shared" si="8"/>
        <v>1827</v>
      </c>
      <c r="AK12" s="2">
        <f t="array" ref="AK12">MAX(IF((Tableau4[Qui]=Tableau6[[#This Row],[Nom affiche]])*(Tableau4[Quoi]="CO²"),Tableau4[Date],""))</f>
        <v>0</v>
      </c>
      <c r="AL12" s="1">
        <v>1</v>
      </c>
      <c r="AM12" s="2">
        <f t="shared" si="21"/>
        <v>366</v>
      </c>
      <c r="AN12" s="2">
        <f t="array" ref="AN12">MAX(IF((Tableau4[Qui]=Tableau6[[#This Row],[Nom affiche]])*(Tableau4[Quoi]="Rec SSLIA"),Tableau4[Date],""))</f>
        <v>0</v>
      </c>
      <c r="AO12" s="1">
        <v>3</v>
      </c>
      <c r="AP12" s="2">
        <f t="shared" si="28"/>
        <v>1096</v>
      </c>
      <c r="AQ12" s="2" t="e">
        <f>MAX(IF((Tableau4[Qui]=Tableau6[[#This Row],[Nom affiche]])*(Tableau4[Quoi]="Rec pompier aérodrome"),Tableau4[Date],""))</f>
        <v>#VALUE!</v>
      </c>
      <c r="AS12" s="2" t="e">
        <f t="shared" si="29"/>
        <v>#VALUE!</v>
      </c>
      <c r="AT12" s="2">
        <f t="array" ref="AT12">MAX(IF((Tableau4[Qui]=Tableau6[[#This Row],[Nom affiche]])*(Tableau4[Quoi]="Badge"),Tableau4[Date],""))</f>
        <v>38483</v>
      </c>
      <c r="AU12" s="1">
        <v>3</v>
      </c>
      <c r="AV12" s="2">
        <f t="shared" si="22"/>
        <v>39579</v>
      </c>
      <c r="AW12" s="2">
        <f t="array" ref="AW12">MAX(IF((Tableau4[Qui]=Tableau6[[#This Row],[Nom affiche]])*(Tableau4[Quoi]="Sûreté"),Tableau4[Date],""))</f>
        <v>0</v>
      </c>
      <c r="AX12" s="1">
        <v>3</v>
      </c>
      <c r="AY12" s="2">
        <f t="shared" si="23"/>
        <v>1096</v>
      </c>
      <c r="AZ12" s="2">
        <f t="array" ref="AZ12">MAX(IF((Tableau4[Qui]=Tableau6[[#This Row],[Nom affiche]])*(Tableau4[Quoi]="Circulation piste"),Tableau4[Date],""))</f>
        <v>0</v>
      </c>
      <c r="BA12" s="1">
        <v>3</v>
      </c>
      <c r="BB12" s="2">
        <f t="shared" si="24"/>
        <v>1096</v>
      </c>
      <c r="BC12" s="2">
        <f t="array" ref="BC12">MAX(IF((Tableau4[Qui]=Tableau6[[#This Row],[Nom affiche]])*(Tableau4[Quoi]="Véhicules"),Tableau4[Date],""))</f>
        <v>0</v>
      </c>
      <c r="BD12" s="1">
        <v>15</v>
      </c>
      <c r="BE12" s="2">
        <f t="shared" si="30"/>
        <v>15</v>
      </c>
      <c r="BF12" s="2">
        <f t="array" ref="BF12">MAX(IF((Tableau4[Qui]=Tableau6[[#This Row],[Nom affiche]])*(Tableau4[Quoi]="ARI"),Tableau4[Date],""))</f>
        <v>0</v>
      </c>
      <c r="BG12" s="1">
        <v>3</v>
      </c>
      <c r="BH12" s="2">
        <f t="shared" si="25"/>
        <v>91</v>
      </c>
    </row>
    <row r="13" spans="2:60" x14ac:dyDescent="0.25">
      <c r="B13" s="3" t="str">
        <f t="shared" si="26"/>
        <v>LEROY Jean-Sébastien</v>
      </c>
      <c r="C13" s="3" t="str">
        <f t="shared" si="27"/>
        <v>LEROY Je</v>
      </c>
      <c r="D13" s="4" t="s">
        <v>8</v>
      </c>
      <c r="E13" s="4" t="s">
        <v>42</v>
      </c>
      <c r="F13" s="2">
        <v>30369</v>
      </c>
      <c r="G13" s="1">
        <f t="shared" ca="1" si="2"/>
        <v>35</v>
      </c>
      <c r="H13" s="2">
        <v>42492</v>
      </c>
      <c r="I13" s="1" t="s">
        <v>10</v>
      </c>
      <c r="J13" s="2">
        <f t="array" ref="J13">MAX(IF((Tableau4[Qui]=Tableau6[[#This Row],[Nom affiche]])*(Tableau4[Quoi]="Travail"),Tableau4[Date],""))</f>
        <v>0</v>
      </c>
      <c r="K13" s="1">
        <v>1</v>
      </c>
      <c r="L13" s="2">
        <f t="array" aca="1" ref="L13" ca="1">IF(G13&lt;18,H13,IF(J13="",EDATE(H13,3),DATE(YEAR(J13)+K13,MONTH(J13),DAY(J13))))</f>
        <v>366</v>
      </c>
      <c r="M13" s="2">
        <f t="array" ref="M13">MAX(IF((Tableau4[Qui]=Tableau6[[#This Row],[Nom affiche]])*(Tableau4[Quoi]="Médicale"),Tableau4[Date],""))</f>
        <v>0</v>
      </c>
      <c r="N13" s="1">
        <v>1</v>
      </c>
      <c r="O13" s="2">
        <f t="shared" si="19"/>
        <v>366</v>
      </c>
      <c r="P13" s="2">
        <f t="array" ref="P13">MAX(IF((Tableau4[Qui]=Tableau6[[#This Row],[Nom affiche]])*(Tableau4[Quoi]="Permis PL"),Tableau4[Date],""))</f>
        <v>0</v>
      </c>
      <c r="Q13" s="1">
        <v>5</v>
      </c>
      <c r="R13" s="2">
        <f t="shared" si="20"/>
        <v>1827</v>
      </c>
      <c r="S13" s="2">
        <f t="array" ref="S13">MAX(IF((Tableau4[Qui]=Tableau6[[#This Row],[Nom affiche]])*(Tableau4[Quoi]="Aire de mouvement"),Tableau4[Date],""))</f>
        <v>0</v>
      </c>
      <c r="T13" s="1">
        <v>15</v>
      </c>
      <c r="U13" s="2">
        <f t="shared" si="3"/>
        <v>15</v>
      </c>
      <c r="V13" s="2">
        <f t="array" ref="V13">MAX(IF((Tableau4[Qui]=Tableau6[[#This Row],[Nom affiche]])*(Tableau4[Quoi]="Zone Aérodrome"),Tableau4[Date],""))</f>
        <v>0</v>
      </c>
      <c r="W13" s="1">
        <v>1</v>
      </c>
      <c r="X13" s="2">
        <f t="shared" si="4"/>
        <v>31</v>
      </c>
      <c r="Y13" s="2">
        <f t="array" ref="Y13">MAX(IF((Tableau4[Qui]=Tableau6[[#This Row],[Nom affiche]])*(Tableau4[Quoi]="Zone Voisine Aérodrome"),Tableau4[Date],""))</f>
        <v>0</v>
      </c>
      <c r="Z13" s="1">
        <v>3</v>
      </c>
      <c r="AA13" s="2">
        <f t="shared" si="5"/>
        <v>91</v>
      </c>
      <c r="AB13" s="2">
        <f t="array" ref="AB13">MAX(IF((Tableau4[Qui]=Tableau6[[#This Row],[Nom affiche]])*(Tableau4[Quoi]="EPI"),Tableau4[Date],""))</f>
        <v>0</v>
      </c>
      <c r="AC13" s="1">
        <v>3</v>
      </c>
      <c r="AD13" s="2">
        <f t="shared" si="6"/>
        <v>91</v>
      </c>
      <c r="AE13" s="2">
        <f t="array" ref="AE13">MAX(IF((Tableau4[Qui]=Tableau6[[#This Row],[Nom affiche]])*(Tableau4[Quoi]="Poudre et eau pulvé"),Tableau4[Date],""))</f>
        <v>0</v>
      </c>
      <c r="AF13" s="1">
        <v>1</v>
      </c>
      <c r="AG13" s="2">
        <f t="shared" si="7"/>
        <v>366</v>
      </c>
      <c r="AH13" s="2">
        <f t="array" ref="AH13">MAX(IF((Tableau4[Qui]=Tableau6[[#This Row],[Nom affiche]])*(Tableau4[Quoi]="Poudre métaux"),Tableau4[Date],""))</f>
        <v>0</v>
      </c>
      <c r="AI13" s="1">
        <v>5</v>
      </c>
      <c r="AJ13" s="2">
        <f t="shared" si="8"/>
        <v>1827</v>
      </c>
      <c r="AK13" s="2">
        <f t="array" ref="AK13">MAX(IF((Tableau4[Qui]=Tableau6[[#This Row],[Nom affiche]])*(Tableau4[Quoi]="CO²"),Tableau4[Date],""))</f>
        <v>0</v>
      </c>
      <c r="AL13" s="1">
        <v>1</v>
      </c>
      <c r="AM13" s="2">
        <f t="shared" si="21"/>
        <v>366</v>
      </c>
      <c r="AN13" s="2">
        <f t="array" ref="AN13">MAX(IF((Tableau4[Qui]=Tableau6[[#This Row],[Nom affiche]])*(Tableau4[Quoi]="Rec SSLIA"),Tableau4[Date],""))</f>
        <v>0</v>
      </c>
      <c r="AO13" s="1">
        <v>3</v>
      </c>
      <c r="AP13" s="2">
        <f t="shared" si="28"/>
        <v>1096</v>
      </c>
      <c r="AQ13" s="2" t="e">
        <f>MAX(IF((Tableau4[Qui]=Tableau6[[#This Row],[Nom affiche]])*(Tableau4[Quoi]="Rec pompier aérodrome"),Tableau4[Date],""))</f>
        <v>#VALUE!</v>
      </c>
      <c r="AS13" s="2" t="e">
        <f t="shared" si="29"/>
        <v>#VALUE!</v>
      </c>
      <c r="AT13" s="2">
        <f t="array" ref="AT13">MAX(IF((Tableau4[Qui]=Tableau6[[#This Row],[Nom affiche]])*(Tableau4[Quoi]="Badge"),Tableau4[Date],""))</f>
        <v>0</v>
      </c>
      <c r="AU13" s="1">
        <v>3</v>
      </c>
      <c r="AV13" s="2">
        <f t="shared" si="22"/>
        <v>1096</v>
      </c>
      <c r="AW13" s="2">
        <f t="array" ref="AW13">MAX(IF((Tableau4[Qui]=Tableau6[[#This Row],[Nom affiche]])*(Tableau4[Quoi]="Sûreté"),Tableau4[Date],""))</f>
        <v>0</v>
      </c>
      <c r="AX13" s="1">
        <v>3</v>
      </c>
      <c r="AY13" s="2">
        <f t="shared" si="23"/>
        <v>1096</v>
      </c>
      <c r="AZ13" s="2">
        <f t="array" ref="AZ13">MAX(IF((Tableau4[Qui]=Tableau6[[#This Row],[Nom affiche]])*(Tableau4[Quoi]="Circulation piste"),Tableau4[Date],""))</f>
        <v>0</v>
      </c>
      <c r="BA13" s="1">
        <v>3</v>
      </c>
      <c r="BB13" s="2">
        <f t="shared" si="24"/>
        <v>1096</v>
      </c>
      <c r="BC13" s="2">
        <f t="array" ref="BC13">MAX(IF((Tableau4[Qui]=Tableau6[[#This Row],[Nom affiche]])*(Tableau4[Quoi]="Véhicules"),Tableau4[Date],""))</f>
        <v>0</v>
      </c>
      <c r="BD13" s="1">
        <v>15</v>
      </c>
      <c r="BE13" s="2">
        <f t="shared" si="30"/>
        <v>15</v>
      </c>
      <c r="BF13" s="2">
        <f t="array" ref="BF13">MAX(IF((Tableau4[Qui]=Tableau6[[#This Row],[Nom affiche]])*(Tableau4[Quoi]="ARI"),Tableau4[Date],""))</f>
        <v>0</v>
      </c>
      <c r="BG13" s="1">
        <v>3</v>
      </c>
      <c r="BH13" s="2">
        <f t="shared" si="25"/>
        <v>91</v>
      </c>
    </row>
    <row r="14" spans="2:60" x14ac:dyDescent="0.25">
      <c r="B14" s="3" t="str">
        <f t="shared" si="26"/>
        <v>FERRARA Julien</v>
      </c>
      <c r="C14" s="3" t="str">
        <f t="shared" si="27"/>
        <v>FERRARA Ju</v>
      </c>
      <c r="D14" s="4" t="s">
        <v>178</v>
      </c>
      <c r="E14" s="4" t="s">
        <v>179</v>
      </c>
      <c r="F14" s="2">
        <v>31520</v>
      </c>
      <c r="G14" s="1">
        <f t="shared" ca="1" si="2"/>
        <v>32</v>
      </c>
      <c r="H14" s="2">
        <v>42552</v>
      </c>
      <c r="I14" s="1" t="s">
        <v>10</v>
      </c>
      <c r="J14" s="2">
        <f t="array" ref="J14">MAX(IF((Tableau4[Qui]=Tableau6[[#This Row],[Nom affiche]])*(Tableau4[Quoi]="Travail"),Tableau4[Date],""))</f>
        <v>0</v>
      </c>
      <c r="K14" s="1">
        <v>1</v>
      </c>
      <c r="L14" s="2">
        <f t="array" aca="1" ref="L14" ca="1">IF(G14&lt;18,H14,IF(J14="",EDATE(H14,3),DATE(YEAR(J14)+K14,MONTH(J14),DAY(J14))))</f>
        <v>366</v>
      </c>
      <c r="M14" s="2">
        <f t="array" ref="M14">MAX(IF((Tableau4[Qui]=Tableau6[[#This Row],[Nom affiche]])*(Tableau4[Quoi]="Médicale"),Tableau4[Date],""))</f>
        <v>0</v>
      </c>
      <c r="N14" s="1">
        <v>1</v>
      </c>
      <c r="O14" s="2">
        <f t="shared" si="19"/>
        <v>366</v>
      </c>
      <c r="P14" s="2">
        <f t="array" ref="P14">MAX(IF((Tableau4[Qui]=Tableau6[[#This Row],[Nom affiche]])*(Tableau4[Quoi]="Permis PL"),Tableau4[Date],""))</f>
        <v>0</v>
      </c>
      <c r="Q14" s="1">
        <v>5</v>
      </c>
      <c r="R14" s="2">
        <f t="shared" si="20"/>
        <v>1827</v>
      </c>
      <c r="S14" s="2">
        <f t="array" ref="S14">MAX(IF((Tableau4[Qui]=Tableau6[[#This Row],[Nom affiche]])*(Tableau4[Quoi]="Aire de mouvement"),Tableau4[Date],""))</f>
        <v>0</v>
      </c>
      <c r="T14" s="1">
        <v>15</v>
      </c>
      <c r="U14" s="2">
        <f t="shared" si="3"/>
        <v>15</v>
      </c>
      <c r="V14" s="2">
        <f t="array" ref="V14">MAX(IF((Tableau4[Qui]=Tableau6[[#This Row],[Nom affiche]])*(Tableau4[Quoi]="Zone Aérodrome"),Tableau4[Date],""))</f>
        <v>0</v>
      </c>
      <c r="W14" s="1">
        <v>1</v>
      </c>
      <c r="X14" s="2">
        <f t="shared" si="4"/>
        <v>31</v>
      </c>
      <c r="Y14" s="2">
        <f t="array" ref="Y14">MAX(IF((Tableau4[Qui]=Tableau6[[#This Row],[Nom affiche]])*(Tableau4[Quoi]="Zone Voisine Aérodrome"),Tableau4[Date],""))</f>
        <v>0</v>
      </c>
      <c r="Z14" s="1">
        <v>3</v>
      </c>
      <c r="AA14" s="2">
        <f t="shared" si="5"/>
        <v>91</v>
      </c>
      <c r="AB14" s="2">
        <f t="array" ref="AB14">MAX(IF((Tableau4[Qui]=Tableau6[[#This Row],[Nom affiche]])*(Tableau4[Quoi]="EPI"),Tableau4[Date],""))</f>
        <v>0</v>
      </c>
      <c r="AC14" s="1">
        <v>3</v>
      </c>
      <c r="AD14" s="2">
        <f t="shared" si="6"/>
        <v>91</v>
      </c>
      <c r="AE14" s="2">
        <f t="array" ref="AE14">MAX(IF((Tableau4[Qui]=Tableau6[[#This Row],[Nom affiche]])*(Tableau4[Quoi]="Poudre et eau pulvé"),Tableau4[Date],""))</f>
        <v>0</v>
      </c>
      <c r="AF14" s="1">
        <v>1</v>
      </c>
      <c r="AG14" s="2">
        <f t="shared" si="7"/>
        <v>366</v>
      </c>
      <c r="AH14" s="2">
        <f t="array" ref="AH14">MAX(IF((Tableau4[Qui]=Tableau6[[#This Row],[Nom affiche]])*(Tableau4[Quoi]="Poudre métaux"),Tableau4[Date],""))</f>
        <v>0</v>
      </c>
      <c r="AI14" s="1">
        <v>5</v>
      </c>
      <c r="AJ14" s="2">
        <f t="shared" si="8"/>
        <v>1827</v>
      </c>
      <c r="AK14" s="2">
        <f t="array" ref="AK14">MAX(IF((Tableau4[Qui]=Tableau6[[#This Row],[Nom affiche]])*(Tableau4[Quoi]="CO²"),Tableau4[Date],""))</f>
        <v>0</v>
      </c>
      <c r="AL14" s="1">
        <v>1</v>
      </c>
      <c r="AM14" s="2">
        <f t="shared" si="21"/>
        <v>366</v>
      </c>
      <c r="AN14" s="2">
        <f t="array" ref="AN14">MAX(IF((Tableau4[Qui]=Tableau6[[#This Row],[Nom affiche]])*(Tableau4[Quoi]="Rec SSLIA"),Tableau4[Date],""))</f>
        <v>0</v>
      </c>
      <c r="AO14" s="1">
        <v>3</v>
      </c>
      <c r="AP14" s="2">
        <f t="shared" si="28"/>
        <v>1096</v>
      </c>
      <c r="AQ14" s="2" t="e">
        <f>MAX(IF((Tableau4[Qui]=Tableau6[[#This Row],[Nom affiche]])*(Tableau4[Quoi]="Rec pompier aérodrome"),Tableau4[Date],""))</f>
        <v>#VALUE!</v>
      </c>
      <c r="AS14" s="2" t="e">
        <f t="shared" si="29"/>
        <v>#VALUE!</v>
      </c>
      <c r="AT14" s="2">
        <f t="array" ref="AT14">MAX(IF((Tableau4[Qui]=Tableau6[[#This Row],[Nom affiche]])*(Tableau4[Quoi]="Badge"),Tableau4[Date],""))</f>
        <v>0</v>
      </c>
      <c r="AU14" s="1">
        <v>3</v>
      </c>
      <c r="AV14" s="2">
        <f t="shared" si="22"/>
        <v>1096</v>
      </c>
      <c r="AW14" s="2">
        <f t="array" ref="AW14">MAX(IF((Tableau4[Qui]=Tableau6[[#This Row],[Nom affiche]])*(Tableau4[Quoi]="Sûreté"),Tableau4[Date],""))</f>
        <v>0</v>
      </c>
      <c r="AX14" s="1">
        <v>3</v>
      </c>
      <c r="AY14" s="2">
        <f t="shared" si="23"/>
        <v>1096</v>
      </c>
      <c r="AZ14" s="2">
        <f t="array" ref="AZ14">MAX(IF((Tableau4[Qui]=Tableau6[[#This Row],[Nom affiche]])*(Tableau4[Quoi]="Circulation piste"),Tableau4[Date],""))</f>
        <v>0</v>
      </c>
      <c r="BA14" s="1">
        <v>3</v>
      </c>
      <c r="BB14" s="2">
        <f t="shared" si="24"/>
        <v>1096</v>
      </c>
      <c r="BC14" s="2">
        <f t="array" ref="BC14">MAX(IF((Tableau4[Qui]=Tableau6[[#This Row],[Nom affiche]])*(Tableau4[Quoi]="Véhicules"),Tableau4[Date],""))</f>
        <v>0</v>
      </c>
      <c r="BD14" s="1">
        <v>15</v>
      </c>
      <c r="BE14" s="2">
        <f t="shared" si="30"/>
        <v>15</v>
      </c>
      <c r="BF14" s="2">
        <f t="array" ref="BF14">MAX(IF((Tableau4[Qui]=Tableau6[[#This Row],[Nom affiche]])*(Tableau4[Quoi]="ARI"),Tableau4[Date],""))</f>
        <v>0</v>
      </c>
      <c r="BG14" s="1">
        <v>3</v>
      </c>
      <c r="BH14" s="2">
        <f t="shared" si="25"/>
        <v>91</v>
      </c>
    </row>
    <row r="15" spans="2:60" x14ac:dyDescent="0.25">
      <c r="B15" s="3" t="str">
        <f t="shared" si="26"/>
        <v>BALLESTER Xavier</v>
      </c>
      <c r="C15" s="3" t="str">
        <f t="shared" si="27"/>
        <v>BALLESTER Xa</v>
      </c>
      <c r="D15" s="4" t="s">
        <v>183</v>
      </c>
      <c r="E15" s="4" t="s">
        <v>182</v>
      </c>
      <c r="F15" s="2">
        <v>30692</v>
      </c>
      <c r="G15" s="1">
        <f t="shared" ca="1" si="2"/>
        <v>34</v>
      </c>
      <c r="H15" s="2">
        <v>43178</v>
      </c>
      <c r="I15" s="1" t="s">
        <v>10</v>
      </c>
      <c r="J15" s="2">
        <f t="array" ref="J15">MAX(IF((Tableau4[Qui]=Tableau6[[#This Row],[Nom affiche]])*(Tableau4[Quoi]="Travail"),Tableau4[Date],""))</f>
        <v>0</v>
      </c>
      <c r="K15" s="1">
        <v>1</v>
      </c>
      <c r="L15" s="2">
        <f t="array" aca="1" ref="L15" ca="1">IF(G15&lt;18,H15,IF(J15="",EDATE(H15,3),DATE(YEAR(J15)+K15,MONTH(J15),DAY(J15))))</f>
        <v>366</v>
      </c>
      <c r="M15" s="2">
        <f t="array" ref="M15">MAX(IF((Tableau4[Qui]=Tableau6[[#This Row],[Nom affiche]])*(Tableau4[Quoi]="Médicale"),Tableau4[Date],""))</f>
        <v>0</v>
      </c>
      <c r="N15" s="1">
        <v>1</v>
      </c>
      <c r="O15" s="2">
        <f t="shared" si="19"/>
        <v>366</v>
      </c>
      <c r="P15" s="2">
        <f t="array" ref="P15">MAX(IF((Tableau4[Qui]=Tableau6[[#This Row],[Nom affiche]])*(Tableau4[Quoi]="Permis PL"),Tableau4[Date],""))</f>
        <v>0</v>
      </c>
      <c r="Q15" s="1">
        <v>5</v>
      </c>
      <c r="R15" s="2">
        <f t="shared" si="20"/>
        <v>1827</v>
      </c>
      <c r="S15" s="2">
        <f t="array" ref="S15">MAX(IF((Tableau4[Qui]=Tableau6[[#This Row],[Nom affiche]])*(Tableau4[Quoi]="Aire de mouvement"),Tableau4[Date],""))</f>
        <v>0</v>
      </c>
      <c r="T15" s="1">
        <v>15</v>
      </c>
      <c r="U15" s="2">
        <f t="shared" si="3"/>
        <v>15</v>
      </c>
      <c r="V15" s="2">
        <f t="array" ref="V15">MAX(IF((Tableau4[Qui]=Tableau6[[#This Row],[Nom affiche]])*(Tableau4[Quoi]="Zone Aérodrome"),Tableau4[Date],""))</f>
        <v>0</v>
      </c>
      <c r="W15" s="1">
        <v>1</v>
      </c>
      <c r="X15" s="2">
        <f t="shared" si="4"/>
        <v>31</v>
      </c>
      <c r="Y15" s="2">
        <f t="array" ref="Y15">MAX(IF((Tableau4[Qui]=Tableau6[[#This Row],[Nom affiche]])*(Tableau4[Quoi]="Zone Voisine Aérodrome"),Tableau4[Date],""))</f>
        <v>0</v>
      </c>
      <c r="Z15" s="1">
        <v>3</v>
      </c>
      <c r="AA15" s="2">
        <f t="shared" si="5"/>
        <v>91</v>
      </c>
      <c r="AB15" s="2">
        <f t="array" ref="AB15">MAX(IF((Tableau4[Qui]=Tableau6[[#This Row],[Nom affiche]])*(Tableau4[Quoi]="EPI"),Tableau4[Date],""))</f>
        <v>0</v>
      </c>
      <c r="AC15" s="1">
        <v>3</v>
      </c>
      <c r="AD15" s="2">
        <f t="shared" si="6"/>
        <v>91</v>
      </c>
      <c r="AE15" s="2">
        <f t="array" ref="AE15">MAX(IF((Tableau4[Qui]=Tableau6[[#This Row],[Nom affiche]])*(Tableau4[Quoi]="Poudre et eau pulvé"),Tableau4[Date],""))</f>
        <v>0</v>
      </c>
      <c r="AF15" s="1">
        <v>1</v>
      </c>
      <c r="AG15" s="2">
        <f t="shared" si="7"/>
        <v>366</v>
      </c>
      <c r="AH15" s="2">
        <f t="array" ref="AH15">MAX(IF((Tableau4[Qui]=Tableau6[[#This Row],[Nom affiche]])*(Tableau4[Quoi]="Poudre métaux"),Tableau4[Date],""))</f>
        <v>0</v>
      </c>
      <c r="AI15" s="1">
        <v>5</v>
      </c>
      <c r="AJ15" s="2">
        <f t="shared" si="8"/>
        <v>1827</v>
      </c>
      <c r="AK15" s="2">
        <f t="array" ref="AK15">MAX(IF((Tableau4[Qui]=Tableau6[[#This Row],[Nom affiche]])*(Tableau4[Quoi]="CO²"),Tableau4[Date],""))</f>
        <v>0</v>
      </c>
      <c r="AL15" s="1">
        <v>1</v>
      </c>
      <c r="AM15" s="2">
        <f t="shared" si="21"/>
        <v>366</v>
      </c>
      <c r="AN15" s="2">
        <f t="array" ref="AN15">MAX(IF((Tableau4[Qui]=Tableau6[[#This Row],[Nom affiche]])*(Tableau4[Quoi]="Rec SSLIA"),Tableau4[Date],""))</f>
        <v>0</v>
      </c>
      <c r="AO15" s="1">
        <v>3</v>
      </c>
      <c r="AP15" s="2">
        <f t="shared" si="28"/>
        <v>1096</v>
      </c>
      <c r="AQ15" s="2" t="e">
        <f>MAX(IF((Tableau4[Qui]=Tableau6[[#This Row],[Nom affiche]])*(Tableau4[Quoi]="Rec pompier aérodrome"),Tableau4[Date],""))</f>
        <v>#VALUE!</v>
      </c>
      <c r="AS15" s="2" t="e">
        <f t="shared" si="29"/>
        <v>#VALUE!</v>
      </c>
      <c r="AT15" s="2">
        <f t="array" ref="AT15">MAX(IF((Tableau4[Qui]=Tableau6[[#This Row],[Nom affiche]])*(Tableau4[Quoi]="Badge"),Tableau4[Date],""))</f>
        <v>0</v>
      </c>
      <c r="AU15" s="1">
        <v>3</v>
      </c>
      <c r="AV15" s="2">
        <f t="shared" si="22"/>
        <v>1096</v>
      </c>
      <c r="AW15" s="2">
        <f t="array" ref="AW15">MAX(IF((Tableau4[Qui]=Tableau6[[#This Row],[Nom affiche]])*(Tableau4[Quoi]="Sûreté"),Tableau4[Date],""))</f>
        <v>0</v>
      </c>
      <c r="AX15" s="1">
        <v>3</v>
      </c>
      <c r="AY15" s="2">
        <f t="shared" si="23"/>
        <v>1096</v>
      </c>
      <c r="AZ15" s="2">
        <f t="array" ref="AZ15">MAX(IF((Tableau4[Qui]=Tableau6[[#This Row],[Nom affiche]])*(Tableau4[Quoi]="Circulation piste"),Tableau4[Date],""))</f>
        <v>0</v>
      </c>
      <c r="BA15" s="1">
        <v>3</v>
      </c>
      <c r="BB15" s="2">
        <f t="shared" si="24"/>
        <v>1096</v>
      </c>
      <c r="BC15" s="2">
        <f t="array" ref="BC15">MAX(IF((Tableau4[Qui]=Tableau6[[#This Row],[Nom affiche]])*(Tableau4[Quoi]="Véhicules"),Tableau4[Date],""))</f>
        <v>0</v>
      </c>
      <c r="BD15" s="1">
        <v>15</v>
      </c>
      <c r="BE15" s="2">
        <f t="shared" si="30"/>
        <v>15</v>
      </c>
      <c r="BF15" s="2">
        <f t="array" ref="BF15">MAX(IF((Tableau4[Qui]=Tableau6[[#This Row],[Nom affiche]])*(Tableau4[Quoi]="ARI"),Tableau4[Date],""))</f>
        <v>0</v>
      </c>
      <c r="BG15" s="1">
        <v>3</v>
      </c>
      <c r="BH15" s="2">
        <f t="shared" si="25"/>
        <v>91</v>
      </c>
    </row>
    <row r="16" spans="2:60" x14ac:dyDescent="0.25">
      <c r="B16" s="3" t="str">
        <f t="shared" si="26"/>
        <v>DESMYTER Damien</v>
      </c>
      <c r="C16" s="3" t="str">
        <f t="shared" si="27"/>
        <v>DESMYTER Da</v>
      </c>
      <c r="D16" s="4" t="s">
        <v>184</v>
      </c>
      <c r="E16" s="4" t="s">
        <v>185</v>
      </c>
      <c r="F16" s="2">
        <v>29538</v>
      </c>
      <c r="G16" s="1">
        <f t="shared" ca="1" si="2"/>
        <v>37</v>
      </c>
      <c r="H16" s="2">
        <v>43178</v>
      </c>
      <c r="I16" s="1" t="s">
        <v>10</v>
      </c>
      <c r="J16" s="2">
        <f t="array" ref="J16">MAX(IF((Tableau4[Qui]=Tableau6[[#This Row],[Nom affiche]])*(Tableau4[Quoi]="Travail"),Tableau4[Date],""))</f>
        <v>0</v>
      </c>
      <c r="K16" s="1">
        <v>1</v>
      </c>
      <c r="L16" s="2">
        <f t="array" aca="1" ref="L16" ca="1">IF(G16&lt;18,H16,IF(J16="",EDATE(H16,3),DATE(YEAR(J16)+K16,MONTH(J16),DAY(J16))))</f>
        <v>366</v>
      </c>
      <c r="M16" s="2">
        <f t="array" ref="M16">MAX(IF((Tableau4[Qui]=Tableau6[[#This Row],[Nom affiche]])*(Tableau4[Quoi]="Médicale"),Tableau4[Date],""))</f>
        <v>0</v>
      </c>
      <c r="N16" s="1">
        <v>1</v>
      </c>
      <c r="O16" s="2">
        <f t="shared" si="19"/>
        <v>366</v>
      </c>
      <c r="P16" s="2">
        <f t="array" ref="P16">MAX(IF((Tableau4[Qui]=Tableau6[[#This Row],[Nom affiche]])*(Tableau4[Quoi]="Permis PL"),Tableau4[Date],""))</f>
        <v>0</v>
      </c>
      <c r="Q16" s="1">
        <v>5</v>
      </c>
      <c r="R16" s="2">
        <f t="shared" si="20"/>
        <v>1827</v>
      </c>
      <c r="S16" s="2">
        <f t="array" ref="S16">MAX(IF((Tableau4[Qui]=Tableau6[[#This Row],[Nom affiche]])*(Tableau4[Quoi]="Aire de mouvement"),Tableau4[Date],""))</f>
        <v>0</v>
      </c>
      <c r="T16" s="1">
        <v>15</v>
      </c>
      <c r="U16" s="2">
        <f t="shared" si="3"/>
        <v>15</v>
      </c>
      <c r="V16" s="2">
        <f t="array" ref="V16">MAX(IF((Tableau4[Qui]=Tableau6[[#This Row],[Nom affiche]])*(Tableau4[Quoi]="Zone Aérodrome"),Tableau4[Date],""))</f>
        <v>0</v>
      </c>
      <c r="W16" s="1">
        <v>1</v>
      </c>
      <c r="X16" s="2">
        <f t="shared" si="4"/>
        <v>31</v>
      </c>
      <c r="Y16" s="2">
        <f t="array" ref="Y16">MAX(IF((Tableau4[Qui]=Tableau6[[#This Row],[Nom affiche]])*(Tableau4[Quoi]="Zone Voisine Aérodrome"),Tableau4[Date],""))</f>
        <v>0</v>
      </c>
      <c r="Z16" s="1">
        <v>3</v>
      </c>
      <c r="AA16" s="2">
        <f t="shared" si="5"/>
        <v>91</v>
      </c>
      <c r="AB16" s="2">
        <f t="array" ref="AB16">MAX(IF((Tableau4[Qui]=Tableau6[[#This Row],[Nom affiche]])*(Tableau4[Quoi]="EPI"),Tableau4[Date],""))</f>
        <v>0</v>
      </c>
      <c r="AC16" s="1">
        <v>3</v>
      </c>
      <c r="AD16" s="2">
        <f t="shared" si="6"/>
        <v>91</v>
      </c>
      <c r="AE16" s="2">
        <f t="array" ref="AE16">MAX(IF((Tableau4[Qui]=Tableau6[[#This Row],[Nom affiche]])*(Tableau4[Quoi]="Poudre et eau pulvé"),Tableau4[Date],""))</f>
        <v>0</v>
      </c>
      <c r="AF16" s="1">
        <v>1</v>
      </c>
      <c r="AG16" s="2">
        <f t="shared" si="7"/>
        <v>366</v>
      </c>
      <c r="AH16" s="2">
        <f t="array" ref="AH16">MAX(IF((Tableau4[Qui]=Tableau6[[#This Row],[Nom affiche]])*(Tableau4[Quoi]="Poudre métaux"),Tableau4[Date],""))</f>
        <v>0</v>
      </c>
      <c r="AI16" s="1">
        <v>5</v>
      </c>
      <c r="AJ16" s="2">
        <f t="shared" si="8"/>
        <v>1827</v>
      </c>
      <c r="AK16" s="2">
        <f t="array" ref="AK16">MAX(IF((Tableau4[Qui]=Tableau6[[#This Row],[Nom affiche]])*(Tableau4[Quoi]="CO²"),Tableau4[Date],""))</f>
        <v>0</v>
      </c>
      <c r="AL16" s="1">
        <v>1</v>
      </c>
      <c r="AM16" s="2">
        <f t="shared" si="21"/>
        <v>366</v>
      </c>
      <c r="AN16" s="2">
        <f t="array" ref="AN16">MAX(IF((Tableau4[Qui]=Tableau6[[#This Row],[Nom affiche]])*(Tableau4[Quoi]="Rec SSLIA"),Tableau4[Date],""))</f>
        <v>0</v>
      </c>
      <c r="AO16" s="1">
        <v>3</v>
      </c>
      <c r="AP16" s="2">
        <f t="shared" si="28"/>
        <v>1096</v>
      </c>
      <c r="AQ16" s="2" t="e">
        <f>MAX(IF((Tableau4[Qui]=Tableau6[[#This Row],[Nom affiche]])*(Tableau4[Quoi]="Rec pompier aérodrome"),Tableau4[Date],""))</f>
        <v>#VALUE!</v>
      </c>
      <c r="AS16" s="2" t="e">
        <f t="shared" si="29"/>
        <v>#VALUE!</v>
      </c>
      <c r="AT16" s="2">
        <f t="array" ref="AT16">MAX(IF((Tableau4[Qui]=Tableau6[[#This Row],[Nom affiche]])*(Tableau4[Quoi]="Badge"),Tableau4[Date],""))</f>
        <v>0</v>
      </c>
      <c r="AU16" s="1">
        <v>3</v>
      </c>
      <c r="AV16" s="2">
        <f t="shared" si="22"/>
        <v>1096</v>
      </c>
      <c r="AW16" s="2">
        <f t="array" ref="AW16">MAX(IF((Tableau4[Qui]=Tableau6[[#This Row],[Nom affiche]])*(Tableau4[Quoi]="Sûreté"),Tableau4[Date],""))</f>
        <v>0</v>
      </c>
      <c r="AX16" s="1">
        <v>3</v>
      </c>
      <c r="AY16" s="2">
        <f t="shared" si="23"/>
        <v>1096</v>
      </c>
      <c r="AZ16" s="2">
        <f t="array" ref="AZ16">MAX(IF((Tableau4[Qui]=Tableau6[[#This Row],[Nom affiche]])*(Tableau4[Quoi]="Circulation piste"),Tableau4[Date],""))</f>
        <v>0</v>
      </c>
      <c r="BA16" s="1">
        <v>3</v>
      </c>
      <c r="BB16" s="2">
        <f t="shared" si="24"/>
        <v>1096</v>
      </c>
      <c r="BC16" s="2">
        <f t="array" ref="BC16">MAX(IF((Tableau4[Qui]=Tableau6[[#This Row],[Nom affiche]])*(Tableau4[Quoi]="Véhicules"),Tableau4[Date],""))</f>
        <v>0</v>
      </c>
      <c r="BD16" s="1">
        <v>15</v>
      </c>
      <c r="BE16" s="2">
        <f t="shared" si="30"/>
        <v>15</v>
      </c>
      <c r="BF16" s="2">
        <f t="array" ref="BF16">MAX(IF((Tableau4[Qui]=Tableau6[[#This Row],[Nom affiche]])*(Tableau4[Quoi]="ARI"),Tableau4[Date],""))</f>
        <v>0</v>
      </c>
      <c r="BG16" s="1">
        <v>3</v>
      </c>
      <c r="BH16" s="2">
        <f t="shared" si="25"/>
        <v>91</v>
      </c>
    </row>
    <row r="17" spans="2:60" x14ac:dyDescent="0.25">
      <c r="B17" s="3" t="str">
        <f t="shared" si="26"/>
        <v>NAJJARI Mohamed</v>
      </c>
      <c r="C17" s="3" t="str">
        <f t="shared" si="27"/>
        <v>NAJJARI Mo</v>
      </c>
      <c r="D17" s="4" t="s">
        <v>186</v>
      </c>
      <c r="E17" s="4" t="s">
        <v>187</v>
      </c>
      <c r="F17" s="2">
        <v>32083</v>
      </c>
      <c r="G17" s="1">
        <f t="shared" ca="1" si="2"/>
        <v>30</v>
      </c>
      <c r="H17" s="2">
        <v>43178</v>
      </c>
      <c r="I17" s="1" t="s">
        <v>10</v>
      </c>
      <c r="J17" s="2">
        <f t="array" ref="J17">MAX(IF((Tableau4[Qui]=Tableau6[[#This Row],[Nom affiche]])*(Tableau4[Quoi]="Travail"),Tableau4[Date],""))</f>
        <v>0</v>
      </c>
      <c r="K17" s="1">
        <v>1</v>
      </c>
      <c r="L17" s="2">
        <f t="array" aca="1" ref="L17" ca="1">IF(G17&lt;18,H17,IF(J17="",EDATE(H17,3),DATE(YEAR(J17)+K17,MONTH(J17),DAY(J17))))</f>
        <v>366</v>
      </c>
      <c r="M17" s="2">
        <f t="array" ref="M17">MAX(IF((Tableau4[Qui]=Tableau6[[#This Row],[Nom affiche]])*(Tableau4[Quoi]="Médicale"),Tableau4[Date],""))</f>
        <v>0</v>
      </c>
      <c r="N17" s="1">
        <v>1</v>
      </c>
      <c r="O17" s="2">
        <f t="shared" si="19"/>
        <v>366</v>
      </c>
      <c r="P17" s="2">
        <f t="array" ref="P17">MAX(IF((Tableau4[Qui]=Tableau6[[#This Row],[Nom affiche]])*(Tableau4[Quoi]="Permis PL"),Tableau4[Date],""))</f>
        <v>0</v>
      </c>
      <c r="Q17" s="1">
        <v>5</v>
      </c>
      <c r="R17" s="2">
        <f t="shared" si="20"/>
        <v>1827</v>
      </c>
      <c r="S17" s="2">
        <f t="array" ref="S17">MAX(IF((Tableau4[Qui]=Tableau6[[#This Row],[Nom affiche]])*(Tableau4[Quoi]="Aire de mouvement"),Tableau4[Date],""))</f>
        <v>0</v>
      </c>
      <c r="T17" s="1">
        <v>15</v>
      </c>
      <c r="U17" s="2">
        <f t="shared" si="3"/>
        <v>15</v>
      </c>
      <c r="V17" s="2">
        <f t="array" ref="V17">MAX(IF((Tableau4[Qui]=Tableau6[[#This Row],[Nom affiche]])*(Tableau4[Quoi]="Zone Aérodrome"),Tableau4[Date],""))</f>
        <v>0</v>
      </c>
      <c r="W17" s="1">
        <v>1</v>
      </c>
      <c r="X17" s="2">
        <f t="shared" si="4"/>
        <v>31</v>
      </c>
      <c r="Y17" s="2">
        <f t="array" ref="Y17">MAX(IF((Tableau4[Qui]=Tableau6[[#This Row],[Nom affiche]])*(Tableau4[Quoi]="Zone Voisine Aérodrome"),Tableau4[Date],""))</f>
        <v>0</v>
      </c>
      <c r="Z17" s="1">
        <v>3</v>
      </c>
      <c r="AA17" s="2">
        <f t="shared" si="5"/>
        <v>91</v>
      </c>
      <c r="AB17" s="2">
        <f t="array" ref="AB17">MAX(IF((Tableau4[Qui]=Tableau6[[#This Row],[Nom affiche]])*(Tableau4[Quoi]="EPI"),Tableau4[Date],""))</f>
        <v>0</v>
      </c>
      <c r="AC17" s="1">
        <v>3</v>
      </c>
      <c r="AD17" s="2">
        <f t="shared" si="6"/>
        <v>91</v>
      </c>
      <c r="AE17" s="2">
        <f t="array" ref="AE17">MAX(IF((Tableau4[Qui]=Tableau6[[#This Row],[Nom affiche]])*(Tableau4[Quoi]="Poudre et eau pulvé"),Tableau4[Date],""))</f>
        <v>0</v>
      </c>
      <c r="AF17" s="1">
        <v>1</v>
      </c>
      <c r="AG17" s="2">
        <f t="shared" si="7"/>
        <v>366</v>
      </c>
      <c r="AH17" s="2">
        <f t="array" ref="AH17">MAX(IF((Tableau4[Qui]=Tableau6[[#This Row],[Nom affiche]])*(Tableau4[Quoi]="Poudre métaux"),Tableau4[Date],""))</f>
        <v>0</v>
      </c>
      <c r="AI17" s="1">
        <v>5</v>
      </c>
      <c r="AJ17" s="2">
        <f t="shared" si="8"/>
        <v>1827</v>
      </c>
      <c r="AK17" s="2">
        <f t="array" ref="AK17">MAX(IF((Tableau4[Qui]=Tableau6[[#This Row],[Nom affiche]])*(Tableau4[Quoi]="CO²"),Tableau4[Date],""))</f>
        <v>0</v>
      </c>
      <c r="AL17" s="1">
        <v>1</v>
      </c>
      <c r="AM17" s="2">
        <f t="shared" si="21"/>
        <v>366</v>
      </c>
      <c r="AN17" s="2">
        <f t="array" ref="AN17">MAX(IF((Tableau4[Qui]=Tableau6[[#This Row],[Nom affiche]])*(Tableau4[Quoi]="Rec SSLIA"),Tableau4[Date],""))</f>
        <v>0</v>
      </c>
      <c r="AO17" s="1">
        <v>3</v>
      </c>
      <c r="AP17" s="2">
        <f t="shared" si="28"/>
        <v>1096</v>
      </c>
      <c r="AQ17" s="2" t="e">
        <f>MAX(IF((Tableau4[Qui]=Tableau6[[#This Row],[Nom affiche]])*(Tableau4[Quoi]="Rec pompier aérodrome"),Tableau4[Date],""))</f>
        <v>#VALUE!</v>
      </c>
      <c r="AS17" s="2" t="e">
        <f t="shared" si="29"/>
        <v>#VALUE!</v>
      </c>
      <c r="AT17" s="2">
        <f t="array" ref="AT17">MAX(IF((Tableau4[Qui]=Tableau6[[#This Row],[Nom affiche]])*(Tableau4[Quoi]="Badge"),Tableau4[Date],""))</f>
        <v>0</v>
      </c>
      <c r="AU17" s="1">
        <v>3</v>
      </c>
      <c r="AV17" s="2">
        <f t="shared" si="22"/>
        <v>1096</v>
      </c>
      <c r="AW17" s="2">
        <f t="array" ref="AW17">MAX(IF((Tableau4[Qui]=Tableau6[[#This Row],[Nom affiche]])*(Tableau4[Quoi]="Sûreté"),Tableau4[Date],""))</f>
        <v>0</v>
      </c>
      <c r="AX17" s="1">
        <v>3</v>
      </c>
      <c r="AY17" s="2">
        <f t="shared" si="23"/>
        <v>1096</v>
      </c>
      <c r="AZ17" s="2">
        <f t="array" ref="AZ17">MAX(IF((Tableau4[Qui]=Tableau6[[#This Row],[Nom affiche]])*(Tableau4[Quoi]="Circulation piste"),Tableau4[Date],""))</f>
        <v>0</v>
      </c>
      <c r="BA17" s="1">
        <v>3</v>
      </c>
      <c r="BB17" s="2">
        <f t="shared" si="24"/>
        <v>1096</v>
      </c>
      <c r="BC17" s="2">
        <f t="array" ref="BC17">MAX(IF((Tableau4[Qui]=Tableau6[[#This Row],[Nom affiche]])*(Tableau4[Quoi]="Véhicules"),Tableau4[Date],""))</f>
        <v>0</v>
      </c>
      <c r="BD17" s="1">
        <v>15</v>
      </c>
      <c r="BE17" s="2">
        <f t="shared" si="30"/>
        <v>15</v>
      </c>
      <c r="BF17" s="2">
        <f t="array" ref="BF17">MAX(IF((Tableau4[Qui]=Tableau6[[#This Row],[Nom affiche]])*(Tableau4[Quoi]="ARI"),Tableau4[Date],""))</f>
        <v>0</v>
      </c>
      <c r="BG17" s="1">
        <v>3</v>
      </c>
      <c r="BH17" s="2">
        <f t="shared" si="25"/>
        <v>91</v>
      </c>
    </row>
  </sheetData>
  <mergeCells count="17">
    <mergeCell ref="J2:L2"/>
    <mergeCell ref="M2:O2"/>
    <mergeCell ref="P2:R2"/>
    <mergeCell ref="S2:U2"/>
    <mergeCell ref="V2:X2"/>
    <mergeCell ref="AK2:AM2"/>
    <mergeCell ref="AN2:AP2"/>
    <mergeCell ref="AQ2:AS2"/>
    <mergeCell ref="Y2:AA2"/>
    <mergeCell ref="BF2:BH2"/>
    <mergeCell ref="AT2:AV2"/>
    <mergeCell ref="AW2:AY2"/>
    <mergeCell ref="AZ2:BB2"/>
    <mergeCell ref="BC2:BE2"/>
    <mergeCell ref="AB2:AD2"/>
    <mergeCell ref="AE2:AG2"/>
    <mergeCell ref="AH2:AJ2"/>
  </mergeCells>
  <dataValidations count="1">
    <dataValidation type="list" allowBlank="1" showInputMessage="1" showErrorMessage="1" sqref="I4:I17">
      <formula1>"Actif,Non actif"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K41"/>
  <sheetViews>
    <sheetView showGridLines="0" tabSelected="1" workbookViewId="0">
      <pane ySplit="13" topLeftCell="A14" activePane="bottomLeft" state="frozen"/>
      <selection pane="bottomLeft" activeCell="K1" sqref="K1"/>
    </sheetView>
  </sheetViews>
  <sheetFormatPr baseColWidth="10" defaultRowHeight="12.75" x14ac:dyDescent="0.2"/>
  <cols>
    <col min="1" max="1" width="1.7109375" style="8" customWidth="1"/>
    <col min="2" max="2" width="4.42578125" style="8" hidden="1" customWidth="1"/>
    <col min="3" max="3" width="4.7109375" style="8" hidden="1" customWidth="1"/>
    <col min="4" max="4" width="9.7109375" style="8" customWidth="1"/>
    <col min="5" max="5" width="22.7109375" style="8" customWidth="1"/>
    <col min="6" max="6" width="15.85546875" style="8" bestFit="1" customWidth="1"/>
    <col min="7" max="7" width="18.7109375" style="8" customWidth="1"/>
    <col min="8" max="8" width="8" style="1" customWidth="1"/>
    <col min="9" max="10" width="22.7109375" style="8" customWidth="1"/>
    <col min="11" max="11" width="1.7109375" style="8" customWidth="1"/>
    <col min="12" max="16384" width="11.42578125" style="8"/>
  </cols>
  <sheetData>
    <row r="1" spans="1:11" ht="13.5" thickTop="1" x14ac:dyDescent="0.2">
      <c r="A1" s="28"/>
      <c r="B1" s="29"/>
      <c r="C1" s="29"/>
      <c r="D1" s="29"/>
      <c r="E1" s="29"/>
      <c r="F1" s="29"/>
      <c r="G1" s="29"/>
      <c r="H1" s="68"/>
      <c r="I1" s="29"/>
      <c r="J1" s="29"/>
      <c r="K1" s="30"/>
    </row>
    <row r="2" spans="1:11" ht="14.25" x14ac:dyDescent="0.2">
      <c r="A2" s="31"/>
      <c r="B2" s="32"/>
      <c r="C2" s="32"/>
      <c r="D2" s="32" t="s">
        <v>236</v>
      </c>
      <c r="E2" s="41" t="str">
        <f t="array" aca="1" ref="E2" ca="1">INDEX(Tableau4[Qui],MATCH(1,SUBTOTAL(3,OFFSET(Tableau4[Qui],ROW(Tableau4[Qui])-MIN(ROW(Tableau4[Qui])),,1)),0))</f>
        <v>LEROY France</v>
      </c>
      <c r="G2" s="50" t="s">
        <v>192</v>
      </c>
      <c r="H2" s="69"/>
      <c r="I2" s="33" t="s">
        <v>0</v>
      </c>
      <c r="J2" s="43">
        <f t="array" aca="1" ref="J2" ca="1">INDEX(Tableau6[prochaine visite mvt],MATCH(Fiche!$E$2,Tableau6[Nom affiche],0))</f>
        <v>15</v>
      </c>
      <c r="K2" s="34"/>
    </row>
    <row r="3" spans="1:11" x14ac:dyDescent="0.2">
      <c r="A3" s="31"/>
      <c r="B3" s="32"/>
      <c r="C3" s="32"/>
      <c r="D3" s="32"/>
      <c r="E3" s="32"/>
      <c r="G3" s="51" t="s">
        <v>191</v>
      </c>
      <c r="H3" s="69"/>
      <c r="I3" s="33" t="s">
        <v>152</v>
      </c>
      <c r="J3" s="43">
        <f t="array" aca="1" ref="J3" ca="1">INDEX(Tableau6[prochaine visite za],MATCH(Fiche!$E$2,Tableau6[Nom affiche],0))</f>
        <v>43414</v>
      </c>
      <c r="K3" s="34"/>
    </row>
    <row r="4" spans="1:11" x14ac:dyDescent="0.2">
      <c r="A4" s="31"/>
      <c r="B4" s="32"/>
      <c r="C4" s="32"/>
      <c r="D4" s="32"/>
      <c r="E4" s="64" t="str">
        <f ca="1">INDEX(Tableau6[âge],MATCH(Fiche!$E$2,Tableau6[Nom affiche],0))&amp;" ans"</f>
        <v>50 ans</v>
      </c>
      <c r="F4" s="33" t="s">
        <v>188</v>
      </c>
      <c r="G4" s="43">
        <f t="array" aca="1" ref="G4" ca="1">INDEX(Tableau6[prochaine visite rpa],MATCH(Fiche!$E$2,Tableau6[Nom affiche],0))</f>
        <v>1096</v>
      </c>
      <c r="H4" s="69"/>
      <c r="I4" s="33" t="s">
        <v>153</v>
      </c>
      <c r="J4" s="43">
        <f t="array" aca="1" ref="J4" ca="1">INDEX(Tableau6[prochaine visite zva],MATCH(Fiche!$E$2,Tableau6[Nom affiche],0))</f>
        <v>91</v>
      </c>
      <c r="K4" s="34"/>
    </row>
    <row r="5" spans="1:11" x14ac:dyDescent="0.2">
      <c r="A5" s="31"/>
      <c r="B5" s="32"/>
      <c r="C5" s="32"/>
      <c r="D5" s="32"/>
      <c r="E5" s="65" t="str">
        <f ca="1">"Entrée le "&amp;TEXT(INDEX(Tableau6[date entrée],MATCH(Fiche!$E$2,Tableau6[Nom affiche],0)),"jj/mm/aaaa")</f>
        <v>Entrée le 07/07/2011</v>
      </c>
      <c r="G5" s="44"/>
      <c r="H5" s="69"/>
      <c r="I5" s="33" t="s">
        <v>1</v>
      </c>
      <c r="J5" s="43">
        <f t="array" aca="1" ref="J5" ca="1">INDEX(Tableau6[prochaine visite véh],MATCH(Fiche!$E$2,Tableau6[Nom affiche],0))</f>
        <v>15</v>
      </c>
      <c r="K5" s="34"/>
    </row>
    <row r="6" spans="1:11" x14ac:dyDescent="0.2">
      <c r="A6" s="31"/>
      <c r="B6" s="32"/>
      <c r="C6" s="32"/>
      <c r="D6" s="32"/>
      <c r="E6" s="63"/>
      <c r="F6" s="33" t="s">
        <v>97</v>
      </c>
      <c r="G6" s="43">
        <f t="array" aca="1" ref="G6" ca="1">INDEX(Tableau6[prochaine visite trv],MATCH(Fiche!$E$2,Tableau6[Nom affiche],0))</f>
        <v>366</v>
      </c>
      <c r="H6" s="69"/>
      <c r="I6" s="33" t="s">
        <v>154</v>
      </c>
      <c r="J6" s="43">
        <f t="array" aca="1" ref="J6" ca="1">INDEX(Tableau6[prochaine visite epi],MATCH(Fiche!$E$2,Tableau6[Nom affiche],0))</f>
        <v>91</v>
      </c>
      <c r="K6" s="34"/>
    </row>
    <row r="7" spans="1:11" x14ac:dyDescent="0.2">
      <c r="A7" s="31"/>
      <c r="B7" s="32"/>
      <c r="C7" s="32"/>
      <c r="D7" s="42">
        <f t="array" aca="1" ref="D7" ca="1">MAX(IF((Tableau4[Qui]=$E$2)*(Tableau4[Quoi]="Initiale SP"),Tableau4[Date],""))</f>
        <v>30895</v>
      </c>
      <c r="E7" s="35" t="s">
        <v>150</v>
      </c>
      <c r="F7" s="33" t="s">
        <v>96</v>
      </c>
      <c r="G7" s="43">
        <f t="array" aca="1" ref="G7" ca="1">INDEX(Tableau6[prochaine visite méd],MATCH(Fiche!$E$2,Tableau6[Nom affiche],0))</f>
        <v>38847</v>
      </c>
      <c r="H7" s="69"/>
      <c r="I7" s="33" t="s">
        <v>155</v>
      </c>
      <c r="J7" s="43">
        <f t="array" aca="1" ref="J7" ca="1">INDEX(Tableau6[prochaine visite ari],MATCH(Fiche!$E$2,Tableau6[Nom affiche],0))</f>
        <v>91</v>
      </c>
      <c r="K7" s="34"/>
    </row>
    <row r="8" spans="1:11" x14ac:dyDescent="0.2">
      <c r="A8" s="31"/>
      <c r="B8" s="32"/>
      <c r="C8" s="32"/>
      <c r="D8" s="42">
        <f t="array" aca="1" ref="D8" ca="1">MAX(IF((Tableau4[Qui]=$E$2)*(Tableau4[Quoi]="Initiale PA"),Tableau4[Date],""))</f>
        <v>0</v>
      </c>
      <c r="E8" s="35" t="s">
        <v>147</v>
      </c>
      <c r="F8" s="33" t="s">
        <v>149</v>
      </c>
      <c r="G8" s="43">
        <f t="array" aca="1" ref="G8" ca="1">INDEX(Tableau6[prochaine visite per],MATCH(Fiche!$E$2,Tableau6[Nom affiche],0))</f>
        <v>1827</v>
      </c>
      <c r="I8" s="33" t="s">
        <v>199</v>
      </c>
      <c r="J8" s="43">
        <f t="array" aca="1" ref="J8" ca="1">INDEX(Tableau6[prochaine visite pou],MATCH(Fiche!$E$2,Tableau6[Nom affiche],0))</f>
        <v>366</v>
      </c>
      <c r="K8" s="34"/>
    </row>
    <row r="9" spans="1:11" x14ac:dyDescent="0.2">
      <c r="A9" s="31"/>
      <c r="B9" s="32"/>
      <c r="C9" s="32"/>
      <c r="D9" s="42">
        <f t="array" aca="1" ref="D9" ca="1">MAX(IF((Tableau4[Qui]=$E$2)*(Tableau4[Quoi]="Initiale CM"),Tableau4[Date],""))</f>
        <v>0</v>
      </c>
      <c r="E9" s="35" t="s">
        <v>148</v>
      </c>
      <c r="F9" s="33" t="s">
        <v>142</v>
      </c>
      <c r="G9" s="43">
        <f t="array" aca="1" ref="G9" ca="1">INDEX(Tableau6[prochaine visite bad],MATCH(Fiche!$E$2,Tableau6[Nom affiche],0))</f>
        <v>39579</v>
      </c>
      <c r="H9" s="69"/>
      <c r="I9" s="33" t="s">
        <v>2</v>
      </c>
      <c r="J9" s="43">
        <f t="array" aca="1" ref="J9" ca="1">INDEX(Tableau6[prochaine visite co²],MATCH(Fiche!$E$2,Tableau6[Nom affiche],0))</f>
        <v>366</v>
      </c>
      <c r="K9" s="34"/>
    </row>
    <row r="10" spans="1:11" x14ac:dyDescent="0.2">
      <c r="A10" s="31"/>
      <c r="B10" s="32"/>
      <c r="C10" s="32"/>
      <c r="D10" s="42">
        <f t="array" aca="1" ref="D10" ca="1">MAX(IF((Tableau4[Qui]=$E$2)*(Tableau4[Quoi]="Initiale RSSLIA"),Tableau4[Date],""))</f>
        <v>0</v>
      </c>
      <c r="E10" s="35" t="s">
        <v>189</v>
      </c>
      <c r="F10" s="33" t="s">
        <v>151</v>
      </c>
      <c r="G10" s="43">
        <f t="array" aca="1" ref="G10" ca="1">INDEX(Tableau6[prochaine visite pis],MATCH(Fiche!$E$2,Tableau6[Nom affiche],0))</f>
        <v>1096</v>
      </c>
      <c r="H10" s="69"/>
      <c r="I10" s="33" t="s">
        <v>156</v>
      </c>
      <c r="J10" s="43">
        <f t="array" aca="1" ref="J10" ca="1">INDEX(Tableau6[prochaine visite mét],MATCH(Fiche!$E$2,Tableau6[Nom affiche],0))</f>
        <v>1827</v>
      </c>
      <c r="K10" s="34"/>
    </row>
    <row r="11" spans="1:11" ht="13.5" thickBot="1" x14ac:dyDescent="0.25">
      <c r="A11" s="36"/>
      <c r="B11" s="37"/>
      <c r="C11" s="37"/>
      <c r="D11" s="37"/>
      <c r="E11" s="37"/>
      <c r="F11" s="37"/>
      <c r="G11" s="37"/>
      <c r="H11" s="70"/>
      <c r="I11" s="37"/>
      <c r="J11" s="37"/>
      <c r="K11" s="38"/>
    </row>
    <row r="12" spans="1:11" ht="13.5" thickTop="1" x14ac:dyDescent="0.2">
      <c r="F12" s="47" t="str">
        <f>SUBTOTAL(3,Tableau4[Quoi])&amp;" "&amp;"éléments affichées"</f>
        <v>28 éléments affichées</v>
      </c>
      <c r="H12" s="73">
        <f>SUBTOTAL(9,Tableau4[Durée])</f>
        <v>1.7291666666666672</v>
      </c>
    </row>
    <row r="13" spans="1:11" x14ac:dyDescent="0.2">
      <c r="B13" s="1" t="s">
        <v>134</v>
      </c>
      <c r="C13" s="1" t="s">
        <v>135</v>
      </c>
      <c r="D13" s="27" t="s">
        <v>3</v>
      </c>
      <c r="E13" s="27" t="s">
        <v>27</v>
      </c>
      <c r="F13" s="27" t="s">
        <v>28</v>
      </c>
      <c r="G13" s="27" t="s">
        <v>136</v>
      </c>
      <c r="H13" s="27" t="s">
        <v>137</v>
      </c>
      <c r="I13" s="27" t="s">
        <v>138</v>
      </c>
      <c r="J13" s="27" t="s">
        <v>139</v>
      </c>
    </row>
    <row r="14" spans="1:11" x14ac:dyDescent="0.2">
      <c r="B14" s="8">
        <f>YEAR(Tableau4[[#This Row],[Date]])</f>
        <v>1984</v>
      </c>
      <c r="C14" s="8" t="str">
        <f>TEXT(Tableau4[[#This Row],[Date]],"mmmm")</f>
        <v>août</v>
      </c>
      <c r="D14" s="2">
        <v>30895</v>
      </c>
      <c r="E14" s="8" t="s">
        <v>4</v>
      </c>
      <c r="F14" s="8" t="s">
        <v>157</v>
      </c>
    </row>
    <row r="15" spans="1:11" x14ac:dyDescent="0.2">
      <c r="B15" s="8">
        <f>YEAR(Tableau4[[#This Row],[Date]])</f>
        <v>2005</v>
      </c>
      <c r="C15" s="8" t="str">
        <f>TEXT(Tableau4[[#This Row],[Date]],"mmmm")</f>
        <v>mai</v>
      </c>
      <c r="D15" s="2">
        <v>38482</v>
      </c>
      <c r="E15" s="8" t="s">
        <v>4</v>
      </c>
      <c r="F15" s="8" t="s">
        <v>30</v>
      </c>
    </row>
    <row r="16" spans="1:11" x14ac:dyDescent="0.2">
      <c r="B16" s="8">
        <f>YEAR(Tableau4[[#This Row],[Date]])</f>
        <v>2005</v>
      </c>
      <c r="C16" s="8" t="str">
        <f>TEXT(Tableau4[[#This Row],[Date]],"mmmm")</f>
        <v>mai</v>
      </c>
      <c r="D16" s="2">
        <v>38483</v>
      </c>
      <c r="E16" s="8" t="s">
        <v>4</v>
      </c>
      <c r="F16" s="8" t="s">
        <v>142</v>
      </c>
    </row>
    <row r="17" spans="2:10" x14ac:dyDescent="0.2">
      <c r="B17" s="40">
        <f>YEAR(Tableau4[[#This Row],[Date]])</f>
        <v>2018</v>
      </c>
      <c r="C17" s="40" t="str">
        <f>TEXT(Tableau4[[#This Row],[Date]],"mmmm")</f>
        <v>octobre</v>
      </c>
      <c r="D17" s="2">
        <v>43383</v>
      </c>
      <c r="E17" s="8" t="s">
        <v>237</v>
      </c>
      <c r="F17" s="8" t="s">
        <v>102</v>
      </c>
      <c r="G17" s="8" t="s">
        <v>218</v>
      </c>
      <c r="H17" s="71">
        <v>4.1666666666666664E-2</v>
      </c>
      <c r="I17" s="8" t="s">
        <v>238</v>
      </c>
      <c r="J17" s="8" t="s">
        <v>238</v>
      </c>
    </row>
    <row r="18" spans="2:10" x14ac:dyDescent="0.2">
      <c r="B18" s="40">
        <f>YEAR(Tableau4[[#This Row],[Date]])</f>
        <v>2018</v>
      </c>
      <c r="C18" s="40" t="str">
        <f>TEXT(Tableau4[[#This Row],[Date]],"mmmm")</f>
        <v>octobre</v>
      </c>
      <c r="D18" s="2">
        <v>43383</v>
      </c>
      <c r="E18" s="8" t="s">
        <v>5</v>
      </c>
      <c r="F18" s="8" t="s">
        <v>102</v>
      </c>
      <c r="G18" s="8" t="s">
        <v>218</v>
      </c>
      <c r="H18" s="71">
        <v>4.1666666666666664E-2</v>
      </c>
      <c r="I18" s="8" t="s">
        <v>238</v>
      </c>
      <c r="J18" s="8" t="s">
        <v>238</v>
      </c>
    </row>
    <row r="19" spans="2:10" x14ac:dyDescent="0.2">
      <c r="B19" s="40">
        <f>YEAR(Tableau4[[#This Row],[Date]])</f>
        <v>2018</v>
      </c>
      <c r="C19" s="40" t="str">
        <f>TEXT(Tableau4[[#This Row],[Date]],"mmmm")</f>
        <v>octobre</v>
      </c>
      <c r="D19" s="2">
        <v>43383</v>
      </c>
      <c r="E19" s="8" t="s">
        <v>4</v>
      </c>
      <c r="F19" s="8" t="s">
        <v>102</v>
      </c>
      <c r="G19" s="8" t="s">
        <v>218</v>
      </c>
      <c r="H19" s="71">
        <v>4.1666666666666664E-2</v>
      </c>
      <c r="I19" s="8" t="s">
        <v>238</v>
      </c>
      <c r="J19" s="8" t="s">
        <v>238</v>
      </c>
    </row>
    <row r="20" spans="2:10" x14ac:dyDescent="0.2">
      <c r="B20" s="40">
        <f>YEAR(Tableau4[[#This Row],[Date]])</f>
        <v>1986</v>
      </c>
      <c r="C20" s="40" t="str">
        <f>TEXT(Tableau4[[#This Row],[Date]],"mmmm")</f>
        <v>juillet</v>
      </c>
      <c r="D20" s="2">
        <v>31607</v>
      </c>
      <c r="E20" s="8" t="s">
        <v>237</v>
      </c>
      <c r="F20" s="8" t="s">
        <v>157</v>
      </c>
      <c r="G20" s="8" t="s">
        <v>207</v>
      </c>
      <c r="H20" s="72"/>
      <c r="I20" s="8" t="s">
        <v>238</v>
      </c>
      <c r="J20" s="8" t="s">
        <v>238</v>
      </c>
    </row>
    <row r="21" spans="2:10" x14ac:dyDescent="0.2">
      <c r="B21" s="40">
        <f>YEAR(Tableau4[[#This Row],[Date]])</f>
        <v>2010</v>
      </c>
      <c r="C21" s="40" t="str">
        <f>TEXT(Tableau4[[#This Row],[Date]],"mmmm")</f>
        <v>novembre</v>
      </c>
      <c r="D21" s="2" t="s">
        <v>239</v>
      </c>
      <c r="E21" s="8" t="s">
        <v>5</v>
      </c>
      <c r="F21" s="8" t="s">
        <v>157</v>
      </c>
      <c r="G21" s="8" t="s">
        <v>207</v>
      </c>
      <c r="H21" s="72"/>
      <c r="I21" s="8" t="s">
        <v>238</v>
      </c>
      <c r="J21" s="8" t="s">
        <v>238</v>
      </c>
    </row>
    <row r="22" spans="2:10" x14ac:dyDescent="0.2">
      <c r="B22" s="40">
        <f>YEAR(Tableau4[[#This Row],[Date]])</f>
        <v>2018</v>
      </c>
      <c r="C22" s="40" t="str">
        <f>TEXT(Tableau4[[#This Row],[Date]],"mmmm")</f>
        <v>octobre</v>
      </c>
      <c r="D22" s="2" t="s">
        <v>240</v>
      </c>
      <c r="E22" s="8" t="s">
        <v>237</v>
      </c>
      <c r="F22" s="8" t="s">
        <v>209</v>
      </c>
      <c r="G22" s="8" t="s">
        <v>215</v>
      </c>
      <c r="H22" s="71">
        <v>6.25E-2</v>
      </c>
      <c r="I22" s="8" t="s">
        <v>238</v>
      </c>
      <c r="J22" s="8" t="s">
        <v>238</v>
      </c>
    </row>
    <row r="23" spans="2:10" x14ac:dyDescent="0.2">
      <c r="B23" s="40">
        <f>YEAR(Tableau4[[#This Row],[Date]])</f>
        <v>2018</v>
      </c>
      <c r="C23" s="40" t="str">
        <f>TEXT(Tableau4[[#This Row],[Date]],"mmmm")</f>
        <v>octobre</v>
      </c>
      <c r="D23" s="2" t="s">
        <v>240</v>
      </c>
      <c r="E23" s="8" t="s">
        <v>241</v>
      </c>
      <c r="F23" s="8" t="s">
        <v>209</v>
      </c>
      <c r="G23" s="8" t="s">
        <v>215</v>
      </c>
      <c r="H23" s="71">
        <v>6.25E-2</v>
      </c>
      <c r="I23" s="8" t="s">
        <v>238</v>
      </c>
      <c r="J23" s="8" t="s">
        <v>238</v>
      </c>
    </row>
    <row r="24" spans="2:10" x14ac:dyDescent="0.2">
      <c r="B24" s="40">
        <f>YEAR(Tableau4[[#This Row],[Date]])</f>
        <v>2018</v>
      </c>
      <c r="C24" s="40" t="str">
        <f>TEXT(Tableau4[[#This Row],[Date]],"mmmm")</f>
        <v>octobre</v>
      </c>
      <c r="D24" s="2" t="s">
        <v>240</v>
      </c>
      <c r="E24" s="8" t="s">
        <v>242</v>
      </c>
      <c r="F24" s="8" t="s">
        <v>209</v>
      </c>
      <c r="G24" s="8" t="s">
        <v>215</v>
      </c>
      <c r="H24" s="71">
        <v>6.25E-2</v>
      </c>
      <c r="I24" s="8" t="s">
        <v>238</v>
      </c>
      <c r="J24" s="8" t="s">
        <v>238</v>
      </c>
    </row>
    <row r="25" spans="2:10" x14ac:dyDescent="0.2">
      <c r="B25" s="40">
        <f>YEAR(Tableau4[[#This Row],[Date]])</f>
        <v>2018</v>
      </c>
      <c r="C25" s="40" t="str">
        <f>TEXT(Tableau4[[#This Row],[Date]],"mmmm")</f>
        <v>octobre</v>
      </c>
      <c r="D25" s="2" t="s">
        <v>246</v>
      </c>
      <c r="E25" s="8" t="s">
        <v>247</v>
      </c>
      <c r="F25" s="8" t="s">
        <v>156</v>
      </c>
      <c r="G25" s="8" t="s">
        <v>226</v>
      </c>
      <c r="H25" s="71">
        <v>8.3333333333333329E-2</v>
      </c>
      <c r="I25" s="8" t="s">
        <v>238</v>
      </c>
      <c r="J25" s="8" t="s">
        <v>238</v>
      </c>
    </row>
    <row r="26" spans="2:10" x14ac:dyDescent="0.2">
      <c r="B26" s="40">
        <f>YEAR(Tableau4[[#This Row],[Date]])</f>
        <v>2018</v>
      </c>
      <c r="C26" s="40" t="str">
        <f>TEXT(Tableau4[[#This Row],[Date]],"mmmm")</f>
        <v>octobre</v>
      </c>
      <c r="D26" s="2" t="s">
        <v>246</v>
      </c>
      <c r="E26" s="8" t="s">
        <v>241</v>
      </c>
      <c r="F26" s="8" t="s">
        <v>156</v>
      </c>
      <c r="G26" s="8" t="s">
        <v>226</v>
      </c>
      <c r="H26" s="71">
        <v>8.3333333333333329E-2</v>
      </c>
      <c r="I26" s="8" t="s">
        <v>238</v>
      </c>
      <c r="J26" s="8" t="s">
        <v>238</v>
      </c>
    </row>
    <row r="27" spans="2:10" x14ac:dyDescent="0.2">
      <c r="B27" s="40">
        <f>YEAR(Tableau4[[#This Row],[Date]])</f>
        <v>2018</v>
      </c>
      <c r="C27" s="40" t="str">
        <f>TEXT(Tableau4[[#This Row],[Date]],"mmmm")</f>
        <v>octobre</v>
      </c>
      <c r="D27" s="2" t="s">
        <v>246</v>
      </c>
      <c r="E27" s="8" t="s">
        <v>242</v>
      </c>
      <c r="F27" s="8" t="s">
        <v>156</v>
      </c>
      <c r="G27" s="8" t="s">
        <v>226</v>
      </c>
      <c r="H27" s="71">
        <v>8.3333333333333329E-2</v>
      </c>
      <c r="I27" s="8" t="s">
        <v>238</v>
      </c>
      <c r="J27" s="8" t="s">
        <v>238</v>
      </c>
    </row>
    <row r="28" spans="2:10" x14ac:dyDescent="0.2">
      <c r="B28" s="40">
        <f>YEAR(Tableau4[[#This Row],[Date]])</f>
        <v>2018</v>
      </c>
      <c r="C28" s="40" t="str">
        <f>TEXT(Tableau4[[#This Row],[Date]],"mmmm")</f>
        <v>octobre</v>
      </c>
      <c r="D28" s="2" t="s">
        <v>246</v>
      </c>
      <c r="E28" s="8" t="s">
        <v>237</v>
      </c>
      <c r="F28" s="8" t="s">
        <v>162</v>
      </c>
      <c r="G28" s="8" t="s">
        <v>227</v>
      </c>
      <c r="H28" s="71">
        <v>8.3333333333333329E-2</v>
      </c>
      <c r="I28" s="8" t="s">
        <v>238</v>
      </c>
      <c r="J28" s="8" t="s">
        <v>238</v>
      </c>
    </row>
    <row r="29" spans="2:10" x14ac:dyDescent="0.2">
      <c r="B29" s="40">
        <f>YEAR(Tableau4[[#This Row],[Date]])</f>
        <v>2018</v>
      </c>
      <c r="C29" s="40" t="str">
        <f>TEXT(Tableau4[[#This Row],[Date]],"mmmm")</f>
        <v>octobre</v>
      </c>
      <c r="D29" s="2" t="s">
        <v>246</v>
      </c>
      <c r="E29" s="8" t="s">
        <v>4</v>
      </c>
      <c r="F29" s="8" t="s">
        <v>162</v>
      </c>
      <c r="G29" s="8" t="s">
        <v>227</v>
      </c>
      <c r="H29" s="71">
        <v>8.3333333333333329E-2</v>
      </c>
      <c r="I29" s="8" t="s">
        <v>238</v>
      </c>
      <c r="J29" s="8" t="s">
        <v>238</v>
      </c>
    </row>
    <row r="30" spans="2:10" x14ac:dyDescent="0.2">
      <c r="B30" s="40">
        <f>YEAR(Tableau4[[#This Row],[Date]])</f>
        <v>2018</v>
      </c>
      <c r="C30" s="40" t="str">
        <f>TEXT(Tableau4[[#This Row],[Date]],"mmmm")</f>
        <v>octobre</v>
      </c>
      <c r="D30" s="2" t="s">
        <v>246</v>
      </c>
      <c r="E30" s="8" t="s">
        <v>248</v>
      </c>
      <c r="F30" s="8" t="s">
        <v>162</v>
      </c>
      <c r="G30" s="8" t="s">
        <v>227</v>
      </c>
      <c r="H30" s="71">
        <v>8.3333333333333329E-2</v>
      </c>
      <c r="I30" s="8" t="s">
        <v>238</v>
      </c>
      <c r="J30" s="8" t="s">
        <v>238</v>
      </c>
    </row>
    <row r="31" spans="2:10" x14ac:dyDescent="0.2">
      <c r="B31" s="40">
        <f>YEAR(Tableau4[[#This Row],[Date]])</f>
        <v>2018</v>
      </c>
      <c r="C31" s="40" t="str">
        <f>TEXT(Tableau4[[#This Row],[Date]],"mmmm")</f>
        <v>octobre</v>
      </c>
      <c r="D31" s="2" t="s">
        <v>249</v>
      </c>
      <c r="E31" s="8" t="s">
        <v>237</v>
      </c>
      <c r="F31" s="8" t="s">
        <v>161</v>
      </c>
      <c r="G31" s="8" t="s">
        <v>221</v>
      </c>
      <c r="H31" s="71">
        <v>0.16666666666666666</v>
      </c>
      <c r="I31" s="8" t="s">
        <v>250</v>
      </c>
      <c r="J31" s="8" t="s">
        <v>251</v>
      </c>
    </row>
    <row r="32" spans="2:10" x14ac:dyDescent="0.2">
      <c r="B32" s="40">
        <f>YEAR(Tableau4[[#This Row],[Date]])</f>
        <v>2018</v>
      </c>
      <c r="C32" s="40" t="str">
        <f>TEXT(Tableau4[[#This Row],[Date]],"mmmm")</f>
        <v>octobre</v>
      </c>
      <c r="D32" s="2" t="s">
        <v>249</v>
      </c>
      <c r="E32" s="8" t="s">
        <v>247</v>
      </c>
      <c r="F32" s="8" t="s">
        <v>161</v>
      </c>
      <c r="G32" s="8" t="s">
        <v>221</v>
      </c>
      <c r="H32" s="71">
        <v>0.16666666666666666</v>
      </c>
      <c r="I32" s="8" t="s">
        <v>250</v>
      </c>
      <c r="J32" s="8" t="s">
        <v>251</v>
      </c>
    </row>
    <row r="33" spans="2:10" x14ac:dyDescent="0.2">
      <c r="B33" s="40">
        <f>YEAR(Tableau4[[#This Row],[Date]])</f>
        <v>2018</v>
      </c>
      <c r="C33" s="40" t="str">
        <f>TEXT(Tableau4[[#This Row],[Date]],"mmmm")</f>
        <v>octobre</v>
      </c>
      <c r="D33" s="2" t="s">
        <v>249</v>
      </c>
      <c r="E33" s="8" t="s">
        <v>241</v>
      </c>
      <c r="F33" s="8" t="s">
        <v>161</v>
      </c>
      <c r="G33" s="8" t="s">
        <v>221</v>
      </c>
      <c r="H33" s="71">
        <v>0.16666666666666666</v>
      </c>
      <c r="I33" s="8" t="s">
        <v>250</v>
      </c>
      <c r="J33" s="8" t="s">
        <v>251</v>
      </c>
    </row>
    <row r="34" spans="2:10" x14ac:dyDescent="0.2">
      <c r="B34" s="40">
        <f>YEAR(Tableau4[[#This Row],[Date]])</f>
        <v>2018</v>
      </c>
      <c r="C34" s="40" t="str">
        <f>TEXT(Tableau4[[#This Row],[Date]],"mmmm")</f>
        <v>octobre</v>
      </c>
      <c r="D34" s="2" t="s">
        <v>249</v>
      </c>
      <c r="E34" s="8" t="s">
        <v>4</v>
      </c>
      <c r="F34" s="8" t="s">
        <v>161</v>
      </c>
      <c r="G34" s="8" t="s">
        <v>221</v>
      </c>
      <c r="H34" s="71">
        <v>0.16666666666666666</v>
      </c>
      <c r="I34" s="8" t="s">
        <v>250</v>
      </c>
      <c r="J34" s="8" t="s">
        <v>251</v>
      </c>
    </row>
    <row r="35" spans="2:10" x14ac:dyDescent="0.2">
      <c r="B35" s="40">
        <f>YEAR(Tableau4[[#This Row],[Date]])</f>
        <v>2018</v>
      </c>
      <c r="C35" s="40" t="str">
        <f>TEXT(Tableau4[[#This Row],[Date]],"mmmm")</f>
        <v>octobre</v>
      </c>
      <c r="D35" s="2" t="s">
        <v>249</v>
      </c>
      <c r="E35" s="8" t="s">
        <v>242</v>
      </c>
      <c r="F35" s="8" t="s">
        <v>161</v>
      </c>
      <c r="G35" s="8" t="s">
        <v>221</v>
      </c>
      <c r="H35" s="71">
        <v>0.16666666666666666</v>
      </c>
      <c r="I35" s="8" t="s">
        <v>250</v>
      </c>
      <c r="J35" s="8" t="s">
        <v>251</v>
      </c>
    </row>
    <row r="36" spans="2:10" x14ac:dyDescent="0.2">
      <c r="B36" s="40">
        <f>YEAR(Tableau4[[#This Row],[Date]])</f>
        <v>2018</v>
      </c>
      <c r="C36" s="40" t="str">
        <f>TEXT(Tableau4[[#This Row],[Date]],"mmmm")</f>
        <v>octobre</v>
      </c>
      <c r="D36" s="2" t="s">
        <v>249</v>
      </c>
      <c r="E36" s="8" t="s">
        <v>252</v>
      </c>
      <c r="F36" s="8" t="s">
        <v>222</v>
      </c>
      <c r="G36" s="8" t="s">
        <v>223</v>
      </c>
      <c r="I36" s="8" t="s">
        <v>251</v>
      </c>
      <c r="J36" s="8" t="s">
        <v>253</v>
      </c>
    </row>
    <row r="37" spans="2:10" x14ac:dyDescent="0.2">
      <c r="B37" s="40">
        <f>YEAR(Tableau4[[#This Row],[Date]])</f>
        <v>2018</v>
      </c>
      <c r="C37" s="40" t="str">
        <f>TEXT(Tableau4[[#This Row],[Date]],"mmmm")</f>
        <v>octobre</v>
      </c>
      <c r="D37" s="2" t="s">
        <v>249</v>
      </c>
      <c r="E37" s="8" t="s">
        <v>254</v>
      </c>
      <c r="F37" s="8" t="s">
        <v>222</v>
      </c>
      <c r="G37" s="8" t="s">
        <v>223</v>
      </c>
      <c r="I37" s="8" t="s">
        <v>251</v>
      </c>
      <c r="J37" s="8" t="s">
        <v>253</v>
      </c>
    </row>
    <row r="38" spans="2:10" x14ac:dyDescent="0.2">
      <c r="B38" s="40">
        <f>YEAR(Tableau4[[#This Row],[Date]])</f>
        <v>2018</v>
      </c>
      <c r="C38" s="40" t="str">
        <f>TEXT(Tableau4[[#This Row],[Date]],"mmmm")</f>
        <v>octobre</v>
      </c>
      <c r="D38" s="2" t="s">
        <v>249</v>
      </c>
      <c r="E38" s="8" t="s">
        <v>255</v>
      </c>
      <c r="F38" s="8" t="s">
        <v>222</v>
      </c>
      <c r="G38" s="8" t="s">
        <v>223</v>
      </c>
      <c r="I38" s="8" t="s">
        <v>251</v>
      </c>
      <c r="J38" s="8" t="s">
        <v>253</v>
      </c>
    </row>
    <row r="39" spans="2:10" x14ac:dyDescent="0.2">
      <c r="B39" s="40">
        <f>YEAR(Tableau4[[#This Row],[Date]])</f>
        <v>2018</v>
      </c>
      <c r="C39" s="40" t="str">
        <f>TEXT(Tableau4[[#This Row],[Date]],"mmmm")</f>
        <v>octobre</v>
      </c>
      <c r="D39" s="2" t="s">
        <v>249</v>
      </c>
      <c r="E39" s="8" t="s">
        <v>254</v>
      </c>
      <c r="F39" s="8" t="s">
        <v>224</v>
      </c>
      <c r="G39" s="8" t="s">
        <v>225</v>
      </c>
      <c r="H39" s="71">
        <v>4.1666666666666664E-2</v>
      </c>
      <c r="I39" s="8" t="s">
        <v>5</v>
      </c>
      <c r="J39" s="8" t="s">
        <v>251</v>
      </c>
    </row>
    <row r="40" spans="2:10" x14ac:dyDescent="0.2">
      <c r="B40" s="40">
        <f>YEAR(Tableau4[[#This Row],[Date]])</f>
        <v>2018</v>
      </c>
      <c r="C40" s="40" t="str">
        <f>TEXT(Tableau4[[#This Row],[Date]],"mmmm")</f>
        <v>octobre</v>
      </c>
      <c r="D40" s="2" t="s">
        <v>249</v>
      </c>
      <c r="E40" s="8" t="s">
        <v>256</v>
      </c>
      <c r="F40" s="8" t="s">
        <v>224</v>
      </c>
      <c r="G40" s="8" t="s">
        <v>225</v>
      </c>
      <c r="H40" s="71">
        <v>4.1666666666666664E-2</v>
      </c>
      <c r="I40" s="8" t="s">
        <v>5</v>
      </c>
      <c r="J40" s="8" t="s">
        <v>251</v>
      </c>
    </row>
    <row r="41" spans="2:10" x14ac:dyDescent="0.2">
      <c r="B41" s="40">
        <f>YEAR(Tableau4[[#This Row],[Date]])</f>
        <v>2010</v>
      </c>
      <c r="C41" s="40" t="str">
        <f>TEXT(Tableau4[[#This Row],[Date]],"mmmm")</f>
        <v>juillet</v>
      </c>
      <c r="D41" s="2" t="s">
        <v>257</v>
      </c>
      <c r="E41" s="8" t="s">
        <v>258</v>
      </c>
      <c r="F41" s="8" t="s">
        <v>157</v>
      </c>
      <c r="G41" s="8" t="s">
        <v>207</v>
      </c>
      <c r="I41" s="8" t="s">
        <v>205</v>
      </c>
      <c r="J41" s="8" t="s">
        <v>205</v>
      </c>
    </row>
  </sheetData>
  <pageMargins left="0.11811023622047245" right="0.11811023622047245" top="0.55118110236220474" bottom="0.35433070866141736" header="0.31496062992125984" footer="0.11811023622047245"/>
  <pageSetup paperSize="9" scale="79" orientation="portrait" r:id="rId1"/>
  <headerFooter>
    <oddHeader xml:space="preserve">&amp;L&amp;"Times New Roman,Gras italique"          Fiche individuelle </oddHeader>
    <oddFooter xml:space="preserve">&amp;L&amp;"Times New Roman,Normal"&amp;8&amp;K01+049          Aéroport Béziers Cap-d'Age
          Service sslia - Entraînement&amp;C&amp;"Times New Roman,Normal"&amp;8&amp;K01+048page &amp;P/&amp;N&amp;R&amp;"Times New Roman,Normal"&amp;8&amp;K01+048&amp;D          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1_Cliquer">
                <anchor moveWithCells="1" sizeWithCells="1">
                  <from>
                    <xdr:col>6</xdr:col>
                    <xdr:colOff>1123950</xdr:colOff>
                    <xdr:row>9</xdr:row>
                    <xdr:rowOff>38100</xdr:rowOff>
                  </from>
                  <to>
                    <xdr:col>8</xdr:col>
                    <xdr:colOff>133350</xdr:colOff>
                    <xdr:row>10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5="http://schemas.microsoft.com/office/spreadsheetml/2010/11/main" uri="{3A4CF648-6AED-40f4-86FF-DC5316D8AED3}">
      <x14:slicerList>
        <x14:slicer r:id="rId6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9" tint="-0.249977111117893"/>
    <pageSetUpPr fitToPage="1"/>
  </sheetPr>
  <dimension ref="A1:N40"/>
  <sheetViews>
    <sheetView showGridLines="0" zoomScaleNormal="100" workbookViewId="0"/>
  </sheetViews>
  <sheetFormatPr baseColWidth="10" defaultRowHeight="12.75" x14ac:dyDescent="0.2"/>
  <cols>
    <col min="1" max="1" width="2.7109375" style="8" customWidth="1"/>
    <col min="2" max="2" width="9.7109375" style="8" customWidth="1"/>
    <col min="3" max="3" width="16.7109375" style="8" customWidth="1"/>
    <col min="4" max="4" width="9.7109375" style="8" customWidth="1"/>
    <col min="5" max="5" width="16.7109375" style="8" customWidth="1"/>
    <col min="6" max="6" width="9.7109375" style="8" customWidth="1"/>
    <col min="7" max="7" width="16.7109375" style="8" customWidth="1"/>
    <col min="8" max="8" width="2.7109375" style="8" customWidth="1"/>
    <col min="9" max="9" width="9.7109375" style="8" customWidth="1"/>
    <col min="10" max="10" width="16.7109375" style="8" customWidth="1"/>
    <col min="11" max="11" width="9.7109375" style="8" customWidth="1"/>
    <col min="12" max="12" width="16.7109375" style="8" customWidth="1"/>
    <col min="13" max="13" width="9.7109375" style="8" customWidth="1"/>
    <col min="14" max="14" width="16.7109375" style="8" customWidth="1"/>
    <col min="15" max="15" width="2.5703125" style="8" customWidth="1"/>
    <col min="16" max="16384" width="11.42578125" style="8"/>
  </cols>
  <sheetData>
    <row r="1" spans="1:14" x14ac:dyDescent="0.2">
      <c r="B1" s="25" t="s">
        <v>117</v>
      </c>
      <c r="I1" s="25" t="s">
        <v>117</v>
      </c>
    </row>
    <row r="2" spans="1:14" ht="15.75" x14ac:dyDescent="0.2">
      <c r="B2" s="81" t="s">
        <v>97</v>
      </c>
      <c r="C2" s="82"/>
      <c r="D2" s="82"/>
      <c r="E2" s="82"/>
      <c r="F2" s="82"/>
      <c r="G2" s="83"/>
      <c r="I2" s="81" t="s">
        <v>96</v>
      </c>
      <c r="J2" s="82"/>
      <c r="K2" s="82"/>
      <c r="L2" s="82"/>
      <c r="M2" s="82"/>
      <c r="N2" s="83"/>
    </row>
    <row r="3" spans="1:14" x14ac:dyDescent="0.2">
      <c r="B3" s="84" t="s">
        <v>24</v>
      </c>
      <c r="C3" s="84"/>
      <c r="D3" s="85" t="str">
        <f ca="1">TEXT(TODAY(),"jj/mm/aaaa")&amp;" --&gt; "&amp;TEXT(TODAY()+365,"jj/mm/aaaa")</f>
        <v>10/10/2018 --&gt; 10/10/2019</v>
      </c>
      <c r="E3" s="85"/>
      <c r="F3" s="86" t="str">
        <f ca="1">"&gt; "&amp;TEXT(TODAY()+365,"jj/mm/aaaa")</f>
        <v>&gt; 10/10/2019</v>
      </c>
      <c r="G3" s="86"/>
      <c r="I3" s="84" t="s">
        <v>24</v>
      </c>
      <c r="J3" s="84"/>
      <c r="K3" s="85" t="str">
        <f ca="1">TEXT(TODAY(),"jj/mm/aaaa")&amp;" --&gt; "&amp;TEXT(TODAY()+365,"jj/mm/aaaa")</f>
        <v>10/10/2018 --&gt; 10/10/2019</v>
      </c>
      <c r="L3" s="85"/>
      <c r="M3" s="86" t="str">
        <f ca="1">"&gt; "&amp;TEXT(TODAY()+365,"jj/mm/aaaa")</f>
        <v>&gt; 10/10/2019</v>
      </c>
      <c r="N3" s="86"/>
    </row>
    <row r="4" spans="1:14" x14ac:dyDescent="0.2">
      <c r="B4" s="15" t="s">
        <v>25</v>
      </c>
      <c r="C4" s="15" t="s">
        <v>26</v>
      </c>
      <c r="D4" s="15" t="s">
        <v>25</v>
      </c>
      <c r="E4" s="15" t="s">
        <v>26</v>
      </c>
      <c r="F4" s="15" t="s">
        <v>25</v>
      </c>
      <c r="G4" s="15" t="s">
        <v>26</v>
      </c>
      <c r="I4" s="15" t="s">
        <v>25</v>
      </c>
      <c r="J4" s="15" t="s">
        <v>26</v>
      </c>
      <c r="K4" s="15" t="s">
        <v>25</v>
      </c>
      <c r="L4" s="15" t="s">
        <v>26</v>
      </c>
      <c r="M4" s="15" t="s">
        <v>25</v>
      </c>
      <c r="N4" s="15" t="s">
        <v>26</v>
      </c>
    </row>
    <row r="5" spans="1:14" x14ac:dyDescent="0.2">
      <c r="A5" s="9"/>
      <c r="B5" s="2">
        <f t="array" aca="1" ref="B5" ca="1">IFERROR(INDEX(Tableau6[prochaine visite trv],SMALL(IF((Tableau6[prochaine visite trv]&lt;TODAY())*(Tableau6[Status]="Actif"),ROW(Tableau6[prochaine visite trv])-MIN(ROW(Employé!$L$4))+1,""),ROWS(B$5:B5))),"")</f>
        <v>366</v>
      </c>
      <c r="C5" s="10" t="str">
        <f t="array" aca="1" ref="C5" ca="1">IFERROR(INDEX(Tableau6[Nom abrégé],SMALL(IF((Tableau6[prochaine visite trv]&lt;TODAY())*(Tableau6[Status]="Actif"),ROW(Tableau6[prochaine visite trv])-MIN(ROW(Employé!$L$4))+1,""),ROWS(C$5:C5))),"")</f>
        <v>BENAZET Je</v>
      </c>
      <c r="D5" s="11" t="str">
        <f t="array" aca="1" ref="D5" ca="1">IFERROR(INDEX(Tableau6[prochaine visite trv],SMALL(IF((Tableau6[prochaine visite trv]&gt;=TODAY())*(Tableau6[prochaine visite trv]&lt;=TODAY()+365)*(Tableau6[Status]="Actif"),ROW(Tableau6[prochaine visite trv])-MIN(ROW(Employé!$L$4))+1,""),ROWS(D$5:D5))),"")</f>
        <v/>
      </c>
      <c r="E5" s="12" t="str">
        <f t="array" aca="1" ref="E5" ca="1">IFERROR(INDEX(Tableau6[Nom abrégé],SMALL(IF((Tableau6[prochaine visite trv]&gt;=TODAY())*(Tableau6[prochaine visite trv]&lt;=TODAY()+365)*(Tableau6[Status]="Actif"),ROW(Tableau6[prochaine visite trv])-MIN(ROW(Employé!$L$4))+1,""),ROWS(E$5:E5))),"")</f>
        <v/>
      </c>
      <c r="F5" s="2" t="str">
        <f t="array" aca="1" ref="F5" ca="1">IFERROR(INDEX(Tableau6[prochaine visite trv],SMALL(IF((Tableau6[prochaine visite trv]&gt;TODAY()+365)*(Tableau6[Status]="Actif"),ROW(Tableau6[prochaine visite trv])-MIN(ROW(Employé!$L$4))+1,""),ROWS(F$5:F5))),"")</f>
        <v/>
      </c>
      <c r="G5" s="8" t="str">
        <f t="array" aca="1" ref="G5" ca="1">IFERROR(INDEX(Tableau6[Nom abrégé],SMALL(IF((Tableau6[prochaine visite trv]&gt;TODAY()+365)*(Tableau6[Status]="Actif"),ROW(Tableau6[prochaine visite trv])-MIN(ROW(Employé!$L$4))+1,""),ROWS(G$5:G5))),"")</f>
        <v/>
      </c>
      <c r="I5" s="2">
        <f t="array" aca="1" ref="I5" ca="1">IFERROR(INDEX(Tableau6[prochaine visite méd],SMALL(IF((Tableau6[prochaine visite méd]&lt;TODAY())*(Tableau6[Status]="Actif"),ROW(Tableau6[prochaine visite méd])-MIN(ROW(Employé!$O$4))+1,""),ROWS(I$5:I5))),"")</f>
        <v>366</v>
      </c>
      <c r="J5" s="8" t="str">
        <f t="array" aca="1" ref="J5" ca="1">IFERROR(INDEX(Tableau6[Nom abrégé],SMALL(IF((Tableau6[prochaine visite méd]&lt;TODAY())*(Tableau6[Status]="Actif"),ROW(Tableau6[prochaine visite méd])-MIN(ROW(Employé!$O$4))+1,""),ROWS(J$5:J5))),"")</f>
        <v>BENAZET Je</v>
      </c>
      <c r="K5" s="2" t="str">
        <f t="array" aca="1" ref="K5" ca="1">IFERROR(INDEX(Tableau6[prochaine visite méd],SMALL(IF((Tableau6[prochaine visite méd]&gt;=TODAY())*(Tableau6[prochaine visite méd]&lt;=TODAY()+365)*(Tableau6[Status]="Actif"),ROW(Tableau6[prochaine visite méd])-MIN(ROW(Employé!$O$4))+1,""),ROWS(K$5:K5))),"")</f>
        <v/>
      </c>
      <c r="L5" s="8" t="str">
        <f t="array" aca="1" ref="L5" ca="1">IFERROR(INDEX(Tableau6[Nom abrégé],SMALL(IF((Tableau6[prochaine visite méd]&gt;=TODAY())*(Tableau6[prochaine visite méd]&lt;=TODAY()+365)*(Tableau6[Status]="Actif"),ROW(Tableau6[prochaine visite méd])-MIN(ROW(Employé!$O$4))+1,""),ROWS(L$5:L5))),"")</f>
        <v/>
      </c>
      <c r="M5" s="2" t="str">
        <f t="array" aca="1" ref="M5" ca="1">IFERROR(INDEX(Tableau6[prochaine visite méd],SMALL(IF((Tableau6[prochaine visite méd]&gt;TODAY()+365)*(Tableau6[Status]="Actif"),ROW(Tableau6[prochaine visite méd])-MIN(ROW(Employé!$O$4))+1,""),ROWS(M$5:M5))),"")</f>
        <v/>
      </c>
      <c r="N5" s="8" t="str">
        <f t="array" aca="1" ref="N5" ca="1">IFERROR(INDEX(Tableau6[Nom abrégé],SMALL(IF((Tableau6[prochaine visite méd]&gt;TODAY()+365)*(Tableau6[Status]="Actif"),ROW(Tableau6[prochaine visite méd])-MIN(ROW(Employé!$O$4))+1,""),ROWS(N$5:N5))),"")</f>
        <v/>
      </c>
    </row>
    <row r="6" spans="1:14" x14ac:dyDescent="0.2">
      <c r="A6" s="9"/>
      <c r="B6" s="2">
        <f t="array" aca="1" ref="B6" ca="1">IFERROR(INDEX(Tableau6[prochaine visite trv],SMALL(IF((Tableau6[prochaine visite trv]&lt;TODAY())*(Tableau6[Status]="Actif"),ROW(Tableau6[prochaine visite trv])-MIN(ROW(Employé!$L$4))+1,""),ROWS(B$5:B6))),"")</f>
        <v>366</v>
      </c>
      <c r="C6" s="10" t="str">
        <f t="array" aca="1" ref="C6" ca="1">IFERROR(INDEX(Tableau6[Nom abrégé],SMALL(IF((Tableau6[prochaine visite trv]&lt;TODAY())*(Tableau6[Status]="Actif"),ROW(Tableau6[prochaine visite trv])-MIN(ROW(Employé!$L$4))+1,""),ROWS(C$5:C6))),"")</f>
        <v>ZARAGOZA Di</v>
      </c>
      <c r="D6" s="11" t="str">
        <f t="array" aca="1" ref="D6" ca="1">IFERROR(INDEX(Tableau6[prochaine visite trv],SMALL(IF((Tableau6[prochaine visite trv]&gt;=TODAY())*(Tableau6[prochaine visite trv]&lt;=TODAY()+365)*(Tableau6[Status]="Actif"),ROW(Tableau6[prochaine visite trv])-MIN(ROW(Employé!$L$4))+1,""),ROWS(D$5:D6))),"")</f>
        <v/>
      </c>
      <c r="E6" s="12" t="str">
        <f t="array" aca="1" ref="E6" ca="1">IFERROR(INDEX(Tableau6[Nom abrégé],SMALL(IF((Tableau6[prochaine visite trv]&gt;=TODAY())*(Tableau6[prochaine visite trv]&lt;=TODAY()+365)*(Tableau6[Status]="Actif"),ROW(Tableau6[prochaine visite trv])-MIN(ROW(Employé!$L$4))+1,""),ROWS(E$5:E6))),"")</f>
        <v/>
      </c>
      <c r="F6" s="2" t="str">
        <f t="array" aca="1" ref="F6" ca="1">IFERROR(INDEX(Tableau6[prochaine visite trv],SMALL(IF((Tableau6[prochaine visite trv]&gt;TODAY()+365)*(Tableau6[Status]="Actif"),ROW(Tableau6[prochaine visite trv])-MIN(ROW(Employé!$L$4))+1,""),ROWS(F$5:F6))),"")</f>
        <v/>
      </c>
      <c r="G6" s="8" t="str">
        <f t="array" aca="1" ref="G6" ca="1">IFERROR(INDEX(Tableau6[Nom abrégé],SMALL(IF((Tableau6[prochaine visite trv]&gt;TODAY()+365)*(Tableau6[Status]="Actif"),ROW(Tableau6[prochaine visite trv])-MIN(ROW(Employé!$L$4))+1,""),ROWS(G$5:G6))),"")</f>
        <v/>
      </c>
      <c r="I6" s="2">
        <f t="array" aca="1" ref="I6" ca="1">IFERROR(INDEX(Tableau6[prochaine visite méd],SMALL(IF((Tableau6[prochaine visite méd]&lt;TODAY())*(Tableau6[Status]="Actif"),ROW(Tableau6[prochaine visite méd])-MIN(ROW(Employé!$O$4))+1,""),ROWS(I$5:I6))),"")</f>
        <v>366</v>
      </c>
      <c r="J6" s="8" t="str">
        <f t="array" aca="1" ref="J6" ca="1">IFERROR(INDEX(Tableau6[Nom abrégé],SMALL(IF((Tableau6[prochaine visite méd]&lt;TODAY())*(Tableau6[Status]="Actif"),ROW(Tableau6[prochaine visite méd])-MIN(ROW(Employé!$O$4))+1,""),ROWS(J$5:J6))),"")</f>
        <v>ZARAGOZA Di</v>
      </c>
      <c r="K6" s="2" t="str">
        <f t="array" aca="1" ref="K6" ca="1">IFERROR(INDEX(Tableau6[prochaine visite méd],SMALL(IF((Tableau6[prochaine visite méd]&gt;=TODAY())*(Tableau6[prochaine visite méd]&lt;=TODAY()+365)*(Tableau6[Status]="Actif"),ROW(Tableau6[prochaine visite méd])-MIN(ROW(Employé!$O$4))+1,""),ROWS(K$5:K6))),"")</f>
        <v/>
      </c>
      <c r="L6" s="8" t="str">
        <f t="array" aca="1" ref="L6" ca="1">IFERROR(INDEX(Tableau6[Nom abrégé],SMALL(IF((Tableau6[prochaine visite méd]&gt;=TODAY())*(Tableau6[prochaine visite méd]&lt;=TODAY()+365)*(Tableau6[Status]="Actif"),ROW(Tableau6[prochaine visite méd])-MIN(ROW(Employé!$O$4))+1,""),ROWS(L$5:L6))),"")</f>
        <v/>
      </c>
      <c r="M6" s="2" t="str">
        <f t="array" aca="1" ref="M6" ca="1">IFERROR(INDEX(Tableau6[prochaine visite méd],SMALL(IF((Tableau6[prochaine visite méd]&gt;TODAY()+365)*(Tableau6[Status]="Actif"),ROW(Tableau6[prochaine visite méd])-MIN(ROW(Employé!$O$4))+1,""),ROWS(M$5:M6))),"")</f>
        <v/>
      </c>
      <c r="N6" s="8" t="str">
        <f t="array" aca="1" ref="N6" ca="1">IFERROR(INDEX(Tableau6[Nom abrégé],SMALL(IF((Tableau6[prochaine visite méd]&gt;TODAY()+365)*(Tableau6[Status]="Actif"),ROW(Tableau6[prochaine visite méd])-MIN(ROW(Employé!$O$4))+1,""),ROWS(N$5:N6))),"")</f>
        <v/>
      </c>
    </row>
    <row r="7" spans="1:14" x14ac:dyDescent="0.2">
      <c r="A7" s="9"/>
      <c r="B7" s="2">
        <f t="array" aca="1" ref="B7" ca="1">IFERROR(INDEX(Tableau6[prochaine visite trv],SMALL(IF((Tableau6[prochaine visite trv]&lt;TODAY())*(Tableau6[Status]="Actif"),ROW(Tableau6[prochaine visite trv])-MIN(ROW(Employé!$L$4))+1,""),ROWS(B$5:B7))),"")</f>
        <v>366</v>
      </c>
      <c r="C7" s="10" t="str">
        <f t="array" aca="1" ref="C7" ca="1">IFERROR(INDEX(Tableau6[Nom abrégé],SMALL(IF((Tableau6[prochaine visite trv]&lt;TODAY())*(Tableau6[Status]="Actif"),ROW(Tableau6[prochaine visite trv])-MIN(ROW(Employé!$L$4))+1,""),ROWS(C$5:C7))),"")</f>
        <v>SANTOS Je</v>
      </c>
      <c r="D7" s="11" t="str">
        <f t="array" aca="1" ref="D7" ca="1">IFERROR(INDEX(Tableau6[prochaine visite trv],SMALL(IF((Tableau6[prochaine visite trv]&gt;=TODAY())*(Tableau6[prochaine visite trv]&lt;=TODAY()+365)*(Tableau6[Status]="Actif"),ROW(Tableau6[prochaine visite trv])-MIN(ROW(Employé!$L$4))+1,""),ROWS(D$5:D7))),"")</f>
        <v/>
      </c>
      <c r="E7" s="12" t="str">
        <f t="array" aca="1" ref="E7" ca="1">IFERROR(INDEX(Tableau6[Nom abrégé],SMALL(IF((Tableau6[prochaine visite trv]&gt;=TODAY())*(Tableau6[prochaine visite trv]&lt;=TODAY()+365)*(Tableau6[Status]="Actif"),ROW(Tableau6[prochaine visite trv])-MIN(ROW(Employé!$L$4))+1,""),ROWS(E$5:E7))),"")</f>
        <v/>
      </c>
      <c r="F7" s="2" t="str">
        <f t="array" aca="1" ref="F7" ca="1">IFERROR(INDEX(Tableau6[prochaine visite trv],SMALL(IF((Tableau6[prochaine visite trv]&gt;TODAY()+365)*(Tableau6[Status]="Actif"),ROW(Tableau6[prochaine visite trv])-MIN(ROW(Employé!$L$4))+1,""),ROWS(F$5:F7))),"")</f>
        <v/>
      </c>
      <c r="G7" s="8" t="str">
        <f t="array" aca="1" ref="G7" ca="1">IFERROR(INDEX(Tableau6[Nom abrégé],SMALL(IF((Tableau6[prochaine visite trv]&gt;TODAY()+365)*(Tableau6[Status]="Actif"),ROW(Tableau6[prochaine visite trv])-MIN(ROW(Employé!$L$4))+1,""),ROWS(G$5:G7))),"")</f>
        <v/>
      </c>
      <c r="I7" s="2">
        <f t="array" aca="1" ref="I7" ca="1">IFERROR(INDEX(Tableau6[prochaine visite méd],SMALL(IF((Tableau6[prochaine visite méd]&lt;TODAY())*(Tableau6[Status]="Actif"),ROW(Tableau6[prochaine visite méd])-MIN(ROW(Employé!$O$4))+1,""),ROWS(I$5:I7))),"")</f>
        <v>366</v>
      </c>
      <c r="J7" s="8" t="str">
        <f t="array" aca="1" ref="J7" ca="1">IFERROR(INDEX(Tableau6[Nom abrégé],SMALL(IF((Tableau6[prochaine visite méd]&lt;TODAY())*(Tableau6[Status]="Actif"),ROW(Tableau6[prochaine visite méd])-MIN(ROW(Employé!$O$4))+1,""),ROWS(J$5:J7))),"")</f>
        <v>SANTOS Je</v>
      </c>
      <c r="K7" s="2" t="str">
        <f t="array" aca="1" ref="K7" ca="1">IFERROR(INDEX(Tableau6[prochaine visite méd],SMALL(IF((Tableau6[prochaine visite méd]&gt;=TODAY())*(Tableau6[prochaine visite méd]&lt;=TODAY()+365)*(Tableau6[Status]="Actif"),ROW(Tableau6[prochaine visite méd])-MIN(ROW(Employé!$O$4))+1,""),ROWS(K$5:K7))),"")</f>
        <v/>
      </c>
      <c r="L7" s="8" t="str">
        <f t="array" aca="1" ref="L7" ca="1">IFERROR(INDEX(Tableau6[Nom abrégé],SMALL(IF((Tableau6[prochaine visite méd]&gt;=TODAY())*(Tableau6[prochaine visite méd]&lt;=TODAY()+365)*(Tableau6[Status]="Actif"),ROW(Tableau6[prochaine visite méd])-MIN(ROW(Employé!$O$4))+1,""),ROWS(L$5:L7))),"")</f>
        <v/>
      </c>
      <c r="M7" s="2" t="str">
        <f t="array" aca="1" ref="M7" ca="1">IFERROR(INDEX(Tableau6[prochaine visite méd],SMALL(IF((Tableau6[prochaine visite méd]&gt;TODAY()+365)*(Tableau6[Status]="Actif"),ROW(Tableau6[prochaine visite méd])-MIN(ROW(Employé!$O$4))+1,""),ROWS(M$5:M7))),"")</f>
        <v/>
      </c>
      <c r="N7" s="8" t="str">
        <f t="array" aca="1" ref="N7" ca="1">IFERROR(INDEX(Tableau6[Nom abrégé],SMALL(IF((Tableau6[prochaine visite méd]&gt;TODAY()+365)*(Tableau6[Status]="Actif"),ROW(Tableau6[prochaine visite méd])-MIN(ROW(Employé!$O$4))+1,""),ROWS(N$5:N7))),"")</f>
        <v/>
      </c>
    </row>
    <row r="8" spans="1:14" x14ac:dyDescent="0.2">
      <c r="A8" s="9"/>
      <c r="B8" s="2">
        <f t="array" aca="1" ref="B8" ca="1">IFERROR(INDEX(Tableau6[prochaine visite trv],SMALL(IF((Tableau6[prochaine visite trv]&lt;TODAY())*(Tableau6[Status]="Actif"),ROW(Tableau6[prochaine visite trv])-MIN(ROW(Employé!$L$4))+1,""),ROWS(B$5:B8))),"")</f>
        <v>366</v>
      </c>
      <c r="C8" s="10" t="str">
        <f t="array" aca="1" ref="C8" ca="1">IFERROR(INDEX(Tableau6[Nom abrégé],SMALL(IF((Tableau6[prochaine visite trv]&lt;TODAY())*(Tableau6[Status]="Actif"),ROW(Tableau6[prochaine visite trv])-MIN(ROW(Employé!$L$4))+1,""),ROWS(C$5:C8))),"")</f>
        <v>NAVARRO Ch</v>
      </c>
      <c r="D8" s="11" t="str">
        <f t="array" aca="1" ref="D8" ca="1">IFERROR(INDEX(Tableau6[prochaine visite trv],SMALL(IF((Tableau6[prochaine visite trv]&gt;=TODAY())*(Tableau6[prochaine visite trv]&lt;=TODAY()+365)*(Tableau6[Status]="Actif"),ROW(Tableau6[prochaine visite trv])-MIN(ROW(Employé!$L$4))+1,""),ROWS(D$5:D8))),"")</f>
        <v/>
      </c>
      <c r="E8" s="12" t="str">
        <f t="array" aca="1" ref="E8" ca="1">IFERROR(INDEX(Tableau6[Nom abrégé],SMALL(IF((Tableau6[prochaine visite trv]&gt;=TODAY())*(Tableau6[prochaine visite trv]&lt;=TODAY()+365)*(Tableau6[Status]="Actif"),ROW(Tableau6[prochaine visite trv])-MIN(ROW(Employé!$L$4))+1,""),ROWS(E$5:E8))),"")</f>
        <v/>
      </c>
      <c r="F8" s="2" t="str">
        <f t="array" aca="1" ref="F8" ca="1">IFERROR(INDEX(Tableau6[prochaine visite trv],SMALL(IF((Tableau6[prochaine visite trv]&gt;TODAY()+365)*(Tableau6[Status]="Actif"),ROW(Tableau6[prochaine visite trv])-MIN(ROW(Employé!$L$4))+1,""),ROWS(F$5:F8))),"")</f>
        <v/>
      </c>
      <c r="G8" s="8" t="str">
        <f t="array" aca="1" ref="G8" ca="1">IFERROR(INDEX(Tableau6[Nom abrégé],SMALL(IF((Tableau6[prochaine visite trv]&gt;TODAY()+365)*(Tableau6[Status]="Actif"),ROW(Tableau6[prochaine visite trv])-MIN(ROW(Employé!$L$4))+1,""),ROWS(G$5:G8))),"")</f>
        <v/>
      </c>
      <c r="I8" s="2">
        <f t="array" aca="1" ref="I8" ca="1">IFERROR(INDEX(Tableau6[prochaine visite méd],SMALL(IF((Tableau6[prochaine visite méd]&lt;TODAY())*(Tableau6[Status]="Actif"),ROW(Tableau6[prochaine visite méd])-MIN(ROW(Employé!$O$4))+1,""),ROWS(I$5:I8))),"")</f>
        <v>366</v>
      </c>
      <c r="J8" s="8" t="str">
        <f t="array" aca="1" ref="J8" ca="1">IFERROR(INDEX(Tableau6[Nom abrégé],SMALL(IF((Tableau6[prochaine visite méd]&lt;TODAY())*(Tableau6[Status]="Actif"),ROW(Tableau6[prochaine visite méd])-MIN(ROW(Employé!$O$4))+1,""),ROWS(J$5:J8))),"")</f>
        <v>NAVARRO Ch</v>
      </c>
      <c r="K8" s="2" t="str">
        <f t="array" aca="1" ref="K8" ca="1">IFERROR(INDEX(Tableau6[prochaine visite méd],SMALL(IF((Tableau6[prochaine visite méd]&gt;=TODAY())*(Tableau6[prochaine visite méd]&lt;=TODAY()+365)*(Tableau6[Status]="Actif"),ROW(Tableau6[prochaine visite méd])-MIN(ROW(Employé!$O$4))+1,""),ROWS(K$5:K8))),"")</f>
        <v/>
      </c>
      <c r="L8" s="8" t="str">
        <f t="array" aca="1" ref="L8" ca="1">IFERROR(INDEX(Tableau6[Nom abrégé],SMALL(IF((Tableau6[prochaine visite méd]&gt;=TODAY())*(Tableau6[prochaine visite méd]&lt;=TODAY()+365)*(Tableau6[Status]="Actif"),ROW(Tableau6[prochaine visite méd])-MIN(ROW(Employé!$O$4))+1,""),ROWS(L$5:L8))),"")</f>
        <v/>
      </c>
      <c r="M8" s="2" t="str">
        <f t="array" aca="1" ref="M8" ca="1">IFERROR(INDEX(Tableau6[prochaine visite méd],SMALL(IF((Tableau6[prochaine visite méd]&gt;TODAY()+365)*(Tableau6[Status]="Actif"),ROW(Tableau6[prochaine visite méd])-MIN(ROW(Employé!$O$4))+1,""),ROWS(M$5:M8))),"")</f>
        <v/>
      </c>
      <c r="N8" s="8" t="str">
        <f t="array" aca="1" ref="N8" ca="1">IFERROR(INDEX(Tableau6[Nom abrégé],SMALL(IF((Tableau6[prochaine visite méd]&gt;TODAY()+365)*(Tableau6[Status]="Actif"),ROW(Tableau6[prochaine visite méd])-MIN(ROW(Employé!$O$4))+1,""),ROWS(N$5:N8))),"")</f>
        <v/>
      </c>
    </row>
    <row r="9" spans="1:14" x14ac:dyDescent="0.2">
      <c r="A9" s="9"/>
      <c r="B9" s="2">
        <f t="array" aca="1" ref="B9" ca="1">IFERROR(INDEX(Tableau6[prochaine visite trv],SMALL(IF((Tableau6[prochaine visite trv]&lt;TODAY())*(Tableau6[Status]="Actif"),ROW(Tableau6[prochaine visite trv])-MIN(ROW(Employé!$L$4))+1,""),ROWS(B$5:B9))),"")</f>
        <v>366</v>
      </c>
      <c r="C9" s="10" t="str">
        <f t="array" aca="1" ref="C9" ca="1">IFERROR(INDEX(Tableau6[Nom abrégé],SMALL(IF((Tableau6[prochaine visite trv]&lt;TODAY())*(Tableau6[Status]="Actif"),ROW(Tableau6[prochaine visite trv])-MIN(ROW(Employé!$L$4))+1,""),ROWS(C$5:C9))),"")</f>
        <v>AUDIE An</v>
      </c>
      <c r="D9" s="11" t="str">
        <f t="array" aca="1" ref="D9" ca="1">IFERROR(INDEX(Tableau6[prochaine visite trv],SMALL(IF((Tableau6[prochaine visite trv]&gt;=TODAY())*(Tableau6[prochaine visite trv]&lt;=TODAY()+365)*(Tableau6[Status]="Actif"),ROW(Tableau6[prochaine visite trv])-MIN(ROW(Employé!$L$4))+1,""),ROWS(D$5:D9))),"")</f>
        <v/>
      </c>
      <c r="E9" s="12" t="str">
        <f t="array" aca="1" ref="E9" ca="1">IFERROR(INDEX(Tableau6[Nom abrégé],SMALL(IF((Tableau6[prochaine visite trv]&gt;=TODAY())*(Tableau6[prochaine visite trv]&lt;=TODAY()+365)*(Tableau6[Status]="Actif"),ROW(Tableau6[prochaine visite trv])-MIN(ROW(Employé!$L$4))+1,""),ROWS(E$5:E9))),"")</f>
        <v/>
      </c>
      <c r="F9" s="2" t="str">
        <f t="array" aca="1" ref="F9" ca="1">IFERROR(INDEX(Tableau6[prochaine visite trv],SMALL(IF((Tableau6[prochaine visite trv]&gt;TODAY()+365)*(Tableau6[Status]="Actif"),ROW(Tableau6[prochaine visite trv])-MIN(ROW(Employé!$L$4))+1,""),ROWS(F$5:F9))),"")</f>
        <v/>
      </c>
      <c r="G9" s="8" t="str">
        <f t="array" aca="1" ref="G9" ca="1">IFERROR(INDEX(Tableau6[Nom abrégé],SMALL(IF((Tableau6[prochaine visite trv]&gt;TODAY()+365)*(Tableau6[Status]="Actif"),ROW(Tableau6[prochaine visite trv])-MIN(ROW(Employé!$L$4))+1,""),ROWS(G$5:G9))),"")</f>
        <v/>
      </c>
      <c r="I9" s="2">
        <f t="array" aca="1" ref="I9" ca="1">IFERROR(INDEX(Tableau6[prochaine visite méd],SMALL(IF((Tableau6[prochaine visite méd]&lt;TODAY())*(Tableau6[Status]="Actif"),ROW(Tableau6[prochaine visite méd])-MIN(ROW(Employé!$O$4))+1,""),ROWS(I$5:I9))),"")</f>
        <v>366</v>
      </c>
      <c r="J9" s="8" t="str">
        <f t="array" aca="1" ref="J9" ca="1">IFERROR(INDEX(Tableau6[Nom abrégé],SMALL(IF((Tableau6[prochaine visite méd]&lt;TODAY())*(Tableau6[Status]="Actif"),ROW(Tableau6[prochaine visite méd])-MIN(ROW(Employé!$O$4))+1,""),ROWS(J$5:J9))),"")</f>
        <v>AUDIE An</v>
      </c>
      <c r="K9" s="2" t="str">
        <f t="array" aca="1" ref="K9" ca="1">IFERROR(INDEX(Tableau6[prochaine visite méd],SMALL(IF((Tableau6[prochaine visite méd]&gt;=TODAY())*(Tableau6[prochaine visite méd]&lt;=TODAY()+365)*(Tableau6[Status]="Actif"),ROW(Tableau6[prochaine visite méd])-MIN(ROW(Employé!$O$4))+1,""),ROWS(K$5:K9))),"")</f>
        <v/>
      </c>
      <c r="L9" s="8" t="str">
        <f t="array" aca="1" ref="L9" ca="1">IFERROR(INDEX(Tableau6[Nom abrégé],SMALL(IF((Tableau6[prochaine visite méd]&gt;=TODAY())*(Tableau6[prochaine visite méd]&lt;=TODAY()+365)*(Tableau6[Status]="Actif"),ROW(Tableau6[prochaine visite méd])-MIN(ROW(Employé!$O$4))+1,""),ROWS(L$5:L9))),"")</f>
        <v/>
      </c>
      <c r="M9" s="2" t="str">
        <f t="array" aca="1" ref="M9" ca="1">IFERROR(INDEX(Tableau6[prochaine visite méd],SMALL(IF((Tableau6[prochaine visite méd]&gt;TODAY()+365)*(Tableau6[Status]="Actif"),ROW(Tableau6[prochaine visite méd])-MIN(ROW(Employé!$O$4))+1,""),ROWS(M$5:M9))),"")</f>
        <v/>
      </c>
      <c r="N9" s="8" t="str">
        <f t="array" aca="1" ref="N9" ca="1">IFERROR(INDEX(Tableau6[Nom abrégé],SMALL(IF((Tableau6[prochaine visite méd]&gt;TODAY()+365)*(Tableau6[Status]="Actif"),ROW(Tableau6[prochaine visite méd])-MIN(ROW(Employé!$O$4))+1,""),ROWS(N$5:N9))),"")</f>
        <v/>
      </c>
    </row>
    <row r="10" spans="1:14" x14ac:dyDescent="0.2">
      <c r="A10" s="9"/>
      <c r="B10" s="2">
        <f t="array" aca="1" ref="B10" ca="1">IFERROR(INDEX(Tableau6[prochaine visite trv],SMALL(IF((Tableau6[prochaine visite trv]&lt;TODAY())*(Tableau6[Status]="Actif"),ROW(Tableau6[prochaine visite trv])-MIN(ROW(Employé!$L$4))+1,""),ROWS(B$5:B10))),"")</f>
        <v>366</v>
      </c>
      <c r="C10" s="10" t="str">
        <f t="array" aca="1" ref="C10" ca="1">IFERROR(INDEX(Tableau6[Nom abrégé],SMALL(IF((Tableau6[prochaine visite trv]&lt;TODAY())*(Tableau6[Status]="Actif"),ROW(Tableau6[prochaine visite trv])-MIN(ROW(Employé!$L$4))+1,""),ROWS(C$5:C10))),"")</f>
        <v>DISTEFANO Al</v>
      </c>
      <c r="D10" s="11" t="str">
        <f t="array" aca="1" ref="D10" ca="1">IFERROR(INDEX(Tableau6[prochaine visite trv],SMALL(IF((Tableau6[prochaine visite trv]&gt;=TODAY())*(Tableau6[prochaine visite trv]&lt;=TODAY()+365)*(Tableau6[Status]="Actif"),ROW(Tableau6[prochaine visite trv])-MIN(ROW(Employé!$L$4))+1,""),ROWS(D$5:D10))),"")</f>
        <v/>
      </c>
      <c r="E10" s="12" t="str">
        <f t="array" aca="1" ref="E10" ca="1">IFERROR(INDEX(Tableau6[Nom abrégé],SMALL(IF((Tableau6[prochaine visite trv]&gt;=TODAY())*(Tableau6[prochaine visite trv]&lt;=TODAY()+365)*(Tableau6[Status]="Actif"),ROW(Tableau6[prochaine visite trv])-MIN(ROW(Employé!$L$4))+1,""),ROWS(E$5:E10))),"")</f>
        <v/>
      </c>
      <c r="F10" s="2" t="str">
        <f t="array" aca="1" ref="F10" ca="1">IFERROR(INDEX(Tableau6[prochaine visite trv],SMALL(IF((Tableau6[prochaine visite trv]&gt;TODAY()+365)*(Tableau6[Status]="Actif"),ROW(Tableau6[prochaine visite trv])-MIN(ROW(Employé!$L$4))+1,""),ROWS(F$5:F10))),"")</f>
        <v/>
      </c>
      <c r="G10" s="8" t="str">
        <f t="array" aca="1" ref="G10" ca="1">IFERROR(INDEX(Tableau6[Nom abrégé],SMALL(IF((Tableau6[prochaine visite trv]&gt;TODAY()+365)*(Tableau6[Status]="Actif"),ROW(Tableau6[prochaine visite trv])-MIN(ROW(Employé!$L$4))+1,""),ROWS(G$5:G10))),"")</f>
        <v/>
      </c>
      <c r="I10" s="2">
        <f t="array" aca="1" ref="I10" ca="1">IFERROR(INDEX(Tableau6[prochaine visite méd],SMALL(IF((Tableau6[prochaine visite méd]&lt;TODAY())*(Tableau6[Status]="Actif"),ROW(Tableau6[prochaine visite méd])-MIN(ROW(Employé!$O$4))+1,""),ROWS(I$5:I10))),"")</f>
        <v>366</v>
      </c>
      <c r="J10" s="8" t="str">
        <f t="array" aca="1" ref="J10" ca="1">IFERROR(INDEX(Tableau6[Nom abrégé],SMALL(IF((Tableau6[prochaine visite méd]&lt;TODAY())*(Tableau6[Status]="Actif"),ROW(Tableau6[prochaine visite méd])-MIN(ROW(Employé!$O$4))+1,""),ROWS(J$5:J10))),"")</f>
        <v>DISTEFANO Al</v>
      </c>
      <c r="K10" s="2" t="str">
        <f t="array" aca="1" ref="K10" ca="1">IFERROR(INDEX(Tableau6[prochaine visite méd],SMALL(IF((Tableau6[prochaine visite méd]&gt;=TODAY())*(Tableau6[prochaine visite méd]&lt;=TODAY()+365)*(Tableau6[Status]="Actif"),ROW(Tableau6[prochaine visite méd])-MIN(ROW(Employé!$O$4))+1,""),ROWS(K$5:K10))),"")</f>
        <v/>
      </c>
      <c r="L10" s="8" t="str">
        <f t="array" aca="1" ref="L10" ca="1">IFERROR(INDEX(Tableau6[Nom abrégé],SMALL(IF((Tableau6[prochaine visite méd]&gt;=TODAY())*(Tableau6[prochaine visite méd]&lt;=TODAY()+365)*(Tableau6[Status]="Actif"),ROW(Tableau6[prochaine visite méd])-MIN(ROW(Employé!$O$4))+1,""),ROWS(L$5:L10))),"")</f>
        <v/>
      </c>
      <c r="M10" s="2" t="str">
        <f t="array" aca="1" ref="M10" ca="1">IFERROR(INDEX(Tableau6[prochaine visite méd],SMALL(IF((Tableau6[prochaine visite méd]&gt;TODAY()+365)*(Tableau6[Status]="Actif"),ROW(Tableau6[prochaine visite méd])-MIN(ROW(Employé!$O$4))+1,""),ROWS(M$5:M10))),"")</f>
        <v/>
      </c>
      <c r="N10" s="8" t="str">
        <f t="array" aca="1" ref="N10" ca="1">IFERROR(INDEX(Tableau6[Nom abrégé],SMALL(IF((Tableau6[prochaine visite méd]&gt;TODAY()+365)*(Tableau6[Status]="Actif"),ROW(Tableau6[prochaine visite méd])-MIN(ROW(Employé!$O$4))+1,""),ROWS(N$5:N10))),"")</f>
        <v/>
      </c>
    </row>
    <row r="11" spans="1:14" x14ac:dyDescent="0.2">
      <c r="A11" s="9"/>
      <c r="B11" s="2">
        <f t="array" aca="1" ref="B11" ca="1">IFERROR(INDEX(Tableau6[prochaine visite trv],SMALL(IF((Tableau6[prochaine visite trv]&lt;TODAY())*(Tableau6[Status]="Actif"),ROW(Tableau6[prochaine visite trv])-MIN(ROW(Employé!$L$4))+1,""),ROWS(B$5:B11))),"")</f>
        <v>366</v>
      </c>
      <c r="C11" s="10" t="str">
        <f t="array" aca="1" ref="C11" ca="1">IFERROR(INDEX(Tableau6[Nom abrégé],SMALL(IF((Tableau6[prochaine visite trv]&lt;TODAY())*(Tableau6[Status]="Actif"),ROW(Tableau6[prochaine visite trv])-MIN(ROW(Employé!$L$4))+1,""),ROWS(C$5:C11))),"")</f>
        <v>SCHWEITZER Je</v>
      </c>
      <c r="D11" s="11" t="str">
        <f t="array" aca="1" ref="D11" ca="1">IFERROR(INDEX(Tableau6[prochaine visite trv],SMALL(IF((Tableau6[prochaine visite trv]&gt;=TODAY())*(Tableau6[prochaine visite trv]&lt;=TODAY()+365)*(Tableau6[Status]="Actif"),ROW(Tableau6[prochaine visite trv])-MIN(ROW(Employé!$L$4))+1,""),ROWS(D$5:D11))),"")</f>
        <v/>
      </c>
      <c r="E11" s="12" t="str">
        <f t="array" aca="1" ref="E11" ca="1">IFERROR(INDEX(Tableau6[Nom abrégé],SMALL(IF((Tableau6[prochaine visite trv]&gt;=TODAY())*(Tableau6[prochaine visite trv]&lt;=TODAY()+365)*(Tableau6[Status]="Actif"),ROW(Tableau6[prochaine visite trv])-MIN(ROW(Employé!$L$4))+1,""),ROWS(E$5:E11))),"")</f>
        <v/>
      </c>
      <c r="F11" s="2" t="str">
        <f t="array" aca="1" ref="F11" ca="1">IFERROR(INDEX(Tableau6[prochaine visite trv],SMALL(IF((Tableau6[prochaine visite trv]&gt;TODAY()+365)*(Tableau6[Status]="Actif"),ROW(Tableau6[prochaine visite trv])-MIN(ROW(Employé!$L$4))+1,""),ROWS(F$5:F11))),"")</f>
        <v/>
      </c>
      <c r="G11" s="8" t="str">
        <f t="array" aca="1" ref="G11" ca="1">IFERROR(INDEX(Tableau6[Nom abrégé],SMALL(IF((Tableau6[prochaine visite trv]&gt;TODAY()+365)*(Tableau6[Status]="Actif"),ROW(Tableau6[prochaine visite trv])-MIN(ROW(Employé!$L$4))+1,""),ROWS(G$5:G11))),"")</f>
        <v/>
      </c>
      <c r="I11" s="2">
        <f t="array" aca="1" ref="I11" ca="1">IFERROR(INDEX(Tableau6[prochaine visite méd],SMALL(IF((Tableau6[prochaine visite méd]&lt;TODAY())*(Tableau6[Status]="Actif"),ROW(Tableau6[prochaine visite méd])-MIN(ROW(Employé!$O$4))+1,""),ROWS(I$5:I11))),"")</f>
        <v>366</v>
      </c>
      <c r="J11" s="8" t="str">
        <f t="array" aca="1" ref="J11" ca="1">IFERROR(INDEX(Tableau6[Nom abrégé],SMALL(IF((Tableau6[prochaine visite méd]&lt;TODAY())*(Tableau6[Status]="Actif"),ROW(Tableau6[prochaine visite méd])-MIN(ROW(Employé!$O$4))+1,""),ROWS(J$5:J11))),"")</f>
        <v>SCHWEITZER Je</v>
      </c>
      <c r="K11" s="2" t="str">
        <f t="array" aca="1" ref="K11" ca="1">IFERROR(INDEX(Tableau6[prochaine visite méd],SMALL(IF((Tableau6[prochaine visite méd]&gt;=TODAY())*(Tableau6[prochaine visite méd]&lt;=TODAY()+365)*(Tableau6[Status]="Actif"),ROW(Tableau6[prochaine visite méd])-MIN(ROW(Employé!$O$4))+1,""),ROWS(K$5:K11))),"")</f>
        <v/>
      </c>
      <c r="L11" s="8" t="str">
        <f t="array" aca="1" ref="L11" ca="1">IFERROR(INDEX(Tableau6[Nom abrégé],SMALL(IF((Tableau6[prochaine visite méd]&gt;=TODAY())*(Tableau6[prochaine visite méd]&lt;=TODAY()+365)*(Tableau6[Status]="Actif"),ROW(Tableau6[prochaine visite méd])-MIN(ROW(Employé!$O$4))+1,""),ROWS(L$5:L11))),"")</f>
        <v/>
      </c>
      <c r="M11" s="2" t="str">
        <f t="array" aca="1" ref="M11" ca="1">IFERROR(INDEX(Tableau6[prochaine visite méd],SMALL(IF((Tableau6[prochaine visite méd]&gt;TODAY()+365)*(Tableau6[Status]="Actif"),ROW(Tableau6[prochaine visite méd])-MIN(ROW(Employé!$O$4))+1,""),ROWS(M$5:M11))),"")</f>
        <v/>
      </c>
      <c r="N11" s="8" t="str">
        <f t="array" aca="1" ref="N11" ca="1">IFERROR(INDEX(Tableau6[Nom abrégé],SMALL(IF((Tableau6[prochaine visite méd]&gt;TODAY()+365)*(Tableau6[Status]="Actif"),ROW(Tableau6[prochaine visite méd])-MIN(ROW(Employé!$O$4))+1,""),ROWS(N$5:N11))),"")</f>
        <v/>
      </c>
    </row>
    <row r="12" spans="1:14" x14ac:dyDescent="0.2">
      <c r="A12" s="9"/>
      <c r="B12" s="2">
        <f t="array" aca="1" ref="B12" ca="1">IFERROR(INDEX(Tableau6[prochaine visite trv],SMALL(IF((Tableau6[prochaine visite trv]&lt;TODAY())*(Tableau6[Status]="Actif"),ROW(Tableau6[prochaine visite trv])-MIN(ROW(Employé!$L$4))+1,""),ROWS(B$5:B12))),"")</f>
        <v>366</v>
      </c>
      <c r="C12" s="10" t="str">
        <f t="array" aca="1" ref="C12" ca="1">IFERROR(INDEX(Tableau6[Nom abrégé],SMALL(IF((Tableau6[prochaine visite trv]&lt;TODAY())*(Tableau6[Status]="Actif"),ROW(Tableau6[prochaine visite trv])-MIN(ROW(Employé!$L$4))+1,""),ROWS(C$5:C12))),"")</f>
        <v>AFONSO Ju</v>
      </c>
      <c r="D12" s="11" t="str">
        <f t="array" aca="1" ref="D12" ca="1">IFERROR(INDEX(Tableau6[prochaine visite trv],SMALL(IF((Tableau6[prochaine visite trv]&gt;=TODAY())*(Tableau6[prochaine visite trv]&lt;=TODAY()+365)*(Tableau6[Status]="Actif"),ROW(Tableau6[prochaine visite trv])-MIN(ROW(Employé!$L$4))+1,""),ROWS(D$5:D12))),"")</f>
        <v/>
      </c>
      <c r="E12" s="12" t="str">
        <f t="array" aca="1" ref="E12" ca="1">IFERROR(INDEX(Tableau6[Nom abrégé],SMALL(IF((Tableau6[prochaine visite trv]&gt;=TODAY())*(Tableau6[prochaine visite trv]&lt;=TODAY()+365)*(Tableau6[Status]="Actif"),ROW(Tableau6[prochaine visite trv])-MIN(ROW(Employé!$L$4))+1,""),ROWS(E$5:E12))),"")</f>
        <v/>
      </c>
      <c r="F12" s="2" t="str">
        <f t="array" aca="1" ref="F12" ca="1">IFERROR(INDEX(Tableau6[prochaine visite trv],SMALL(IF((Tableau6[prochaine visite trv]&gt;TODAY()+365)*(Tableau6[Status]="Actif"),ROW(Tableau6[prochaine visite trv])-MIN(ROW(Employé!$L$4))+1,""),ROWS(F$5:F12))),"")</f>
        <v/>
      </c>
      <c r="G12" s="8" t="str">
        <f t="array" aca="1" ref="G12" ca="1">IFERROR(INDEX(Tableau6[Nom abrégé],SMALL(IF((Tableau6[prochaine visite trv]&gt;TODAY()+365)*(Tableau6[Status]="Actif"),ROW(Tableau6[prochaine visite trv])-MIN(ROW(Employé!$L$4))+1,""),ROWS(G$5:G12))),"")</f>
        <v/>
      </c>
      <c r="I12" s="2">
        <f t="array" aca="1" ref="I12" ca="1">IFERROR(INDEX(Tableau6[prochaine visite méd],SMALL(IF((Tableau6[prochaine visite méd]&lt;TODAY())*(Tableau6[Status]="Actif"),ROW(Tableau6[prochaine visite méd])-MIN(ROW(Employé!$O$4))+1,""),ROWS(I$5:I12))),"")</f>
        <v>366</v>
      </c>
      <c r="J12" s="8" t="str">
        <f t="array" aca="1" ref="J12" ca="1">IFERROR(INDEX(Tableau6[Nom abrégé],SMALL(IF((Tableau6[prochaine visite méd]&lt;TODAY())*(Tableau6[Status]="Actif"),ROW(Tableau6[prochaine visite méd])-MIN(ROW(Employé!$O$4))+1,""),ROWS(J$5:J12))),"")</f>
        <v>AFONSO Ju</v>
      </c>
      <c r="K12" s="2" t="str">
        <f t="array" aca="1" ref="K12" ca="1">IFERROR(INDEX(Tableau6[prochaine visite méd],SMALL(IF((Tableau6[prochaine visite méd]&gt;=TODAY())*(Tableau6[prochaine visite méd]&lt;=TODAY()+365)*(Tableau6[Status]="Actif"),ROW(Tableau6[prochaine visite méd])-MIN(ROW(Employé!$O$4))+1,""),ROWS(K$5:K12))),"")</f>
        <v/>
      </c>
      <c r="L12" s="8" t="str">
        <f t="array" aca="1" ref="L12" ca="1">IFERROR(INDEX(Tableau6[Nom abrégé],SMALL(IF((Tableau6[prochaine visite méd]&gt;=TODAY())*(Tableau6[prochaine visite méd]&lt;=TODAY()+365)*(Tableau6[Status]="Actif"),ROW(Tableau6[prochaine visite méd])-MIN(ROW(Employé!$O$4))+1,""),ROWS(L$5:L12))),"")</f>
        <v/>
      </c>
      <c r="M12" s="2" t="str">
        <f t="array" aca="1" ref="M12" ca="1">IFERROR(INDEX(Tableau6[prochaine visite méd],SMALL(IF((Tableau6[prochaine visite méd]&gt;TODAY()+365)*(Tableau6[Status]="Actif"),ROW(Tableau6[prochaine visite méd])-MIN(ROW(Employé!$O$4))+1,""),ROWS(M$5:M12))),"")</f>
        <v/>
      </c>
      <c r="N12" s="8" t="str">
        <f t="array" aca="1" ref="N12" ca="1">IFERROR(INDEX(Tableau6[Nom abrégé],SMALL(IF((Tableau6[prochaine visite méd]&gt;TODAY()+365)*(Tableau6[Status]="Actif"),ROW(Tableau6[prochaine visite méd])-MIN(ROW(Employé!$O$4))+1,""),ROWS(N$5:N12))),"")</f>
        <v/>
      </c>
    </row>
    <row r="13" spans="1:14" x14ac:dyDescent="0.2">
      <c r="A13" s="9"/>
      <c r="B13" s="2">
        <f t="array" aca="1" ref="B13" ca="1">IFERROR(INDEX(Tableau6[prochaine visite trv],SMALL(IF((Tableau6[prochaine visite trv]&lt;TODAY())*(Tableau6[Status]="Actif"),ROW(Tableau6[prochaine visite trv])-MIN(ROW(Employé!$L$4))+1,""),ROWS(B$5:B13))),"")</f>
        <v>366</v>
      </c>
      <c r="C13" s="10" t="str">
        <f t="array" aca="1" ref="C13" ca="1">IFERROR(INDEX(Tableau6[Nom abrégé],SMALL(IF((Tableau6[prochaine visite trv]&lt;TODAY())*(Tableau6[Status]="Actif"),ROW(Tableau6[prochaine visite trv])-MIN(ROW(Employé!$L$4))+1,""),ROWS(C$5:C13))),"")</f>
        <v>LEROY Fr</v>
      </c>
      <c r="D13" s="11" t="str">
        <f t="array" aca="1" ref="D13" ca="1">IFERROR(INDEX(Tableau6[prochaine visite trv],SMALL(IF((Tableau6[prochaine visite trv]&gt;=TODAY())*(Tableau6[prochaine visite trv]&lt;=TODAY()+365)*(Tableau6[Status]="Actif"),ROW(Tableau6[prochaine visite trv])-MIN(ROW(Employé!$L$4))+1,""),ROWS(D$5:D13))),"")</f>
        <v/>
      </c>
      <c r="E13" s="12" t="str">
        <f t="array" aca="1" ref="E13" ca="1">IFERROR(INDEX(Tableau6[Nom abrégé],SMALL(IF((Tableau6[prochaine visite trv]&gt;=TODAY())*(Tableau6[prochaine visite trv]&lt;=TODAY()+365)*(Tableau6[Status]="Actif"),ROW(Tableau6[prochaine visite trv])-MIN(ROW(Employé!$L$4))+1,""),ROWS(E$5:E13))),"")</f>
        <v/>
      </c>
      <c r="F13" s="2" t="str">
        <f t="array" aca="1" ref="F13" ca="1">IFERROR(INDEX(Tableau6[prochaine visite trv],SMALL(IF((Tableau6[prochaine visite trv]&gt;TODAY()+365)*(Tableau6[Status]="Actif"),ROW(Tableau6[prochaine visite trv])-MIN(ROW(Employé!$L$4))+1,""),ROWS(F$5:F13))),"")</f>
        <v/>
      </c>
      <c r="G13" s="8" t="str">
        <f t="array" aca="1" ref="G13" ca="1">IFERROR(INDEX(Tableau6[Nom abrégé],SMALL(IF((Tableau6[prochaine visite trv]&gt;TODAY()+365)*(Tableau6[Status]="Actif"),ROW(Tableau6[prochaine visite trv])-MIN(ROW(Employé!$L$4))+1,""),ROWS(G$5:G13))),"")</f>
        <v/>
      </c>
      <c r="I13" s="2">
        <f t="array" aca="1" ref="I13" ca="1">IFERROR(INDEX(Tableau6[prochaine visite méd],SMALL(IF((Tableau6[prochaine visite méd]&lt;TODAY())*(Tableau6[Status]="Actif"),ROW(Tableau6[prochaine visite méd])-MIN(ROW(Employé!$O$4))+1,""),ROWS(I$5:I13))),"")</f>
        <v>38847</v>
      </c>
      <c r="J13" s="8" t="str">
        <f t="array" aca="1" ref="J13" ca="1">IFERROR(INDEX(Tableau6[Nom abrégé],SMALL(IF((Tableau6[prochaine visite méd]&lt;TODAY())*(Tableau6[Status]="Actif"),ROW(Tableau6[prochaine visite méd])-MIN(ROW(Employé!$O$4))+1,""),ROWS(J$5:J13))),"")</f>
        <v>LEROY Fr</v>
      </c>
      <c r="K13" s="2" t="str">
        <f t="array" aca="1" ref="K13" ca="1">IFERROR(INDEX(Tableau6[prochaine visite méd],SMALL(IF((Tableau6[prochaine visite méd]&gt;=TODAY())*(Tableau6[prochaine visite méd]&lt;=TODAY()+365)*(Tableau6[Status]="Actif"),ROW(Tableau6[prochaine visite méd])-MIN(ROW(Employé!$O$4))+1,""),ROWS(K$5:K13))),"")</f>
        <v/>
      </c>
      <c r="L13" s="8" t="str">
        <f t="array" aca="1" ref="L13" ca="1">IFERROR(INDEX(Tableau6[Nom abrégé],SMALL(IF((Tableau6[prochaine visite méd]&gt;=TODAY())*(Tableau6[prochaine visite méd]&lt;=TODAY()+365)*(Tableau6[Status]="Actif"),ROW(Tableau6[prochaine visite méd])-MIN(ROW(Employé!$O$4))+1,""),ROWS(L$5:L13))),"")</f>
        <v/>
      </c>
      <c r="M13" s="2" t="str">
        <f t="array" aca="1" ref="M13" ca="1">IFERROR(INDEX(Tableau6[prochaine visite méd],SMALL(IF((Tableau6[prochaine visite méd]&gt;TODAY()+365)*(Tableau6[Status]="Actif"),ROW(Tableau6[prochaine visite méd])-MIN(ROW(Employé!$O$4))+1,""),ROWS(M$5:M13))),"")</f>
        <v/>
      </c>
      <c r="N13" s="8" t="str">
        <f t="array" aca="1" ref="N13" ca="1">IFERROR(INDEX(Tableau6[Nom abrégé],SMALL(IF((Tableau6[prochaine visite méd]&gt;TODAY()+365)*(Tableau6[Status]="Actif"),ROW(Tableau6[prochaine visite méd])-MIN(ROW(Employé!$O$4))+1,""),ROWS(N$5:N13))),"")</f>
        <v/>
      </c>
    </row>
    <row r="14" spans="1:14" x14ac:dyDescent="0.2">
      <c r="A14" s="9"/>
      <c r="B14" s="2">
        <f t="array" aca="1" ref="B14" ca="1">IFERROR(INDEX(Tableau6[prochaine visite trv],SMALL(IF((Tableau6[prochaine visite trv]&lt;TODAY())*(Tableau6[Status]="Actif"),ROW(Tableau6[prochaine visite trv])-MIN(ROW(Employé!$L$4))+1,""),ROWS(B$5:B14))),"")</f>
        <v>366</v>
      </c>
      <c r="C14" s="10" t="str">
        <f t="array" aca="1" ref="C14" ca="1">IFERROR(INDEX(Tableau6[Nom abrégé],SMALL(IF((Tableau6[prochaine visite trv]&lt;TODAY())*(Tableau6[Status]="Actif"),ROW(Tableau6[prochaine visite trv])-MIN(ROW(Employé!$L$4))+1,""),ROWS(C$5:C14))),"")</f>
        <v>LEROY Je</v>
      </c>
      <c r="D14" s="11" t="str">
        <f t="array" aca="1" ref="D14" ca="1">IFERROR(INDEX(Tableau6[prochaine visite trv],SMALL(IF((Tableau6[prochaine visite trv]&gt;=TODAY())*(Tableau6[prochaine visite trv]&lt;=TODAY()+365)*(Tableau6[Status]="Actif"),ROW(Tableau6[prochaine visite trv])-MIN(ROW(Employé!$L$4))+1,""),ROWS(D$5:D14))),"")</f>
        <v/>
      </c>
      <c r="E14" s="12" t="str">
        <f t="array" aca="1" ref="E14" ca="1">IFERROR(INDEX(Tableau6[Nom abrégé],SMALL(IF((Tableau6[prochaine visite trv]&gt;=TODAY())*(Tableau6[prochaine visite trv]&lt;=TODAY()+365)*(Tableau6[Status]="Actif"),ROW(Tableau6[prochaine visite trv])-MIN(ROW(Employé!$L$4))+1,""),ROWS(E$5:E14))),"")</f>
        <v/>
      </c>
      <c r="F14" s="2" t="str">
        <f t="array" aca="1" ref="F14" ca="1">IFERROR(INDEX(Tableau6[prochaine visite trv],SMALL(IF((Tableau6[prochaine visite trv]&gt;TODAY()+365)*(Tableau6[Status]="Actif"),ROW(Tableau6[prochaine visite trv])-MIN(ROW(Employé!$L$4))+1,""),ROWS(F$5:F14))),"")</f>
        <v/>
      </c>
      <c r="G14" s="8" t="str">
        <f t="array" aca="1" ref="G14" ca="1">IFERROR(INDEX(Tableau6[Nom abrégé],SMALL(IF((Tableau6[prochaine visite trv]&gt;TODAY()+365)*(Tableau6[Status]="Actif"),ROW(Tableau6[prochaine visite trv])-MIN(ROW(Employé!$L$4))+1,""),ROWS(G$5:G14))),"")</f>
        <v/>
      </c>
      <c r="I14" s="2">
        <f t="array" aca="1" ref="I14" ca="1">IFERROR(INDEX(Tableau6[prochaine visite méd],SMALL(IF((Tableau6[prochaine visite méd]&lt;TODAY())*(Tableau6[Status]="Actif"),ROW(Tableau6[prochaine visite méd])-MIN(ROW(Employé!$O$4))+1,""),ROWS(I$5:I14))),"")</f>
        <v>366</v>
      </c>
      <c r="J14" s="8" t="str">
        <f t="array" aca="1" ref="J14" ca="1">IFERROR(INDEX(Tableau6[Nom abrégé],SMALL(IF((Tableau6[prochaine visite méd]&lt;TODAY())*(Tableau6[Status]="Actif"),ROW(Tableau6[prochaine visite méd])-MIN(ROW(Employé!$O$4))+1,""),ROWS(J$5:J14))),"")</f>
        <v>LEROY Je</v>
      </c>
      <c r="K14" s="2" t="str">
        <f t="array" aca="1" ref="K14" ca="1">IFERROR(INDEX(Tableau6[prochaine visite méd],SMALL(IF((Tableau6[prochaine visite méd]&gt;=TODAY())*(Tableau6[prochaine visite méd]&lt;=TODAY()+365)*(Tableau6[Status]="Actif"),ROW(Tableau6[prochaine visite méd])-MIN(ROW(Employé!$O$4))+1,""),ROWS(K$5:K14))),"")</f>
        <v/>
      </c>
      <c r="L14" s="8" t="str">
        <f t="array" aca="1" ref="L14" ca="1">IFERROR(INDEX(Tableau6[Nom abrégé],SMALL(IF((Tableau6[prochaine visite méd]&gt;=TODAY())*(Tableau6[prochaine visite méd]&lt;=TODAY()+365)*(Tableau6[Status]="Actif"),ROW(Tableau6[prochaine visite méd])-MIN(ROW(Employé!$O$4))+1,""),ROWS(L$5:L14))),"")</f>
        <v/>
      </c>
      <c r="M14" s="2" t="str">
        <f t="array" aca="1" ref="M14" ca="1">IFERROR(INDEX(Tableau6[prochaine visite méd],SMALL(IF((Tableau6[prochaine visite méd]&gt;TODAY()+365)*(Tableau6[Status]="Actif"),ROW(Tableau6[prochaine visite méd])-MIN(ROW(Employé!$O$4))+1,""),ROWS(M$5:M14))),"")</f>
        <v/>
      </c>
      <c r="N14" s="8" t="str">
        <f t="array" aca="1" ref="N14" ca="1">IFERROR(INDEX(Tableau6[Nom abrégé],SMALL(IF((Tableau6[prochaine visite méd]&gt;TODAY()+365)*(Tableau6[Status]="Actif"),ROW(Tableau6[prochaine visite méd])-MIN(ROW(Employé!$O$4))+1,""),ROWS(N$5:N14))),"")</f>
        <v/>
      </c>
    </row>
    <row r="15" spans="1:14" x14ac:dyDescent="0.2">
      <c r="A15" s="9"/>
      <c r="B15" s="2">
        <f t="array" aca="1" ref="B15" ca="1">IFERROR(INDEX(Tableau6[prochaine visite trv],SMALL(IF((Tableau6[prochaine visite trv]&lt;TODAY())*(Tableau6[Status]="Actif"),ROW(Tableau6[prochaine visite trv])-MIN(ROW(Employé!$L$4))+1,""),ROWS(B$5:B15))),"")</f>
        <v>366</v>
      </c>
      <c r="C15" s="10" t="str">
        <f t="array" aca="1" ref="C15" ca="1">IFERROR(INDEX(Tableau6[Nom abrégé],SMALL(IF((Tableau6[prochaine visite trv]&lt;TODAY())*(Tableau6[Status]="Actif"),ROW(Tableau6[prochaine visite trv])-MIN(ROW(Employé!$L$4))+1,""),ROWS(C$5:C15))),"")</f>
        <v>FERRARA Ju</v>
      </c>
      <c r="D15" s="11" t="str">
        <f t="array" aca="1" ref="D15" ca="1">IFERROR(INDEX(Tableau6[prochaine visite trv],SMALL(IF((Tableau6[prochaine visite trv]&gt;=TODAY())*(Tableau6[prochaine visite trv]&lt;=TODAY()+365)*(Tableau6[Status]="Actif"),ROW(Tableau6[prochaine visite trv])-MIN(ROW(Employé!$L$4))+1,""),ROWS(D$5:D15))),"")</f>
        <v/>
      </c>
      <c r="E15" s="12" t="str">
        <f t="array" aca="1" ref="E15" ca="1">IFERROR(INDEX(Tableau6[Nom abrégé],SMALL(IF((Tableau6[prochaine visite trv]&gt;=TODAY())*(Tableau6[prochaine visite trv]&lt;=TODAY()+365)*(Tableau6[Status]="Actif"),ROW(Tableau6[prochaine visite trv])-MIN(ROW(Employé!$L$4))+1,""),ROWS(E$5:E15))),"")</f>
        <v/>
      </c>
      <c r="F15" s="2" t="str">
        <f t="array" aca="1" ref="F15" ca="1">IFERROR(INDEX(Tableau6[prochaine visite trv],SMALL(IF((Tableau6[prochaine visite trv]&gt;TODAY()+365)*(Tableau6[Status]="Actif"),ROW(Tableau6[prochaine visite trv])-MIN(ROW(Employé!$L$4))+1,""),ROWS(F$5:F15))),"")</f>
        <v/>
      </c>
      <c r="G15" s="8" t="str">
        <f t="array" aca="1" ref="G15" ca="1">IFERROR(INDEX(Tableau6[Nom abrégé],SMALL(IF((Tableau6[prochaine visite trv]&gt;TODAY()+365)*(Tableau6[Status]="Actif"),ROW(Tableau6[prochaine visite trv])-MIN(ROW(Employé!$L$4))+1,""),ROWS(G$5:G15))),"")</f>
        <v/>
      </c>
      <c r="I15" s="2">
        <f t="array" aca="1" ref="I15" ca="1">IFERROR(INDEX(Tableau6[prochaine visite méd],SMALL(IF((Tableau6[prochaine visite méd]&lt;TODAY())*(Tableau6[Status]="Actif"),ROW(Tableau6[prochaine visite méd])-MIN(ROW(Employé!$O$4))+1,""),ROWS(I$5:I15))),"")</f>
        <v>366</v>
      </c>
      <c r="J15" s="8" t="str">
        <f t="array" aca="1" ref="J15" ca="1">IFERROR(INDEX(Tableau6[Nom abrégé],SMALL(IF((Tableau6[prochaine visite méd]&lt;TODAY())*(Tableau6[Status]="Actif"),ROW(Tableau6[prochaine visite méd])-MIN(ROW(Employé!$O$4))+1,""),ROWS(J$5:J15))),"")</f>
        <v>FERRARA Ju</v>
      </c>
      <c r="K15" s="2" t="str">
        <f t="array" aca="1" ref="K15" ca="1">IFERROR(INDEX(Tableau6[prochaine visite méd],SMALL(IF((Tableau6[prochaine visite méd]&gt;=TODAY())*(Tableau6[prochaine visite méd]&lt;=TODAY()+365)*(Tableau6[Status]="Actif"),ROW(Tableau6[prochaine visite méd])-MIN(ROW(Employé!$O$4))+1,""),ROWS(K$5:K15))),"")</f>
        <v/>
      </c>
      <c r="L15" s="8" t="str">
        <f t="array" aca="1" ref="L15" ca="1">IFERROR(INDEX(Tableau6[Nom abrégé],SMALL(IF((Tableau6[prochaine visite méd]&gt;=TODAY())*(Tableau6[prochaine visite méd]&lt;=TODAY()+365)*(Tableau6[Status]="Actif"),ROW(Tableau6[prochaine visite méd])-MIN(ROW(Employé!$O$4))+1,""),ROWS(L$5:L15))),"")</f>
        <v/>
      </c>
      <c r="M15" s="2" t="str">
        <f t="array" aca="1" ref="M15" ca="1">IFERROR(INDEX(Tableau6[prochaine visite méd],SMALL(IF((Tableau6[prochaine visite méd]&gt;TODAY()+365)*(Tableau6[Status]="Actif"),ROW(Tableau6[prochaine visite méd])-MIN(ROW(Employé!$O$4))+1,""),ROWS(M$5:M15))),"")</f>
        <v/>
      </c>
      <c r="N15" s="8" t="str">
        <f t="array" aca="1" ref="N15" ca="1">IFERROR(INDEX(Tableau6[Nom abrégé],SMALL(IF((Tableau6[prochaine visite méd]&gt;TODAY()+365)*(Tableau6[Status]="Actif"),ROW(Tableau6[prochaine visite méd])-MIN(ROW(Employé!$O$4))+1,""),ROWS(N$5:N15))),"")</f>
        <v/>
      </c>
    </row>
    <row r="16" spans="1:14" x14ac:dyDescent="0.2">
      <c r="A16" s="9"/>
      <c r="B16" s="2">
        <f t="array" aca="1" ref="B16" ca="1">IFERROR(INDEX(Tableau6[prochaine visite trv],SMALL(IF((Tableau6[prochaine visite trv]&lt;TODAY())*(Tableau6[Status]="Actif"),ROW(Tableau6[prochaine visite trv])-MIN(ROW(Employé!$L$4))+1,""),ROWS(B$5:B16))),"")</f>
        <v>366</v>
      </c>
      <c r="C16" s="10" t="str">
        <f t="array" aca="1" ref="C16" ca="1">IFERROR(INDEX(Tableau6[Nom abrégé],SMALL(IF((Tableau6[prochaine visite trv]&lt;TODAY())*(Tableau6[Status]="Actif"),ROW(Tableau6[prochaine visite trv])-MIN(ROW(Employé!$L$4))+1,""),ROWS(C$5:C16))),"")</f>
        <v>BALLESTER Xa</v>
      </c>
      <c r="D16" s="11" t="str">
        <f t="array" aca="1" ref="D16" ca="1">IFERROR(INDEX(Tableau6[prochaine visite trv],SMALL(IF((Tableau6[prochaine visite trv]&gt;=TODAY())*(Tableau6[prochaine visite trv]&lt;=TODAY()+365)*(Tableau6[Status]="Actif"),ROW(Tableau6[prochaine visite trv])-MIN(ROW(Employé!$L$4))+1,""),ROWS(D$5:D16))),"")</f>
        <v/>
      </c>
      <c r="E16" s="12" t="str">
        <f t="array" aca="1" ref="E16" ca="1">IFERROR(INDEX(Tableau6[Nom abrégé],SMALL(IF((Tableau6[prochaine visite trv]&gt;=TODAY())*(Tableau6[prochaine visite trv]&lt;=TODAY()+365)*(Tableau6[Status]="Actif"),ROW(Tableau6[prochaine visite trv])-MIN(ROW(Employé!$L$4))+1,""),ROWS(E$5:E16))),"")</f>
        <v/>
      </c>
      <c r="F16" s="2" t="str">
        <f t="array" aca="1" ref="F16" ca="1">IFERROR(INDEX(Tableau6[prochaine visite trv],SMALL(IF((Tableau6[prochaine visite trv]&gt;TODAY()+365)*(Tableau6[Status]="Actif"),ROW(Tableau6[prochaine visite trv])-MIN(ROW(Employé!$L$4))+1,""),ROWS(F$5:F16))),"")</f>
        <v/>
      </c>
      <c r="G16" s="8" t="str">
        <f t="array" aca="1" ref="G16" ca="1">IFERROR(INDEX(Tableau6[Nom abrégé],SMALL(IF((Tableau6[prochaine visite trv]&gt;TODAY()+365)*(Tableau6[Status]="Actif"),ROW(Tableau6[prochaine visite trv])-MIN(ROW(Employé!$L$4))+1,""),ROWS(G$5:G16))),"")</f>
        <v/>
      </c>
      <c r="I16" s="2">
        <f t="array" aca="1" ref="I16" ca="1">IFERROR(INDEX(Tableau6[prochaine visite méd],SMALL(IF((Tableau6[prochaine visite méd]&lt;TODAY())*(Tableau6[Status]="Actif"),ROW(Tableau6[prochaine visite méd])-MIN(ROW(Employé!$O$4))+1,""),ROWS(I$5:I16))),"")</f>
        <v>366</v>
      </c>
      <c r="J16" s="8" t="str">
        <f t="array" aca="1" ref="J16" ca="1">IFERROR(INDEX(Tableau6[Nom abrégé],SMALL(IF((Tableau6[prochaine visite méd]&lt;TODAY())*(Tableau6[Status]="Actif"),ROW(Tableau6[prochaine visite méd])-MIN(ROW(Employé!$O$4))+1,""),ROWS(J$5:J16))),"")</f>
        <v>BALLESTER Xa</v>
      </c>
      <c r="K16" s="2" t="str">
        <f t="array" aca="1" ref="K16" ca="1">IFERROR(INDEX(Tableau6[prochaine visite méd],SMALL(IF((Tableau6[prochaine visite méd]&gt;=TODAY())*(Tableau6[prochaine visite méd]&lt;=TODAY()+365)*(Tableau6[Status]="Actif"),ROW(Tableau6[prochaine visite méd])-MIN(ROW(Employé!$O$4))+1,""),ROWS(K$5:K16))),"")</f>
        <v/>
      </c>
      <c r="L16" s="8" t="str">
        <f t="array" aca="1" ref="L16" ca="1">IFERROR(INDEX(Tableau6[Nom abrégé],SMALL(IF((Tableau6[prochaine visite méd]&gt;=TODAY())*(Tableau6[prochaine visite méd]&lt;=TODAY()+365)*(Tableau6[Status]="Actif"),ROW(Tableau6[prochaine visite méd])-MIN(ROW(Employé!$O$4))+1,""),ROWS(L$5:L16))),"")</f>
        <v/>
      </c>
      <c r="M16" s="2" t="str">
        <f t="array" aca="1" ref="M16" ca="1">IFERROR(INDEX(Tableau6[prochaine visite méd],SMALL(IF((Tableau6[prochaine visite méd]&gt;TODAY()+365)*(Tableau6[Status]="Actif"),ROW(Tableau6[prochaine visite méd])-MIN(ROW(Employé!$O$4))+1,""),ROWS(M$5:M16))),"")</f>
        <v/>
      </c>
      <c r="N16" s="8" t="str">
        <f t="array" aca="1" ref="N16" ca="1">IFERROR(INDEX(Tableau6[Nom abrégé],SMALL(IF((Tableau6[prochaine visite méd]&gt;TODAY()+365)*(Tableau6[Status]="Actif"),ROW(Tableau6[prochaine visite méd])-MIN(ROW(Employé!$O$4))+1,""),ROWS(N$5:N16))),"")</f>
        <v/>
      </c>
    </row>
    <row r="17" spans="1:14" x14ac:dyDescent="0.2">
      <c r="A17" s="9"/>
      <c r="B17" s="2">
        <f t="array" aca="1" ref="B17" ca="1">IFERROR(INDEX(Tableau6[prochaine visite trv],SMALL(IF((Tableau6[prochaine visite trv]&lt;TODAY())*(Tableau6[Status]="Actif"),ROW(Tableau6[prochaine visite trv])-MIN(ROW(Employé!$L$4))+1,""),ROWS(B$5:B17))),"")</f>
        <v>366</v>
      </c>
      <c r="C17" s="10" t="str">
        <f t="array" aca="1" ref="C17" ca="1">IFERROR(INDEX(Tableau6[Nom abrégé],SMALL(IF((Tableau6[prochaine visite trv]&lt;TODAY())*(Tableau6[Status]="Actif"),ROW(Tableau6[prochaine visite trv])-MIN(ROW(Employé!$L$4))+1,""),ROWS(C$5:C17))),"")</f>
        <v>DESMYTER Da</v>
      </c>
      <c r="D17" s="11" t="str">
        <f t="array" aca="1" ref="D17" ca="1">IFERROR(INDEX(Tableau6[prochaine visite trv],SMALL(IF((Tableau6[prochaine visite trv]&gt;=TODAY())*(Tableau6[prochaine visite trv]&lt;=TODAY()+365)*(Tableau6[Status]="Actif"),ROW(Tableau6[prochaine visite trv])-MIN(ROW(Employé!$L$4))+1,""),ROWS(D$5:D17))),"")</f>
        <v/>
      </c>
      <c r="E17" s="12" t="str">
        <f t="array" aca="1" ref="E17" ca="1">IFERROR(INDEX(Tableau6[Nom abrégé],SMALL(IF((Tableau6[prochaine visite trv]&gt;=TODAY())*(Tableau6[prochaine visite trv]&lt;=TODAY()+365)*(Tableau6[Status]="Actif"),ROW(Tableau6[prochaine visite trv])-MIN(ROW(Employé!$L$4))+1,""),ROWS(E$5:E17))),"")</f>
        <v/>
      </c>
      <c r="F17" s="2" t="str">
        <f t="array" aca="1" ref="F17" ca="1">IFERROR(INDEX(Tableau6[prochaine visite trv],SMALL(IF((Tableau6[prochaine visite trv]&gt;TODAY()+365)*(Tableau6[Status]="Actif"),ROW(Tableau6[prochaine visite trv])-MIN(ROW(Employé!$L$4))+1,""),ROWS(F$5:F17))),"")</f>
        <v/>
      </c>
      <c r="G17" s="8" t="str">
        <f t="array" aca="1" ref="G17" ca="1">IFERROR(INDEX(Tableau6[Nom abrégé],SMALL(IF((Tableau6[prochaine visite trv]&gt;TODAY()+365)*(Tableau6[Status]="Actif"),ROW(Tableau6[prochaine visite trv])-MIN(ROW(Employé!$L$4))+1,""),ROWS(G$5:G17))),"")</f>
        <v/>
      </c>
      <c r="I17" s="2">
        <f t="array" aca="1" ref="I17" ca="1">IFERROR(INDEX(Tableau6[prochaine visite méd],SMALL(IF((Tableau6[prochaine visite méd]&lt;TODAY())*(Tableau6[Status]="Actif"),ROW(Tableau6[prochaine visite méd])-MIN(ROW(Employé!$O$4))+1,""),ROWS(I$5:I17))),"")</f>
        <v>366</v>
      </c>
      <c r="J17" s="8" t="str">
        <f t="array" aca="1" ref="J17" ca="1">IFERROR(INDEX(Tableau6[Nom abrégé],SMALL(IF((Tableau6[prochaine visite méd]&lt;TODAY())*(Tableau6[Status]="Actif"),ROW(Tableau6[prochaine visite méd])-MIN(ROW(Employé!$O$4))+1,""),ROWS(J$5:J17))),"")</f>
        <v>DESMYTER Da</v>
      </c>
      <c r="K17" s="2" t="str">
        <f t="array" aca="1" ref="K17" ca="1">IFERROR(INDEX(Tableau6[prochaine visite méd],SMALL(IF((Tableau6[prochaine visite méd]&gt;=TODAY())*(Tableau6[prochaine visite méd]&lt;=TODAY()+365)*(Tableau6[Status]="Actif"),ROW(Tableau6[prochaine visite méd])-MIN(ROW(Employé!$O$4))+1,""),ROWS(K$5:K17))),"")</f>
        <v/>
      </c>
      <c r="L17" s="8" t="str">
        <f t="array" aca="1" ref="L17" ca="1">IFERROR(INDEX(Tableau6[Nom abrégé],SMALL(IF((Tableau6[prochaine visite méd]&gt;=TODAY())*(Tableau6[prochaine visite méd]&lt;=TODAY()+365)*(Tableau6[Status]="Actif"),ROW(Tableau6[prochaine visite méd])-MIN(ROW(Employé!$O$4))+1,""),ROWS(L$5:L17))),"")</f>
        <v/>
      </c>
      <c r="M17" s="2" t="str">
        <f t="array" aca="1" ref="M17" ca="1">IFERROR(INDEX(Tableau6[prochaine visite méd],SMALL(IF((Tableau6[prochaine visite méd]&gt;TODAY()+365)*(Tableau6[Status]="Actif"),ROW(Tableau6[prochaine visite méd])-MIN(ROW(Employé!$O$4))+1,""),ROWS(M$5:M17))),"")</f>
        <v/>
      </c>
      <c r="N17" s="8" t="str">
        <f t="array" aca="1" ref="N17" ca="1">IFERROR(INDEX(Tableau6[Nom abrégé],SMALL(IF((Tableau6[prochaine visite méd]&gt;TODAY()+365)*(Tableau6[Status]="Actif"),ROW(Tableau6[prochaine visite méd])-MIN(ROW(Employé!$O$4))+1,""),ROWS(N$5:N17))),"")</f>
        <v/>
      </c>
    </row>
    <row r="18" spans="1:14" x14ac:dyDescent="0.2">
      <c r="A18" s="9"/>
      <c r="B18" s="2">
        <f t="array" aca="1" ref="B18" ca="1">IFERROR(INDEX(Tableau6[prochaine visite trv],SMALL(IF((Tableau6[prochaine visite trv]&lt;TODAY())*(Tableau6[Status]="Actif"),ROW(Tableau6[prochaine visite trv])-MIN(ROW(Employé!$L$4))+1,""),ROWS(B$5:B18))),"")</f>
        <v>366</v>
      </c>
      <c r="C18" s="10" t="str">
        <f t="array" aca="1" ref="C18" ca="1">IFERROR(INDEX(Tableau6[Nom abrégé],SMALL(IF((Tableau6[prochaine visite trv]&lt;TODAY())*(Tableau6[Status]="Actif"),ROW(Tableau6[prochaine visite trv])-MIN(ROW(Employé!$L$4))+1,""),ROWS(C$5:C18))),"")</f>
        <v>NAJJARI Mo</v>
      </c>
      <c r="D18" s="11" t="str">
        <f t="array" aca="1" ref="D18" ca="1">IFERROR(INDEX(Tableau6[prochaine visite trv],SMALL(IF((Tableau6[prochaine visite trv]&gt;=TODAY())*(Tableau6[prochaine visite trv]&lt;=TODAY()+365)*(Tableau6[Status]="Actif"),ROW(Tableau6[prochaine visite trv])-MIN(ROW(Employé!$L$4))+1,""),ROWS(D$5:D18))),"")</f>
        <v/>
      </c>
      <c r="E18" s="12" t="str">
        <f t="array" aca="1" ref="E18" ca="1">IFERROR(INDEX(Tableau6[Nom abrégé],SMALL(IF((Tableau6[prochaine visite trv]&gt;=TODAY())*(Tableau6[prochaine visite trv]&lt;=TODAY()+365)*(Tableau6[Status]="Actif"),ROW(Tableau6[prochaine visite trv])-MIN(ROW(Employé!$L$4))+1,""),ROWS(E$5:E18))),"")</f>
        <v/>
      </c>
      <c r="F18" s="2" t="str">
        <f t="array" aca="1" ref="F18" ca="1">IFERROR(INDEX(Tableau6[prochaine visite trv],SMALL(IF((Tableau6[prochaine visite trv]&gt;TODAY()+365)*(Tableau6[Status]="Actif"),ROW(Tableau6[prochaine visite trv])-MIN(ROW(Employé!$L$4))+1,""),ROWS(F$5:F18))),"")</f>
        <v/>
      </c>
      <c r="G18" s="8" t="str">
        <f t="array" aca="1" ref="G18" ca="1">IFERROR(INDEX(Tableau6[Nom abrégé],SMALL(IF((Tableau6[prochaine visite trv]&gt;TODAY()+365)*(Tableau6[Status]="Actif"),ROW(Tableau6[prochaine visite trv])-MIN(ROW(Employé!$L$4))+1,""),ROWS(G$5:G18))),"")</f>
        <v/>
      </c>
      <c r="I18" s="2">
        <f t="array" aca="1" ref="I18" ca="1">IFERROR(INDEX(Tableau6[prochaine visite méd],SMALL(IF((Tableau6[prochaine visite méd]&lt;TODAY())*(Tableau6[Status]="Actif"),ROW(Tableau6[prochaine visite méd])-MIN(ROW(Employé!$O$4))+1,""),ROWS(I$5:I18))),"")</f>
        <v>366</v>
      </c>
      <c r="J18" s="8" t="str">
        <f t="array" aca="1" ref="J18" ca="1">IFERROR(INDEX(Tableau6[Nom abrégé],SMALL(IF((Tableau6[prochaine visite méd]&lt;TODAY())*(Tableau6[Status]="Actif"),ROW(Tableau6[prochaine visite méd])-MIN(ROW(Employé!$O$4))+1,""),ROWS(J$5:J18))),"")</f>
        <v>NAJJARI Mo</v>
      </c>
      <c r="K18" s="2" t="str">
        <f t="array" aca="1" ref="K18" ca="1">IFERROR(INDEX(Tableau6[prochaine visite méd],SMALL(IF((Tableau6[prochaine visite méd]&gt;=TODAY())*(Tableau6[prochaine visite méd]&lt;=TODAY()+365)*(Tableau6[Status]="Actif"),ROW(Tableau6[prochaine visite méd])-MIN(ROW(Employé!$O$4))+1,""),ROWS(K$5:K18))),"")</f>
        <v/>
      </c>
      <c r="L18" s="8" t="str">
        <f t="array" aca="1" ref="L18" ca="1">IFERROR(INDEX(Tableau6[Nom abrégé],SMALL(IF((Tableau6[prochaine visite méd]&gt;=TODAY())*(Tableau6[prochaine visite méd]&lt;=TODAY()+365)*(Tableau6[Status]="Actif"),ROW(Tableau6[prochaine visite méd])-MIN(ROW(Employé!$O$4))+1,""),ROWS(L$5:L18))),"")</f>
        <v/>
      </c>
      <c r="M18" s="2" t="str">
        <f t="array" aca="1" ref="M18" ca="1">IFERROR(INDEX(Tableau6[prochaine visite méd],SMALL(IF((Tableau6[prochaine visite méd]&gt;TODAY()+365)*(Tableau6[Status]="Actif"),ROW(Tableau6[prochaine visite méd])-MIN(ROW(Employé!$O$4))+1,""),ROWS(M$5:M18))),"")</f>
        <v/>
      </c>
      <c r="N18" s="8" t="str">
        <f t="array" aca="1" ref="N18" ca="1">IFERROR(INDEX(Tableau6[Nom abrégé],SMALL(IF((Tableau6[prochaine visite méd]&gt;TODAY()+365)*(Tableau6[Status]="Actif"),ROW(Tableau6[prochaine visite méd])-MIN(ROW(Employé!$O$4))+1,""),ROWS(N$5:N18))),"")</f>
        <v/>
      </c>
    </row>
    <row r="19" spans="1:14" ht="13.5" thickBot="1" x14ac:dyDescent="0.25">
      <c r="A19" s="9"/>
      <c r="B19" s="16" t="str">
        <f t="array" aca="1" ref="B19" ca="1">IFERROR(INDEX(Tableau6[prochaine visite trv],SMALL(IF((Tableau6[prochaine visite trv]&lt;TODAY())*(Tableau6[Status]="Actif"),ROW(Tableau6[prochaine visite trv])-MIN(ROW(Employé!$L$4))+1,""),ROWS(B$5:B19))),"")</f>
        <v/>
      </c>
      <c r="C19" s="17" t="str">
        <f t="array" aca="1" ref="C19" ca="1">IFERROR(INDEX(Tableau6[Nom abrégé],SMALL(IF((Tableau6[prochaine visite trv]&lt;TODAY())*(Tableau6[Status]="Actif"),ROW(Tableau6[prochaine visite trv])-MIN(ROW(Employé!$L$4))+1,""),ROWS(C$5:C19))),"")</f>
        <v/>
      </c>
      <c r="D19" s="18" t="str">
        <f t="array" aca="1" ref="D19" ca="1">IFERROR(INDEX(Tableau6[prochaine visite trv],SMALL(IF((Tableau6[prochaine visite trv]&gt;=TODAY())*(Tableau6[prochaine visite trv]&lt;=TODAY()+365)*(Tableau6[Status]="Actif"),ROW(Tableau6[prochaine visite trv])-MIN(ROW(Employé!$L$4))+1,""),ROWS(D$5:D19))),"")</f>
        <v/>
      </c>
      <c r="E19" s="19" t="str">
        <f t="array" aca="1" ref="E19" ca="1">IFERROR(INDEX(Tableau6[Nom abrégé],SMALL(IF((Tableau6[prochaine visite trv]&gt;=TODAY())*(Tableau6[prochaine visite trv]&lt;=TODAY()+365)*(Tableau6[Status]="Actif"),ROW(Tableau6[prochaine visite trv])-MIN(ROW(Employé!$L$4))+1,""),ROWS(E$5:E19))),"")</f>
        <v/>
      </c>
      <c r="F19" s="16" t="str">
        <f t="array" aca="1" ref="F19" ca="1">IFERROR(INDEX(Tableau6[prochaine visite trv],SMALL(IF((Tableau6[prochaine visite trv]&gt;TODAY()+365)*(Tableau6[Status]="Actif"),ROW(Tableau6[prochaine visite trv])-MIN(ROW(Employé!$L$4))+1,""),ROWS(F$5:F19))),"")</f>
        <v/>
      </c>
      <c r="G19" s="20" t="str">
        <f t="array" aca="1" ref="G19" ca="1">IFERROR(INDEX(Tableau6[Nom abrégé],SMALL(IF((Tableau6[prochaine visite trv]&gt;TODAY()+365)*(Tableau6[Status]="Actif"),ROW(Tableau6[prochaine visite trv])-MIN(ROW(Employé!$L$4))+1,""),ROWS(G$5:G19))),"")</f>
        <v/>
      </c>
      <c r="I19" s="2" t="str">
        <f t="array" aca="1" ref="I19" ca="1">IFERROR(INDEX(Tableau6[prochaine visite méd],SMALL(IF((Tableau6[prochaine visite méd]&lt;TODAY())*(Tableau6[Status]="Actif"),ROW(Tableau6[prochaine visite méd])-MIN(ROW(Employé!$O$4))+1,""),ROWS(I$5:I19))),"")</f>
        <v/>
      </c>
      <c r="J19" s="8" t="str">
        <f t="array" aca="1" ref="J19" ca="1">IFERROR(INDEX(Tableau6[Nom abrégé],SMALL(IF((Tableau6[prochaine visite méd]&lt;TODAY())*(Tableau6[Status]="Actif"),ROW(Tableau6[prochaine visite méd])-MIN(ROW(Employé!$O$4))+1,""),ROWS(J$5:J19))),"")</f>
        <v/>
      </c>
      <c r="K19" s="2" t="str">
        <f t="array" aca="1" ref="K19" ca="1">IFERROR(INDEX(Tableau6[prochaine visite méd],SMALL(IF((Tableau6[prochaine visite méd]&gt;=TODAY())*(Tableau6[prochaine visite méd]&lt;=TODAY()+365)*(Tableau6[Status]="Actif"),ROW(Tableau6[prochaine visite méd])-MIN(ROW(Employé!$O$4))+1,""),ROWS(K$5:K19))),"")</f>
        <v/>
      </c>
      <c r="L19" s="8" t="str">
        <f t="array" aca="1" ref="L19" ca="1">IFERROR(INDEX(Tableau6[Nom abrégé],SMALL(IF((Tableau6[prochaine visite méd]&gt;=TODAY())*(Tableau6[prochaine visite méd]&lt;=TODAY()+365)*(Tableau6[Status]="Actif"),ROW(Tableau6[prochaine visite méd])-MIN(ROW(Employé!$O$4))+1,""),ROWS(L$5:L19))),"")</f>
        <v/>
      </c>
      <c r="M19" s="2" t="str">
        <f t="array" aca="1" ref="M19" ca="1">IFERROR(INDEX(Tableau6[prochaine visite méd],SMALL(IF((Tableau6[prochaine visite méd]&gt;TODAY()+365)*(Tableau6[Status]="Actif"),ROW(Tableau6[prochaine visite méd])-MIN(ROW(Employé!$O$4))+1,""),ROWS(M$5:M19))),"")</f>
        <v/>
      </c>
      <c r="N19" s="8" t="str">
        <f t="array" aca="1" ref="N19" ca="1">IFERROR(INDEX(Tableau6[Nom abrégé],SMALL(IF((Tableau6[prochaine visite méd]&gt;TODAY()+365)*(Tableau6[Status]="Actif"),ROW(Tableau6[prochaine visite méd])-MIN(ROW(Employé!$O$4))+1,""),ROWS(N$5:N19))),"")</f>
        <v/>
      </c>
    </row>
    <row r="20" spans="1:14" ht="13.5" thickTop="1" x14ac:dyDescent="0.2">
      <c r="A20" s="9"/>
      <c r="B20" s="21"/>
      <c r="C20" s="22"/>
      <c r="D20" s="22"/>
      <c r="E20" s="22"/>
      <c r="F20" s="22"/>
      <c r="G20" s="22"/>
      <c r="I20" s="21"/>
      <c r="J20" s="22"/>
      <c r="K20" s="22"/>
      <c r="L20" s="22"/>
      <c r="M20" s="22"/>
      <c r="N20" s="22"/>
    </row>
    <row r="21" spans="1:14" x14ac:dyDescent="0.2">
      <c r="B21" s="25" t="s">
        <v>119</v>
      </c>
    </row>
    <row r="22" spans="1:14" ht="15.75" x14ac:dyDescent="0.2">
      <c r="B22" s="81" t="s">
        <v>99</v>
      </c>
      <c r="C22" s="82"/>
      <c r="D22" s="82"/>
      <c r="E22" s="82"/>
      <c r="F22" s="82"/>
      <c r="G22" s="83"/>
      <c r="I22" s="81" t="s">
        <v>100</v>
      </c>
      <c r="J22" s="82"/>
      <c r="K22" s="82"/>
      <c r="L22" s="82"/>
      <c r="M22" s="82"/>
      <c r="N22" s="83"/>
    </row>
    <row r="23" spans="1:14" x14ac:dyDescent="0.2">
      <c r="B23" s="84" t="s">
        <v>24</v>
      </c>
      <c r="C23" s="84"/>
      <c r="D23" s="85" t="str">
        <f ca="1">TEXT(TODAY(),"jj/mm/aaaa")&amp;" --&gt; "&amp;TEXT(TODAY()+365,"jj/mm/aaaa")</f>
        <v>10/10/2018 --&gt; 10/10/2019</v>
      </c>
      <c r="E23" s="85"/>
      <c r="F23" s="86" t="str">
        <f ca="1">"&gt; "&amp;TEXT(TODAY()+365,"jj/mm/aaaa")</f>
        <v>&gt; 10/10/2019</v>
      </c>
      <c r="G23" s="86"/>
      <c r="I23" s="84" t="s">
        <v>24</v>
      </c>
      <c r="J23" s="84"/>
      <c r="K23" s="85" t="str">
        <f ca="1">TEXT(TODAY(),"jj/mm/aaaa")&amp;" --&gt; "&amp;TEXT(TODAY()+365,"jj/mm/aaaa")</f>
        <v>10/10/2018 --&gt; 10/10/2019</v>
      </c>
      <c r="L23" s="85"/>
      <c r="M23" s="86" t="str">
        <f ca="1">"&gt; "&amp;TEXT(TODAY()+365,"jj/mm/aaaa")</f>
        <v>&gt; 10/10/2019</v>
      </c>
      <c r="N23" s="86"/>
    </row>
    <row r="24" spans="1:14" x14ac:dyDescent="0.2">
      <c r="B24" s="15" t="s">
        <v>25</v>
      </c>
      <c r="C24" s="15" t="s">
        <v>26</v>
      </c>
      <c r="D24" s="15" t="s">
        <v>25</v>
      </c>
      <c r="E24" s="15" t="s">
        <v>26</v>
      </c>
      <c r="F24" s="15" t="s">
        <v>25</v>
      </c>
      <c r="G24" s="15" t="s">
        <v>26</v>
      </c>
      <c r="I24" s="15" t="s">
        <v>25</v>
      </c>
      <c r="J24" s="15" t="s">
        <v>26</v>
      </c>
      <c r="K24" s="15" t="s">
        <v>25</v>
      </c>
      <c r="L24" s="15" t="s">
        <v>26</v>
      </c>
      <c r="M24" s="15" t="s">
        <v>25</v>
      </c>
      <c r="N24" s="15" t="s">
        <v>26</v>
      </c>
    </row>
    <row r="25" spans="1:14" x14ac:dyDescent="0.2">
      <c r="B25" s="2">
        <f t="array" aca="1" ref="B25" ca="1">IFERROR(INDEX(Tableau6[prochaine visite per],SMALL(IF((Tableau6[prochaine visite per]&lt;TODAY())*(Tableau6[Status]="Actif"),ROW(Tableau6[prochaine visite per])-MIN(ROW(Employé!$R$4))+1,""),ROWS(B$25:B25))),"")</f>
        <v>1827</v>
      </c>
      <c r="C25" s="8" t="str">
        <f t="array" aca="1" ref="C25" ca="1">IFERROR(INDEX(Tableau6[Nom abrégé],SMALL(IF((Tableau6[prochaine visite per]&lt;TODAY())*(Tableau6[Status]="Actif"),ROW(Tableau6[prochaine visite per])-MIN(ROW(Employé!$R$4))+1,""),ROWS(C$25:C25))),"")</f>
        <v>BENAZET Je</v>
      </c>
      <c r="D25" s="2" t="str">
        <f t="array" aca="1" ref="D25" ca="1">IFERROR(INDEX(Tableau6[prochaine visite per],SMALL(IF((Tableau6[prochaine visite per]&gt;=TODAY())*(Tableau6[prochaine visite per]&lt;=TODAY()+365)*(Tableau6[Status]="Actif"),ROW(Tableau6[prochaine visite per])-MIN(ROW(Employé!$R$4))+1,""),ROWS(D$25:D25))),"")</f>
        <v/>
      </c>
      <c r="E25" s="8" t="str">
        <f t="array" aca="1" ref="E25" ca="1">IFERROR(INDEX(Tableau6[Nom abrégé],SMALL(IF((Tableau6[prochaine visite per]&gt;=TODAY())*(Tableau6[prochaine visite per]&lt;=TODAY()+365)*(Tableau6[Status]="Actif"),ROW(Tableau6[prochaine visite per])-MIN(ROW(Employé!$R$4))+1,""),ROWS(E$25:E25))),"")</f>
        <v/>
      </c>
      <c r="F25" s="2" t="str">
        <f t="array" aca="1" ref="F25" ca="1">IFERROR(INDEX(Tableau6[prochaine visite per],SMALL(IF((Tableau6[prochaine visite per]&gt;TODAY()+365)*(Tableau6[Status]="Actif"),ROW(Tableau6[prochaine visite per])-MIN(ROW(Employé!$R$4))+1,""),ROWS(F$25:F25))),"")</f>
        <v/>
      </c>
      <c r="G25" s="8" t="str">
        <f t="array" aca="1" ref="G25" ca="1">IFERROR(INDEX(Tableau6[Nom abrégé],SMALL(IF((Tableau6[prochaine visite per]&gt;TODAY()+365)*(Tableau6[Status]="Actif"),ROW(Tableau6[prochaine visite per])-MIN(ROW(Employé!$R$4))+1,""),ROWS(G$25:G25))),"")</f>
        <v/>
      </c>
    </row>
    <row r="26" spans="1:14" x14ac:dyDescent="0.2">
      <c r="B26" s="2">
        <f t="array" aca="1" ref="B26" ca="1">IFERROR(INDEX(Tableau6[prochaine visite per],SMALL(IF((Tableau6[prochaine visite per]&lt;TODAY())*(Tableau6[Status]="Actif"),ROW(Tableau6[prochaine visite per])-MIN(ROW(Employé!$R$4))+1,""),ROWS(B$25:B26))),"")</f>
        <v>1827</v>
      </c>
      <c r="C26" s="8" t="str">
        <f t="array" aca="1" ref="C26" ca="1">IFERROR(INDEX(Tableau6[Nom abrégé],SMALL(IF((Tableau6[prochaine visite per]&lt;TODAY())*(Tableau6[Status]="Actif"),ROW(Tableau6[prochaine visite per])-MIN(ROW(Employé!$R$4))+1,""),ROWS(C$25:C26))),"")</f>
        <v>ZARAGOZA Di</v>
      </c>
      <c r="D26" s="2" t="str">
        <f t="array" aca="1" ref="D26" ca="1">IFERROR(INDEX(Tableau6[prochaine visite per],SMALL(IF((Tableau6[prochaine visite per]&gt;=TODAY())*(Tableau6[prochaine visite per]&lt;=TODAY()+365)*(Tableau6[Status]="Actif"),ROW(Tableau6[prochaine visite per])-MIN(ROW(Employé!$R$4))+1,""),ROWS(D$25:D26))),"")</f>
        <v/>
      </c>
      <c r="E26" s="8" t="str">
        <f t="array" aca="1" ref="E26" ca="1">IFERROR(INDEX(Tableau6[Nom abrégé],SMALL(IF((Tableau6[prochaine visite per]&gt;=TODAY())*(Tableau6[prochaine visite per]&lt;=TODAY()+365)*(Tableau6[Status]="Actif"),ROW(Tableau6[prochaine visite per])-MIN(ROW(Employé!$R$4))+1,""),ROWS(E$25:E26))),"")</f>
        <v/>
      </c>
      <c r="F26" s="2" t="str">
        <f t="array" aca="1" ref="F26" ca="1">IFERROR(INDEX(Tableau6[prochaine visite per],SMALL(IF((Tableau6[prochaine visite per]&gt;TODAY()+365)*(Tableau6[Status]="Actif"),ROW(Tableau6[prochaine visite per])-MIN(ROW(Employé!$R$4))+1,""),ROWS(F$25:F26))),"")</f>
        <v/>
      </c>
      <c r="G26" s="8" t="str">
        <f t="array" aca="1" ref="G26" ca="1">IFERROR(INDEX(Tableau6[Nom abrégé],SMALL(IF((Tableau6[prochaine visite per]&gt;TODAY()+365)*(Tableau6[Status]="Actif"),ROW(Tableau6[prochaine visite per])-MIN(ROW(Employé!$R$4))+1,""),ROWS(G$25:G26))),"")</f>
        <v/>
      </c>
    </row>
    <row r="27" spans="1:14" x14ac:dyDescent="0.2">
      <c r="B27" s="2">
        <f t="array" aca="1" ref="B27" ca="1">IFERROR(INDEX(Tableau6[prochaine visite per],SMALL(IF((Tableau6[prochaine visite per]&lt;TODAY())*(Tableau6[Status]="Actif"),ROW(Tableau6[prochaine visite per])-MIN(ROW(Employé!$R$4))+1,""),ROWS(B$25:B27))),"")</f>
        <v>1827</v>
      </c>
      <c r="C27" s="8" t="str">
        <f t="array" aca="1" ref="C27" ca="1">IFERROR(INDEX(Tableau6[Nom abrégé],SMALL(IF((Tableau6[prochaine visite per]&lt;TODAY())*(Tableau6[Status]="Actif"),ROW(Tableau6[prochaine visite per])-MIN(ROW(Employé!$R$4))+1,""),ROWS(C$25:C27))),"")</f>
        <v>SANTOS Je</v>
      </c>
      <c r="D27" s="2" t="str">
        <f t="array" aca="1" ref="D27" ca="1">IFERROR(INDEX(Tableau6[prochaine visite per],SMALL(IF((Tableau6[prochaine visite per]&gt;=TODAY())*(Tableau6[prochaine visite per]&lt;=TODAY()+365)*(Tableau6[Status]="Actif"),ROW(Tableau6[prochaine visite per])-MIN(ROW(Employé!$R$4))+1,""),ROWS(D$25:D27))),"")</f>
        <v/>
      </c>
      <c r="E27" s="8" t="str">
        <f t="array" aca="1" ref="E27" ca="1">IFERROR(INDEX(Tableau6[Nom abrégé],SMALL(IF((Tableau6[prochaine visite per]&gt;=TODAY())*(Tableau6[prochaine visite per]&lt;=TODAY()+365)*(Tableau6[Status]="Actif"),ROW(Tableau6[prochaine visite per])-MIN(ROW(Employé!$R$4))+1,""),ROWS(E$25:E27))),"")</f>
        <v/>
      </c>
      <c r="F27" s="2" t="str">
        <f t="array" aca="1" ref="F27" ca="1">IFERROR(INDEX(Tableau6[prochaine visite per],SMALL(IF((Tableau6[prochaine visite per]&gt;TODAY()+365)*(Tableau6[Status]="Actif"),ROW(Tableau6[prochaine visite per])-MIN(ROW(Employé!$R$4))+1,""),ROWS(F$25:F27))),"")</f>
        <v/>
      </c>
      <c r="G27" s="8" t="str">
        <f t="array" aca="1" ref="G27" ca="1">IFERROR(INDEX(Tableau6[Nom abrégé],SMALL(IF((Tableau6[prochaine visite per]&gt;TODAY()+365)*(Tableau6[Status]="Actif"),ROW(Tableau6[prochaine visite per])-MIN(ROW(Employé!$R$4))+1,""),ROWS(G$25:G27))),"")</f>
        <v/>
      </c>
    </row>
    <row r="28" spans="1:14" x14ac:dyDescent="0.2">
      <c r="B28" s="2">
        <f t="array" aca="1" ref="B28" ca="1">IFERROR(INDEX(Tableau6[prochaine visite per],SMALL(IF((Tableau6[prochaine visite per]&lt;TODAY())*(Tableau6[Status]="Actif"),ROW(Tableau6[prochaine visite per])-MIN(ROW(Employé!$R$4))+1,""),ROWS(B$25:B28))),"")</f>
        <v>1827</v>
      </c>
      <c r="C28" s="8" t="str">
        <f t="array" aca="1" ref="C28" ca="1">IFERROR(INDEX(Tableau6[Nom abrégé],SMALL(IF((Tableau6[prochaine visite per]&lt;TODAY())*(Tableau6[Status]="Actif"),ROW(Tableau6[prochaine visite per])-MIN(ROW(Employé!$R$4))+1,""),ROWS(C$25:C28))),"")</f>
        <v>NAVARRO Ch</v>
      </c>
      <c r="D28" s="2" t="str">
        <f t="array" aca="1" ref="D28" ca="1">IFERROR(INDEX(Tableau6[prochaine visite per],SMALL(IF((Tableau6[prochaine visite per]&gt;=TODAY())*(Tableau6[prochaine visite per]&lt;=TODAY()+365)*(Tableau6[Status]="Actif"),ROW(Tableau6[prochaine visite per])-MIN(ROW(Employé!$R$4))+1,""),ROWS(D$25:D28))),"")</f>
        <v/>
      </c>
      <c r="E28" s="8" t="str">
        <f t="array" aca="1" ref="E28" ca="1">IFERROR(INDEX(Tableau6[Nom abrégé],SMALL(IF((Tableau6[prochaine visite per]&gt;=TODAY())*(Tableau6[prochaine visite per]&lt;=TODAY()+365)*(Tableau6[Status]="Actif"),ROW(Tableau6[prochaine visite per])-MIN(ROW(Employé!$R$4))+1,""),ROWS(E$25:E28))),"")</f>
        <v/>
      </c>
      <c r="F28" s="2" t="str">
        <f t="array" aca="1" ref="F28" ca="1">IFERROR(INDEX(Tableau6[prochaine visite per],SMALL(IF((Tableau6[prochaine visite per]&gt;TODAY()+365)*(Tableau6[Status]="Actif"),ROW(Tableau6[prochaine visite per])-MIN(ROW(Employé!$R$4))+1,""),ROWS(F$25:F28))),"")</f>
        <v/>
      </c>
      <c r="G28" s="8" t="str">
        <f t="array" aca="1" ref="G28" ca="1">IFERROR(INDEX(Tableau6[Nom abrégé],SMALL(IF((Tableau6[prochaine visite per]&gt;TODAY()+365)*(Tableau6[Status]="Actif"),ROW(Tableau6[prochaine visite per])-MIN(ROW(Employé!$R$4))+1,""),ROWS(G$25:G28))),"")</f>
        <v/>
      </c>
    </row>
    <row r="29" spans="1:14" x14ac:dyDescent="0.2">
      <c r="B29" s="2">
        <f t="array" aca="1" ref="B29" ca="1">IFERROR(INDEX(Tableau6[prochaine visite per],SMALL(IF((Tableau6[prochaine visite per]&lt;TODAY())*(Tableau6[Status]="Actif"),ROW(Tableau6[prochaine visite per])-MIN(ROW(Employé!$R$4))+1,""),ROWS(B$25:B29))),"")</f>
        <v>1827</v>
      </c>
      <c r="C29" s="8" t="str">
        <f t="array" aca="1" ref="C29" ca="1">IFERROR(INDEX(Tableau6[Nom abrégé],SMALL(IF((Tableau6[prochaine visite per]&lt;TODAY())*(Tableau6[Status]="Actif"),ROW(Tableau6[prochaine visite per])-MIN(ROW(Employé!$R$4))+1,""),ROWS(C$25:C29))),"")</f>
        <v>AUDIE An</v>
      </c>
      <c r="D29" s="2" t="str">
        <f t="array" aca="1" ref="D29" ca="1">IFERROR(INDEX(Tableau6[prochaine visite per],SMALL(IF((Tableau6[prochaine visite per]&gt;=TODAY())*(Tableau6[prochaine visite per]&lt;=TODAY()+365)*(Tableau6[Status]="Actif"),ROW(Tableau6[prochaine visite per])-MIN(ROW(Employé!$R$4))+1,""),ROWS(D$25:D29))),"")</f>
        <v/>
      </c>
      <c r="E29" s="8" t="str">
        <f t="array" aca="1" ref="E29" ca="1">IFERROR(INDEX(Tableau6[Nom abrégé],SMALL(IF((Tableau6[prochaine visite per]&gt;=TODAY())*(Tableau6[prochaine visite per]&lt;=TODAY()+365)*(Tableau6[Status]="Actif"),ROW(Tableau6[prochaine visite per])-MIN(ROW(Employé!$R$4))+1,""),ROWS(E$25:E29))),"")</f>
        <v/>
      </c>
      <c r="F29" s="2" t="str">
        <f t="array" aca="1" ref="F29" ca="1">IFERROR(INDEX(Tableau6[prochaine visite per],SMALL(IF((Tableau6[prochaine visite per]&gt;TODAY()+365)*(Tableau6[Status]="Actif"),ROW(Tableau6[prochaine visite per])-MIN(ROW(Employé!$R$4))+1,""),ROWS(F$25:F29))),"")</f>
        <v/>
      </c>
      <c r="G29" s="8" t="str">
        <f t="array" aca="1" ref="G29" ca="1">IFERROR(INDEX(Tableau6[Nom abrégé],SMALL(IF((Tableau6[prochaine visite per]&gt;TODAY()+365)*(Tableau6[Status]="Actif"),ROW(Tableau6[prochaine visite per])-MIN(ROW(Employé!$R$4))+1,""),ROWS(G$25:G29))),"")</f>
        <v/>
      </c>
    </row>
    <row r="30" spans="1:14" x14ac:dyDescent="0.2">
      <c r="B30" s="2">
        <f t="array" aca="1" ref="B30" ca="1">IFERROR(INDEX(Tableau6[prochaine visite per],SMALL(IF((Tableau6[prochaine visite per]&lt;TODAY())*(Tableau6[Status]="Actif"),ROW(Tableau6[prochaine visite per])-MIN(ROW(Employé!$R$4))+1,""),ROWS(B$25:B30))),"")</f>
        <v>1827</v>
      </c>
      <c r="C30" s="8" t="str">
        <f t="array" aca="1" ref="C30" ca="1">IFERROR(INDEX(Tableau6[Nom abrégé],SMALL(IF((Tableau6[prochaine visite per]&lt;TODAY())*(Tableau6[Status]="Actif"),ROW(Tableau6[prochaine visite per])-MIN(ROW(Employé!$R$4))+1,""),ROWS(C$25:C30))),"")</f>
        <v>DISTEFANO Al</v>
      </c>
      <c r="D30" s="2" t="str">
        <f t="array" aca="1" ref="D30" ca="1">IFERROR(INDEX(Tableau6[prochaine visite per],SMALL(IF((Tableau6[prochaine visite per]&gt;=TODAY())*(Tableau6[prochaine visite per]&lt;=TODAY()+365)*(Tableau6[Status]="Actif"),ROW(Tableau6[prochaine visite per])-MIN(ROW(Employé!$R$4))+1,""),ROWS(D$25:D30))),"")</f>
        <v/>
      </c>
      <c r="E30" s="8" t="str">
        <f t="array" aca="1" ref="E30" ca="1">IFERROR(INDEX(Tableau6[Nom abrégé],SMALL(IF((Tableau6[prochaine visite per]&gt;=TODAY())*(Tableau6[prochaine visite per]&lt;=TODAY()+365)*(Tableau6[Status]="Actif"),ROW(Tableau6[prochaine visite per])-MIN(ROW(Employé!$R$4))+1,""),ROWS(E$25:E30))),"")</f>
        <v/>
      </c>
      <c r="F30" s="2" t="str">
        <f t="array" aca="1" ref="F30" ca="1">IFERROR(INDEX(Tableau6[prochaine visite per],SMALL(IF((Tableau6[prochaine visite per]&gt;TODAY()+365)*(Tableau6[Status]="Actif"),ROW(Tableau6[prochaine visite per])-MIN(ROW(Employé!$R$4))+1,""),ROWS(F$25:F30))),"")</f>
        <v/>
      </c>
      <c r="G30" s="8" t="str">
        <f t="array" aca="1" ref="G30" ca="1">IFERROR(INDEX(Tableau6[Nom abrégé],SMALL(IF((Tableau6[prochaine visite per]&gt;TODAY()+365)*(Tableau6[Status]="Actif"),ROW(Tableau6[prochaine visite per])-MIN(ROW(Employé!$R$4))+1,""),ROWS(G$25:G30))),"")</f>
        <v/>
      </c>
    </row>
    <row r="31" spans="1:14" x14ac:dyDescent="0.2">
      <c r="B31" s="2">
        <f t="array" aca="1" ref="B31" ca="1">IFERROR(INDEX(Tableau6[prochaine visite per],SMALL(IF((Tableau6[prochaine visite per]&lt;TODAY())*(Tableau6[Status]="Actif"),ROW(Tableau6[prochaine visite per])-MIN(ROW(Employé!$R$4))+1,""),ROWS(B$25:B31))),"")</f>
        <v>1827</v>
      </c>
      <c r="C31" s="8" t="str">
        <f t="array" aca="1" ref="C31" ca="1">IFERROR(INDEX(Tableau6[Nom abrégé],SMALL(IF((Tableau6[prochaine visite per]&lt;TODAY())*(Tableau6[Status]="Actif"),ROW(Tableau6[prochaine visite per])-MIN(ROW(Employé!$R$4))+1,""),ROWS(C$25:C31))),"")</f>
        <v>SCHWEITZER Je</v>
      </c>
      <c r="D31" s="2" t="str">
        <f t="array" aca="1" ref="D31" ca="1">IFERROR(INDEX(Tableau6[prochaine visite per],SMALL(IF((Tableau6[prochaine visite per]&gt;=TODAY())*(Tableau6[prochaine visite per]&lt;=TODAY()+365)*(Tableau6[Status]="Actif"),ROW(Tableau6[prochaine visite per])-MIN(ROW(Employé!$R$4))+1,""),ROWS(D$25:D31))),"")</f>
        <v/>
      </c>
      <c r="E31" s="8" t="str">
        <f t="array" aca="1" ref="E31" ca="1">IFERROR(INDEX(Tableau6[Nom abrégé],SMALL(IF((Tableau6[prochaine visite per]&gt;=TODAY())*(Tableau6[prochaine visite per]&lt;=TODAY()+365)*(Tableau6[Status]="Actif"),ROW(Tableau6[prochaine visite per])-MIN(ROW(Employé!$R$4))+1,""),ROWS(E$25:E31))),"")</f>
        <v/>
      </c>
      <c r="F31" s="2" t="str">
        <f t="array" aca="1" ref="F31" ca="1">IFERROR(INDEX(Tableau6[prochaine visite per],SMALL(IF((Tableau6[prochaine visite per]&gt;TODAY()+365)*(Tableau6[Status]="Actif"),ROW(Tableau6[prochaine visite per])-MIN(ROW(Employé!$R$4))+1,""),ROWS(F$25:F31))),"")</f>
        <v/>
      </c>
      <c r="G31" s="8" t="str">
        <f t="array" aca="1" ref="G31" ca="1">IFERROR(INDEX(Tableau6[Nom abrégé],SMALL(IF((Tableau6[prochaine visite per]&gt;TODAY()+365)*(Tableau6[Status]="Actif"),ROW(Tableau6[prochaine visite per])-MIN(ROW(Employé!$R$4))+1,""),ROWS(G$25:G31))),"")</f>
        <v/>
      </c>
    </row>
    <row r="32" spans="1:14" x14ac:dyDescent="0.2">
      <c r="B32" s="2">
        <f t="array" aca="1" ref="B32" ca="1">IFERROR(INDEX(Tableau6[prochaine visite per],SMALL(IF((Tableau6[prochaine visite per]&lt;TODAY())*(Tableau6[Status]="Actif"),ROW(Tableau6[prochaine visite per])-MIN(ROW(Employé!$R$4))+1,""),ROWS(B$25:B32))),"")</f>
        <v>1827</v>
      </c>
      <c r="C32" s="8" t="str">
        <f t="array" aca="1" ref="C32" ca="1">IFERROR(INDEX(Tableau6[Nom abrégé],SMALL(IF((Tableau6[prochaine visite per]&lt;TODAY())*(Tableau6[Status]="Actif"),ROW(Tableau6[prochaine visite per])-MIN(ROW(Employé!$R$4))+1,""),ROWS(C$25:C32))),"")</f>
        <v>AFONSO Ju</v>
      </c>
      <c r="D32" s="2" t="str">
        <f t="array" aca="1" ref="D32" ca="1">IFERROR(INDEX(Tableau6[prochaine visite per],SMALL(IF((Tableau6[prochaine visite per]&gt;=TODAY())*(Tableau6[prochaine visite per]&lt;=TODAY()+365)*(Tableau6[Status]="Actif"),ROW(Tableau6[prochaine visite per])-MIN(ROW(Employé!$R$4))+1,""),ROWS(D$25:D32))),"")</f>
        <v/>
      </c>
      <c r="E32" s="8" t="str">
        <f t="array" aca="1" ref="E32" ca="1">IFERROR(INDEX(Tableau6[Nom abrégé],SMALL(IF((Tableau6[prochaine visite per]&gt;=TODAY())*(Tableau6[prochaine visite per]&lt;=TODAY()+365)*(Tableau6[Status]="Actif"),ROW(Tableau6[prochaine visite per])-MIN(ROW(Employé!$R$4))+1,""),ROWS(E$25:E32))),"")</f>
        <v/>
      </c>
      <c r="F32" s="2" t="str">
        <f t="array" aca="1" ref="F32" ca="1">IFERROR(INDEX(Tableau6[prochaine visite per],SMALL(IF((Tableau6[prochaine visite per]&gt;TODAY()+365)*(Tableau6[Status]="Actif"),ROW(Tableau6[prochaine visite per])-MIN(ROW(Employé!$R$4))+1,""),ROWS(F$25:F32))),"")</f>
        <v/>
      </c>
      <c r="G32" s="8" t="str">
        <f t="array" aca="1" ref="G32" ca="1">IFERROR(INDEX(Tableau6[Nom abrégé],SMALL(IF((Tableau6[prochaine visite per]&gt;TODAY()+365)*(Tableau6[Status]="Actif"),ROW(Tableau6[prochaine visite per])-MIN(ROW(Employé!$R$4))+1,""),ROWS(G$25:G32))),"")</f>
        <v/>
      </c>
    </row>
    <row r="33" spans="2:14" x14ac:dyDescent="0.2">
      <c r="B33" s="2">
        <f t="array" aca="1" ref="B33" ca="1">IFERROR(INDEX(Tableau6[prochaine visite per],SMALL(IF((Tableau6[prochaine visite per]&lt;TODAY())*(Tableau6[Status]="Actif"),ROW(Tableau6[prochaine visite per])-MIN(ROW(Employé!$R$4))+1,""),ROWS(B$25:B33))),"")</f>
        <v>1827</v>
      </c>
      <c r="C33" s="8" t="str">
        <f t="array" aca="1" ref="C33" ca="1">IFERROR(INDEX(Tableau6[Nom abrégé],SMALL(IF((Tableau6[prochaine visite per]&lt;TODAY())*(Tableau6[Status]="Actif"),ROW(Tableau6[prochaine visite per])-MIN(ROW(Employé!$R$4))+1,""),ROWS(C$25:C33))),"")</f>
        <v>LEROY Fr</v>
      </c>
      <c r="D33" s="2" t="str">
        <f t="array" aca="1" ref="D33" ca="1">IFERROR(INDEX(Tableau6[prochaine visite per],SMALL(IF((Tableau6[prochaine visite per]&gt;=TODAY())*(Tableau6[prochaine visite per]&lt;=TODAY()+365)*(Tableau6[Status]="Actif"),ROW(Tableau6[prochaine visite per])-MIN(ROW(Employé!$R$4))+1,""),ROWS(D$25:D33))),"")</f>
        <v/>
      </c>
      <c r="E33" s="8" t="str">
        <f t="array" aca="1" ref="E33" ca="1">IFERROR(INDEX(Tableau6[Nom abrégé],SMALL(IF((Tableau6[prochaine visite per]&gt;=TODAY())*(Tableau6[prochaine visite per]&lt;=TODAY()+365)*(Tableau6[Status]="Actif"),ROW(Tableau6[prochaine visite per])-MIN(ROW(Employé!$R$4))+1,""),ROWS(E$25:E33))),"")</f>
        <v/>
      </c>
      <c r="F33" s="2" t="str">
        <f t="array" aca="1" ref="F33" ca="1">IFERROR(INDEX(Tableau6[prochaine visite per],SMALL(IF((Tableau6[prochaine visite per]&gt;TODAY()+365)*(Tableau6[Status]="Actif"),ROW(Tableau6[prochaine visite per])-MIN(ROW(Employé!$R$4))+1,""),ROWS(F$25:F33))),"")</f>
        <v/>
      </c>
      <c r="G33" s="8" t="str">
        <f t="array" aca="1" ref="G33" ca="1">IFERROR(INDEX(Tableau6[Nom abrégé],SMALL(IF((Tableau6[prochaine visite per]&gt;TODAY()+365)*(Tableau6[Status]="Actif"),ROW(Tableau6[prochaine visite per])-MIN(ROW(Employé!$R$4))+1,""),ROWS(G$25:G33))),"")</f>
        <v/>
      </c>
    </row>
    <row r="34" spans="2:14" x14ac:dyDescent="0.2">
      <c r="B34" s="2">
        <f t="array" aca="1" ref="B34" ca="1">IFERROR(INDEX(Tableau6[prochaine visite per],SMALL(IF((Tableau6[prochaine visite per]&lt;TODAY())*(Tableau6[Status]="Actif"),ROW(Tableau6[prochaine visite per])-MIN(ROW(Employé!$R$4))+1,""),ROWS(B$25:B34))),"")</f>
        <v>1827</v>
      </c>
      <c r="C34" s="8" t="str">
        <f t="array" aca="1" ref="C34" ca="1">IFERROR(INDEX(Tableau6[Nom abrégé],SMALL(IF((Tableau6[prochaine visite per]&lt;TODAY())*(Tableau6[Status]="Actif"),ROW(Tableau6[prochaine visite per])-MIN(ROW(Employé!$R$4))+1,""),ROWS(C$25:C34))),"")</f>
        <v>LEROY Je</v>
      </c>
      <c r="D34" s="2" t="str">
        <f t="array" aca="1" ref="D34" ca="1">IFERROR(INDEX(Tableau6[prochaine visite per],SMALL(IF((Tableau6[prochaine visite per]&gt;=TODAY())*(Tableau6[prochaine visite per]&lt;=TODAY()+365)*(Tableau6[Status]="Actif"),ROW(Tableau6[prochaine visite per])-MIN(ROW(Employé!$R$4))+1,""),ROWS(D$25:D34))),"")</f>
        <v/>
      </c>
      <c r="E34" s="8" t="str">
        <f t="array" aca="1" ref="E34" ca="1">IFERROR(INDEX(Tableau6[Nom abrégé],SMALL(IF((Tableau6[prochaine visite per]&gt;=TODAY())*(Tableau6[prochaine visite per]&lt;=TODAY()+365)*(Tableau6[Status]="Actif"),ROW(Tableau6[prochaine visite per])-MIN(ROW(Employé!$R$4))+1,""),ROWS(E$25:E34))),"")</f>
        <v/>
      </c>
      <c r="F34" s="2" t="str">
        <f t="array" aca="1" ref="F34" ca="1">IFERROR(INDEX(Tableau6[prochaine visite per],SMALL(IF((Tableau6[prochaine visite per]&gt;TODAY()+365)*(Tableau6[Status]="Actif"),ROW(Tableau6[prochaine visite per])-MIN(ROW(Employé!$R$4))+1,""),ROWS(F$25:F34))),"")</f>
        <v/>
      </c>
      <c r="G34" s="8" t="str">
        <f t="array" aca="1" ref="G34" ca="1">IFERROR(INDEX(Tableau6[Nom abrégé],SMALL(IF((Tableau6[prochaine visite per]&gt;TODAY()+365)*(Tableau6[Status]="Actif"),ROW(Tableau6[prochaine visite per])-MIN(ROW(Employé!$R$4))+1,""),ROWS(G$25:G34))),"")</f>
        <v/>
      </c>
    </row>
    <row r="35" spans="2:14" x14ac:dyDescent="0.2">
      <c r="B35" s="2">
        <f t="array" aca="1" ref="B35" ca="1">IFERROR(INDEX(Tableau6[prochaine visite per],SMALL(IF((Tableau6[prochaine visite per]&lt;TODAY())*(Tableau6[Status]="Actif"),ROW(Tableau6[prochaine visite per])-MIN(ROW(Employé!$R$4))+1,""),ROWS(B$25:B35))),"")</f>
        <v>1827</v>
      </c>
      <c r="C35" s="8" t="str">
        <f t="array" aca="1" ref="C35" ca="1">IFERROR(INDEX(Tableau6[Nom abrégé],SMALL(IF((Tableau6[prochaine visite per]&lt;TODAY())*(Tableau6[Status]="Actif"),ROW(Tableau6[prochaine visite per])-MIN(ROW(Employé!$R$4))+1,""),ROWS(C$25:C35))),"")</f>
        <v>FERRARA Ju</v>
      </c>
      <c r="D35" s="2" t="str">
        <f t="array" aca="1" ref="D35" ca="1">IFERROR(INDEX(Tableau6[prochaine visite per],SMALL(IF((Tableau6[prochaine visite per]&gt;=TODAY())*(Tableau6[prochaine visite per]&lt;=TODAY()+365)*(Tableau6[Status]="Actif"),ROW(Tableau6[prochaine visite per])-MIN(ROW(Employé!$R$4))+1,""),ROWS(D$25:D35))),"")</f>
        <v/>
      </c>
      <c r="E35" s="8" t="str">
        <f t="array" aca="1" ref="E35" ca="1">IFERROR(INDEX(Tableau6[Nom abrégé],SMALL(IF((Tableau6[prochaine visite per]&gt;=TODAY())*(Tableau6[prochaine visite per]&lt;=TODAY()+365)*(Tableau6[Status]="Actif"),ROW(Tableau6[prochaine visite per])-MIN(ROW(Employé!$R$4))+1,""),ROWS(E$25:E35))),"")</f>
        <v/>
      </c>
      <c r="F35" s="2" t="str">
        <f t="array" aca="1" ref="F35" ca="1">IFERROR(INDEX(Tableau6[prochaine visite per],SMALL(IF((Tableau6[prochaine visite per]&gt;TODAY()+365)*(Tableau6[Status]="Actif"),ROW(Tableau6[prochaine visite per])-MIN(ROW(Employé!$R$4))+1,""),ROWS(F$25:F35))),"")</f>
        <v/>
      </c>
      <c r="G35" s="8" t="str">
        <f t="array" aca="1" ref="G35" ca="1">IFERROR(INDEX(Tableau6[Nom abrégé],SMALL(IF((Tableau6[prochaine visite per]&gt;TODAY()+365)*(Tableau6[Status]="Actif"),ROW(Tableau6[prochaine visite per])-MIN(ROW(Employé!$R$4))+1,""),ROWS(G$25:G35))),"")</f>
        <v/>
      </c>
    </row>
    <row r="36" spans="2:14" x14ac:dyDescent="0.2">
      <c r="B36" s="2">
        <f t="array" aca="1" ref="B36" ca="1">IFERROR(INDEX(Tableau6[prochaine visite per],SMALL(IF((Tableau6[prochaine visite per]&lt;TODAY())*(Tableau6[Status]="Actif"),ROW(Tableau6[prochaine visite per])-MIN(ROW(Employé!$R$4))+1,""),ROWS(B$25:B36))),"")</f>
        <v>1827</v>
      </c>
      <c r="C36" s="8" t="str">
        <f t="array" aca="1" ref="C36" ca="1">IFERROR(INDEX(Tableau6[Nom abrégé],SMALL(IF((Tableau6[prochaine visite per]&lt;TODAY())*(Tableau6[Status]="Actif"),ROW(Tableau6[prochaine visite per])-MIN(ROW(Employé!$R$4))+1,""),ROWS(C$25:C36))),"")</f>
        <v>BALLESTER Xa</v>
      </c>
      <c r="D36" s="2" t="str">
        <f t="array" aca="1" ref="D36" ca="1">IFERROR(INDEX(Tableau6[prochaine visite per],SMALL(IF((Tableau6[prochaine visite per]&gt;=TODAY())*(Tableau6[prochaine visite per]&lt;=TODAY()+365)*(Tableau6[Status]="Actif"),ROW(Tableau6[prochaine visite per])-MIN(ROW(Employé!$R$4))+1,""),ROWS(D$25:D36))),"")</f>
        <v/>
      </c>
      <c r="E36" s="8" t="str">
        <f t="array" aca="1" ref="E36" ca="1">IFERROR(INDEX(Tableau6[Nom abrégé],SMALL(IF((Tableau6[prochaine visite per]&gt;=TODAY())*(Tableau6[prochaine visite per]&lt;=TODAY()+365)*(Tableau6[Status]="Actif"),ROW(Tableau6[prochaine visite per])-MIN(ROW(Employé!$R$4))+1,""),ROWS(E$25:E36))),"")</f>
        <v/>
      </c>
      <c r="F36" s="2" t="str">
        <f t="array" aca="1" ref="F36" ca="1">IFERROR(INDEX(Tableau6[prochaine visite per],SMALL(IF((Tableau6[prochaine visite per]&gt;TODAY()+365)*(Tableau6[Status]="Actif"),ROW(Tableau6[prochaine visite per])-MIN(ROW(Employé!$R$4))+1,""),ROWS(F$25:F36))),"")</f>
        <v/>
      </c>
      <c r="G36" s="8" t="str">
        <f t="array" aca="1" ref="G36" ca="1">IFERROR(INDEX(Tableau6[Nom abrégé],SMALL(IF((Tableau6[prochaine visite per]&gt;TODAY()+365)*(Tableau6[Status]="Actif"),ROW(Tableau6[prochaine visite per])-MIN(ROW(Employé!$R$4))+1,""),ROWS(G$25:G36))),"")</f>
        <v/>
      </c>
    </row>
    <row r="37" spans="2:14" x14ac:dyDescent="0.2">
      <c r="B37" s="2">
        <f t="array" aca="1" ref="B37" ca="1">IFERROR(INDEX(Tableau6[prochaine visite per],SMALL(IF((Tableau6[prochaine visite per]&lt;TODAY())*(Tableau6[Status]="Actif"),ROW(Tableau6[prochaine visite per])-MIN(ROW(Employé!$R$4))+1,""),ROWS(B$25:B37))),"")</f>
        <v>1827</v>
      </c>
      <c r="C37" s="8" t="str">
        <f t="array" aca="1" ref="C37" ca="1">IFERROR(INDEX(Tableau6[Nom abrégé],SMALL(IF((Tableau6[prochaine visite per]&lt;TODAY())*(Tableau6[Status]="Actif"),ROW(Tableau6[prochaine visite per])-MIN(ROW(Employé!$R$4))+1,""),ROWS(C$25:C37))),"")</f>
        <v>DESMYTER Da</v>
      </c>
      <c r="D37" s="2" t="str">
        <f t="array" aca="1" ref="D37" ca="1">IFERROR(INDEX(Tableau6[prochaine visite per],SMALL(IF((Tableau6[prochaine visite per]&gt;=TODAY())*(Tableau6[prochaine visite per]&lt;=TODAY()+365)*(Tableau6[Status]="Actif"),ROW(Tableau6[prochaine visite per])-MIN(ROW(Employé!$R$4))+1,""),ROWS(D$25:D37))),"")</f>
        <v/>
      </c>
      <c r="E37" s="8" t="str">
        <f t="array" aca="1" ref="E37" ca="1">IFERROR(INDEX(Tableau6[Nom abrégé],SMALL(IF((Tableau6[prochaine visite per]&gt;=TODAY())*(Tableau6[prochaine visite per]&lt;=TODAY()+365)*(Tableau6[Status]="Actif"),ROW(Tableau6[prochaine visite per])-MIN(ROW(Employé!$R$4))+1,""),ROWS(E$25:E37))),"")</f>
        <v/>
      </c>
      <c r="F37" s="2" t="str">
        <f t="array" aca="1" ref="F37" ca="1">IFERROR(INDEX(Tableau6[prochaine visite per],SMALL(IF((Tableau6[prochaine visite per]&gt;TODAY()+365)*(Tableau6[Status]="Actif"),ROW(Tableau6[prochaine visite per])-MIN(ROW(Employé!$R$4))+1,""),ROWS(F$25:F37))),"")</f>
        <v/>
      </c>
      <c r="G37" s="8" t="str">
        <f t="array" aca="1" ref="G37" ca="1">IFERROR(INDEX(Tableau6[Nom abrégé],SMALL(IF((Tableau6[prochaine visite per]&gt;TODAY()+365)*(Tableau6[Status]="Actif"),ROW(Tableau6[prochaine visite per])-MIN(ROW(Employé!$R$4))+1,""),ROWS(G$25:G37))),"")</f>
        <v/>
      </c>
    </row>
    <row r="38" spans="2:14" x14ac:dyDescent="0.2">
      <c r="B38" s="2">
        <f t="array" aca="1" ref="B38" ca="1">IFERROR(INDEX(Tableau6[prochaine visite per],SMALL(IF((Tableau6[prochaine visite per]&lt;TODAY())*(Tableau6[Status]="Actif"),ROW(Tableau6[prochaine visite per])-MIN(ROW(Employé!$R$4))+1,""),ROWS(B$25:B38))),"")</f>
        <v>1827</v>
      </c>
      <c r="C38" s="8" t="str">
        <f t="array" aca="1" ref="C38" ca="1">IFERROR(INDEX(Tableau6[Nom abrégé],SMALL(IF((Tableau6[prochaine visite per]&lt;TODAY())*(Tableau6[Status]="Actif"),ROW(Tableau6[prochaine visite per])-MIN(ROW(Employé!$R$4))+1,""),ROWS(C$25:C38))),"")</f>
        <v>NAJJARI Mo</v>
      </c>
      <c r="D38" s="2" t="str">
        <f t="array" aca="1" ref="D38" ca="1">IFERROR(INDEX(Tableau6[prochaine visite per],SMALL(IF((Tableau6[prochaine visite per]&gt;=TODAY())*(Tableau6[prochaine visite per]&lt;=TODAY()+365)*(Tableau6[Status]="Actif"),ROW(Tableau6[prochaine visite per])-MIN(ROW(Employé!$R$4))+1,""),ROWS(D$25:D38))),"")</f>
        <v/>
      </c>
      <c r="E38" s="8" t="str">
        <f t="array" aca="1" ref="E38" ca="1">IFERROR(INDEX(Tableau6[Nom abrégé],SMALL(IF((Tableau6[prochaine visite per]&gt;=TODAY())*(Tableau6[prochaine visite per]&lt;=TODAY()+365)*(Tableau6[Status]="Actif"),ROW(Tableau6[prochaine visite per])-MIN(ROW(Employé!$R$4))+1,""),ROWS(E$25:E38))),"")</f>
        <v/>
      </c>
      <c r="F38" s="2" t="str">
        <f t="array" aca="1" ref="F38" ca="1">IFERROR(INDEX(Tableau6[prochaine visite per],SMALL(IF((Tableau6[prochaine visite per]&gt;TODAY()+365)*(Tableau6[Status]="Actif"),ROW(Tableau6[prochaine visite per])-MIN(ROW(Employé!$R$4))+1,""),ROWS(F$25:F38))),"")</f>
        <v/>
      </c>
      <c r="G38" s="8" t="str">
        <f t="array" aca="1" ref="G38" ca="1">IFERROR(INDEX(Tableau6[Nom abrégé],SMALL(IF((Tableau6[prochaine visite per]&gt;TODAY()+365)*(Tableau6[Status]="Actif"),ROW(Tableau6[prochaine visite per])-MIN(ROW(Employé!$R$4))+1,""),ROWS(G$25:G38))),"")</f>
        <v/>
      </c>
    </row>
    <row r="39" spans="2:14" ht="13.5" thickBot="1" x14ac:dyDescent="0.25">
      <c r="B39" s="2" t="str">
        <f t="array" aca="1" ref="B39" ca="1">IFERROR(INDEX(Tableau6[prochaine visite per],SMALL(IF((Tableau6[prochaine visite per]&lt;TODAY())*(Tableau6[Status]="Actif"),ROW(Tableau6[prochaine visite per])-MIN(ROW(Employé!$R$4))+1,""),ROWS(B$25:B39))),"")</f>
        <v/>
      </c>
      <c r="C39" s="8" t="str">
        <f t="array" aca="1" ref="C39" ca="1">IFERROR(INDEX(Tableau6[Nom abrégé],SMALL(IF((Tableau6[prochaine visite per]&lt;TODAY())*(Tableau6[Status]="Actif"),ROW(Tableau6[prochaine visite per])-MIN(ROW(Employé!$R$4))+1,""),ROWS(C$25:C39))),"")</f>
        <v/>
      </c>
      <c r="D39" s="2" t="str">
        <f t="array" aca="1" ref="D39" ca="1">IFERROR(INDEX(Tableau6[prochaine visite per],SMALL(IF((Tableau6[prochaine visite per]&gt;=TODAY())*(Tableau6[prochaine visite per]&lt;=TODAY()+365)*(Tableau6[Status]="Actif"),ROW(Tableau6[prochaine visite per])-MIN(ROW(Employé!$R$4))+1,""),ROWS(D$25:D39))),"")</f>
        <v/>
      </c>
      <c r="E39" s="8" t="str">
        <f t="array" aca="1" ref="E39" ca="1">IFERROR(INDEX(Tableau6[Nom abrégé],SMALL(IF((Tableau6[prochaine visite per]&gt;=TODAY())*(Tableau6[prochaine visite per]&lt;=TODAY()+365)*(Tableau6[Status]="Actif"),ROW(Tableau6[prochaine visite per])-MIN(ROW(Employé!$R$4))+1,""),ROWS(E$25:E39))),"")</f>
        <v/>
      </c>
      <c r="F39" s="2" t="str">
        <f t="array" aca="1" ref="F39" ca="1">IFERROR(INDEX(Tableau6[prochaine visite per],SMALL(IF((Tableau6[prochaine visite per]&gt;TODAY()+365)*(Tableau6[Status]="Actif"),ROW(Tableau6[prochaine visite per])-MIN(ROW(Employé!$R$4))+1,""),ROWS(F$25:F39))),"")</f>
        <v/>
      </c>
      <c r="G39" s="8" t="str">
        <f t="array" aca="1" ref="G39" ca="1">IFERROR(INDEX(Tableau6[Nom abrégé],SMALL(IF((Tableau6[prochaine visite per]&gt;TODAY()+365)*(Tableau6[Status]="Actif"),ROW(Tableau6[prochaine visite per])-MIN(ROW(Employé!$R$4))+1,""),ROWS(G$25:G39))),"")</f>
        <v/>
      </c>
    </row>
    <row r="40" spans="2:14" ht="13.5" thickTop="1" x14ac:dyDescent="0.2">
      <c r="B40" s="21"/>
      <c r="C40" s="22"/>
      <c r="D40" s="22"/>
      <c r="E40" s="22"/>
      <c r="F40" s="22"/>
      <c r="G40" s="22"/>
      <c r="I40" s="21"/>
      <c r="J40" s="22"/>
      <c r="K40" s="22"/>
      <c r="L40" s="22"/>
      <c r="M40" s="22"/>
      <c r="N40" s="22"/>
    </row>
  </sheetData>
  <mergeCells count="16">
    <mergeCell ref="B3:C3"/>
    <mergeCell ref="D3:E3"/>
    <mergeCell ref="F3:G3"/>
    <mergeCell ref="B2:G2"/>
    <mergeCell ref="I2:N2"/>
    <mergeCell ref="I3:J3"/>
    <mergeCell ref="K3:L3"/>
    <mergeCell ref="M3:N3"/>
    <mergeCell ref="B22:G22"/>
    <mergeCell ref="B23:C23"/>
    <mergeCell ref="D23:E23"/>
    <mergeCell ref="F23:G23"/>
    <mergeCell ref="I22:N22"/>
    <mergeCell ref="I23:J23"/>
    <mergeCell ref="K23:L23"/>
    <mergeCell ref="M23:N23"/>
  </mergeCells>
  <conditionalFormatting sqref="C5:C19">
    <cfRule type="expression" dxfId="73" priority="15">
      <formula>OR($C5&lt;&gt;"",$D5&lt;&gt;"")</formula>
    </cfRule>
  </conditionalFormatting>
  <conditionalFormatting sqref="B5:C19">
    <cfRule type="expression" dxfId="72" priority="14">
      <formula>$B5&lt;&gt;""</formula>
    </cfRule>
  </conditionalFormatting>
  <conditionalFormatting sqref="E5:E19">
    <cfRule type="expression" dxfId="71" priority="13">
      <formula>OR($E5&lt;&gt;"",$F5&lt;&gt;"")</formula>
    </cfRule>
  </conditionalFormatting>
  <conditionalFormatting sqref="D5:E19">
    <cfRule type="expression" dxfId="70" priority="12">
      <formula>$D5&lt;&gt;""</formula>
    </cfRule>
  </conditionalFormatting>
  <conditionalFormatting sqref="F5:G19">
    <cfRule type="expression" dxfId="69" priority="11">
      <formula>$F5&lt;&gt;""</formula>
    </cfRule>
  </conditionalFormatting>
  <conditionalFormatting sqref="J5:J19">
    <cfRule type="expression" dxfId="68" priority="10">
      <formula>OR($J5&lt;&gt;"",$K5&lt;&gt;"")</formula>
    </cfRule>
  </conditionalFormatting>
  <conditionalFormatting sqref="L5:L19">
    <cfRule type="expression" dxfId="67" priority="9">
      <formula>OR($L5&lt;&gt;"",$M5&lt;&gt;"")</formula>
    </cfRule>
  </conditionalFormatting>
  <conditionalFormatting sqref="I5:J19">
    <cfRule type="expression" dxfId="66" priority="8">
      <formula>$I5&lt;&gt;""</formula>
    </cfRule>
  </conditionalFormatting>
  <conditionalFormatting sqref="K5:L19">
    <cfRule type="expression" dxfId="65" priority="7">
      <formula>$K5&lt;&gt;""</formula>
    </cfRule>
  </conditionalFormatting>
  <conditionalFormatting sqref="M5:N19">
    <cfRule type="expression" dxfId="64" priority="6">
      <formula>$M5&lt;&gt;""</formula>
    </cfRule>
  </conditionalFormatting>
  <conditionalFormatting sqref="B25:C39">
    <cfRule type="expression" dxfId="63" priority="4">
      <formula>$B25&lt;&gt;""</formula>
    </cfRule>
  </conditionalFormatting>
  <conditionalFormatting sqref="C25:C39">
    <cfRule type="expression" dxfId="62" priority="5">
      <formula>OR($C25&lt;&gt;"",$D25&lt;&gt;"")</formula>
    </cfRule>
  </conditionalFormatting>
  <conditionalFormatting sqref="E25:E39">
    <cfRule type="expression" dxfId="61" priority="3">
      <formula>OR($E25&lt;&gt;"",$F25&lt;&gt;"")</formula>
    </cfRule>
  </conditionalFormatting>
  <conditionalFormatting sqref="D25:E39">
    <cfRule type="expression" dxfId="60" priority="2">
      <formula>$D25&lt;&gt;""</formula>
    </cfRule>
  </conditionalFormatting>
  <conditionalFormatting sqref="F25:G39">
    <cfRule type="expression" dxfId="59" priority="1">
      <formula>$F25&lt;&gt;""</formula>
    </cfRule>
  </conditionalFormatting>
  <pageMargins left="0.11811023622047245" right="0.11811023622047245" top="0.74803149606299213" bottom="0.74803149606299213" header="0.31496062992125984" footer="0.31496062992125984"/>
  <pageSetup paperSize="9" scale="87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8" tint="-0.249977111117893"/>
    <pageSetUpPr fitToPage="1"/>
  </sheetPr>
  <dimension ref="A1:N40"/>
  <sheetViews>
    <sheetView showGridLines="0" workbookViewId="0"/>
  </sheetViews>
  <sheetFormatPr baseColWidth="10" defaultRowHeight="12.75" x14ac:dyDescent="0.2"/>
  <cols>
    <col min="1" max="1" width="2.7109375" style="8" customWidth="1"/>
    <col min="2" max="2" width="9.7109375" style="8" customWidth="1"/>
    <col min="3" max="3" width="16.7109375" style="8" customWidth="1"/>
    <col min="4" max="4" width="9.7109375" style="8" customWidth="1"/>
    <col min="5" max="5" width="16.7109375" style="8" customWidth="1"/>
    <col min="6" max="6" width="9.7109375" style="8" customWidth="1"/>
    <col min="7" max="7" width="16.7109375" style="8" customWidth="1"/>
    <col min="8" max="8" width="2.7109375" style="8" customWidth="1"/>
    <col min="9" max="9" width="9.7109375" style="8" customWidth="1"/>
    <col min="10" max="10" width="16.7109375" style="8" customWidth="1"/>
    <col min="11" max="11" width="9.7109375" style="8" customWidth="1"/>
    <col min="12" max="12" width="16.7109375" style="8" customWidth="1"/>
    <col min="13" max="13" width="9.7109375" style="8" customWidth="1"/>
    <col min="14" max="14" width="16.7109375" style="8" customWidth="1"/>
    <col min="15" max="15" width="2.5703125" style="8" customWidth="1"/>
    <col min="16" max="16384" width="11.42578125" style="8"/>
  </cols>
  <sheetData>
    <row r="1" spans="1:14" x14ac:dyDescent="0.2">
      <c r="B1" s="25" t="s">
        <v>120</v>
      </c>
      <c r="I1" s="25" t="s">
        <v>121</v>
      </c>
    </row>
    <row r="2" spans="1:14" ht="15.75" x14ac:dyDescent="0.2">
      <c r="B2" s="81" t="s">
        <v>0</v>
      </c>
      <c r="C2" s="82"/>
      <c r="D2" s="82"/>
      <c r="E2" s="82"/>
      <c r="F2" s="82"/>
      <c r="G2" s="83"/>
      <c r="I2" s="81" t="s">
        <v>102</v>
      </c>
      <c r="J2" s="82"/>
      <c r="K2" s="82"/>
      <c r="L2" s="82"/>
      <c r="M2" s="82"/>
      <c r="N2" s="83"/>
    </row>
    <row r="3" spans="1:14" x14ac:dyDescent="0.2">
      <c r="B3" s="84" t="s">
        <v>24</v>
      </c>
      <c r="C3" s="84"/>
      <c r="D3" s="85" t="str">
        <f ca="1">TEXT(TODAY(),"jj/mm/aaaa")&amp;" --&gt; "&amp;TEXT(TODAY()+15,"jj/mm/aaaa")</f>
        <v>10/10/2018 --&gt; 25/10/2018</v>
      </c>
      <c r="E3" s="85"/>
      <c r="F3" s="86" t="str">
        <f ca="1">"&gt; "&amp;TEXT(TODAY()+15,"jj/mm/aaaa")</f>
        <v>&gt; 25/10/2018</v>
      </c>
      <c r="G3" s="86"/>
      <c r="I3" s="84" t="s">
        <v>24</v>
      </c>
      <c r="J3" s="84"/>
      <c r="K3" s="85" t="str">
        <f ca="1">TEXT(TODAY(),"jj/mm/aaaa")&amp;" --&gt; "&amp;TEXT(TODAY()+31,"jj/mm/aaaa")</f>
        <v>10/10/2018 --&gt; 10/11/2018</v>
      </c>
      <c r="L3" s="85"/>
      <c r="M3" s="86" t="str">
        <f ca="1">"&gt; "&amp;TEXT(TODAY()+31,"jj/mm/aaaa")</f>
        <v>&gt; 10/11/2018</v>
      </c>
      <c r="N3" s="86"/>
    </row>
    <row r="4" spans="1:14" x14ac:dyDescent="0.2">
      <c r="B4" s="15" t="s">
        <v>25</v>
      </c>
      <c r="C4" s="15" t="s">
        <v>26</v>
      </c>
      <c r="D4" s="15" t="s">
        <v>25</v>
      </c>
      <c r="E4" s="15" t="s">
        <v>26</v>
      </c>
      <c r="F4" s="15" t="s">
        <v>25</v>
      </c>
      <c r="G4" s="15" t="s">
        <v>26</v>
      </c>
      <c r="I4" s="15" t="s">
        <v>25</v>
      </c>
      <c r="J4" s="15" t="s">
        <v>26</v>
      </c>
      <c r="K4" s="15" t="s">
        <v>25</v>
      </c>
      <c r="L4" s="15" t="s">
        <v>26</v>
      </c>
      <c r="M4" s="15" t="s">
        <v>25</v>
      </c>
      <c r="N4" s="15" t="s">
        <v>26</v>
      </c>
    </row>
    <row r="5" spans="1:14" x14ac:dyDescent="0.2">
      <c r="A5" s="9"/>
      <c r="B5" s="2">
        <f t="array" aca="1" ref="B5" ca="1">IFERROR(INDEX(Tableau6[prochaine visite mvt],SMALL(IF((Tableau6[prochaine visite mvt]&lt;TODAY())*(Tableau6[Status]="Actif"),ROW(Tableau6[prochaine visite mvt])-MIN(ROW(Employé!$U$4))+1,""),ROWS(B$5:B5))),"")</f>
        <v>15</v>
      </c>
      <c r="C5" s="10" t="str">
        <f t="array" aca="1" ref="C5" ca="1">IFERROR(INDEX(Tableau6[Nom abrégé],SMALL(IF((Tableau6[prochaine visite mvt]&lt;TODAY())*(Tableau6[Status]="Actif"),ROW(Tableau6[prochaine visite mvt])-MIN(ROW(Employé!$U$4))+1,""),ROWS(C$5:C5))),"")</f>
        <v>BENAZET Je</v>
      </c>
      <c r="D5" s="11" t="str">
        <f t="array" aca="1" ref="D5" ca="1">IFERROR(INDEX(Tableau6[prochaine visite mvt],SMALL(IF((Tableau6[prochaine visite mvt]&gt;=TODAY())*(Tableau6[prochaine visite mvt]&lt;=TODAY()+15)*(Tableau6[Status]="Actif"),ROW(Tableau6[prochaine visite mvt])-MIN(ROW(Employé!$U$4))+1,""),ROWS(D$5:D5))),"")</f>
        <v/>
      </c>
      <c r="E5" s="12" t="str">
        <f t="array" aca="1" ref="E5" ca="1">IFERROR(INDEX(Tableau6[Nom abrégé],SMALL(IF((Tableau6[prochaine visite mvt]&gt;=TODAY())*(Tableau6[prochaine visite mvt]&lt;=TODAY()+15)*(Tableau6[Status]="Actif"),ROW(Tableau6[prochaine visite mvt])-MIN(ROW(Employé!$U$4))+1,""),ROWS(E$5:E5))),"")</f>
        <v/>
      </c>
      <c r="F5" s="2" t="str">
        <f t="array" aca="1" ref="F5" ca="1">IFERROR(INDEX(Tableau6[prochaine visite mvt],SMALL(IF((Tableau6[prochaine visite mvt]&gt;TODAY()+15)*(Tableau6[Status]="Actif"),ROW(Tableau6[prochaine visite mvt])-MIN(ROW(Employé!$U$4))+1,""),ROWS(F$5:F5))),"")</f>
        <v/>
      </c>
      <c r="G5" s="8" t="str">
        <f t="array" aca="1" ref="G5" ca="1">IFERROR(INDEX(Tableau6[Nom abrégé],SMALL(IF((Tableau6[prochaine visite mvt]&gt;TODAY()+15)*(Tableau6[Status]="Actif"),ROW(Tableau6[prochaine visite mvt])-MIN(ROW(Employé!$U$4))+1,""),ROWS(G$5:G5))),"")</f>
        <v/>
      </c>
      <c r="I5" s="2">
        <f t="array" aca="1" ref="I5" ca="1">IFERROR(INDEX(Tableau6[prochaine visite za],SMALL(IF((Tableau6[prochaine visite za]&lt;TODAY())*(Tableau6[Status]="Actif"),ROW(Tableau6[prochaine visite za])-MIN(ROW(Employé!$X$4))+1,""),ROWS(I$5:I5))),"")</f>
        <v>31</v>
      </c>
      <c r="J5" s="8" t="str">
        <f t="array" aca="1" ref="J5" ca="1">IFERROR(INDEX(Tableau6[Nom abrégé],SMALL(IF((Tableau6[prochaine visite za]&lt;TODAY())*(Tableau6[Status]="Actif"),ROW(Tableau6[prochaine visite za])-MIN(ROW(Employé!$X$4))+1,""),ROWS(J$5:J5))),"")</f>
        <v>BENAZET Je</v>
      </c>
      <c r="K5" s="2">
        <f t="array" aca="1" ref="K5" ca="1">IFERROR(INDEX(Tableau6[prochaine visite za],SMALL(IF((Tableau6[prochaine visite za]&gt;=TODAY())*(Tableau6[prochaine visite za]&lt;=TODAY()+31)*(Tableau6[Status]="Actif"),ROW(Tableau6[prochaine visite za])-MIN(ROW(Employé!$X$4))+1,""),ROWS(K$5:K5))),"")</f>
        <v>43414</v>
      </c>
      <c r="L5" s="8" t="str">
        <f t="array" aca="1" ref="L5" ca="1">IFERROR(INDEX(Tableau6[Nom abrégé],SMALL(IF((Tableau6[prochaine visite za]&gt;=TODAY())*(Tableau6[prochaine visite za]&lt;=TODAY()+31)*(Tableau6[Status]="Actif"),ROW(Tableau6[prochaine visite za])-MIN(ROW(Employé!$X$4))+1,""),ROWS(L$5:L5))),"")</f>
        <v>SANTOS Je</v>
      </c>
      <c r="M5" s="2" t="str">
        <f t="array" aca="1" ref="M5" ca="1">IFERROR(INDEX(Tableau6[prochaine visite za],SMALL(IF((Tableau6[prochaine visite za]&gt;TODAY()+31)*(Tableau6[Status]="Actif"),ROW(Tableau6[prochaine visite za])-MIN(ROW(Employé!$X$4))+1,""),ROWS(M$5:M5))),"")</f>
        <v/>
      </c>
      <c r="N5" s="8" t="str">
        <f t="array" aca="1" ref="N5" ca="1">IFERROR(INDEX(Tableau6[Nom abrégé],SMALL(IF((Tableau6[prochaine visite za]&gt;TODAY()+31)*(Tableau6[Status]="Actif"),ROW(Tableau6[prochaine visite za])-MIN(ROW(Employé!$X$4))+1,""),ROWS(N$5:N5))),"")</f>
        <v/>
      </c>
    </row>
    <row r="6" spans="1:14" x14ac:dyDescent="0.2">
      <c r="A6" s="9"/>
      <c r="B6" s="2">
        <f t="array" aca="1" ref="B6" ca="1">IFERROR(INDEX(Tableau6[prochaine visite mvt],SMALL(IF((Tableau6[prochaine visite mvt]&lt;TODAY())*(Tableau6[Status]="Actif"),ROW(Tableau6[prochaine visite mvt])-MIN(ROW(Employé!$U$4))+1,""),ROWS(B$5:B6))),"")</f>
        <v>15</v>
      </c>
      <c r="C6" s="10" t="str">
        <f t="array" aca="1" ref="C6" ca="1">IFERROR(INDEX(Tableau6[Nom abrégé],SMALL(IF((Tableau6[prochaine visite mvt]&lt;TODAY())*(Tableau6[Status]="Actif"),ROW(Tableau6[prochaine visite mvt])-MIN(ROW(Employé!$U$4))+1,""),ROWS(C$5:C6))),"")</f>
        <v>ZARAGOZA Di</v>
      </c>
      <c r="D6" s="11" t="str">
        <f t="array" aca="1" ref="D6" ca="1">IFERROR(INDEX(Tableau6[prochaine visite mvt],SMALL(IF((Tableau6[prochaine visite mvt]&gt;=TODAY())*(Tableau6[prochaine visite mvt]&lt;=TODAY()+15)*(Tableau6[Status]="Actif"),ROW(Tableau6[prochaine visite mvt])-MIN(ROW(Employé!$U$4))+1,""),ROWS(D$5:D6))),"")</f>
        <v/>
      </c>
      <c r="E6" s="12" t="str">
        <f t="array" aca="1" ref="E6" ca="1">IFERROR(INDEX(Tableau6[Nom abrégé],SMALL(IF((Tableau6[prochaine visite mvt]&gt;=TODAY())*(Tableau6[prochaine visite mvt]&lt;=TODAY()+15)*(Tableau6[Status]="Actif"),ROW(Tableau6[prochaine visite mvt])-MIN(ROW(Employé!$U$4))+1,""),ROWS(E$5:E6))),"")</f>
        <v/>
      </c>
      <c r="F6" s="2" t="str">
        <f t="array" aca="1" ref="F6" ca="1">IFERROR(INDEX(Tableau6[prochaine visite mvt],SMALL(IF((Tableau6[prochaine visite mvt]&gt;TODAY()+15)*(Tableau6[Status]="Actif"),ROW(Tableau6[prochaine visite mvt])-MIN(ROW(Employé!$U$4))+1,""),ROWS(F$5:F6))),"")</f>
        <v/>
      </c>
      <c r="G6" s="8" t="str">
        <f t="array" aca="1" ref="G6" ca="1">IFERROR(INDEX(Tableau6[Nom abrégé],SMALL(IF((Tableau6[prochaine visite mvt]&gt;TODAY()+15)*(Tableau6[Status]="Actif"),ROW(Tableau6[prochaine visite mvt])-MIN(ROW(Employé!$U$4))+1,""),ROWS(G$5:G6))),"")</f>
        <v/>
      </c>
      <c r="I6" s="2">
        <f t="array" aca="1" ref="I6" ca="1">IFERROR(INDEX(Tableau6[prochaine visite za],SMALL(IF((Tableau6[prochaine visite za]&lt;TODAY())*(Tableau6[Status]="Actif"),ROW(Tableau6[prochaine visite za])-MIN(ROW(Employé!$X$4))+1,""),ROWS(I$5:I6))),"")</f>
        <v>31</v>
      </c>
      <c r="J6" s="8" t="str">
        <f t="array" aca="1" ref="J6" ca="1">IFERROR(INDEX(Tableau6[Nom abrégé],SMALL(IF((Tableau6[prochaine visite za]&lt;TODAY())*(Tableau6[Status]="Actif"),ROW(Tableau6[prochaine visite za])-MIN(ROW(Employé!$X$4))+1,""),ROWS(J$5:J6))),"")</f>
        <v>ZARAGOZA Di</v>
      </c>
      <c r="K6" s="2">
        <f t="array" aca="1" ref="K6" ca="1">IFERROR(INDEX(Tableau6[prochaine visite za],SMALL(IF((Tableau6[prochaine visite za]&gt;=TODAY())*(Tableau6[prochaine visite za]&lt;=TODAY()+31)*(Tableau6[Status]="Actif"),ROW(Tableau6[prochaine visite za])-MIN(ROW(Employé!$X$4))+1,""),ROWS(K$5:K6))),"")</f>
        <v>43414</v>
      </c>
      <c r="L6" s="8" t="str">
        <f t="array" aca="1" ref="L6" ca="1">IFERROR(INDEX(Tableau6[Nom abrégé],SMALL(IF((Tableau6[prochaine visite za]&gt;=TODAY())*(Tableau6[prochaine visite za]&lt;=TODAY()+31)*(Tableau6[Status]="Actif"),ROW(Tableau6[prochaine visite za])-MIN(ROW(Employé!$X$4))+1,""),ROWS(L$5:L6))),"")</f>
        <v>SCHWEITZER Je</v>
      </c>
      <c r="M6" s="2" t="str">
        <f t="array" aca="1" ref="M6" ca="1">IFERROR(INDEX(Tableau6[prochaine visite za],SMALL(IF((Tableau6[prochaine visite za]&gt;TODAY()+31)*(Tableau6[Status]="Actif"),ROW(Tableau6[prochaine visite za])-MIN(ROW(Employé!$X$4))+1,""),ROWS(M$5:M6))),"")</f>
        <v/>
      </c>
      <c r="N6" s="8" t="str">
        <f t="array" aca="1" ref="N6" ca="1">IFERROR(INDEX(Tableau6[Nom abrégé],SMALL(IF((Tableau6[prochaine visite za]&gt;TODAY()+31)*(Tableau6[Status]="Actif"),ROW(Tableau6[prochaine visite za])-MIN(ROW(Employé!$X$4))+1,""),ROWS(N$5:N6))),"")</f>
        <v/>
      </c>
    </row>
    <row r="7" spans="1:14" x14ac:dyDescent="0.2">
      <c r="A7" s="9"/>
      <c r="B7" s="2">
        <f t="array" aca="1" ref="B7" ca="1">IFERROR(INDEX(Tableau6[prochaine visite mvt],SMALL(IF((Tableau6[prochaine visite mvt]&lt;TODAY())*(Tableau6[Status]="Actif"),ROW(Tableau6[prochaine visite mvt])-MIN(ROW(Employé!$U$4))+1,""),ROWS(B$5:B7))),"")</f>
        <v>15</v>
      </c>
      <c r="C7" s="10" t="str">
        <f t="array" aca="1" ref="C7" ca="1">IFERROR(INDEX(Tableau6[Nom abrégé],SMALL(IF((Tableau6[prochaine visite mvt]&lt;TODAY())*(Tableau6[Status]="Actif"),ROW(Tableau6[prochaine visite mvt])-MIN(ROW(Employé!$U$4))+1,""),ROWS(C$5:C7))),"")</f>
        <v>SANTOS Je</v>
      </c>
      <c r="D7" s="11" t="str">
        <f t="array" aca="1" ref="D7" ca="1">IFERROR(INDEX(Tableau6[prochaine visite mvt],SMALL(IF((Tableau6[prochaine visite mvt]&gt;=TODAY())*(Tableau6[prochaine visite mvt]&lt;=TODAY()+15)*(Tableau6[Status]="Actif"),ROW(Tableau6[prochaine visite mvt])-MIN(ROW(Employé!$U$4))+1,""),ROWS(D$5:D7))),"")</f>
        <v/>
      </c>
      <c r="E7" s="12" t="str">
        <f t="array" aca="1" ref="E7" ca="1">IFERROR(INDEX(Tableau6[Nom abrégé],SMALL(IF((Tableau6[prochaine visite mvt]&gt;=TODAY())*(Tableau6[prochaine visite mvt]&lt;=TODAY()+15)*(Tableau6[Status]="Actif"),ROW(Tableau6[prochaine visite mvt])-MIN(ROW(Employé!$U$4))+1,""),ROWS(E$5:E7))),"")</f>
        <v/>
      </c>
      <c r="F7" s="2" t="str">
        <f t="array" aca="1" ref="F7" ca="1">IFERROR(INDEX(Tableau6[prochaine visite mvt],SMALL(IF((Tableau6[prochaine visite mvt]&gt;TODAY()+15)*(Tableau6[Status]="Actif"),ROW(Tableau6[prochaine visite mvt])-MIN(ROW(Employé!$U$4))+1,""),ROWS(F$5:F7))),"")</f>
        <v/>
      </c>
      <c r="G7" s="8" t="str">
        <f t="array" aca="1" ref="G7" ca="1">IFERROR(INDEX(Tableau6[Nom abrégé],SMALL(IF((Tableau6[prochaine visite mvt]&gt;TODAY()+15)*(Tableau6[Status]="Actif"),ROW(Tableau6[prochaine visite mvt])-MIN(ROW(Employé!$U$4))+1,""),ROWS(G$5:G7))),"")</f>
        <v/>
      </c>
      <c r="I7" s="2">
        <f t="array" aca="1" ref="I7" ca="1">IFERROR(INDEX(Tableau6[prochaine visite za],SMALL(IF((Tableau6[prochaine visite za]&lt;TODAY())*(Tableau6[Status]="Actif"),ROW(Tableau6[prochaine visite za])-MIN(ROW(Employé!$X$4))+1,""),ROWS(I$5:I7))),"")</f>
        <v>31</v>
      </c>
      <c r="J7" s="8" t="str">
        <f t="array" aca="1" ref="J7" ca="1">IFERROR(INDEX(Tableau6[Nom abrégé],SMALL(IF((Tableau6[prochaine visite za]&lt;TODAY())*(Tableau6[Status]="Actif"),ROW(Tableau6[prochaine visite za])-MIN(ROW(Employé!$X$4))+1,""),ROWS(J$5:J7))),"")</f>
        <v>NAVARRO Ch</v>
      </c>
      <c r="K7" s="2">
        <f t="array" aca="1" ref="K7" ca="1">IFERROR(INDEX(Tableau6[prochaine visite za],SMALL(IF((Tableau6[prochaine visite za]&gt;=TODAY())*(Tableau6[prochaine visite za]&lt;=TODAY()+31)*(Tableau6[Status]="Actif"),ROW(Tableau6[prochaine visite za])-MIN(ROW(Employé!$X$4))+1,""),ROWS(K$5:K7))),"")</f>
        <v>43414</v>
      </c>
      <c r="L7" s="8" t="str">
        <f t="array" aca="1" ref="L7" ca="1">IFERROR(INDEX(Tableau6[Nom abrégé],SMALL(IF((Tableau6[prochaine visite za]&gt;=TODAY())*(Tableau6[prochaine visite za]&lt;=TODAY()+31)*(Tableau6[Status]="Actif"),ROW(Tableau6[prochaine visite za])-MIN(ROW(Employé!$X$4))+1,""),ROWS(L$5:L7))),"")</f>
        <v>LEROY Fr</v>
      </c>
      <c r="M7" s="2" t="str">
        <f t="array" aca="1" ref="M7" ca="1">IFERROR(INDEX(Tableau6[prochaine visite za],SMALL(IF((Tableau6[prochaine visite za]&gt;TODAY()+31)*(Tableau6[Status]="Actif"),ROW(Tableau6[prochaine visite za])-MIN(ROW(Employé!$X$4))+1,""),ROWS(M$5:M7))),"")</f>
        <v/>
      </c>
      <c r="N7" s="8" t="str">
        <f t="array" aca="1" ref="N7" ca="1">IFERROR(INDEX(Tableau6[Nom abrégé],SMALL(IF((Tableau6[prochaine visite za]&gt;TODAY()+31)*(Tableau6[Status]="Actif"),ROW(Tableau6[prochaine visite za])-MIN(ROW(Employé!$X$4))+1,""),ROWS(N$5:N7))),"")</f>
        <v/>
      </c>
    </row>
    <row r="8" spans="1:14" x14ac:dyDescent="0.2">
      <c r="A8" s="9"/>
      <c r="B8" s="2">
        <f t="array" aca="1" ref="B8" ca="1">IFERROR(INDEX(Tableau6[prochaine visite mvt],SMALL(IF((Tableau6[prochaine visite mvt]&lt;TODAY())*(Tableau6[Status]="Actif"),ROW(Tableau6[prochaine visite mvt])-MIN(ROW(Employé!$U$4))+1,""),ROWS(B$5:B8))),"")</f>
        <v>15</v>
      </c>
      <c r="C8" s="10" t="str">
        <f t="array" aca="1" ref="C8" ca="1">IFERROR(INDEX(Tableau6[Nom abrégé],SMALL(IF((Tableau6[prochaine visite mvt]&lt;TODAY())*(Tableau6[Status]="Actif"),ROW(Tableau6[prochaine visite mvt])-MIN(ROW(Employé!$U$4))+1,""),ROWS(C$5:C8))),"")</f>
        <v>NAVARRO Ch</v>
      </c>
      <c r="D8" s="11" t="str">
        <f t="array" aca="1" ref="D8" ca="1">IFERROR(INDEX(Tableau6[prochaine visite mvt],SMALL(IF((Tableau6[prochaine visite mvt]&gt;=TODAY())*(Tableau6[prochaine visite mvt]&lt;=TODAY()+15)*(Tableau6[Status]="Actif"),ROW(Tableau6[prochaine visite mvt])-MIN(ROW(Employé!$U$4))+1,""),ROWS(D$5:D8))),"")</f>
        <v/>
      </c>
      <c r="E8" s="12" t="str">
        <f t="array" aca="1" ref="E8" ca="1">IFERROR(INDEX(Tableau6[Nom abrégé],SMALL(IF((Tableau6[prochaine visite mvt]&gt;=TODAY())*(Tableau6[prochaine visite mvt]&lt;=TODAY()+15)*(Tableau6[Status]="Actif"),ROW(Tableau6[prochaine visite mvt])-MIN(ROW(Employé!$U$4))+1,""),ROWS(E$5:E8))),"")</f>
        <v/>
      </c>
      <c r="F8" s="2" t="str">
        <f t="array" aca="1" ref="F8" ca="1">IFERROR(INDEX(Tableau6[prochaine visite mvt],SMALL(IF((Tableau6[prochaine visite mvt]&gt;TODAY()+15)*(Tableau6[Status]="Actif"),ROW(Tableau6[prochaine visite mvt])-MIN(ROW(Employé!$U$4))+1,""),ROWS(F$5:F8))),"")</f>
        <v/>
      </c>
      <c r="G8" s="8" t="str">
        <f t="array" aca="1" ref="G8" ca="1">IFERROR(INDEX(Tableau6[Nom abrégé],SMALL(IF((Tableau6[prochaine visite mvt]&gt;TODAY()+15)*(Tableau6[Status]="Actif"),ROW(Tableau6[prochaine visite mvt])-MIN(ROW(Employé!$U$4))+1,""),ROWS(G$5:G8))),"")</f>
        <v/>
      </c>
      <c r="I8" s="2">
        <f t="array" aca="1" ref="I8" ca="1">IFERROR(INDEX(Tableau6[prochaine visite za],SMALL(IF((Tableau6[prochaine visite za]&lt;TODAY())*(Tableau6[Status]="Actif"),ROW(Tableau6[prochaine visite za])-MIN(ROW(Employé!$X$4))+1,""),ROWS(I$5:I8))),"")</f>
        <v>31</v>
      </c>
      <c r="J8" s="8" t="str">
        <f t="array" aca="1" ref="J8" ca="1">IFERROR(INDEX(Tableau6[Nom abrégé],SMALL(IF((Tableau6[prochaine visite za]&lt;TODAY())*(Tableau6[Status]="Actif"),ROW(Tableau6[prochaine visite za])-MIN(ROW(Employé!$X$4))+1,""),ROWS(J$5:J8))),"")</f>
        <v>AUDIE An</v>
      </c>
      <c r="K8" s="2" t="str">
        <f t="array" aca="1" ref="K8" ca="1">IFERROR(INDEX(Tableau6[prochaine visite za],SMALL(IF((Tableau6[prochaine visite za]&gt;=TODAY())*(Tableau6[prochaine visite za]&lt;=TODAY()+31)*(Tableau6[Status]="Actif"),ROW(Tableau6[prochaine visite za])-MIN(ROW(Employé!$X$4))+1,""),ROWS(K$5:K8))),"")</f>
        <v/>
      </c>
      <c r="L8" s="8" t="str">
        <f t="array" aca="1" ref="L8" ca="1">IFERROR(INDEX(Tableau6[Nom abrégé],SMALL(IF((Tableau6[prochaine visite za]&gt;=TODAY())*(Tableau6[prochaine visite za]&lt;=TODAY()+31)*(Tableau6[Status]="Actif"),ROW(Tableau6[prochaine visite za])-MIN(ROW(Employé!$X$4))+1,""),ROWS(L$5:L8))),"")</f>
        <v/>
      </c>
      <c r="M8" s="2" t="str">
        <f t="array" aca="1" ref="M8" ca="1">IFERROR(INDEX(Tableau6[prochaine visite za],SMALL(IF((Tableau6[prochaine visite za]&gt;TODAY()+31)*(Tableau6[Status]="Actif"),ROW(Tableau6[prochaine visite za])-MIN(ROW(Employé!$X$4))+1,""),ROWS(M$5:M8))),"")</f>
        <v/>
      </c>
      <c r="N8" s="8" t="str">
        <f t="array" aca="1" ref="N8" ca="1">IFERROR(INDEX(Tableau6[Nom abrégé],SMALL(IF((Tableau6[prochaine visite za]&gt;TODAY()+31)*(Tableau6[Status]="Actif"),ROW(Tableau6[prochaine visite za])-MIN(ROW(Employé!$X$4))+1,""),ROWS(N$5:N8))),"")</f>
        <v/>
      </c>
    </row>
    <row r="9" spans="1:14" x14ac:dyDescent="0.2">
      <c r="A9" s="9"/>
      <c r="B9" s="2">
        <f t="array" aca="1" ref="B9" ca="1">IFERROR(INDEX(Tableau6[prochaine visite mvt],SMALL(IF((Tableau6[prochaine visite mvt]&lt;TODAY())*(Tableau6[Status]="Actif"),ROW(Tableau6[prochaine visite mvt])-MIN(ROW(Employé!$U$4))+1,""),ROWS(B$5:B9))),"")</f>
        <v>15</v>
      </c>
      <c r="C9" s="10" t="str">
        <f t="array" aca="1" ref="C9" ca="1">IFERROR(INDEX(Tableau6[Nom abrégé],SMALL(IF((Tableau6[prochaine visite mvt]&lt;TODAY())*(Tableau6[Status]="Actif"),ROW(Tableau6[prochaine visite mvt])-MIN(ROW(Employé!$U$4))+1,""),ROWS(C$5:C9))),"")</f>
        <v>AUDIE An</v>
      </c>
      <c r="D9" s="11" t="str">
        <f t="array" aca="1" ref="D9" ca="1">IFERROR(INDEX(Tableau6[prochaine visite mvt],SMALL(IF((Tableau6[prochaine visite mvt]&gt;=TODAY())*(Tableau6[prochaine visite mvt]&lt;=TODAY()+15)*(Tableau6[Status]="Actif"),ROW(Tableau6[prochaine visite mvt])-MIN(ROW(Employé!$U$4))+1,""),ROWS(D$5:D9))),"")</f>
        <v/>
      </c>
      <c r="E9" s="12" t="str">
        <f t="array" aca="1" ref="E9" ca="1">IFERROR(INDEX(Tableau6[Nom abrégé],SMALL(IF((Tableau6[prochaine visite mvt]&gt;=TODAY())*(Tableau6[prochaine visite mvt]&lt;=TODAY()+15)*(Tableau6[Status]="Actif"),ROW(Tableau6[prochaine visite mvt])-MIN(ROW(Employé!$U$4))+1,""),ROWS(E$5:E9))),"")</f>
        <v/>
      </c>
      <c r="F9" s="2" t="str">
        <f t="array" aca="1" ref="F9" ca="1">IFERROR(INDEX(Tableau6[prochaine visite mvt],SMALL(IF((Tableau6[prochaine visite mvt]&gt;TODAY()+15)*(Tableau6[Status]="Actif"),ROW(Tableau6[prochaine visite mvt])-MIN(ROW(Employé!$U$4))+1,""),ROWS(F$5:F9))),"")</f>
        <v/>
      </c>
      <c r="G9" s="8" t="str">
        <f t="array" aca="1" ref="G9" ca="1">IFERROR(INDEX(Tableau6[Nom abrégé],SMALL(IF((Tableau6[prochaine visite mvt]&gt;TODAY()+15)*(Tableau6[Status]="Actif"),ROW(Tableau6[prochaine visite mvt])-MIN(ROW(Employé!$U$4))+1,""),ROWS(G$5:G9))),"")</f>
        <v/>
      </c>
      <c r="I9" s="2">
        <f t="array" aca="1" ref="I9" ca="1">IFERROR(INDEX(Tableau6[prochaine visite za],SMALL(IF((Tableau6[prochaine visite za]&lt;TODAY())*(Tableau6[Status]="Actif"),ROW(Tableau6[prochaine visite za])-MIN(ROW(Employé!$X$4))+1,""),ROWS(I$5:I9))),"")</f>
        <v>31</v>
      </c>
      <c r="J9" s="8" t="str">
        <f t="array" aca="1" ref="J9" ca="1">IFERROR(INDEX(Tableau6[Nom abrégé],SMALL(IF((Tableau6[prochaine visite za]&lt;TODAY())*(Tableau6[Status]="Actif"),ROW(Tableau6[prochaine visite za])-MIN(ROW(Employé!$X$4))+1,""),ROWS(J$5:J9))),"")</f>
        <v>DISTEFANO Al</v>
      </c>
      <c r="K9" s="2" t="str">
        <f t="array" aca="1" ref="K9" ca="1">IFERROR(INDEX(Tableau6[prochaine visite za],SMALL(IF((Tableau6[prochaine visite za]&gt;=TODAY())*(Tableau6[prochaine visite za]&lt;=TODAY()+31)*(Tableau6[Status]="Actif"),ROW(Tableau6[prochaine visite za])-MIN(ROW(Employé!$X$4))+1,""),ROWS(K$5:K9))),"")</f>
        <v/>
      </c>
      <c r="L9" s="8" t="str">
        <f t="array" aca="1" ref="L9" ca="1">IFERROR(INDEX(Tableau6[Nom abrégé],SMALL(IF((Tableau6[prochaine visite za]&gt;=TODAY())*(Tableau6[prochaine visite za]&lt;=TODAY()+31)*(Tableau6[Status]="Actif"),ROW(Tableau6[prochaine visite za])-MIN(ROW(Employé!$X$4))+1,""),ROWS(L$5:L9))),"")</f>
        <v/>
      </c>
      <c r="M9" s="2" t="str">
        <f t="array" aca="1" ref="M9" ca="1">IFERROR(INDEX(Tableau6[prochaine visite za],SMALL(IF((Tableau6[prochaine visite za]&gt;TODAY()+31)*(Tableau6[Status]="Actif"),ROW(Tableau6[prochaine visite za])-MIN(ROW(Employé!$X$4))+1,""),ROWS(M$5:M9))),"")</f>
        <v/>
      </c>
      <c r="N9" s="8" t="str">
        <f t="array" aca="1" ref="N9" ca="1">IFERROR(INDEX(Tableau6[Nom abrégé],SMALL(IF((Tableau6[prochaine visite za]&gt;TODAY()+31)*(Tableau6[Status]="Actif"),ROW(Tableau6[prochaine visite za])-MIN(ROW(Employé!$X$4))+1,""),ROWS(N$5:N9))),"")</f>
        <v/>
      </c>
    </row>
    <row r="10" spans="1:14" x14ac:dyDescent="0.2">
      <c r="A10" s="9"/>
      <c r="B10" s="2">
        <f t="array" aca="1" ref="B10" ca="1">IFERROR(INDEX(Tableau6[prochaine visite mvt],SMALL(IF((Tableau6[prochaine visite mvt]&lt;TODAY())*(Tableau6[Status]="Actif"),ROW(Tableau6[prochaine visite mvt])-MIN(ROW(Employé!$U$4))+1,""),ROWS(B$5:B10))),"")</f>
        <v>15</v>
      </c>
      <c r="C10" s="10" t="str">
        <f t="array" aca="1" ref="C10" ca="1">IFERROR(INDEX(Tableau6[Nom abrégé],SMALL(IF((Tableau6[prochaine visite mvt]&lt;TODAY())*(Tableau6[Status]="Actif"),ROW(Tableau6[prochaine visite mvt])-MIN(ROW(Employé!$U$4))+1,""),ROWS(C$5:C10))),"")</f>
        <v>DISTEFANO Al</v>
      </c>
      <c r="D10" s="11" t="str">
        <f t="array" aca="1" ref="D10" ca="1">IFERROR(INDEX(Tableau6[prochaine visite mvt],SMALL(IF((Tableau6[prochaine visite mvt]&gt;=TODAY())*(Tableau6[prochaine visite mvt]&lt;=TODAY()+15)*(Tableau6[Status]="Actif"),ROW(Tableau6[prochaine visite mvt])-MIN(ROW(Employé!$U$4))+1,""),ROWS(D$5:D10))),"")</f>
        <v/>
      </c>
      <c r="E10" s="12" t="str">
        <f t="array" aca="1" ref="E10" ca="1">IFERROR(INDEX(Tableau6[Nom abrégé],SMALL(IF((Tableau6[prochaine visite mvt]&gt;=TODAY())*(Tableau6[prochaine visite mvt]&lt;=TODAY()+15)*(Tableau6[Status]="Actif"),ROW(Tableau6[prochaine visite mvt])-MIN(ROW(Employé!$U$4))+1,""),ROWS(E$5:E10))),"")</f>
        <v/>
      </c>
      <c r="F10" s="2" t="str">
        <f t="array" aca="1" ref="F10" ca="1">IFERROR(INDEX(Tableau6[prochaine visite mvt],SMALL(IF((Tableau6[prochaine visite mvt]&gt;TODAY()+15)*(Tableau6[Status]="Actif"),ROW(Tableau6[prochaine visite mvt])-MIN(ROW(Employé!$U$4))+1,""),ROWS(F$5:F10))),"")</f>
        <v/>
      </c>
      <c r="G10" s="8" t="str">
        <f t="array" aca="1" ref="G10" ca="1">IFERROR(INDEX(Tableau6[Nom abrégé],SMALL(IF((Tableau6[prochaine visite mvt]&gt;TODAY()+15)*(Tableau6[Status]="Actif"),ROW(Tableau6[prochaine visite mvt])-MIN(ROW(Employé!$U$4))+1,""),ROWS(G$5:G10))),"")</f>
        <v/>
      </c>
      <c r="I10" s="2">
        <f t="array" aca="1" ref="I10" ca="1">IFERROR(INDEX(Tableau6[prochaine visite za],SMALL(IF((Tableau6[prochaine visite za]&lt;TODAY())*(Tableau6[Status]="Actif"),ROW(Tableau6[prochaine visite za])-MIN(ROW(Employé!$X$4))+1,""),ROWS(I$5:I10))),"")</f>
        <v>31</v>
      </c>
      <c r="J10" s="8" t="str">
        <f t="array" aca="1" ref="J10" ca="1">IFERROR(INDEX(Tableau6[Nom abrégé],SMALL(IF((Tableau6[prochaine visite za]&lt;TODAY())*(Tableau6[Status]="Actif"),ROW(Tableau6[prochaine visite za])-MIN(ROW(Employé!$X$4))+1,""),ROWS(J$5:J10))),"")</f>
        <v>AFONSO Ju</v>
      </c>
      <c r="K10" s="2" t="str">
        <f t="array" aca="1" ref="K10" ca="1">IFERROR(INDEX(Tableau6[prochaine visite za],SMALL(IF((Tableau6[prochaine visite za]&gt;=TODAY())*(Tableau6[prochaine visite za]&lt;=TODAY()+31)*(Tableau6[Status]="Actif"),ROW(Tableau6[prochaine visite za])-MIN(ROW(Employé!$X$4))+1,""),ROWS(K$5:K10))),"")</f>
        <v/>
      </c>
      <c r="L10" s="8" t="str">
        <f t="array" aca="1" ref="L10" ca="1">IFERROR(INDEX(Tableau6[Nom abrégé],SMALL(IF((Tableau6[prochaine visite za]&gt;=TODAY())*(Tableau6[prochaine visite za]&lt;=TODAY()+31)*(Tableau6[Status]="Actif"),ROW(Tableau6[prochaine visite za])-MIN(ROW(Employé!$X$4))+1,""),ROWS(L$5:L10))),"")</f>
        <v/>
      </c>
      <c r="M10" s="2" t="str">
        <f t="array" aca="1" ref="M10" ca="1">IFERROR(INDEX(Tableau6[prochaine visite za],SMALL(IF((Tableau6[prochaine visite za]&gt;TODAY()+31)*(Tableau6[Status]="Actif"),ROW(Tableau6[prochaine visite za])-MIN(ROW(Employé!$X$4))+1,""),ROWS(M$5:M10))),"")</f>
        <v/>
      </c>
      <c r="N10" s="8" t="str">
        <f t="array" aca="1" ref="N10" ca="1">IFERROR(INDEX(Tableau6[Nom abrégé],SMALL(IF((Tableau6[prochaine visite za]&gt;TODAY()+31)*(Tableau6[Status]="Actif"),ROW(Tableau6[prochaine visite za])-MIN(ROW(Employé!$X$4))+1,""),ROWS(N$5:N10))),"")</f>
        <v/>
      </c>
    </row>
    <row r="11" spans="1:14" x14ac:dyDescent="0.2">
      <c r="A11" s="9"/>
      <c r="B11" s="2">
        <f t="array" aca="1" ref="B11" ca="1">IFERROR(INDEX(Tableau6[prochaine visite mvt],SMALL(IF((Tableau6[prochaine visite mvt]&lt;TODAY())*(Tableau6[Status]="Actif"),ROW(Tableau6[prochaine visite mvt])-MIN(ROW(Employé!$U$4))+1,""),ROWS(B$5:B11))),"")</f>
        <v>15</v>
      </c>
      <c r="C11" s="10" t="str">
        <f t="array" aca="1" ref="C11" ca="1">IFERROR(INDEX(Tableau6[Nom abrégé],SMALL(IF((Tableau6[prochaine visite mvt]&lt;TODAY())*(Tableau6[Status]="Actif"),ROW(Tableau6[prochaine visite mvt])-MIN(ROW(Employé!$U$4))+1,""),ROWS(C$5:C11))),"")</f>
        <v>SCHWEITZER Je</v>
      </c>
      <c r="D11" s="11" t="str">
        <f t="array" aca="1" ref="D11" ca="1">IFERROR(INDEX(Tableau6[prochaine visite mvt],SMALL(IF((Tableau6[prochaine visite mvt]&gt;=TODAY())*(Tableau6[prochaine visite mvt]&lt;=TODAY()+15)*(Tableau6[Status]="Actif"),ROW(Tableau6[prochaine visite mvt])-MIN(ROW(Employé!$U$4))+1,""),ROWS(D$5:D11))),"")</f>
        <v/>
      </c>
      <c r="E11" s="12" t="str">
        <f t="array" aca="1" ref="E11" ca="1">IFERROR(INDEX(Tableau6[Nom abrégé],SMALL(IF((Tableau6[prochaine visite mvt]&gt;=TODAY())*(Tableau6[prochaine visite mvt]&lt;=TODAY()+15)*(Tableau6[Status]="Actif"),ROW(Tableau6[prochaine visite mvt])-MIN(ROW(Employé!$U$4))+1,""),ROWS(E$5:E11))),"")</f>
        <v/>
      </c>
      <c r="F11" s="2" t="str">
        <f t="array" aca="1" ref="F11" ca="1">IFERROR(INDEX(Tableau6[prochaine visite mvt],SMALL(IF((Tableau6[prochaine visite mvt]&gt;TODAY()+15)*(Tableau6[Status]="Actif"),ROW(Tableau6[prochaine visite mvt])-MIN(ROW(Employé!$U$4))+1,""),ROWS(F$5:F11))),"")</f>
        <v/>
      </c>
      <c r="G11" s="8" t="str">
        <f t="array" aca="1" ref="G11" ca="1">IFERROR(INDEX(Tableau6[Nom abrégé],SMALL(IF((Tableau6[prochaine visite mvt]&gt;TODAY()+15)*(Tableau6[Status]="Actif"),ROW(Tableau6[prochaine visite mvt])-MIN(ROW(Employé!$U$4))+1,""),ROWS(G$5:G11))),"")</f>
        <v/>
      </c>
      <c r="I11" s="2">
        <f t="array" aca="1" ref="I11" ca="1">IFERROR(INDEX(Tableau6[prochaine visite za],SMALL(IF((Tableau6[prochaine visite za]&lt;TODAY())*(Tableau6[Status]="Actif"),ROW(Tableau6[prochaine visite za])-MIN(ROW(Employé!$X$4))+1,""),ROWS(I$5:I11))),"")</f>
        <v>31</v>
      </c>
      <c r="J11" s="8" t="str">
        <f t="array" aca="1" ref="J11" ca="1">IFERROR(INDEX(Tableau6[Nom abrégé],SMALL(IF((Tableau6[prochaine visite za]&lt;TODAY())*(Tableau6[Status]="Actif"),ROW(Tableau6[prochaine visite za])-MIN(ROW(Employé!$X$4))+1,""),ROWS(J$5:J11))),"")</f>
        <v>LEROY Je</v>
      </c>
      <c r="K11" s="2" t="str">
        <f t="array" aca="1" ref="K11" ca="1">IFERROR(INDEX(Tableau6[prochaine visite za],SMALL(IF((Tableau6[prochaine visite za]&gt;=TODAY())*(Tableau6[prochaine visite za]&lt;=TODAY()+31)*(Tableau6[Status]="Actif"),ROW(Tableau6[prochaine visite za])-MIN(ROW(Employé!$X$4))+1,""),ROWS(K$5:K11))),"")</f>
        <v/>
      </c>
      <c r="L11" s="8" t="str">
        <f t="array" aca="1" ref="L11" ca="1">IFERROR(INDEX(Tableau6[Nom abrégé],SMALL(IF((Tableau6[prochaine visite za]&gt;=TODAY())*(Tableau6[prochaine visite za]&lt;=TODAY()+31)*(Tableau6[Status]="Actif"),ROW(Tableau6[prochaine visite za])-MIN(ROW(Employé!$X$4))+1,""),ROWS(L$5:L11))),"")</f>
        <v/>
      </c>
      <c r="M11" s="2" t="str">
        <f t="array" aca="1" ref="M11" ca="1">IFERROR(INDEX(Tableau6[prochaine visite za],SMALL(IF((Tableau6[prochaine visite za]&gt;TODAY()+31)*(Tableau6[Status]="Actif"),ROW(Tableau6[prochaine visite za])-MIN(ROW(Employé!$X$4))+1,""),ROWS(M$5:M11))),"")</f>
        <v/>
      </c>
      <c r="N11" s="8" t="str">
        <f t="array" aca="1" ref="N11" ca="1">IFERROR(INDEX(Tableau6[Nom abrégé],SMALL(IF((Tableau6[prochaine visite za]&gt;TODAY()+31)*(Tableau6[Status]="Actif"),ROW(Tableau6[prochaine visite za])-MIN(ROW(Employé!$X$4))+1,""),ROWS(N$5:N11))),"")</f>
        <v/>
      </c>
    </row>
    <row r="12" spans="1:14" x14ac:dyDescent="0.2">
      <c r="A12" s="9"/>
      <c r="B12" s="2">
        <f t="array" aca="1" ref="B12" ca="1">IFERROR(INDEX(Tableau6[prochaine visite mvt],SMALL(IF((Tableau6[prochaine visite mvt]&lt;TODAY())*(Tableau6[Status]="Actif"),ROW(Tableau6[prochaine visite mvt])-MIN(ROW(Employé!$U$4))+1,""),ROWS(B$5:B12))),"")</f>
        <v>15</v>
      </c>
      <c r="C12" s="10" t="str">
        <f t="array" aca="1" ref="C12" ca="1">IFERROR(INDEX(Tableau6[Nom abrégé],SMALL(IF((Tableau6[prochaine visite mvt]&lt;TODAY())*(Tableau6[Status]="Actif"),ROW(Tableau6[prochaine visite mvt])-MIN(ROW(Employé!$U$4))+1,""),ROWS(C$5:C12))),"")</f>
        <v>AFONSO Ju</v>
      </c>
      <c r="D12" s="11" t="str">
        <f t="array" aca="1" ref="D12" ca="1">IFERROR(INDEX(Tableau6[prochaine visite mvt],SMALL(IF((Tableau6[prochaine visite mvt]&gt;=TODAY())*(Tableau6[prochaine visite mvt]&lt;=TODAY()+15)*(Tableau6[Status]="Actif"),ROW(Tableau6[prochaine visite mvt])-MIN(ROW(Employé!$U$4))+1,""),ROWS(D$5:D12))),"")</f>
        <v/>
      </c>
      <c r="E12" s="12" t="str">
        <f t="array" aca="1" ref="E12" ca="1">IFERROR(INDEX(Tableau6[Nom abrégé],SMALL(IF((Tableau6[prochaine visite mvt]&gt;=TODAY())*(Tableau6[prochaine visite mvt]&lt;=TODAY()+15)*(Tableau6[Status]="Actif"),ROW(Tableau6[prochaine visite mvt])-MIN(ROW(Employé!$U$4))+1,""),ROWS(E$5:E12))),"")</f>
        <v/>
      </c>
      <c r="F12" s="2" t="str">
        <f t="array" aca="1" ref="F12" ca="1">IFERROR(INDEX(Tableau6[prochaine visite mvt],SMALL(IF((Tableau6[prochaine visite mvt]&gt;TODAY()+15)*(Tableau6[Status]="Actif"),ROW(Tableau6[prochaine visite mvt])-MIN(ROW(Employé!$U$4))+1,""),ROWS(F$5:F12))),"")</f>
        <v/>
      </c>
      <c r="G12" s="8" t="str">
        <f t="array" aca="1" ref="G12" ca="1">IFERROR(INDEX(Tableau6[Nom abrégé],SMALL(IF((Tableau6[prochaine visite mvt]&gt;TODAY()+15)*(Tableau6[Status]="Actif"),ROW(Tableau6[prochaine visite mvt])-MIN(ROW(Employé!$U$4))+1,""),ROWS(G$5:G12))),"")</f>
        <v/>
      </c>
      <c r="I12" s="2">
        <f t="array" aca="1" ref="I12" ca="1">IFERROR(INDEX(Tableau6[prochaine visite za],SMALL(IF((Tableau6[prochaine visite za]&lt;TODAY())*(Tableau6[Status]="Actif"),ROW(Tableau6[prochaine visite za])-MIN(ROW(Employé!$X$4))+1,""),ROWS(I$5:I12))),"")</f>
        <v>31</v>
      </c>
      <c r="J12" s="8" t="str">
        <f t="array" aca="1" ref="J12" ca="1">IFERROR(INDEX(Tableau6[Nom abrégé],SMALL(IF((Tableau6[prochaine visite za]&lt;TODAY())*(Tableau6[Status]="Actif"),ROW(Tableau6[prochaine visite za])-MIN(ROW(Employé!$X$4))+1,""),ROWS(J$5:J12))),"")</f>
        <v>FERRARA Ju</v>
      </c>
      <c r="K12" s="2" t="str">
        <f t="array" aca="1" ref="K12" ca="1">IFERROR(INDEX(Tableau6[prochaine visite za],SMALL(IF((Tableau6[prochaine visite za]&gt;=TODAY())*(Tableau6[prochaine visite za]&lt;=TODAY()+31)*(Tableau6[Status]="Actif"),ROW(Tableau6[prochaine visite za])-MIN(ROW(Employé!$X$4))+1,""),ROWS(K$5:K12))),"")</f>
        <v/>
      </c>
      <c r="L12" s="8" t="str">
        <f t="array" aca="1" ref="L12" ca="1">IFERROR(INDEX(Tableau6[Nom abrégé],SMALL(IF((Tableau6[prochaine visite za]&gt;=TODAY())*(Tableau6[prochaine visite za]&lt;=TODAY()+31)*(Tableau6[Status]="Actif"),ROW(Tableau6[prochaine visite za])-MIN(ROW(Employé!$X$4))+1,""),ROWS(L$5:L12))),"")</f>
        <v/>
      </c>
      <c r="M12" s="2" t="str">
        <f t="array" aca="1" ref="M12" ca="1">IFERROR(INDEX(Tableau6[prochaine visite za],SMALL(IF((Tableau6[prochaine visite za]&gt;TODAY()+31)*(Tableau6[Status]="Actif"),ROW(Tableau6[prochaine visite za])-MIN(ROW(Employé!$X$4))+1,""),ROWS(M$5:M12))),"")</f>
        <v/>
      </c>
      <c r="N12" s="8" t="str">
        <f t="array" aca="1" ref="N12" ca="1">IFERROR(INDEX(Tableau6[Nom abrégé],SMALL(IF((Tableau6[prochaine visite za]&gt;TODAY()+31)*(Tableau6[Status]="Actif"),ROW(Tableau6[prochaine visite za])-MIN(ROW(Employé!$X$4))+1,""),ROWS(N$5:N12))),"")</f>
        <v/>
      </c>
    </row>
    <row r="13" spans="1:14" x14ac:dyDescent="0.2">
      <c r="A13" s="9"/>
      <c r="B13" s="2">
        <f t="array" aca="1" ref="B13" ca="1">IFERROR(INDEX(Tableau6[prochaine visite mvt],SMALL(IF((Tableau6[prochaine visite mvt]&lt;TODAY())*(Tableau6[Status]="Actif"),ROW(Tableau6[prochaine visite mvt])-MIN(ROW(Employé!$U$4))+1,""),ROWS(B$5:B13))),"")</f>
        <v>15</v>
      </c>
      <c r="C13" s="10" t="str">
        <f t="array" aca="1" ref="C13" ca="1">IFERROR(INDEX(Tableau6[Nom abrégé],SMALL(IF((Tableau6[prochaine visite mvt]&lt;TODAY())*(Tableau6[Status]="Actif"),ROW(Tableau6[prochaine visite mvt])-MIN(ROW(Employé!$U$4))+1,""),ROWS(C$5:C13))),"")</f>
        <v>LEROY Fr</v>
      </c>
      <c r="D13" s="11" t="str">
        <f t="array" aca="1" ref="D13" ca="1">IFERROR(INDEX(Tableau6[prochaine visite mvt],SMALL(IF((Tableau6[prochaine visite mvt]&gt;=TODAY())*(Tableau6[prochaine visite mvt]&lt;=TODAY()+15)*(Tableau6[Status]="Actif"),ROW(Tableau6[prochaine visite mvt])-MIN(ROW(Employé!$U$4))+1,""),ROWS(D$5:D13))),"")</f>
        <v/>
      </c>
      <c r="E13" s="12" t="str">
        <f t="array" aca="1" ref="E13" ca="1">IFERROR(INDEX(Tableau6[Nom abrégé],SMALL(IF((Tableau6[prochaine visite mvt]&gt;=TODAY())*(Tableau6[prochaine visite mvt]&lt;=TODAY()+15)*(Tableau6[Status]="Actif"),ROW(Tableau6[prochaine visite mvt])-MIN(ROW(Employé!$U$4))+1,""),ROWS(E$5:E13))),"")</f>
        <v/>
      </c>
      <c r="F13" s="2" t="str">
        <f t="array" aca="1" ref="F13" ca="1">IFERROR(INDEX(Tableau6[prochaine visite mvt],SMALL(IF((Tableau6[prochaine visite mvt]&gt;TODAY()+15)*(Tableau6[Status]="Actif"),ROW(Tableau6[prochaine visite mvt])-MIN(ROW(Employé!$U$4))+1,""),ROWS(F$5:F13))),"")</f>
        <v/>
      </c>
      <c r="G13" s="8" t="str">
        <f t="array" aca="1" ref="G13" ca="1">IFERROR(INDEX(Tableau6[Nom abrégé],SMALL(IF((Tableau6[prochaine visite mvt]&gt;TODAY()+15)*(Tableau6[Status]="Actif"),ROW(Tableau6[prochaine visite mvt])-MIN(ROW(Employé!$U$4))+1,""),ROWS(G$5:G13))),"")</f>
        <v/>
      </c>
      <c r="I13" s="2">
        <f t="array" aca="1" ref="I13" ca="1">IFERROR(INDEX(Tableau6[prochaine visite za],SMALL(IF((Tableau6[prochaine visite za]&lt;TODAY())*(Tableau6[Status]="Actif"),ROW(Tableau6[prochaine visite za])-MIN(ROW(Employé!$X$4))+1,""),ROWS(I$5:I13))),"")</f>
        <v>31</v>
      </c>
      <c r="J13" s="8" t="str">
        <f t="array" aca="1" ref="J13" ca="1">IFERROR(INDEX(Tableau6[Nom abrégé],SMALL(IF((Tableau6[prochaine visite za]&lt;TODAY())*(Tableau6[Status]="Actif"),ROW(Tableau6[prochaine visite za])-MIN(ROW(Employé!$X$4))+1,""),ROWS(J$5:J13))),"")</f>
        <v>BALLESTER Xa</v>
      </c>
      <c r="K13" s="2" t="str">
        <f t="array" aca="1" ref="K13" ca="1">IFERROR(INDEX(Tableau6[prochaine visite za],SMALL(IF((Tableau6[prochaine visite za]&gt;=TODAY())*(Tableau6[prochaine visite za]&lt;=TODAY()+31)*(Tableau6[Status]="Actif"),ROW(Tableau6[prochaine visite za])-MIN(ROW(Employé!$X$4))+1,""),ROWS(K$5:K13))),"")</f>
        <v/>
      </c>
      <c r="L13" s="8" t="str">
        <f t="array" aca="1" ref="L13" ca="1">IFERROR(INDEX(Tableau6[Nom abrégé],SMALL(IF((Tableau6[prochaine visite za]&gt;=TODAY())*(Tableau6[prochaine visite za]&lt;=TODAY()+31)*(Tableau6[Status]="Actif"),ROW(Tableau6[prochaine visite za])-MIN(ROW(Employé!$X$4))+1,""),ROWS(L$5:L13))),"")</f>
        <v/>
      </c>
      <c r="M13" s="2" t="str">
        <f t="array" aca="1" ref="M13" ca="1">IFERROR(INDEX(Tableau6[prochaine visite za],SMALL(IF((Tableau6[prochaine visite za]&gt;TODAY()+31)*(Tableau6[Status]="Actif"),ROW(Tableau6[prochaine visite za])-MIN(ROW(Employé!$X$4))+1,""),ROWS(M$5:M13))),"")</f>
        <v/>
      </c>
      <c r="N13" s="8" t="str">
        <f t="array" aca="1" ref="N13" ca="1">IFERROR(INDEX(Tableau6[Nom abrégé],SMALL(IF((Tableau6[prochaine visite za]&gt;TODAY()+31)*(Tableau6[Status]="Actif"),ROW(Tableau6[prochaine visite za])-MIN(ROW(Employé!$X$4))+1,""),ROWS(N$5:N13))),"")</f>
        <v/>
      </c>
    </row>
    <row r="14" spans="1:14" x14ac:dyDescent="0.2">
      <c r="A14" s="9"/>
      <c r="B14" s="2">
        <f t="array" aca="1" ref="B14" ca="1">IFERROR(INDEX(Tableau6[prochaine visite mvt],SMALL(IF((Tableau6[prochaine visite mvt]&lt;TODAY())*(Tableau6[Status]="Actif"),ROW(Tableau6[prochaine visite mvt])-MIN(ROW(Employé!$U$4))+1,""),ROWS(B$5:B14))),"")</f>
        <v>15</v>
      </c>
      <c r="C14" s="10" t="str">
        <f t="array" aca="1" ref="C14" ca="1">IFERROR(INDEX(Tableau6[Nom abrégé],SMALL(IF((Tableau6[prochaine visite mvt]&lt;TODAY())*(Tableau6[Status]="Actif"),ROW(Tableau6[prochaine visite mvt])-MIN(ROW(Employé!$U$4))+1,""),ROWS(C$5:C14))),"")</f>
        <v>LEROY Je</v>
      </c>
      <c r="D14" s="11" t="str">
        <f t="array" aca="1" ref="D14" ca="1">IFERROR(INDEX(Tableau6[prochaine visite mvt],SMALL(IF((Tableau6[prochaine visite mvt]&gt;=TODAY())*(Tableau6[prochaine visite mvt]&lt;=TODAY()+15)*(Tableau6[Status]="Actif"),ROW(Tableau6[prochaine visite mvt])-MIN(ROW(Employé!$U$4))+1,""),ROWS(D$5:D14))),"")</f>
        <v/>
      </c>
      <c r="E14" s="12" t="str">
        <f t="array" aca="1" ref="E14" ca="1">IFERROR(INDEX(Tableau6[Nom abrégé],SMALL(IF((Tableau6[prochaine visite mvt]&gt;=TODAY())*(Tableau6[prochaine visite mvt]&lt;=TODAY()+15)*(Tableau6[Status]="Actif"),ROW(Tableau6[prochaine visite mvt])-MIN(ROW(Employé!$U$4))+1,""),ROWS(E$5:E14))),"")</f>
        <v/>
      </c>
      <c r="F14" s="2" t="str">
        <f t="array" aca="1" ref="F14" ca="1">IFERROR(INDEX(Tableau6[prochaine visite mvt],SMALL(IF((Tableau6[prochaine visite mvt]&gt;TODAY()+15)*(Tableau6[Status]="Actif"),ROW(Tableau6[prochaine visite mvt])-MIN(ROW(Employé!$U$4))+1,""),ROWS(F$5:F14))),"")</f>
        <v/>
      </c>
      <c r="G14" s="8" t="str">
        <f t="array" aca="1" ref="G14" ca="1">IFERROR(INDEX(Tableau6[Nom abrégé],SMALL(IF((Tableau6[prochaine visite mvt]&gt;TODAY()+15)*(Tableau6[Status]="Actif"),ROW(Tableau6[prochaine visite mvt])-MIN(ROW(Employé!$U$4))+1,""),ROWS(G$5:G14))),"")</f>
        <v/>
      </c>
      <c r="I14" s="2">
        <f t="array" aca="1" ref="I14" ca="1">IFERROR(INDEX(Tableau6[prochaine visite za],SMALL(IF((Tableau6[prochaine visite za]&lt;TODAY())*(Tableau6[Status]="Actif"),ROW(Tableau6[prochaine visite za])-MIN(ROW(Employé!$X$4))+1,""),ROWS(I$5:I14))),"")</f>
        <v>31</v>
      </c>
      <c r="J14" s="8" t="str">
        <f t="array" aca="1" ref="J14" ca="1">IFERROR(INDEX(Tableau6[Nom abrégé],SMALL(IF((Tableau6[prochaine visite za]&lt;TODAY())*(Tableau6[Status]="Actif"),ROW(Tableau6[prochaine visite za])-MIN(ROW(Employé!$X$4))+1,""),ROWS(J$5:J14))),"")</f>
        <v>DESMYTER Da</v>
      </c>
      <c r="K14" s="2" t="str">
        <f t="array" aca="1" ref="K14" ca="1">IFERROR(INDEX(Tableau6[prochaine visite za],SMALL(IF((Tableau6[prochaine visite za]&gt;=TODAY())*(Tableau6[prochaine visite za]&lt;=TODAY()+31)*(Tableau6[Status]="Actif"),ROW(Tableau6[prochaine visite za])-MIN(ROW(Employé!$X$4))+1,""),ROWS(K$5:K14))),"")</f>
        <v/>
      </c>
      <c r="L14" s="8" t="str">
        <f t="array" aca="1" ref="L14" ca="1">IFERROR(INDEX(Tableau6[Nom abrégé],SMALL(IF((Tableau6[prochaine visite za]&gt;=TODAY())*(Tableau6[prochaine visite za]&lt;=TODAY()+31)*(Tableau6[Status]="Actif"),ROW(Tableau6[prochaine visite za])-MIN(ROW(Employé!$X$4))+1,""),ROWS(L$5:L14))),"")</f>
        <v/>
      </c>
      <c r="M14" s="2" t="str">
        <f t="array" aca="1" ref="M14" ca="1">IFERROR(INDEX(Tableau6[prochaine visite za],SMALL(IF((Tableau6[prochaine visite za]&gt;TODAY()+31)*(Tableau6[Status]="Actif"),ROW(Tableau6[prochaine visite za])-MIN(ROW(Employé!$X$4))+1,""),ROWS(M$5:M14))),"")</f>
        <v/>
      </c>
      <c r="N14" s="8" t="str">
        <f t="array" aca="1" ref="N14" ca="1">IFERROR(INDEX(Tableau6[Nom abrégé],SMALL(IF((Tableau6[prochaine visite za]&gt;TODAY()+31)*(Tableau6[Status]="Actif"),ROW(Tableau6[prochaine visite za])-MIN(ROW(Employé!$X$4))+1,""),ROWS(N$5:N14))),"")</f>
        <v/>
      </c>
    </row>
    <row r="15" spans="1:14" x14ac:dyDescent="0.2">
      <c r="A15" s="9"/>
      <c r="B15" s="2">
        <f t="array" aca="1" ref="B15" ca="1">IFERROR(INDEX(Tableau6[prochaine visite mvt],SMALL(IF((Tableau6[prochaine visite mvt]&lt;TODAY())*(Tableau6[Status]="Actif"),ROW(Tableau6[prochaine visite mvt])-MIN(ROW(Employé!$U$4))+1,""),ROWS(B$5:B15))),"")</f>
        <v>15</v>
      </c>
      <c r="C15" s="10" t="str">
        <f t="array" aca="1" ref="C15" ca="1">IFERROR(INDEX(Tableau6[Nom abrégé],SMALL(IF((Tableau6[prochaine visite mvt]&lt;TODAY())*(Tableau6[Status]="Actif"),ROW(Tableau6[prochaine visite mvt])-MIN(ROW(Employé!$U$4))+1,""),ROWS(C$5:C15))),"")</f>
        <v>FERRARA Ju</v>
      </c>
      <c r="D15" s="11" t="str">
        <f t="array" aca="1" ref="D15" ca="1">IFERROR(INDEX(Tableau6[prochaine visite mvt],SMALL(IF((Tableau6[prochaine visite mvt]&gt;=TODAY())*(Tableau6[prochaine visite mvt]&lt;=TODAY()+15)*(Tableau6[Status]="Actif"),ROW(Tableau6[prochaine visite mvt])-MIN(ROW(Employé!$U$4))+1,""),ROWS(D$5:D15))),"")</f>
        <v/>
      </c>
      <c r="E15" s="12" t="str">
        <f t="array" aca="1" ref="E15" ca="1">IFERROR(INDEX(Tableau6[Nom abrégé],SMALL(IF((Tableau6[prochaine visite mvt]&gt;=TODAY())*(Tableau6[prochaine visite mvt]&lt;=TODAY()+15)*(Tableau6[Status]="Actif"),ROW(Tableau6[prochaine visite mvt])-MIN(ROW(Employé!$U$4))+1,""),ROWS(E$5:E15))),"")</f>
        <v/>
      </c>
      <c r="F15" s="2" t="str">
        <f t="array" aca="1" ref="F15" ca="1">IFERROR(INDEX(Tableau6[prochaine visite mvt],SMALL(IF((Tableau6[prochaine visite mvt]&gt;TODAY()+15)*(Tableau6[Status]="Actif"),ROW(Tableau6[prochaine visite mvt])-MIN(ROW(Employé!$U$4))+1,""),ROWS(F$5:F15))),"")</f>
        <v/>
      </c>
      <c r="G15" s="8" t="str">
        <f t="array" aca="1" ref="G15" ca="1">IFERROR(INDEX(Tableau6[Nom abrégé],SMALL(IF((Tableau6[prochaine visite mvt]&gt;TODAY()+15)*(Tableau6[Status]="Actif"),ROW(Tableau6[prochaine visite mvt])-MIN(ROW(Employé!$U$4))+1,""),ROWS(G$5:G15))),"")</f>
        <v/>
      </c>
      <c r="I15" s="2">
        <f t="array" aca="1" ref="I15" ca="1">IFERROR(INDEX(Tableau6[prochaine visite za],SMALL(IF((Tableau6[prochaine visite za]&lt;TODAY())*(Tableau6[Status]="Actif"),ROW(Tableau6[prochaine visite za])-MIN(ROW(Employé!$X$4))+1,""),ROWS(I$5:I15))),"")</f>
        <v>31</v>
      </c>
      <c r="J15" s="8" t="str">
        <f t="array" aca="1" ref="J15" ca="1">IFERROR(INDEX(Tableau6[Nom abrégé],SMALL(IF((Tableau6[prochaine visite za]&lt;TODAY())*(Tableau6[Status]="Actif"),ROW(Tableau6[prochaine visite za])-MIN(ROW(Employé!$X$4))+1,""),ROWS(J$5:J15))),"")</f>
        <v>NAJJARI Mo</v>
      </c>
      <c r="K15" s="2" t="str">
        <f t="array" aca="1" ref="K15" ca="1">IFERROR(INDEX(Tableau6[prochaine visite za],SMALL(IF((Tableau6[prochaine visite za]&gt;=TODAY())*(Tableau6[prochaine visite za]&lt;=TODAY()+31)*(Tableau6[Status]="Actif"),ROW(Tableau6[prochaine visite za])-MIN(ROW(Employé!$X$4))+1,""),ROWS(K$5:K15))),"")</f>
        <v/>
      </c>
      <c r="L15" s="8" t="str">
        <f t="array" aca="1" ref="L15" ca="1">IFERROR(INDEX(Tableau6[Nom abrégé],SMALL(IF((Tableau6[prochaine visite za]&gt;=TODAY())*(Tableau6[prochaine visite za]&lt;=TODAY()+31)*(Tableau6[Status]="Actif"),ROW(Tableau6[prochaine visite za])-MIN(ROW(Employé!$X$4))+1,""),ROWS(L$5:L15))),"")</f>
        <v/>
      </c>
      <c r="M15" s="2" t="str">
        <f t="array" aca="1" ref="M15" ca="1">IFERROR(INDEX(Tableau6[prochaine visite za],SMALL(IF((Tableau6[prochaine visite za]&gt;TODAY()+31)*(Tableau6[Status]="Actif"),ROW(Tableau6[prochaine visite za])-MIN(ROW(Employé!$X$4))+1,""),ROWS(M$5:M15))),"")</f>
        <v/>
      </c>
      <c r="N15" s="8" t="str">
        <f t="array" aca="1" ref="N15" ca="1">IFERROR(INDEX(Tableau6[Nom abrégé],SMALL(IF((Tableau6[prochaine visite za]&gt;TODAY()+31)*(Tableau6[Status]="Actif"),ROW(Tableau6[prochaine visite za])-MIN(ROW(Employé!$X$4))+1,""),ROWS(N$5:N15))),"")</f>
        <v/>
      </c>
    </row>
    <row r="16" spans="1:14" x14ac:dyDescent="0.2">
      <c r="A16" s="9"/>
      <c r="B16" s="2">
        <f t="array" aca="1" ref="B16" ca="1">IFERROR(INDEX(Tableau6[prochaine visite mvt],SMALL(IF((Tableau6[prochaine visite mvt]&lt;TODAY())*(Tableau6[Status]="Actif"),ROW(Tableau6[prochaine visite mvt])-MIN(ROW(Employé!$U$4))+1,""),ROWS(B$5:B16))),"")</f>
        <v>15</v>
      </c>
      <c r="C16" s="10" t="str">
        <f t="array" aca="1" ref="C16" ca="1">IFERROR(INDEX(Tableau6[Nom abrégé],SMALL(IF((Tableau6[prochaine visite mvt]&lt;TODAY())*(Tableau6[Status]="Actif"),ROW(Tableau6[prochaine visite mvt])-MIN(ROW(Employé!$U$4))+1,""),ROWS(C$5:C16))),"")</f>
        <v>BALLESTER Xa</v>
      </c>
      <c r="D16" s="11" t="str">
        <f t="array" aca="1" ref="D16" ca="1">IFERROR(INDEX(Tableau6[prochaine visite mvt],SMALL(IF((Tableau6[prochaine visite mvt]&gt;=TODAY())*(Tableau6[prochaine visite mvt]&lt;=TODAY()+15)*(Tableau6[Status]="Actif"),ROW(Tableau6[prochaine visite mvt])-MIN(ROW(Employé!$U$4))+1,""),ROWS(D$5:D16))),"")</f>
        <v/>
      </c>
      <c r="E16" s="12" t="str">
        <f t="array" aca="1" ref="E16" ca="1">IFERROR(INDEX(Tableau6[Nom abrégé],SMALL(IF((Tableau6[prochaine visite mvt]&gt;=TODAY())*(Tableau6[prochaine visite mvt]&lt;=TODAY()+15)*(Tableau6[Status]="Actif"),ROW(Tableau6[prochaine visite mvt])-MIN(ROW(Employé!$U$4))+1,""),ROWS(E$5:E16))),"")</f>
        <v/>
      </c>
      <c r="F16" s="2" t="str">
        <f t="array" aca="1" ref="F16" ca="1">IFERROR(INDEX(Tableau6[prochaine visite mvt],SMALL(IF((Tableau6[prochaine visite mvt]&gt;TODAY()+15)*(Tableau6[Status]="Actif"),ROW(Tableau6[prochaine visite mvt])-MIN(ROW(Employé!$U$4))+1,""),ROWS(F$5:F16))),"")</f>
        <v/>
      </c>
      <c r="G16" s="8" t="str">
        <f t="array" aca="1" ref="G16" ca="1">IFERROR(INDEX(Tableau6[Nom abrégé],SMALL(IF((Tableau6[prochaine visite mvt]&gt;TODAY()+15)*(Tableau6[Status]="Actif"),ROW(Tableau6[prochaine visite mvt])-MIN(ROW(Employé!$U$4))+1,""),ROWS(G$5:G16))),"")</f>
        <v/>
      </c>
      <c r="I16" s="2" t="str">
        <f t="array" aca="1" ref="I16" ca="1">IFERROR(INDEX(Tableau6[prochaine visite za],SMALL(IF((Tableau6[prochaine visite za]&lt;TODAY())*(Tableau6[Status]="Actif"),ROW(Tableau6[prochaine visite za])-MIN(ROW(Employé!$X$4))+1,""),ROWS(I$5:I16))),"")</f>
        <v/>
      </c>
      <c r="J16" s="8" t="str">
        <f t="array" aca="1" ref="J16" ca="1">IFERROR(INDEX(Tableau6[Nom abrégé],SMALL(IF((Tableau6[prochaine visite za]&lt;TODAY())*(Tableau6[Status]="Actif"),ROW(Tableau6[prochaine visite za])-MIN(ROW(Employé!$X$4))+1,""),ROWS(J$5:J16))),"")</f>
        <v/>
      </c>
      <c r="K16" s="2" t="str">
        <f t="array" aca="1" ref="K16" ca="1">IFERROR(INDEX(Tableau6[prochaine visite za],SMALL(IF((Tableau6[prochaine visite za]&gt;=TODAY())*(Tableau6[prochaine visite za]&lt;=TODAY()+31)*(Tableau6[Status]="Actif"),ROW(Tableau6[prochaine visite za])-MIN(ROW(Employé!$X$4))+1,""),ROWS(K$5:K16))),"")</f>
        <v/>
      </c>
      <c r="L16" s="8" t="str">
        <f t="array" aca="1" ref="L16" ca="1">IFERROR(INDEX(Tableau6[Nom abrégé],SMALL(IF((Tableau6[prochaine visite za]&gt;=TODAY())*(Tableau6[prochaine visite za]&lt;=TODAY()+31)*(Tableau6[Status]="Actif"),ROW(Tableau6[prochaine visite za])-MIN(ROW(Employé!$X$4))+1,""),ROWS(L$5:L16))),"")</f>
        <v/>
      </c>
      <c r="M16" s="2" t="str">
        <f t="array" aca="1" ref="M16" ca="1">IFERROR(INDEX(Tableau6[prochaine visite za],SMALL(IF((Tableau6[prochaine visite za]&gt;TODAY()+31)*(Tableau6[Status]="Actif"),ROW(Tableau6[prochaine visite za])-MIN(ROW(Employé!$X$4))+1,""),ROWS(M$5:M16))),"")</f>
        <v/>
      </c>
      <c r="N16" s="8" t="str">
        <f t="array" aca="1" ref="N16" ca="1">IFERROR(INDEX(Tableau6[Nom abrégé],SMALL(IF((Tableau6[prochaine visite za]&gt;TODAY()+31)*(Tableau6[Status]="Actif"),ROW(Tableau6[prochaine visite za])-MIN(ROW(Employé!$X$4))+1,""),ROWS(N$5:N16))),"")</f>
        <v/>
      </c>
    </row>
    <row r="17" spans="1:14" x14ac:dyDescent="0.2">
      <c r="A17" s="9"/>
      <c r="B17" s="2">
        <f t="array" aca="1" ref="B17" ca="1">IFERROR(INDEX(Tableau6[prochaine visite mvt],SMALL(IF((Tableau6[prochaine visite mvt]&lt;TODAY())*(Tableau6[Status]="Actif"),ROW(Tableau6[prochaine visite mvt])-MIN(ROW(Employé!$U$4))+1,""),ROWS(B$5:B17))),"")</f>
        <v>15</v>
      </c>
      <c r="C17" s="10" t="str">
        <f t="array" aca="1" ref="C17" ca="1">IFERROR(INDEX(Tableau6[Nom abrégé],SMALL(IF((Tableau6[prochaine visite mvt]&lt;TODAY())*(Tableau6[Status]="Actif"),ROW(Tableau6[prochaine visite mvt])-MIN(ROW(Employé!$U$4))+1,""),ROWS(C$5:C17))),"")</f>
        <v>DESMYTER Da</v>
      </c>
      <c r="D17" s="11" t="str">
        <f t="array" aca="1" ref="D17" ca="1">IFERROR(INDEX(Tableau6[prochaine visite mvt],SMALL(IF((Tableau6[prochaine visite mvt]&gt;=TODAY())*(Tableau6[prochaine visite mvt]&lt;=TODAY()+15)*(Tableau6[Status]="Actif"),ROW(Tableau6[prochaine visite mvt])-MIN(ROW(Employé!$U$4))+1,""),ROWS(D$5:D17))),"")</f>
        <v/>
      </c>
      <c r="E17" s="12" t="str">
        <f t="array" aca="1" ref="E17" ca="1">IFERROR(INDEX(Tableau6[Nom abrégé],SMALL(IF((Tableau6[prochaine visite mvt]&gt;=TODAY())*(Tableau6[prochaine visite mvt]&lt;=TODAY()+15)*(Tableau6[Status]="Actif"),ROW(Tableau6[prochaine visite mvt])-MIN(ROW(Employé!$U$4))+1,""),ROWS(E$5:E17))),"")</f>
        <v/>
      </c>
      <c r="F17" s="2" t="str">
        <f t="array" aca="1" ref="F17" ca="1">IFERROR(INDEX(Tableau6[prochaine visite mvt],SMALL(IF((Tableau6[prochaine visite mvt]&gt;TODAY()+15)*(Tableau6[Status]="Actif"),ROW(Tableau6[prochaine visite mvt])-MIN(ROW(Employé!$U$4))+1,""),ROWS(F$5:F17))),"")</f>
        <v/>
      </c>
      <c r="G17" s="8" t="str">
        <f t="array" aca="1" ref="G17" ca="1">IFERROR(INDEX(Tableau6[Nom abrégé],SMALL(IF((Tableau6[prochaine visite mvt]&gt;TODAY()+15)*(Tableau6[Status]="Actif"),ROW(Tableau6[prochaine visite mvt])-MIN(ROW(Employé!$U$4))+1,""),ROWS(G$5:G17))),"")</f>
        <v/>
      </c>
      <c r="I17" s="2" t="str">
        <f t="array" aca="1" ref="I17" ca="1">IFERROR(INDEX(Tableau6[prochaine visite za],SMALL(IF((Tableau6[prochaine visite za]&lt;TODAY())*(Tableau6[Status]="Actif"),ROW(Tableau6[prochaine visite za])-MIN(ROW(Employé!$X$4))+1,""),ROWS(I$5:I17))),"")</f>
        <v/>
      </c>
      <c r="J17" s="8" t="str">
        <f t="array" aca="1" ref="J17" ca="1">IFERROR(INDEX(Tableau6[Nom abrégé],SMALL(IF((Tableau6[prochaine visite za]&lt;TODAY())*(Tableau6[Status]="Actif"),ROW(Tableau6[prochaine visite za])-MIN(ROW(Employé!$X$4))+1,""),ROWS(J$5:J17))),"")</f>
        <v/>
      </c>
      <c r="K17" s="2" t="str">
        <f t="array" aca="1" ref="K17" ca="1">IFERROR(INDEX(Tableau6[prochaine visite za],SMALL(IF((Tableau6[prochaine visite za]&gt;=TODAY())*(Tableau6[prochaine visite za]&lt;=TODAY()+31)*(Tableau6[Status]="Actif"),ROW(Tableau6[prochaine visite za])-MIN(ROW(Employé!$X$4))+1,""),ROWS(K$5:K17))),"")</f>
        <v/>
      </c>
      <c r="L17" s="8" t="str">
        <f t="array" aca="1" ref="L17" ca="1">IFERROR(INDEX(Tableau6[Nom abrégé],SMALL(IF((Tableau6[prochaine visite za]&gt;=TODAY())*(Tableau6[prochaine visite za]&lt;=TODAY()+31)*(Tableau6[Status]="Actif"),ROW(Tableau6[prochaine visite za])-MIN(ROW(Employé!$X$4))+1,""),ROWS(L$5:L17))),"")</f>
        <v/>
      </c>
      <c r="M17" s="2" t="str">
        <f t="array" aca="1" ref="M17" ca="1">IFERROR(INDEX(Tableau6[prochaine visite za],SMALL(IF((Tableau6[prochaine visite za]&gt;TODAY()+31)*(Tableau6[Status]="Actif"),ROW(Tableau6[prochaine visite za])-MIN(ROW(Employé!$X$4))+1,""),ROWS(M$5:M17))),"")</f>
        <v/>
      </c>
      <c r="N17" s="8" t="str">
        <f t="array" aca="1" ref="N17" ca="1">IFERROR(INDEX(Tableau6[Nom abrégé],SMALL(IF((Tableau6[prochaine visite za]&gt;TODAY()+31)*(Tableau6[Status]="Actif"),ROW(Tableau6[prochaine visite za])-MIN(ROW(Employé!$X$4))+1,""),ROWS(N$5:N17))),"")</f>
        <v/>
      </c>
    </row>
    <row r="18" spans="1:14" x14ac:dyDescent="0.2">
      <c r="A18" s="9"/>
      <c r="B18" s="2">
        <f t="array" aca="1" ref="B18" ca="1">IFERROR(INDEX(Tableau6[prochaine visite mvt],SMALL(IF((Tableau6[prochaine visite mvt]&lt;TODAY())*(Tableau6[Status]="Actif"),ROW(Tableau6[prochaine visite mvt])-MIN(ROW(Employé!$U$4))+1,""),ROWS(B$5:B18))),"")</f>
        <v>15</v>
      </c>
      <c r="C18" s="10" t="str">
        <f t="array" aca="1" ref="C18" ca="1">IFERROR(INDEX(Tableau6[Nom abrégé],SMALL(IF((Tableau6[prochaine visite mvt]&lt;TODAY())*(Tableau6[Status]="Actif"),ROW(Tableau6[prochaine visite mvt])-MIN(ROW(Employé!$U$4))+1,""),ROWS(C$5:C18))),"")</f>
        <v>NAJJARI Mo</v>
      </c>
      <c r="D18" s="11" t="str">
        <f t="array" aca="1" ref="D18" ca="1">IFERROR(INDEX(Tableau6[prochaine visite mvt],SMALL(IF((Tableau6[prochaine visite mvt]&gt;=TODAY())*(Tableau6[prochaine visite mvt]&lt;=TODAY()+15)*(Tableau6[Status]="Actif"),ROW(Tableau6[prochaine visite mvt])-MIN(ROW(Employé!$U$4))+1,""),ROWS(D$5:D18))),"")</f>
        <v/>
      </c>
      <c r="E18" s="12" t="str">
        <f t="array" aca="1" ref="E18" ca="1">IFERROR(INDEX(Tableau6[Nom abrégé],SMALL(IF((Tableau6[prochaine visite mvt]&gt;=TODAY())*(Tableau6[prochaine visite mvt]&lt;=TODAY()+15)*(Tableau6[Status]="Actif"),ROW(Tableau6[prochaine visite mvt])-MIN(ROW(Employé!$U$4))+1,""),ROWS(E$5:E18))),"")</f>
        <v/>
      </c>
      <c r="F18" s="2" t="str">
        <f t="array" aca="1" ref="F18" ca="1">IFERROR(INDEX(Tableau6[prochaine visite mvt],SMALL(IF((Tableau6[prochaine visite mvt]&gt;TODAY()+15)*(Tableau6[Status]="Actif"),ROW(Tableau6[prochaine visite mvt])-MIN(ROW(Employé!$U$4))+1,""),ROWS(F$5:F18))),"")</f>
        <v/>
      </c>
      <c r="G18" s="8" t="str">
        <f t="array" aca="1" ref="G18" ca="1">IFERROR(INDEX(Tableau6[Nom abrégé],SMALL(IF((Tableau6[prochaine visite mvt]&gt;TODAY()+15)*(Tableau6[Status]="Actif"),ROW(Tableau6[prochaine visite mvt])-MIN(ROW(Employé!$U$4))+1,""),ROWS(G$5:G18))),"")</f>
        <v/>
      </c>
      <c r="I18" s="2" t="str">
        <f t="array" aca="1" ref="I18" ca="1">IFERROR(INDEX(Tableau6[prochaine visite za],SMALL(IF((Tableau6[prochaine visite za]&lt;TODAY())*(Tableau6[Status]="Actif"),ROW(Tableau6[prochaine visite za])-MIN(ROW(Employé!$X$4))+1,""),ROWS(I$5:I18))),"")</f>
        <v/>
      </c>
      <c r="J18" s="8" t="str">
        <f t="array" aca="1" ref="J18" ca="1">IFERROR(INDEX(Tableau6[Nom abrégé],SMALL(IF((Tableau6[prochaine visite za]&lt;TODAY())*(Tableau6[Status]="Actif"),ROW(Tableau6[prochaine visite za])-MIN(ROW(Employé!$X$4))+1,""),ROWS(J$5:J18))),"")</f>
        <v/>
      </c>
      <c r="K18" s="2" t="str">
        <f t="array" aca="1" ref="K18" ca="1">IFERROR(INDEX(Tableau6[prochaine visite za],SMALL(IF((Tableau6[prochaine visite za]&gt;=TODAY())*(Tableau6[prochaine visite za]&lt;=TODAY()+31)*(Tableau6[Status]="Actif"),ROW(Tableau6[prochaine visite za])-MIN(ROW(Employé!$X$4))+1,""),ROWS(K$5:K18))),"")</f>
        <v/>
      </c>
      <c r="L18" s="8" t="str">
        <f t="array" aca="1" ref="L18" ca="1">IFERROR(INDEX(Tableau6[Nom abrégé],SMALL(IF((Tableau6[prochaine visite za]&gt;=TODAY())*(Tableau6[prochaine visite za]&lt;=TODAY()+31)*(Tableau6[Status]="Actif"),ROW(Tableau6[prochaine visite za])-MIN(ROW(Employé!$X$4))+1,""),ROWS(L$5:L18))),"")</f>
        <v/>
      </c>
      <c r="M18" s="2" t="str">
        <f t="array" aca="1" ref="M18" ca="1">IFERROR(INDEX(Tableau6[prochaine visite za],SMALL(IF((Tableau6[prochaine visite za]&gt;TODAY()+31)*(Tableau6[Status]="Actif"),ROW(Tableau6[prochaine visite za])-MIN(ROW(Employé!$X$4))+1,""),ROWS(M$5:M18))),"")</f>
        <v/>
      </c>
      <c r="N18" s="8" t="str">
        <f t="array" aca="1" ref="N18" ca="1">IFERROR(INDEX(Tableau6[Nom abrégé],SMALL(IF((Tableau6[prochaine visite za]&gt;TODAY()+31)*(Tableau6[Status]="Actif"),ROW(Tableau6[prochaine visite za])-MIN(ROW(Employé!$X$4))+1,""),ROWS(N$5:N18))),"")</f>
        <v/>
      </c>
    </row>
    <row r="19" spans="1:14" ht="13.5" thickBot="1" x14ac:dyDescent="0.25">
      <c r="A19" s="9"/>
      <c r="B19" s="2" t="str">
        <f t="array" aca="1" ref="B19" ca="1">IFERROR(INDEX(Tableau6[prochaine visite mvt],SMALL(IF((Tableau6[prochaine visite mvt]&lt;TODAY())*(Tableau6[Status]="Actif"),ROW(Tableau6[prochaine visite mvt])-MIN(ROW(Employé!$U$4))+1,""),ROWS(B$5:B19))),"")</f>
        <v/>
      </c>
      <c r="C19" s="10" t="str">
        <f t="array" aca="1" ref="C19" ca="1">IFERROR(INDEX(Tableau6[Nom abrégé],SMALL(IF((Tableau6[prochaine visite mvt]&lt;TODAY())*(Tableau6[Status]="Actif"),ROW(Tableau6[prochaine visite mvt])-MIN(ROW(Employé!$U$4))+1,""),ROWS(C$5:C19))),"")</f>
        <v/>
      </c>
      <c r="D19" s="11" t="str">
        <f t="array" aca="1" ref="D19" ca="1">IFERROR(INDEX(Tableau6[prochaine visite mvt],SMALL(IF((Tableau6[prochaine visite mvt]&gt;=TODAY())*(Tableau6[prochaine visite mvt]&lt;=TODAY()+15)*(Tableau6[Status]="Actif"),ROW(Tableau6[prochaine visite mvt])-MIN(ROW(Employé!$U$4))+1,""),ROWS(D$5:D19))),"")</f>
        <v/>
      </c>
      <c r="E19" s="12" t="str">
        <f t="array" aca="1" ref="E19" ca="1">IFERROR(INDEX(Tableau6[Nom abrégé],SMALL(IF((Tableau6[prochaine visite mvt]&gt;=TODAY())*(Tableau6[prochaine visite mvt]&lt;=TODAY()+15)*(Tableau6[Status]="Actif"),ROW(Tableau6[prochaine visite mvt])-MIN(ROW(Employé!$U$4))+1,""),ROWS(E$5:E19))),"")</f>
        <v/>
      </c>
      <c r="F19" s="2" t="str">
        <f t="array" aca="1" ref="F19" ca="1">IFERROR(INDEX(Tableau6[prochaine visite mvt],SMALL(IF((Tableau6[prochaine visite mvt]&gt;TODAY()+15)*(Tableau6[Status]="Actif"),ROW(Tableau6[prochaine visite mvt])-MIN(ROW(Employé!$U$4))+1,""),ROWS(F$5:F19))),"")</f>
        <v/>
      </c>
      <c r="G19" s="8" t="str">
        <f t="array" aca="1" ref="G19" ca="1">IFERROR(INDEX(Tableau6[Nom abrégé],SMALL(IF((Tableau6[prochaine visite mvt]&gt;TODAY()+15)*(Tableau6[Status]="Actif"),ROW(Tableau6[prochaine visite mvt])-MIN(ROW(Employé!$U$4))+1,""),ROWS(G$5:G19))),"")</f>
        <v/>
      </c>
      <c r="I19" s="2" t="str">
        <f t="array" aca="1" ref="I19" ca="1">IFERROR(INDEX(Tableau6[prochaine visite za],SMALL(IF((Tableau6[prochaine visite za]&lt;TODAY())*(Tableau6[Status]="Actif"),ROW(Tableau6[prochaine visite za])-MIN(ROW(Employé!$X$4))+1,""),ROWS(I$5:I19))),"")</f>
        <v/>
      </c>
      <c r="J19" s="8" t="str">
        <f t="array" aca="1" ref="J19" ca="1">IFERROR(INDEX(Tableau6[Nom abrégé],SMALL(IF((Tableau6[prochaine visite za]&lt;TODAY())*(Tableau6[Status]="Actif"),ROW(Tableau6[prochaine visite za])-MIN(ROW(Employé!$X$4))+1,""),ROWS(J$5:J19))),"")</f>
        <v/>
      </c>
      <c r="K19" s="2" t="str">
        <f t="array" aca="1" ref="K19" ca="1">IFERROR(INDEX(Tableau6[prochaine visite za],SMALL(IF((Tableau6[prochaine visite za]&gt;=TODAY())*(Tableau6[prochaine visite za]&lt;=TODAY()+31)*(Tableau6[Status]="Actif"),ROW(Tableau6[prochaine visite za])-MIN(ROW(Employé!$X$4))+1,""),ROWS(K$5:K19))),"")</f>
        <v/>
      </c>
      <c r="L19" s="8" t="str">
        <f t="array" aca="1" ref="L19" ca="1">IFERROR(INDEX(Tableau6[Nom abrégé],SMALL(IF((Tableau6[prochaine visite za]&gt;=TODAY())*(Tableau6[prochaine visite za]&lt;=TODAY()+31)*(Tableau6[Status]="Actif"),ROW(Tableau6[prochaine visite za])-MIN(ROW(Employé!$X$4))+1,""),ROWS(L$5:L19))),"")</f>
        <v/>
      </c>
      <c r="M19" s="2" t="str">
        <f t="array" aca="1" ref="M19" ca="1">IFERROR(INDEX(Tableau6[prochaine visite za],SMALL(IF((Tableau6[prochaine visite za]&gt;TODAY()+31)*(Tableau6[Status]="Actif"),ROW(Tableau6[prochaine visite za])-MIN(ROW(Employé!$X$4))+1,""),ROWS(M$5:M19))),"")</f>
        <v/>
      </c>
      <c r="N19" s="8" t="str">
        <f t="array" aca="1" ref="N19" ca="1">IFERROR(INDEX(Tableau6[Nom abrégé],SMALL(IF((Tableau6[prochaine visite za]&gt;TODAY()+31)*(Tableau6[Status]="Actif"),ROW(Tableau6[prochaine visite za])-MIN(ROW(Employé!$X$4))+1,""),ROWS(N$5:N19))),"")</f>
        <v/>
      </c>
    </row>
    <row r="20" spans="1:14" ht="13.5" thickTop="1" x14ac:dyDescent="0.2">
      <c r="A20" s="9"/>
      <c r="B20" s="21"/>
      <c r="C20" s="22"/>
      <c r="D20" s="22"/>
      <c r="E20" s="22"/>
      <c r="F20" s="22"/>
      <c r="G20" s="22"/>
      <c r="I20" s="21"/>
      <c r="J20" s="22"/>
      <c r="K20" s="22"/>
      <c r="L20" s="22"/>
      <c r="M20" s="22"/>
      <c r="N20" s="22"/>
    </row>
    <row r="21" spans="1:14" x14ac:dyDescent="0.2">
      <c r="B21" s="25" t="s">
        <v>118</v>
      </c>
    </row>
    <row r="22" spans="1:14" ht="15.75" x14ac:dyDescent="0.2">
      <c r="B22" s="81" t="s">
        <v>103</v>
      </c>
      <c r="C22" s="82"/>
      <c r="D22" s="82"/>
      <c r="E22" s="82"/>
      <c r="F22" s="82"/>
      <c r="G22" s="83"/>
      <c r="I22" s="81" t="s">
        <v>104</v>
      </c>
      <c r="J22" s="82"/>
      <c r="K22" s="82"/>
      <c r="L22" s="82"/>
      <c r="M22" s="82"/>
      <c r="N22" s="83"/>
    </row>
    <row r="23" spans="1:14" x14ac:dyDescent="0.2">
      <c r="B23" s="84" t="s">
        <v>24</v>
      </c>
      <c r="C23" s="84"/>
      <c r="D23" s="85" t="str">
        <f ca="1">TEXT(TODAY(),"jj/mm/aaaa")&amp;" --&gt; "&amp;TEXT(TODAY()+92,"jj/mm/aaaa")</f>
        <v>10/10/2018 --&gt; 10/01/2019</v>
      </c>
      <c r="E23" s="85"/>
      <c r="F23" s="86" t="str">
        <f ca="1">"&gt; "&amp;TEXT(TODAY()+92,"jj/mm/aaaa")</f>
        <v>&gt; 10/01/2019</v>
      </c>
      <c r="G23" s="86"/>
      <c r="I23" s="84" t="s">
        <v>24</v>
      </c>
      <c r="J23" s="84"/>
      <c r="K23" s="85" t="str">
        <f ca="1">TEXT(TODAY(),"jj/mm/aaaa")&amp;" --&gt; "&amp;TEXT(TODAY()+365,"jj/mm/aaaa")</f>
        <v>10/10/2018 --&gt; 10/10/2019</v>
      </c>
      <c r="L23" s="85"/>
      <c r="M23" s="86" t="str">
        <f ca="1">"&gt; "&amp;TEXT(TODAY()+365,"jj/mm/aaaa")</f>
        <v>&gt; 10/10/2019</v>
      </c>
      <c r="N23" s="86"/>
    </row>
    <row r="24" spans="1:14" x14ac:dyDescent="0.2">
      <c r="B24" s="15" t="s">
        <v>25</v>
      </c>
      <c r="C24" s="15" t="s">
        <v>26</v>
      </c>
      <c r="D24" s="15" t="s">
        <v>25</v>
      </c>
      <c r="E24" s="15" t="s">
        <v>26</v>
      </c>
      <c r="F24" s="15" t="s">
        <v>25</v>
      </c>
      <c r="G24" s="15" t="s">
        <v>26</v>
      </c>
      <c r="I24" s="15" t="s">
        <v>25</v>
      </c>
      <c r="J24" s="15" t="s">
        <v>26</v>
      </c>
      <c r="K24" s="15" t="s">
        <v>25</v>
      </c>
      <c r="L24" s="15" t="s">
        <v>26</v>
      </c>
      <c r="M24" s="15" t="s">
        <v>25</v>
      </c>
      <c r="N24" s="15" t="s">
        <v>26</v>
      </c>
    </row>
    <row r="25" spans="1:14" x14ac:dyDescent="0.2">
      <c r="B25" s="2">
        <f t="array" aca="1" ref="B25" ca="1">IFERROR(INDEX(Tableau6[prochaine visite zva],SMALL(IF((Tableau6[prochaine visite zva]&lt;TODAY())*(Tableau6[Status]="Actif"),ROW(Tableau6[prochaine visite zva])-MIN(ROW(Employé!$AA$4))+1,""),ROWS(B$25:B25))),"")</f>
        <v>91</v>
      </c>
      <c r="C25" s="8" t="str">
        <f t="array" aca="1" ref="C25" ca="1">IFERROR(INDEX(Tableau6[Nom abrégé],SMALL(IF((Tableau6[prochaine visite zva]&lt;TODAY())*(Tableau6[Status]="Actif"),ROW(Tableau6[prochaine visite zva])-MIN(ROW(Employé!$AA$4))+1,""),ROWS(C$25:C25))),"")</f>
        <v>BENAZET Je</v>
      </c>
      <c r="D25" s="2" t="str">
        <f t="array" aca="1" ref="D25" ca="1">IFERROR(INDEX(Tableau6[prochaine visite zva],SMALL(IF((Tableau6[prochaine visite zva]&gt;=TODAY())*(Tableau6[prochaine visite zva]&lt;=TODAY()+92)*(Tableau6[Status]="Actif"),ROW(Tableau6[prochaine visite zva])-MIN(ROW(Employé!$AA$4))+1,""),ROWS(D$25:D25))),"")</f>
        <v/>
      </c>
      <c r="E25" s="8" t="str">
        <f t="array" aca="1" ref="E25" ca="1">IFERROR(INDEX(Tableau6[Nom abrégé],SMALL(IF((Tableau6[prochaine visite zva]&gt;=TODAY())*(Tableau6[prochaine visite zva]&lt;=TODAY()+92)*(Tableau6[Status]="Actif"),ROW(Tableau6[prochaine visite zva])-MIN(ROW(Employé!$AA$4))+1,""),ROWS(E$25:E25))),"")</f>
        <v/>
      </c>
      <c r="F25" s="2" t="str">
        <f t="array" aca="1" ref="F25" ca="1">IFERROR(INDEX(Tableau6[prochaine visite zva],SMALL(IF((Tableau6[prochaine visite zva]&gt;TODAY()+92)*(Tableau6[Status]="Actif"),ROW(Tableau6[prochaine visite zva])-MIN(ROW(Employé!$AA$4))+1,""),ROWS(F$25:F25))),"")</f>
        <v/>
      </c>
      <c r="G25" s="8" t="str">
        <f t="array" aca="1" ref="G25" ca="1">IFERROR(INDEX(Tableau6[Nom abrégé],SMALL(IF((Tableau6[prochaine visite zva]&gt;TODAY()+92)*(Tableau6[Status]="Actif"),ROW(Tableau6[prochaine visite zva])-MIN(ROW(Employé!$AA$4))+1,""),ROWS(G$25:G25))),"")</f>
        <v/>
      </c>
    </row>
    <row r="26" spans="1:14" x14ac:dyDescent="0.2">
      <c r="B26" s="2">
        <f t="array" aca="1" ref="B26" ca="1">IFERROR(INDEX(Tableau6[prochaine visite zva],SMALL(IF((Tableau6[prochaine visite zva]&lt;TODAY())*(Tableau6[Status]="Actif"),ROW(Tableau6[prochaine visite zva])-MIN(ROW(Employé!$AA$4))+1,""),ROWS(B$25:B26))),"")</f>
        <v>91</v>
      </c>
      <c r="C26" s="8" t="str">
        <f t="array" aca="1" ref="C26" ca="1">IFERROR(INDEX(Tableau6[Nom abrégé],SMALL(IF((Tableau6[prochaine visite zva]&lt;TODAY())*(Tableau6[Status]="Actif"),ROW(Tableau6[prochaine visite zva])-MIN(ROW(Employé!$AA$4))+1,""),ROWS(C$25:C26))),"")</f>
        <v>ZARAGOZA Di</v>
      </c>
      <c r="D26" s="2" t="str">
        <f t="array" aca="1" ref="D26" ca="1">IFERROR(INDEX(Tableau6[prochaine visite zva],SMALL(IF((Tableau6[prochaine visite zva]&gt;=TODAY())*(Tableau6[prochaine visite zva]&lt;=TODAY()+92)*(Tableau6[Status]="Actif"),ROW(Tableau6[prochaine visite zva])-MIN(ROW(Employé!$AA$4))+1,""),ROWS(D$25:D26))),"")</f>
        <v/>
      </c>
      <c r="E26" s="8" t="str">
        <f t="array" aca="1" ref="E26" ca="1">IFERROR(INDEX(Tableau6[Nom abrégé],SMALL(IF((Tableau6[prochaine visite zva]&gt;=TODAY())*(Tableau6[prochaine visite zva]&lt;=TODAY()+92)*(Tableau6[Status]="Actif"),ROW(Tableau6[prochaine visite zva])-MIN(ROW(Employé!$AA$4))+1,""),ROWS(E$25:E26))),"")</f>
        <v/>
      </c>
      <c r="F26" s="2" t="str">
        <f t="array" aca="1" ref="F26" ca="1">IFERROR(INDEX(Tableau6[prochaine visite zva],SMALL(IF((Tableau6[prochaine visite zva]&gt;TODAY()+92)*(Tableau6[Status]="Actif"),ROW(Tableau6[prochaine visite zva])-MIN(ROW(Employé!$AA$4))+1,""),ROWS(F$25:F26))),"")</f>
        <v/>
      </c>
      <c r="G26" s="8" t="str">
        <f t="array" aca="1" ref="G26" ca="1">IFERROR(INDEX(Tableau6[Nom abrégé],SMALL(IF((Tableau6[prochaine visite zva]&gt;TODAY()+92)*(Tableau6[Status]="Actif"),ROW(Tableau6[prochaine visite zva])-MIN(ROW(Employé!$AA$4))+1,""),ROWS(G$25:G26))),"")</f>
        <v/>
      </c>
    </row>
    <row r="27" spans="1:14" x14ac:dyDescent="0.2">
      <c r="B27" s="2">
        <f t="array" aca="1" ref="B27" ca="1">IFERROR(INDEX(Tableau6[prochaine visite zva],SMALL(IF((Tableau6[prochaine visite zva]&lt;TODAY())*(Tableau6[Status]="Actif"),ROW(Tableau6[prochaine visite zva])-MIN(ROW(Employé!$AA$4))+1,""),ROWS(B$25:B27))),"")</f>
        <v>91</v>
      </c>
      <c r="C27" s="8" t="str">
        <f t="array" aca="1" ref="C27" ca="1">IFERROR(INDEX(Tableau6[Nom abrégé],SMALL(IF((Tableau6[prochaine visite zva]&lt;TODAY())*(Tableau6[Status]="Actif"),ROW(Tableau6[prochaine visite zva])-MIN(ROW(Employé!$AA$4))+1,""),ROWS(C$25:C27))),"")</f>
        <v>SANTOS Je</v>
      </c>
      <c r="D27" s="2" t="str">
        <f t="array" aca="1" ref="D27" ca="1">IFERROR(INDEX(Tableau6[prochaine visite zva],SMALL(IF((Tableau6[prochaine visite zva]&gt;=TODAY())*(Tableau6[prochaine visite zva]&lt;=TODAY()+92)*(Tableau6[Status]="Actif"),ROW(Tableau6[prochaine visite zva])-MIN(ROW(Employé!$AA$4))+1,""),ROWS(D$25:D27))),"")</f>
        <v/>
      </c>
      <c r="E27" s="8" t="str">
        <f t="array" aca="1" ref="E27" ca="1">IFERROR(INDEX(Tableau6[Nom abrégé],SMALL(IF((Tableau6[prochaine visite zva]&gt;=TODAY())*(Tableau6[prochaine visite zva]&lt;=TODAY()+92)*(Tableau6[Status]="Actif"),ROW(Tableau6[prochaine visite zva])-MIN(ROW(Employé!$AA$4))+1,""),ROWS(E$25:E27))),"")</f>
        <v/>
      </c>
      <c r="F27" s="2" t="str">
        <f t="array" aca="1" ref="F27" ca="1">IFERROR(INDEX(Tableau6[prochaine visite zva],SMALL(IF((Tableau6[prochaine visite zva]&gt;TODAY()+92)*(Tableau6[Status]="Actif"),ROW(Tableau6[prochaine visite zva])-MIN(ROW(Employé!$AA$4))+1,""),ROWS(F$25:F27))),"")</f>
        <v/>
      </c>
      <c r="G27" s="8" t="str">
        <f t="array" aca="1" ref="G27" ca="1">IFERROR(INDEX(Tableau6[Nom abrégé],SMALL(IF((Tableau6[prochaine visite zva]&gt;TODAY()+92)*(Tableau6[Status]="Actif"),ROW(Tableau6[prochaine visite zva])-MIN(ROW(Employé!$AA$4))+1,""),ROWS(G$25:G27))),"")</f>
        <v/>
      </c>
    </row>
    <row r="28" spans="1:14" x14ac:dyDescent="0.2">
      <c r="B28" s="2">
        <f t="array" aca="1" ref="B28" ca="1">IFERROR(INDEX(Tableau6[prochaine visite zva],SMALL(IF((Tableau6[prochaine visite zva]&lt;TODAY())*(Tableau6[Status]="Actif"),ROW(Tableau6[prochaine visite zva])-MIN(ROW(Employé!$AA$4))+1,""),ROWS(B$25:B28))),"")</f>
        <v>91</v>
      </c>
      <c r="C28" s="8" t="str">
        <f t="array" aca="1" ref="C28" ca="1">IFERROR(INDEX(Tableau6[Nom abrégé],SMALL(IF((Tableau6[prochaine visite zva]&lt;TODAY())*(Tableau6[Status]="Actif"),ROW(Tableau6[prochaine visite zva])-MIN(ROW(Employé!$AA$4))+1,""),ROWS(C$25:C28))),"")</f>
        <v>NAVARRO Ch</v>
      </c>
      <c r="D28" s="2" t="str">
        <f t="array" aca="1" ref="D28" ca="1">IFERROR(INDEX(Tableau6[prochaine visite zva],SMALL(IF((Tableau6[prochaine visite zva]&gt;=TODAY())*(Tableau6[prochaine visite zva]&lt;=TODAY()+92)*(Tableau6[Status]="Actif"),ROW(Tableau6[prochaine visite zva])-MIN(ROW(Employé!$AA$4))+1,""),ROWS(D$25:D28))),"")</f>
        <v/>
      </c>
      <c r="E28" s="8" t="str">
        <f t="array" aca="1" ref="E28" ca="1">IFERROR(INDEX(Tableau6[Nom abrégé],SMALL(IF((Tableau6[prochaine visite zva]&gt;=TODAY())*(Tableau6[prochaine visite zva]&lt;=TODAY()+92)*(Tableau6[Status]="Actif"),ROW(Tableau6[prochaine visite zva])-MIN(ROW(Employé!$AA$4))+1,""),ROWS(E$25:E28))),"")</f>
        <v/>
      </c>
      <c r="F28" s="2" t="str">
        <f t="array" aca="1" ref="F28" ca="1">IFERROR(INDEX(Tableau6[prochaine visite zva],SMALL(IF((Tableau6[prochaine visite zva]&gt;TODAY()+92)*(Tableau6[Status]="Actif"),ROW(Tableau6[prochaine visite zva])-MIN(ROW(Employé!$AA$4))+1,""),ROWS(F$25:F28))),"")</f>
        <v/>
      </c>
      <c r="G28" s="8" t="str">
        <f t="array" aca="1" ref="G28" ca="1">IFERROR(INDEX(Tableau6[Nom abrégé],SMALL(IF((Tableau6[prochaine visite zva]&gt;TODAY()+92)*(Tableau6[Status]="Actif"),ROW(Tableau6[prochaine visite zva])-MIN(ROW(Employé!$AA$4))+1,""),ROWS(G$25:G28))),"")</f>
        <v/>
      </c>
    </row>
    <row r="29" spans="1:14" x14ac:dyDescent="0.2">
      <c r="B29" s="2">
        <f t="array" aca="1" ref="B29" ca="1">IFERROR(INDEX(Tableau6[prochaine visite zva],SMALL(IF((Tableau6[prochaine visite zva]&lt;TODAY())*(Tableau6[Status]="Actif"),ROW(Tableau6[prochaine visite zva])-MIN(ROW(Employé!$AA$4))+1,""),ROWS(B$25:B29))),"")</f>
        <v>91</v>
      </c>
      <c r="C29" s="8" t="str">
        <f t="array" aca="1" ref="C29" ca="1">IFERROR(INDEX(Tableau6[Nom abrégé],SMALL(IF((Tableau6[prochaine visite zva]&lt;TODAY())*(Tableau6[Status]="Actif"),ROW(Tableau6[prochaine visite zva])-MIN(ROW(Employé!$AA$4))+1,""),ROWS(C$25:C29))),"")</f>
        <v>AUDIE An</v>
      </c>
      <c r="D29" s="2" t="str">
        <f t="array" aca="1" ref="D29" ca="1">IFERROR(INDEX(Tableau6[prochaine visite zva],SMALL(IF((Tableau6[prochaine visite zva]&gt;=TODAY())*(Tableau6[prochaine visite zva]&lt;=TODAY()+92)*(Tableau6[Status]="Actif"),ROW(Tableau6[prochaine visite zva])-MIN(ROW(Employé!$AA$4))+1,""),ROWS(D$25:D29))),"")</f>
        <v/>
      </c>
      <c r="E29" s="8" t="str">
        <f t="array" aca="1" ref="E29" ca="1">IFERROR(INDEX(Tableau6[Nom abrégé],SMALL(IF((Tableau6[prochaine visite zva]&gt;=TODAY())*(Tableau6[prochaine visite zva]&lt;=TODAY()+92)*(Tableau6[Status]="Actif"),ROW(Tableau6[prochaine visite zva])-MIN(ROW(Employé!$AA$4))+1,""),ROWS(E$25:E29))),"")</f>
        <v/>
      </c>
      <c r="F29" s="2" t="str">
        <f t="array" aca="1" ref="F29" ca="1">IFERROR(INDEX(Tableau6[prochaine visite zva],SMALL(IF((Tableau6[prochaine visite zva]&gt;TODAY()+92)*(Tableau6[Status]="Actif"),ROW(Tableau6[prochaine visite zva])-MIN(ROW(Employé!$AA$4))+1,""),ROWS(F$25:F29))),"")</f>
        <v/>
      </c>
      <c r="G29" s="8" t="str">
        <f t="array" aca="1" ref="G29" ca="1">IFERROR(INDEX(Tableau6[Nom abrégé],SMALL(IF((Tableau6[prochaine visite zva]&gt;TODAY()+92)*(Tableau6[Status]="Actif"),ROW(Tableau6[prochaine visite zva])-MIN(ROW(Employé!$AA$4))+1,""),ROWS(G$25:G29))),"")</f>
        <v/>
      </c>
    </row>
    <row r="30" spans="1:14" x14ac:dyDescent="0.2">
      <c r="B30" s="2">
        <f t="array" aca="1" ref="B30" ca="1">IFERROR(INDEX(Tableau6[prochaine visite zva],SMALL(IF((Tableau6[prochaine visite zva]&lt;TODAY())*(Tableau6[Status]="Actif"),ROW(Tableau6[prochaine visite zva])-MIN(ROW(Employé!$AA$4))+1,""),ROWS(B$25:B30))),"")</f>
        <v>91</v>
      </c>
      <c r="C30" s="8" t="str">
        <f t="array" aca="1" ref="C30" ca="1">IFERROR(INDEX(Tableau6[Nom abrégé],SMALL(IF((Tableau6[prochaine visite zva]&lt;TODAY())*(Tableau6[Status]="Actif"),ROW(Tableau6[prochaine visite zva])-MIN(ROW(Employé!$AA$4))+1,""),ROWS(C$25:C30))),"")</f>
        <v>DISTEFANO Al</v>
      </c>
      <c r="D30" s="2" t="str">
        <f t="array" aca="1" ref="D30" ca="1">IFERROR(INDEX(Tableau6[prochaine visite zva],SMALL(IF((Tableau6[prochaine visite zva]&gt;=TODAY())*(Tableau6[prochaine visite zva]&lt;=TODAY()+92)*(Tableau6[Status]="Actif"),ROW(Tableau6[prochaine visite zva])-MIN(ROW(Employé!$AA$4))+1,""),ROWS(D$25:D30))),"")</f>
        <v/>
      </c>
      <c r="E30" s="8" t="str">
        <f t="array" aca="1" ref="E30" ca="1">IFERROR(INDEX(Tableau6[Nom abrégé],SMALL(IF((Tableau6[prochaine visite zva]&gt;=TODAY())*(Tableau6[prochaine visite zva]&lt;=TODAY()+92)*(Tableau6[Status]="Actif"),ROW(Tableau6[prochaine visite zva])-MIN(ROW(Employé!$AA$4))+1,""),ROWS(E$25:E30))),"")</f>
        <v/>
      </c>
      <c r="F30" s="2" t="str">
        <f t="array" aca="1" ref="F30" ca="1">IFERROR(INDEX(Tableau6[prochaine visite zva],SMALL(IF((Tableau6[prochaine visite zva]&gt;TODAY()+92)*(Tableau6[Status]="Actif"),ROW(Tableau6[prochaine visite zva])-MIN(ROW(Employé!$AA$4))+1,""),ROWS(F$25:F30))),"")</f>
        <v/>
      </c>
      <c r="G30" s="8" t="str">
        <f t="array" aca="1" ref="G30" ca="1">IFERROR(INDEX(Tableau6[Nom abrégé],SMALL(IF((Tableau6[prochaine visite zva]&gt;TODAY()+92)*(Tableau6[Status]="Actif"),ROW(Tableau6[prochaine visite zva])-MIN(ROW(Employé!$AA$4))+1,""),ROWS(G$25:G30))),"")</f>
        <v/>
      </c>
    </row>
    <row r="31" spans="1:14" x14ac:dyDescent="0.2">
      <c r="B31" s="2">
        <f t="array" aca="1" ref="B31" ca="1">IFERROR(INDEX(Tableau6[prochaine visite zva],SMALL(IF((Tableau6[prochaine visite zva]&lt;TODAY())*(Tableau6[Status]="Actif"),ROW(Tableau6[prochaine visite zva])-MIN(ROW(Employé!$AA$4))+1,""),ROWS(B$25:B31))),"")</f>
        <v>91</v>
      </c>
      <c r="C31" s="8" t="str">
        <f t="array" aca="1" ref="C31" ca="1">IFERROR(INDEX(Tableau6[Nom abrégé],SMALL(IF((Tableau6[prochaine visite zva]&lt;TODAY())*(Tableau6[Status]="Actif"),ROW(Tableau6[prochaine visite zva])-MIN(ROW(Employé!$AA$4))+1,""),ROWS(C$25:C31))),"")</f>
        <v>SCHWEITZER Je</v>
      </c>
      <c r="D31" s="2" t="str">
        <f t="array" aca="1" ref="D31" ca="1">IFERROR(INDEX(Tableau6[prochaine visite zva],SMALL(IF((Tableau6[prochaine visite zva]&gt;=TODAY())*(Tableau6[prochaine visite zva]&lt;=TODAY()+92)*(Tableau6[Status]="Actif"),ROW(Tableau6[prochaine visite zva])-MIN(ROW(Employé!$AA$4))+1,""),ROWS(D$25:D31))),"")</f>
        <v/>
      </c>
      <c r="E31" s="8" t="str">
        <f t="array" aca="1" ref="E31" ca="1">IFERROR(INDEX(Tableau6[Nom abrégé],SMALL(IF((Tableau6[prochaine visite zva]&gt;=TODAY())*(Tableau6[prochaine visite zva]&lt;=TODAY()+92)*(Tableau6[Status]="Actif"),ROW(Tableau6[prochaine visite zva])-MIN(ROW(Employé!$AA$4))+1,""),ROWS(E$25:E31))),"")</f>
        <v/>
      </c>
      <c r="F31" s="2" t="str">
        <f t="array" aca="1" ref="F31" ca="1">IFERROR(INDEX(Tableau6[prochaine visite zva],SMALL(IF((Tableau6[prochaine visite zva]&gt;TODAY()+92)*(Tableau6[Status]="Actif"),ROW(Tableau6[prochaine visite zva])-MIN(ROW(Employé!$AA$4))+1,""),ROWS(F$25:F31))),"")</f>
        <v/>
      </c>
      <c r="G31" s="8" t="str">
        <f t="array" aca="1" ref="G31" ca="1">IFERROR(INDEX(Tableau6[Nom abrégé],SMALL(IF((Tableau6[prochaine visite zva]&gt;TODAY()+92)*(Tableau6[Status]="Actif"),ROW(Tableau6[prochaine visite zva])-MIN(ROW(Employé!$AA$4))+1,""),ROWS(G$25:G31))),"")</f>
        <v/>
      </c>
    </row>
    <row r="32" spans="1:14" x14ac:dyDescent="0.2">
      <c r="B32" s="2">
        <f t="array" aca="1" ref="B32" ca="1">IFERROR(INDEX(Tableau6[prochaine visite zva],SMALL(IF((Tableau6[prochaine visite zva]&lt;TODAY())*(Tableau6[Status]="Actif"),ROW(Tableau6[prochaine visite zva])-MIN(ROW(Employé!$AA$4))+1,""),ROWS(B$25:B32))),"")</f>
        <v>91</v>
      </c>
      <c r="C32" s="8" t="str">
        <f t="array" aca="1" ref="C32" ca="1">IFERROR(INDEX(Tableau6[Nom abrégé],SMALL(IF((Tableau6[prochaine visite zva]&lt;TODAY())*(Tableau6[Status]="Actif"),ROW(Tableau6[prochaine visite zva])-MIN(ROW(Employé!$AA$4))+1,""),ROWS(C$25:C32))),"")</f>
        <v>AFONSO Ju</v>
      </c>
      <c r="D32" s="2" t="str">
        <f t="array" aca="1" ref="D32" ca="1">IFERROR(INDEX(Tableau6[prochaine visite zva],SMALL(IF((Tableau6[prochaine visite zva]&gt;=TODAY())*(Tableau6[prochaine visite zva]&lt;=TODAY()+92)*(Tableau6[Status]="Actif"),ROW(Tableau6[prochaine visite zva])-MIN(ROW(Employé!$AA$4))+1,""),ROWS(D$25:D32))),"")</f>
        <v/>
      </c>
      <c r="E32" s="8" t="str">
        <f t="array" aca="1" ref="E32" ca="1">IFERROR(INDEX(Tableau6[Nom abrégé],SMALL(IF((Tableau6[prochaine visite zva]&gt;=TODAY())*(Tableau6[prochaine visite zva]&lt;=TODAY()+92)*(Tableau6[Status]="Actif"),ROW(Tableau6[prochaine visite zva])-MIN(ROW(Employé!$AA$4))+1,""),ROWS(E$25:E32))),"")</f>
        <v/>
      </c>
      <c r="F32" s="2" t="str">
        <f t="array" aca="1" ref="F32" ca="1">IFERROR(INDEX(Tableau6[prochaine visite zva],SMALL(IF((Tableau6[prochaine visite zva]&gt;TODAY()+92)*(Tableau6[Status]="Actif"),ROW(Tableau6[prochaine visite zva])-MIN(ROW(Employé!$AA$4))+1,""),ROWS(F$25:F32))),"")</f>
        <v/>
      </c>
      <c r="G32" s="8" t="str">
        <f t="array" aca="1" ref="G32" ca="1">IFERROR(INDEX(Tableau6[Nom abrégé],SMALL(IF((Tableau6[prochaine visite zva]&gt;TODAY()+92)*(Tableau6[Status]="Actif"),ROW(Tableau6[prochaine visite zva])-MIN(ROW(Employé!$AA$4))+1,""),ROWS(G$25:G32))),"")</f>
        <v/>
      </c>
    </row>
    <row r="33" spans="2:14" x14ac:dyDescent="0.2">
      <c r="B33" s="2">
        <f t="array" aca="1" ref="B33" ca="1">IFERROR(INDEX(Tableau6[prochaine visite zva],SMALL(IF((Tableau6[prochaine visite zva]&lt;TODAY())*(Tableau6[Status]="Actif"),ROW(Tableau6[prochaine visite zva])-MIN(ROW(Employé!$AA$4))+1,""),ROWS(B$25:B33))),"")</f>
        <v>91</v>
      </c>
      <c r="C33" s="8" t="str">
        <f t="array" aca="1" ref="C33" ca="1">IFERROR(INDEX(Tableau6[Nom abrégé],SMALL(IF((Tableau6[prochaine visite zva]&lt;TODAY())*(Tableau6[Status]="Actif"),ROW(Tableau6[prochaine visite zva])-MIN(ROW(Employé!$AA$4))+1,""),ROWS(C$25:C33))),"")</f>
        <v>LEROY Fr</v>
      </c>
      <c r="D33" s="2" t="str">
        <f t="array" aca="1" ref="D33" ca="1">IFERROR(INDEX(Tableau6[prochaine visite zva],SMALL(IF((Tableau6[prochaine visite zva]&gt;=TODAY())*(Tableau6[prochaine visite zva]&lt;=TODAY()+92)*(Tableau6[Status]="Actif"),ROW(Tableau6[prochaine visite zva])-MIN(ROW(Employé!$AA$4))+1,""),ROWS(D$25:D33))),"")</f>
        <v/>
      </c>
      <c r="E33" s="8" t="str">
        <f t="array" aca="1" ref="E33" ca="1">IFERROR(INDEX(Tableau6[Nom abrégé],SMALL(IF((Tableau6[prochaine visite zva]&gt;=TODAY())*(Tableau6[prochaine visite zva]&lt;=TODAY()+92)*(Tableau6[Status]="Actif"),ROW(Tableau6[prochaine visite zva])-MIN(ROW(Employé!$AA$4))+1,""),ROWS(E$25:E33))),"")</f>
        <v/>
      </c>
      <c r="F33" s="2" t="str">
        <f t="array" aca="1" ref="F33" ca="1">IFERROR(INDEX(Tableau6[prochaine visite zva],SMALL(IF((Tableau6[prochaine visite zva]&gt;TODAY()+92)*(Tableau6[Status]="Actif"),ROW(Tableau6[prochaine visite zva])-MIN(ROW(Employé!$AA$4))+1,""),ROWS(F$25:F33))),"")</f>
        <v/>
      </c>
      <c r="G33" s="8" t="str">
        <f t="array" aca="1" ref="G33" ca="1">IFERROR(INDEX(Tableau6[Nom abrégé],SMALL(IF((Tableau6[prochaine visite zva]&gt;TODAY()+92)*(Tableau6[Status]="Actif"),ROW(Tableau6[prochaine visite zva])-MIN(ROW(Employé!$AA$4))+1,""),ROWS(G$25:G33))),"")</f>
        <v/>
      </c>
    </row>
    <row r="34" spans="2:14" x14ac:dyDescent="0.2">
      <c r="B34" s="2">
        <f t="array" aca="1" ref="B34" ca="1">IFERROR(INDEX(Tableau6[prochaine visite zva],SMALL(IF((Tableau6[prochaine visite zva]&lt;TODAY())*(Tableau6[Status]="Actif"),ROW(Tableau6[prochaine visite zva])-MIN(ROW(Employé!$AA$4))+1,""),ROWS(B$25:B34))),"")</f>
        <v>91</v>
      </c>
      <c r="C34" s="8" t="str">
        <f t="array" aca="1" ref="C34" ca="1">IFERROR(INDEX(Tableau6[Nom abrégé],SMALL(IF((Tableau6[prochaine visite zva]&lt;TODAY())*(Tableau6[Status]="Actif"),ROW(Tableau6[prochaine visite zva])-MIN(ROW(Employé!$AA$4))+1,""),ROWS(C$25:C34))),"")</f>
        <v>LEROY Je</v>
      </c>
      <c r="D34" s="2" t="str">
        <f t="array" aca="1" ref="D34" ca="1">IFERROR(INDEX(Tableau6[prochaine visite zva],SMALL(IF((Tableau6[prochaine visite zva]&gt;=TODAY())*(Tableau6[prochaine visite zva]&lt;=TODAY()+92)*(Tableau6[Status]="Actif"),ROW(Tableau6[prochaine visite zva])-MIN(ROW(Employé!$AA$4))+1,""),ROWS(D$25:D34))),"")</f>
        <v/>
      </c>
      <c r="E34" s="8" t="str">
        <f t="array" aca="1" ref="E34" ca="1">IFERROR(INDEX(Tableau6[Nom abrégé],SMALL(IF((Tableau6[prochaine visite zva]&gt;=TODAY())*(Tableau6[prochaine visite zva]&lt;=TODAY()+92)*(Tableau6[Status]="Actif"),ROW(Tableau6[prochaine visite zva])-MIN(ROW(Employé!$AA$4))+1,""),ROWS(E$25:E34))),"")</f>
        <v/>
      </c>
      <c r="F34" s="2" t="str">
        <f t="array" aca="1" ref="F34" ca="1">IFERROR(INDEX(Tableau6[prochaine visite zva],SMALL(IF((Tableau6[prochaine visite zva]&gt;TODAY()+92)*(Tableau6[Status]="Actif"),ROW(Tableau6[prochaine visite zva])-MIN(ROW(Employé!$AA$4))+1,""),ROWS(F$25:F34))),"")</f>
        <v/>
      </c>
      <c r="G34" s="8" t="str">
        <f t="array" aca="1" ref="G34" ca="1">IFERROR(INDEX(Tableau6[Nom abrégé],SMALL(IF((Tableau6[prochaine visite zva]&gt;TODAY()+92)*(Tableau6[Status]="Actif"),ROW(Tableau6[prochaine visite zva])-MIN(ROW(Employé!$AA$4))+1,""),ROWS(G$25:G34))),"")</f>
        <v/>
      </c>
    </row>
    <row r="35" spans="2:14" x14ac:dyDescent="0.2">
      <c r="B35" s="2">
        <f t="array" aca="1" ref="B35" ca="1">IFERROR(INDEX(Tableau6[prochaine visite zva],SMALL(IF((Tableau6[prochaine visite zva]&lt;TODAY())*(Tableau6[Status]="Actif"),ROW(Tableau6[prochaine visite zva])-MIN(ROW(Employé!$AA$4))+1,""),ROWS(B$25:B35))),"")</f>
        <v>91</v>
      </c>
      <c r="C35" s="8" t="str">
        <f t="array" aca="1" ref="C35" ca="1">IFERROR(INDEX(Tableau6[Nom abrégé],SMALL(IF((Tableau6[prochaine visite zva]&lt;TODAY())*(Tableau6[Status]="Actif"),ROW(Tableau6[prochaine visite zva])-MIN(ROW(Employé!$AA$4))+1,""),ROWS(C$25:C35))),"")</f>
        <v>FERRARA Ju</v>
      </c>
      <c r="D35" s="2" t="str">
        <f t="array" aca="1" ref="D35" ca="1">IFERROR(INDEX(Tableau6[prochaine visite zva],SMALL(IF((Tableau6[prochaine visite zva]&gt;=TODAY())*(Tableau6[prochaine visite zva]&lt;=TODAY()+92)*(Tableau6[Status]="Actif"),ROW(Tableau6[prochaine visite zva])-MIN(ROW(Employé!$AA$4))+1,""),ROWS(D$25:D35))),"")</f>
        <v/>
      </c>
      <c r="E35" s="8" t="str">
        <f t="array" aca="1" ref="E35" ca="1">IFERROR(INDEX(Tableau6[Nom abrégé],SMALL(IF((Tableau6[prochaine visite zva]&gt;=TODAY())*(Tableau6[prochaine visite zva]&lt;=TODAY()+92)*(Tableau6[Status]="Actif"),ROW(Tableau6[prochaine visite zva])-MIN(ROW(Employé!$AA$4))+1,""),ROWS(E$25:E35))),"")</f>
        <v/>
      </c>
      <c r="F35" s="2" t="str">
        <f t="array" aca="1" ref="F35" ca="1">IFERROR(INDEX(Tableau6[prochaine visite zva],SMALL(IF((Tableau6[prochaine visite zva]&gt;TODAY()+92)*(Tableau6[Status]="Actif"),ROW(Tableau6[prochaine visite zva])-MIN(ROW(Employé!$AA$4))+1,""),ROWS(F$25:F35))),"")</f>
        <v/>
      </c>
      <c r="G35" s="8" t="str">
        <f t="array" aca="1" ref="G35" ca="1">IFERROR(INDEX(Tableau6[Nom abrégé],SMALL(IF((Tableau6[prochaine visite zva]&gt;TODAY()+92)*(Tableau6[Status]="Actif"),ROW(Tableau6[prochaine visite zva])-MIN(ROW(Employé!$AA$4))+1,""),ROWS(G$25:G35))),"")</f>
        <v/>
      </c>
    </row>
    <row r="36" spans="2:14" x14ac:dyDescent="0.2">
      <c r="B36" s="2">
        <f t="array" aca="1" ref="B36" ca="1">IFERROR(INDEX(Tableau6[prochaine visite zva],SMALL(IF((Tableau6[prochaine visite zva]&lt;TODAY())*(Tableau6[Status]="Actif"),ROW(Tableau6[prochaine visite zva])-MIN(ROW(Employé!$AA$4))+1,""),ROWS(B$25:B36))),"")</f>
        <v>91</v>
      </c>
      <c r="C36" s="8" t="str">
        <f t="array" aca="1" ref="C36" ca="1">IFERROR(INDEX(Tableau6[Nom abrégé],SMALL(IF((Tableau6[prochaine visite zva]&lt;TODAY())*(Tableau6[Status]="Actif"),ROW(Tableau6[prochaine visite zva])-MIN(ROW(Employé!$AA$4))+1,""),ROWS(C$25:C36))),"")</f>
        <v>BALLESTER Xa</v>
      </c>
      <c r="D36" s="2" t="str">
        <f t="array" aca="1" ref="D36" ca="1">IFERROR(INDEX(Tableau6[prochaine visite zva],SMALL(IF((Tableau6[prochaine visite zva]&gt;=TODAY())*(Tableau6[prochaine visite zva]&lt;=TODAY()+92)*(Tableau6[Status]="Actif"),ROW(Tableau6[prochaine visite zva])-MIN(ROW(Employé!$AA$4))+1,""),ROWS(D$25:D36))),"")</f>
        <v/>
      </c>
      <c r="E36" s="8" t="str">
        <f t="array" aca="1" ref="E36" ca="1">IFERROR(INDEX(Tableau6[Nom abrégé],SMALL(IF((Tableau6[prochaine visite zva]&gt;=TODAY())*(Tableau6[prochaine visite zva]&lt;=TODAY()+92)*(Tableau6[Status]="Actif"),ROW(Tableau6[prochaine visite zva])-MIN(ROW(Employé!$AA$4))+1,""),ROWS(E$25:E36))),"")</f>
        <v/>
      </c>
      <c r="F36" s="2" t="str">
        <f t="array" aca="1" ref="F36" ca="1">IFERROR(INDEX(Tableau6[prochaine visite zva],SMALL(IF((Tableau6[prochaine visite zva]&gt;TODAY()+92)*(Tableau6[Status]="Actif"),ROW(Tableau6[prochaine visite zva])-MIN(ROW(Employé!$AA$4))+1,""),ROWS(F$25:F36))),"")</f>
        <v/>
      </c>
      <c r="G36" s="8" t="str">
        <f t="array" aca="1" ref="G36" ca="1">IFERROR(INDEX(Tableau6[Nom abrégé],SMALL(IF((Tableau6[prochaine visite zva]&gt;TODAY()+92)*(Tableau6[Status]="Actif"),ROW(Tableau6[prochaine visite zva])-MIN(ROW(Employé!$AA$4))+1,""),ROWS(G$25:G36))),"")</f>
        <v/>
      </c>
    </row>
    <row r="37" spans="2:14" x14ac:dyDescent="0.2">
      <c r="B37" s="2">
        <f t="array" aca="1" ref="B37" ca="1">IFERROR(INDEX(Tableau6[prochaine visite zva],SMALL(IF((Tableau6[prochaine visite zva]&lt;TODAY())*(Tableau6[Status]="Actif"),ROW(Tableau6[prochaine visite zva])-MIN(ROW(Employé!$AA$4))+1,""),ROWS(B$25:B37))),"")</f>
        <v>91</v>
      </c>
      <c r="C37" s="8" t="str">
        <f t="array" aca="1" ref="C37" ca="1">IFERROR(INDEX(Tableau6[Nom abrégé],SMALL(IF((Tableau6[prochaine visite zva]&lt;TODAY())*(Tableau6[Status]="Actif"),ROW(Tableau6[prochaine visite zva])-MIN(ROW(Employé!$AA$4))+1,""),ROWS(C$25:C37))),"")</f>
        <v>DESMYTER Da</v>
      </c>
      <c r="D37" s="2" t="str">
        <f t="array" aca="1" ref="D37" ca="1">IFERROR(INDEX(Tableau6[prochaine visite zva],SMALL(IF((Tableau6[prochaine visite zva]&gt;=TODAY())*(Tableau6[prochaine visite zva]&lt;=TODAY()+92)*(Tableau6[Status]="Actif"),ROW(Tableau6[prochaine visite zva])-MIN(ROW(Employé!$AA$4))+1,""),ROWS(D$25:D37))),"")</f>
        <v/>
      </c>
      <c r="E37" s="8" t="str">
        <f t="array" aca="1" ref="E37" ca="1">IFERROR(INDEX(Tableau6[Nom abrégé],SMALL(IF((Tableau6[prochaine visite zva]&gt;=TODAY())*(Tableau6[prochaine visite zva]&lt;=TODAY()+92)*(Tableau6[Status]="Actif"),ROW(Tableau6[prochaine visite zva])-MIN(ROW(Employé!$AA$4))+1,""),ROWS(E$25:E37))),"")</f>
        <v/>
      </c>
      <c r="F37" s="2" t="str">
        <f t="array" aca="1" ref="F37" ca="1">IFERROR(INDEX(Tableau6[prochaine visite zva],SMALL(IF((Tableau6[prochaine visite zva]&gt;TODAY()+92)*(Tableau6[Status]="Actif"),ROW(Tableau6[prochaine visite zva])-MIN(ROW(Employé!$AA$4))+1,""),ROWS(F$25:F37))),"")</f>
        <v/>
      </c>
      <c r="G37" s="8" t="str">
        <f t="array" aca="1" ref="G37" ca="1">IFERROR(INDEX(Tableau6[Nom abrégé],SMALL(IF((Tableau6[prochaine visite zva]&gt;TODAY()+92)*(Tableau6[Status]="Actif"),ROW(Tableau6[prochaine visite zva])-MIN(ROW(Employé!$AA$4))+1,""),ROWS(G$25:G37))),"")</f>
        <v/>
      </c>
    </row>
    <row r="38" spans="2:14" x14ac:dyDescent="0.2">
      <c r="B38" s="2">
        <f t="array" aca="1" ref="B38" ca="1">IFERROR(INDEX(Tableau6[prochaine visite zva],SMALL(IF((Tableau6[prochaine visite zva]&lt;TODAY())*(Tableau6[Status]="Actif"),ROW(Tableau6[prochaine visite zva])-MIN(ROW(Employé!$AA$4))+1,""),ROWS(B$25:B38))),"")</f>
        <v>91</v>
      </c>
      <c r="C38" s="8" t="str">
        <f t="array" aca="1" ref="C38" ca="1">IFERROR(INDEX(Tableau6[Nom abrégé],SMALL(IF((Tableau6[prochaine visite zva]&lt;TODAY())*(Tableau6[Status]="Actif"),ROW(Tableau6[prochaine visite zva])-MIN(ROW(Employé!$AA$4))+1,""),ROWS(C$25:C38))),"")</f>
        <v>NAJJARI Mo</v>
      </c>
      <c r="D38" s="2" t="str">
        <f t="array" aca="1" ref="D38" ca="1">IFERROR(INDEX(Tableau6[prochaine visite zva],SMALL(IF((Tableau6[prochaine visite zva]&gt;=TODAY())*(Tableau6[prochaine visite zva]&lt;=TODAY()+92)*(Tableau6[Status]="Actif"),ROW(Tableau6[prochaine visite zva])-MIN(ROW(Employé!$AA$4))+1,""),ROWS(D$25:D38))),"")</f>
        <v/>
      </c>
      <c r="E38" s="8" t="str">
        <f t="array" aca="1" ref="E38" ca="1">IFERROR(INDEX(Tableau6[Nom abrégé],SMALL(IF((Tableau6[prochaine visite zva]&gt;=TODAY())*(Tableau6[prochaine visite zva]&lt;=TODAY()+92)*(Tableau6[Status]="Actif"),ROW(Tableau6[prochaine visite zva])-MIN(ROW(Employé!$AA$4))+1,""),ROWS(E$25:E38))),"")</f>
        <v/>
      </c>
      <c r="F38" s="2" t="str">
        <f t="array" aca="1" ref="F38" ca="1">IFERROR(INDEX(Tableau6[prochaine visite zva],SMALL(IF((Tableau6[prochaine visite zva]&gt;TODAY()+92)*(Tableau6[Status]="Actif"),ROW(Tableau6[prochaine visite zva])-MIN(ROW(Employé!$AA$4))+1,""),ROWS(F$25:F38))),"")</f>
        <v/>
      </c>
      <c r="G38" s="8" t="str">
        <f t="array" aca="1" ref="G38" ca="1">IFERROR(INDEX(Tableau6[Nom abrégé],SMALL(IF((Tableau6[prochaine visite zva]&gt;TODAY()+92)*(Tableau6[Status]="Actif"),ROW(Tableau6[prochaine visite zva])-MIN(ROW(Employé!$AA$4))+1,""),ROWS(G$25:G38))),"")</f>
        <v/>
      </c>
    </row>
    <row r="39" spans="2:14" ht="13.5" thickBot="1" x14ac:dyDescent="0.25">
      <c r="B39" s="2" t="str">
        <f t="array" aca="1" ref="B39" ca="1">IFERROR(INDEX(Tableau6[prochaine visite zva],SMALL(IF((Tableau6[prochaine visite zva]&lt;TODAY())*(Tableau6[Status]="Actif"),ROW(Tableau6[prochaine visite zva])-MIN(ROW(Employé!$AA$4))+1,""),ROWS(B$25:B39))),"")</f>
        <v/>
      </c>
      <c r="C39" s="8" t="str">
        <f t="array" aca="1" ref="C39" ca="1">IFERROR(INDEX(Tableau6[Nom abrégé],SMALL(IF((Tableau6[prochaine visite zva]&lt;TODAY())*(Tableau6[Status]="Actif"),ROW(Tableau6[prochaine visite zva])-MIN(ROW(Employé!$AA$4))+1,""),ROWS(C$25:C39))),"")</f>
        <v/>
      </c>
      <c r="D39" s="2" t="str">
        <f t="array" aca="1" ref="D39" ca="1">IFERROR(INDEX(Tableau6[prochaine visite zva],SMALL(IF((Tableau6[prochaine visite zva]&gt;=TODAY())*(Tableau6[prochaine visite zva]&lt;=TODAY()+92)*(Tableau6[Status]="Actif"),ROW(Tableau6[prochaine visite zva])-MIN(ROW(Employé!$AA$4))+1,""),ROWS(D$25:D39))),"")</f>
        <v/>
      </c>
      <c r="E39" s="8" t="str">
        <f t="array" aca="1" ref="E39" ca="1">IFERROR(INDEX(Tableau6[Nom abrégé],SMALL(IF((Tableau6[prochaine visite zva]&gt;=TODAY())*(Tableau6[prochaine visite zva]&lt;=TODAY()+92)*(Tableau6[Status]="Actif"),ROW(Tableau6[prochaine visite zva])-MIN(ROW(Employé!$AA$4))+1,""),ROWS(E$25:E39))),"")</f>
        <v/>
      </c>
      <c r="F39" s="2" t="str">
        <f t="array" aca="1" ref="F39" ca="1">IFERROR(INDEX(Tableau6[prochaine visite zva],SMALL(IF((Tableau6[prochaine visite zva]&gt;TODAY()+92)*(Tableau6[Status]="Actif"),ROW(Tableau6[prochaine visite zva])-MIN(ROW(Employé!$AA$4))+1,""),ROWS(F$25:F39))),"")</f>
        <v/>
      </c>
      <c r="G39" s="8" t="str">
        <f t="array" aca="1" ref="G39" ca="1">IFERROR(INDEX(Tableau6[Nom abrégé],SMALL(IF((Tableau6[prochaine visite zva]&gt;TODAY()+92)*(Tableau6[Status]="Actif"),ROW(Tableau6[prochaine visite zva])-MIN(ROW(Employé!$AA$4))+1,""),ROWS(G$25:G39))),"")</f>
        <v/>
      </c>
    </row>
    <row r="40" spans="2:14" ht="13.5" thickTop="1" x14ac:dyDescent="0.2">
      <c r="B40" s="21"/>
      <c r="C40" s="22"/>
      <c r="D40" s="22"/>
      <c r="E40" s="22"/>
      <c r="F40" s="22"/>
      <c r="G40" s="22"/>
      <c r="I40" s="21"/>
      <c r="J40" s="22"/>
      <c r="K40" s="22"/>
      <c r="L40" s="22"/>
      <c r="M40" s="22"/>
      <c r="N40" s="22"/>
    </row>
  </sheetData>
  <sheetProtection algorithmName="SHA-512" hashValue="HRKiXoQVrB9BhOlOmcRwqidXVUWViu4juLVsOUdtcp62vESdRr09d7BrjmV5WSZYv93VGMwS+7SAAJufANkzrA==" saltValue="5D3lfbK8lefP5U05QSg+9Q==" spinCount="100000" sheet="1" objects="1" scenarios="1"/>
  <mergeCells count="16">
    <mergeCell ref="B2:G2"/>
    <mergeCell ref="I2:N2"/>
    <mergeCell ref="B3:C3"/>
    <mergeCell ref="D3:E3"/>
    <mergeCell ref="F3:G3"/>
    <mergeCell ref="I3:J3"/>
    <mergeCell ref="K3:L3"/>
    <mergeCell ref="M3:N3"/>
    <mergeCell ref="B22:G22"/>
    <mergeCell ref="I22:N22"/>
    <mergeCell ref="B23:C23"/>
    <mergeCell ref="D23:E23"/>
    <mergeCell ref="F23:G23"/>
    <mergeCell ref="I23:J23"/>
    <mergeCell ref="K23:L23"/>
    <mergeCell ref="M23:N23"/>
  </mergeCells>
  <conditionalFormatting sqref="C5:C19">
    <cfRule type="expression" dxfId="58" priority="15">
      <formula>OR($C5&lt;&gt;"",$D5&lt;&gt;"")</formula>
    </cfRule>
  </conditionalFormatting>
  <conditionalFormatting sqref="B5:C19">
    <cfRule type="expression" dxfId="57" priority="14">
      <formula>$B5&lt;&gt;""</formula>
    </cfRule>
  </conditionalFormatting>
  <conditionalFormatting sqref="E5:E19">
    <cfRule type="expression" dxfId="56" priority="13">
      <formula>OR($E5&lt;&gt;"",$F5&lt;&gt;"")</formula>
    </cfRule>
  </conditionalFormatting>
  <conditionalFormatting sqref="D5:E19">
    <cfRule type="expression" dxfId="55" priority="12">
      <formula>$D5&lt;&gt;""</formula>
    </cfRule>
  </conditionalFormatting>
  <conditionalFormatting sqref="F5:G19">
    <cfRule type="expression" dxfId="54" priority="11">
      <formula>$F5&lt;&gt;""</formula>
    </cfRule>
  </conditionalFormatting>
  <conditionalFormatting sqref="J5:J19">
    <cfRule type="expression" dxfId="53" priority="10">
      <formula>OR($J5&lt;&gt;"",$K5&lt;&gt;"")</formula>
    </cfRule>
  </conditionalFormatting>
  <conditionalFormatting sqref="L5:L19">
    <cfRule type="expression" dxfId="52" priority="9">
      <formula>OR($L5&lt;&gt;"",$M5&lt;&gt;"")</formula>
    </cfRule>
  </conditionalFormatting>
  <conditionalFormatting sqref="I5:J19">
    <cfRule type="expression" dxfId="51" priority="8">
      <formula>$I5&lt;&gt;""</formula>
    </cfRule>
  </conditionalFormatting>
  <conditionalFormatting sqref="K5:L19">
    <cfRule type="expression" dxfId="50" priority="7">
      <formula>$K5&lt;&gt;""</formula>
    </cfRule>
  </conditionalFormatting>
  <conditionalFormatting sqref="M5:N19">
    <cfRule type="expression" dxfId="49" priority="6">
      <formula>$M5&lt;&gt;""</formula>
    </cfRule>
  </conditionalFormatting>
  <conditionalFormatting sqref="B25:C39">
    <cfRule type="expression" dxfId="48" priority="4">
      <formula>$B25&lt;&gt;""</formula>
    </cfRule>
  </conditionalFormatting>
  <conditionalFormatting sqref="C25:C39">
    <cfRule type="expression" dxfId="47" priority="5">
      <formula>OR($C25&lt;&gt;"",$D25&lt;&gt;"")</formula>
    </cfRule>
  </conditionalFormatting>
  <conditionalFormatting sqref="E25:E39">
    <cfRule type="expression" dxfId="46" priority="3">
      <formula>OR($E25&lt;&gt;"",$F25&lt;&gt;"")</formula>
    </cfRule>
  </conditionalFormatting>
  <conditionalFormatting sqref="D25:E39">
    <cfRule type="expression" dxfId="45" priority="2">
      <formula>$D25&lt;&gt;""</formula>
    </cfRule>
  </conditionalFormatting>
  <conditionalFormatting sqref="F25:G39">
    <cfRule type="expression" dxfId="44" priority="1">
      <formula>$F25&lt;&gt;""</formula>
    </cfRule>
  </conditionalFormatting>
  <pageMargins left="0.11811023622047245" right="0.11811023622047245" top="0.74803149606299213" bottom="0.74803149606299213" header="0.31496062992125984" footer="0.31496062992125984"/>
  <pageSetup paperSize="9" scale="87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7" tint="-0.249977111117893"/>
  </sheetPr>
  <dimension ref="A1:N60"/>
  <sheetViews>
    <sheetView showGridLines="0" workbookViewId="0"/>
  </sheetViews>
  <sheetFormatPr baseColWidth="10" defaultRowHeight="12.75" x14ac:dyDescent="0.2"/>
  <cols>
    <col min="1" max="1" width="2.7109375" style="8" customWidth="1"/>
    <col min="2" max="2" width="9.7109375" style="8" customWidth="1"/>
    <col min="3" max="3" width="16.7109375" style="8" customWidth="1"/>
    <col min="4" max="4" width="9.7109375" style="8" customWidth="1"/>
    <col min="5" max="5" width="16.7109375" style="8" customWidth="1"/>
    <col min="6" max="6" width="9.7109375" style="8" customWidth="1"/>
    <col min="7" max="7" width="16.7109375" style="8" customWidth="1"/>
    <col min="8" max="8" width="2.7109375" style="8" customWidth="1"/>
    <col min="9" max="9" width="9.7109375" style="8" customWidth="1"/>
    <col min="10" max="10" width="16.7109375" style="8" customWidth="1"/>
    <col min="11" max="11" width="9.7109375" style="8" customWidth="1"/>
    <col min="12" max="12" width="16.7109375" style="8" customWidth="1"/>
    <col min="13" max="13" width="9.7109375" style="8" customWidth="1"/>
    <col min="14" max="14" width="16.7109375" style="8" customWidth="1"/>
    <col min="15" max="15" width="2.5703125" style="8" customWidth="1"/>
    <col min="16" max="16384" width="11.42578125" style="8"/>
  </cols>
  <sheetData>
    <row r="1" spans="1:14" x14ac:dyDescent="0.2">
      <c r="B1" s="25" t="s">
        <v>118</v>
      </c>
      <c r="I1" s="25" t="s">
        <v>118</v>
      </c>
    </row>
    <row r="2" spans="1:14" ht="15.75" x14ac:dyDescent="0.2">
      <c r="B2" s="81" t="s">
        <v>109</v>
      </c>
      <c r="C2" s="82"/>
      <c r="D2" s="82"/>
      <c r="E2" s="82"/>
      <c r="F2" s="82"/>
      <c r="G2" s="83"/>
      <c r="I2" s="81" t="s">
        <v>110</v>
      </c>
      <c r="J2" s="82"/>
      <c r="K2" s="82"/>
      <c r="L2" s="82"/>
      <c r="M2" s="82"/>
      <c r="N2" s="83"/>
    </row>
    <row r="3" spans="1:14" x14ac:dyDescent="0.2">
      <c r="B3" s="84" t="s">
        <v>24</v>
      </c>
      <c r="C3" s="84"/>
      <c r="D3" s="85" t="str">
        <f ca="1">TEXT(TODAY(),"jj/mm/aaaa")&amp;" --&gt; "&amp;TEXT(TODAY()+92,"jj/mm/aaaa")</f>
        <v>10/10/2018 --&gt; 10/01/2019</v>
      </c>
      <c r="E3" s="85"/>
      <c r="F3" s="86" t="str">
        <f ca="1">"&gt; "&amp;TEXT(TODAY()+92,"jj/mm/aaaa")</f>
        <v>&gt; 10/01/2019</v>
      </c>
      <c r="G3" s="86"/>
      <c r="I3" s="84" t="s">
        <v>24</v>
      </c>
      <c r="J3" s="84"/>
      <c r="K3" s="85" t="str">
        <f ca="1">TEXT(TODAY(),"jj/mm/aaaa")&amp;" --&gt; "&amp;TEXT(TODAY()+92,"jj/mm/aaaa")</f>
        <v>10/10/2018 --&gt; 10/01/2019</v>
      </c>
      <c r="L3" s="85"/>
      <c r="M3" s="86" t="str">
        <f ca="1">"&gt; "&amp;TEXT(TODAY()+92,"jj/mm/aaaa")</f>
        <v>&gt; 10/01/2019</v>
      </c>
      <c r="N3" s="86"/>
    </row>
    <row r="4" spans="1:14" x14ac:dyDescent="0.2">
      <c r="B4" s="15" t="s">
        <v>25</v>
      </c>
      <c r="C4" s="15" t="s">
        <v>26</v>
      </c>
      <c r="D4" s="15" t="s">
        <v>25</v>
      </c>
      <c r="E4" s="15" t="s">
        <v>26</v>
      </c>
      <c r="F4" s="15" t="s">
        <v>25</v>
      </c>
      <c r="G4" s="15" t="s">
        <v>26</v>
      </c>
      <c r="I4" s="15" t="s">
        <v>25</v>
      </c>
      <c r="J4" s="15" t="s">
        <v>26</v>
      </c>
      <c r="K4" s="15" t="s">
        <v>25</v>
      </c>
      <c r="L4" s="15" t="s">
        <v>26</v>
      </c>
      <c r="M4" s="15" t="s">
        <v>25</v>
      </c>
      <c r="N4" s="15" t="s">
        <v>26</v>
      </c>
    </row>
    <row r="5" spans="1:14" x14ac:dyDescent="0.2">
      <c r="A5" s="9"/>
      <c r="B5" s="2">
        <f t="array" aca="1" ref="B5" ca="1">IFERROR(INDEX(Tableau6[prochaine visite epi],SMALL(IF((Tableau6[prochaine visite epi]&lt;TODAY())*(Tableau6[Status]="Actif"),ROW(Tableau6[prochaine visite epi])-MIN(ROW(Employé!$AD$4))+1,""),ROWS(B$5:B5))),"")</f>
        <v>91</v>
      </c>
      <c r="C5" s="10" t="str">
        <f t="array" aca="1" ref="C5" ca="1">IFERROR(INDEX(Tableau6[Nom abrégé],SMALL(IF((Tableau6[prochaine visite epi]&lt;TODAY())*(Tableau6[Status]="Actif"),ROW(Tableau6[prochaine visite epi])-MIN(ROW(Employé!$AD$4))+1,""),ROWS(C$5:C5))),"")</f>
        <v>BENAZET Je</v>
      </c>
      <c r="D5" s="11" t="str">
        <f t="array" aca="1" ref="D5" ca="1">IFERROR(INDEX(Tableau6[prochaine visite epi],SMALL(IF((Tableau6[prochaine visite epi]&gt;=TODAY())*(Tableau6[prochaine visite epi]&lt;=TODAY()+92)*(Tableau6[Status]="Actif"),ROW(Tableau6[prochaine visite epi])-MIN(ROW(Employé!$AD$4))+1,""),ROWS(D$5:D5))),"")</f>
        <v/>
      </c>
      <c r="E5" s="12" t="str">
        <f t="array" aca="1" ref="E5" ca="1">IFERROR(INDEX(Tableau6[Nom abrégé],SMALL(IF((Tableau6[prochaine visite epi]&gt;=TODAY())*(Tableau6[prochaine visite epi]&lt;=TODAY()+92)*(Tableau6[Status]="Actif"),ROW(Tableau6[prochaine visite epi])-MIN(ROW(Employé!$AD$4))+1,""),ROWS(E$5:E5))),"")</f>
        <v/>
      </c>
      <c r="F5" s="2" t="str">
        <f t="array" aca="1" ref="F5" ca="1">IFERROR(INDEX(Tableau6[prochaine visite epi],SMALL(IF((Tableau6[prochaine visite epi]&gt;TODAY()+92)*(Tableau6[Status]="Actif"),ROW(Tableau6[prochaine visite epi])-MIN(ROW(Employé!$AD$4))+1,""),ROWS(F$5:F5))),"")</f>
        <v/>
      </c>
      <c r="G5" s="8" t="str">
        <f t="array" aca="1" ref="G5" ca="1">IFERROR(INDEX(Tableau6[Nom abrégé],SMALL(IF((Tableau6[prochaine visite epi]&gt;TODAY()+92)*(Tableau6[Status]="Actif"),ROW(Tableau6[prochaine visite epi])-MIN(ROW(Employé!$AD$4))+1,""),ROWS(G$5:G5))),"")</f>
        <v/>
      </c>
      <c r="I5" s="2">
        <f t="array" aca="1" ref="I5" ca="1">IFERROR(INDEX(Tableau6[prochaine visite ari],SMALL(IF((Tableau6[prochaine visite ari]&lt;TODAY())*(Tableau6[Status]="Actif"),ROW(Tableau6[prochaine visite ari])-MIN(ROW(Employé!$BH$4))+1,""),ROWS(I$5:I5))),"")</f>
        <v>91</v>
      </c>
      <c r="J5" s="8" t="str">
        <f t="array" aca="1" ref="J5" ca="1">IFERROR(INDEX(Tableau6[Nom abrégé],SMALL(IF((Tableau6[prochaine visite ari]&lt;TODAY())*(Tableau6[Status]="Actif"),ROW(Tableau6[prochaine visite ari])-MIN(ROW(Employé!$BH$4))+1,""),ROWS(J$5:J5))),"")</f>
        <v>BENAZET Je</v>
      </c>
      <c r="K5" s="2" t="str">
        <f t="array" aca="1" ref="K5" ca="1">IFERROR(INDEX(Tableau6[prochaine visite ari],SMALL(IF((Tableau6[prochaine visite ari]&gt;=TODAY())*(Tableau6[prochaine visite ari]&lt;=TODAY()+92)*(Tableau6[Status]="Actif"),ROW(Tableau6[prochaine visite ari])-MIN(ROW(Employé!$BH$4))+1,""),ROWS(K$5:K5))),"")</f>
        <v/>
      </c>
      <c r="L5" s="8" t="str">
        <f t="array" aca="1" ref="L5" ca="1">IFERROR(INDEX(Tableau6[Nom abrégé],SMALL(IF((Tableau6[prochaine visite ari]&gt;=TODAY())*(Tableau6[prochaine visite ari]&lt;=TODAY()+92)*(Tableau6[Status]="Actif"),ROW(Tableau6[prochaine visite ari])-MIN(ROW(Employé!$BH$4))+1,""),ROWS(L$5:L5))),"")</f>
        <v/>
      </c>
      <c r="M5" s="2" t="str">
        <f t="array" aca="1" ref="M5" ca="1">IFERROR(INDEX(Tableau6[prochaine visite ari],SMALL(IF((Tableau6[prochaine visite ari]&gt;TODAY()+92)*(Tableau6[Status]="Actif"),ROW(Tableau6[prochaine visite ari])-MIN(ROW(Employé!$BH$4))+1,""),ROWS(M$5:M5))),"")</f>
        <v/>
      </c>
      <c r="N5" s="8" t="str">
        <f t="array" aca="1" ref="N5" ca="1">IFERROR(INDEX(Tableau6[Nom abrégé],SMALL(IF((Tableau6[prochaine visite ari]&gt;TODAY()+92)*(Tableau6[Status]="Actif"),ROW(Tableau6[prochaine visite ari])-MIN(ROW(Employé!$BH$4))+1,""),ROWS(N$5:N5))),"")</f>
        <v/>
      </c>
    </row>
    <row r="6" spans="1:14" x14ac:dyDescent="0.2">
      <c r="A6" s="9"/>
      <c r="B6" s="2">
        <f t="array" aca="1" ref="B6" ca="1">IFERROR(INDEX(Tableau6[prochaine visite epi],SMALL(IF((Tableau6[prochaine visite epi]&lt;TODAY())*(Tableau6[Status]="Actif"),ROW(Tableau6[prochaine visite epi])-MIN(ROW(Employé!$AD$4))+1,""),ROWS(B$5:B6))),"")</f>
        <v>91</v>
      </c>
      <c r="C6" s="10" t="str">
        <f t="array" aca="1" ref="C6" ca="1">IFERROR(INDEX(Tableau6[Nom abrégé],SMALL(IF((Tableau6[prochaine visite epi]&lt;TODAY())*(Tableau6[Status]="Actif"),ROW(Tableau6[prochaine visite epi])-MIN(ROW(Employé!$AD$4))+1,""),ROWS(C$5:C6))),"")</f>
        <v>ZARAGOZA Di</v>
      </c>
      <c r="D6" s="11" t="str">
        <f t="array" aca="1" ref="D6" ca="1">IFERROR(INDEX(Tableau6[prochaine visite epi],SMALL(IF((Tableau6[prochaine visite epi]&gt;=TODAY())*(Tableau6[prochaine visite epi]&lt;=TODAY()+92)*(Tableau6[Status]="Actif"),ROW(Tableau6[prochaine visite epi])-MIN(ROW(Employé!$AD$4))+1,""),ROWS(D$5:D6))),"")</f>
        <v/>
      </c>
      <c r="E6" s="12" t="str">
        <f t="array" aca="1" ref="E6" ca="1">IFERROR(INDEX(Tableau6[Nom abrégé],SMALL(IF((Tableau6[prochaine visite epi]&gt;=TODAY())*(Tableau6[prochaine visite epi]&lt;=TODAY()+92)*(Tableau6[Status]="Actif"),ROW(Tableau6[prochaine visite epi])-MIN(ROW(Employé!$AD$4))+1,""),ROWS(E$5:E6))),"")</f>
        <v/>
      </c>
      <c r="F6" s="2" t="str">
        <f t="array" aca="1" ref="F6" ca="1">IFERROR(INDEX(Tableau6[prochaine visite epi],SMALL(IF((Tableau6[prochaine visite epi]&gt;TODAY()+92)*(Tableau6[Status]="Actif"),ROW(Tableau6[prochaine visite epi])-MIN(ROW(Employé!$AD$4))+1,""),ROWS(F$5:F6))),"")</f>
        <v/>
      </c>
      <c r="G6" s="8" t="str">
        <f t="array" aca="1" ref="G6" ca="1">IFERROR(INDEX(Tableau6[Nom abrégé],SMALL(IF((Tableau6[prochaine visite epi]&gt;TODAY()+92)*(Tableau6[Status]="Actif"),ROW(Tableau6[prochaine visite epi])-MIN(ROW(Employé!$AD$4))+1,""),ROWS(G$5:G6))),"")</f>
        <v/>
      </c>
      <c r="I6" s="2">
        <f t="array" aca="1" ref="I6" ca="1">IFERROR(INDEX(Tableau6[prochaine visite ari],SMALL(IF((Tableau6[prochaine visite ari]&lt;TODAY())*(Tableau6[Status]="Actif"),ROW(Tableau6[prochaine visite ari])-MIN(ROW(Employé!$BH$4))+1,""),ROWS(I$5:I6))),"")</f>
        <v>91</v>
      </c>
      <c r="J6" s="8" t="str">
        <f t="array" aca="1" ref="J6" ca="1">IFERROR(INDEX(Tableau6[Nom abrégé],SMALL(IF((Tableau6[prochaine visite ari]&lt;TODAY())*(Tableau6[Status]="Actif"),ROW(Tableau6[prochaine visite ari])-MIN(ROW(Employé!$BH$4))+1,""),ROWS(J$5:J6))),"")</f>
        <v>ZARAGOZA Di</v>
      </c>
      <c r="K6" s="2" t="str">
        <f t="array" aca="1" ref="K6" ca="1">IFERROR(INDEX(Tableau6[prochaine visite ari],SMALL(IF((Tableau6[prochaine visite ari]&gt;=TODAY())*(Tableau6[prochaine visite ari]&lt;=TODAY()+92)*(Tableau6[Status]="Actif"),ROW(Tableau6[prochaine visite ari])-MIN(ROW(Employé!$BH$4))+1,""),ROWS(K$5:K6))),"")</f>
        <v/>
      </c>
      <c r="L6" s="8" t="str">
        <f t="array" aca="1" ref="L6" ca="1">IFERROR(INDEX(Tableau6[Nom abrégé],SMALL(IF((Tableau6[prochaine visite ari]&gt;=TODAY())*(Tableau6[prochaine visite ari]&lt;=TODAY()+92)*(Tableau6[Status]="Actif"),ROW(Tableau6[prochaine visite ari])-MIN(ROW(Employé!$BH$4))+1,""),ROWS(L$5:L6))),"")</f>
        <v/>
      </c>
      <c r="M6" s="2" t="str">
        <f t="array" aca="1" ref="M6" ca="1">IFERROR(INDEX(Tableau6[prochaine visite ari],SMALL(IF((Tableau6[prochaine visite ari]&gt;TODAY()+92)*(Tableau6[Status]="Actif"),ROW(Tableau6[prochaine visite ari])-MIN(ROW(Employé!$BH$4))+1,""),ROWS(M$5:M6))),"")</f>
        <v/>
      </c>
      <c r="N6" s="8" t="str">
        <f t="array" aca="1" ref="N6" ca="1">IFERROR(INDEX(Tableau6[Nom abrégé],SMALL(IF((Tableau6[prochaine visite ari]&gt;TODAY()+92)*(Tableau6[Status]="Actif"),ROW(Tableau6[prochaine visite ari])-MIN(ROW(Employé!$BH$4))+1,""),ROWS(N$5:N6))),"")</f>
        <v/>
      </c>
    </row>
    <row r="7" spans="1:14" x14ac:dyDescent="0.2">
      <c r="A7" s="9"/>
      <c r="B7" s="2">
        <f t="array" aca="1" ref="B7" ca="1">IFERROR(INDEX(Tableau6[prochaine visite epi],SMALL(IF((Tableau6[prochaine visite epi]&lt;TODAY())*(Tableau6[Status]="Actif"),ROW(Tableau6[prochaine visite epi])-MIN(ROW(Employé!$AD$4))+1,""),ROWS(B$5:B7))),"")</f>
        <v>91</v>
      </c>
      <c r="C7" s="10" t="str">
        <f t="array" aca="1" ref="C7" ca="1">IFERROR(INDEX(Tableau6[Nom abrégé],SMALL(IF((Tableau6[prochaine visite epi]&lt;TODAY())*(Tableau6[Status]="Actif"),ROW(Tableau6[prochaine visite epi])-MIN(ROW(Employé!$AD$4))+1,""),ROWS(C$5:C7))),"")</f>
        <v>SANTOS Je</v>
      </c>
      <c r="D7" s="11" t="str">
        <f t="array" aca="1" ref="D7" ca="1">IFERROR(INDEX(Tableau6[prochaine visite epi],SMALL(IF((Tableau6[prochaine visite epi]&gt;=TODAY())*(Tableau6[prochaine visite epi]&lt;=TODAY()+92)*(Tableau6[Status]="Actif"),ROW(Tableau6[prochaine visite epi])-MIN(ROW(Employé!$AD$4))+1,""),ROWS(D$5:D7))),"")</f>
        <v/>
      </c>
      <c r="E7" s="12" t="str">
        <f t="array" aca="1" ref="E7" ca="1">IFERROR(INDEX(Tableau6[Nom abrégé],SMALL(IF((Tableau6[prochaine visite epi]&gt;=TODAY())*(Tableau6[prochaine visite epi]&lt;=TODAY()+92)*(Tableau6[Status]="Actif"),ROW(Tableau6[prochaine visite epi])-MIN(ROW(Employé!$AD$4))+1,""),ROWS(E$5:E7))),"")</f>
        <v/>
      </c>
      <c r="F7" s="2" t="str">
        <f t="array" aca="1" ref="F7" ca="1">IFERROR(INDEX(Tableau6[prochaine visite epi],SMALL(IF((Tableau6[prochaine visite epi]&gt;TODAY()+92)*(Tableau6[Status]="Actif"),ROW(Tableau6[prochaine visite epi])-MIN(ROW(Employé!$AD$4))+1,""),ROWS(F$5:F7))),"")</f>
        <v/>
      </c>
      <c r="G7" s="8" t="str">
        <f t="array" aca="1" ref="G7" ca="1">IFERROR(INDEX(Tableau6[Nom abrégé],SMALL(IF((Tableau6[prochaine visite epi]&gt;TODAY()+92)*(Tableau6[Status]="Actif"),ROW(Tableau6[prochaine visite epi])-MIN(ROW(Employé!$AD$4))+1,""),ROWS(G$5:G7))),"")</f>
        <v/>
      </c>
      <c r="I7" s="2">
        <f t="array" aca="1" ref="I7" ca="1">IFERROR(INDEX(Tableau6[prochaine visite ari],SMALL(IF((Tableau6[prochaine visite ari]&lt;TODAY())*(Tableau6[Status]="Actif"),ROW(Tableau6[prochaine visite ari])-MIN(ROW(Employé!$BH$4))+1,""),ROWS(I$5:I7))),"")</f>
        <v>91</v>
      </c>
      <c r="J7" s="8" t="str">
        <f t="array" aca="1" ref="J7" ca="1">IFERROR(INDEX(Tableau6[Nom abrégé],SMALL(IF((Tableau6[prochaine visite ari]&lt;TODAY())*(Tableau6[Status]="Actif"),ROW(Tableau6[prochaine visite ari])-MIN(ROW(Employé!$BH$4))+1,""),ROWS(J$5:J7))),"")</f>
        <v>SANTOS Je</v>
      </c>
      <c r="K7" s="2" t="str">
        <f t="array" aca="1" ref="K7" ca="1">IFERROR(INDEX(Tableau6[prochaine visite ari],SMALL(IF((Tableau6[prochaine visite ari]&gt;=TODAY())*(Tableau6[prochaine visite ari]&lt;=TODAY()+92)*(Tableau6[Status]="Actif"),ROW(Tableau6[prochaine visite ari])-MIN(ROW(Employé!$BH$4))+1,""),ROWS(K$5:K7))),"")</f>
        <v/>
      </c>
      <c r="L7" s="8" t="str">
        <f t="array" aca="1" ref="L7" ca="1">IFERROR(INDEX(Tableau6[Nom abrégé],SMALL(IF((Tableau6[prochaine visite ari]&gt;=TODAY())*(Tableau6[prochaine visite ari]&lt;=TODAY()+92)*(Tableau6[Status]="Actif"),ROW(Tableau6[prochaine visite ari])-MIN(ROW(Employé!$BH$4))+1,""),ROWS(L$5:L7))),"")</f>
        <v/>
      </c>
      <c r="M7" s="2" t="str">
        <f t="array" aca="1" ref="M7" ca="1">IFERROR(INDEX(Tableau6[prochaine visite ari],SMALL(IF((Tableau6[prochaine visite ari]&gt;TODAY()+92)*(Tableau6[Status]="Actif"),ROW(Tableau6[prochaine visite ari])-MIN(ROW(Employé!$BH$4))+1,""),ROWS(M$5:M7))),"")</f>
        <v/>
      </c>
      <c r="N7" s="8" t="str">
        <f t="array" aca="1" ref="N7" ca="1">IFERROR(INDEX(Tableau6[Nom abrégé],SMALL(IF((Tableau6[prochaine visite ari]&gt;TODAY()+92)*(Tableau6[Status]="Actif"),ROW(Tableau6[prochaine visite ari])-MIN(ROW(Employé!$BH$4))+1,""),ROWS(N$5:N7))),"")</f>
        <v/>
      </c>
    </row>
    <row r="8" spans="1:14" x14ac:dyDescent="0.2">
      <c r="A8" s="9"/>
      <c r="B8" s="2">
        <f t="array" aca="1" ref="B8" ca="1">IFERROR(INDEX(Tableau6[prochaine visite epi],SMALL(IF((Tableau6[prochaine visite epi]&lt;TODAY())*(Tableau6[Status]="Actif"),ROW(Tableau6[prochaine visite epi])-MIN(ROW(Employé!$AD$4))+1,""),ROWS(B$5:B8))),"")</f>
        <v>91</v>
      </c>
      <c r="C8" s="10" t="str">
        <f t="array" aca="1" ref="C8" ca="1">IFERROR(INDEX(Tableau6[Nom abrégé],SMALL(IF((Tableau6[prochaine visite epi]&lt;TODAY())*(Tableau6[Status]="Actif"),ROW(Tableau6[prochaine visite epi])-MIN(ROW(Employé!$AD$4))+1,""),ROWS(C$5:C8))),"")</f>
        <v>NAVARRO Ch</v>
      </c>
      <c r="D8" s="11" t="str">
        <f t="array" aca="1" ref="D8" ca="1">IFERROR(INDEX(Tableau6[prochaine visite epi],SMALL(IF((Tableau6[prochaine visite epi]&gt;=TODAY())*(Tableau6[prochaine visite epi]&lt;=TODAY()+92)*(Tableau6[Status]="Actif"),ROW(Tableau6[prochaine visite epi])-MIN(ROW(Employé!$AD$4))+1,""),ROWS(D$5:D8))),"")</f>
        <v/>
      </c>
      <c r="E8" s="12" t="str">
        <f t="array" aca="1" ref="E8" ca="1">IFERROR(INDEX(Tableau6[Nom abrégé],SMALL(IF((Tableau6[prochaine visite epi]&gt;=TODAY())*(Tableau6[prochaine visite epi]&lt;=TODAY()+92)*(Tableau6[Status]="Actif"),ROW(Tableau6[prochaine visite epi])-MIN(ROW(Employé!$AD$4))+1,""),ROWS(E$5:E8))),"")</f>
        <v/>
      </c>
      <c r="F8" s="2" t="str">
        <f t="array" aca="1" ref="F8" ca="1">IFERROR(INDEX(Tableau6[prochaine visite epi],SMALL(IF((Tableau6[prochaine visite epi]&gt;TODAY()+92)*(Tableau6[Status]="Actif"),ROW(Tableau6[prochaine visite epi])-MIN(ROW(Employé!$AD$4))+1,""),ROWS(F$5:F8))),"")</f>
        <v/>
      </c>
      <c r="G8" s="8" t="str">
        <f t="array" aca="1" ref="G8" ca="1">IFERROR(INDEX(Tableau6[Nom abrégé],SMALL(IF((Tableau6[prochaine visite epi]&gt;TODAY()+92)*(Tableau6[Status]="Actif"),ROW(Tableau6[prochaine visite epi])-MIN(ROW(Employé!$AD$4))+1,""),ROWS(G$5:G8))),"")</f>
        <v/>
      </c>
      <c r="I8" s="2">
        <f t="array" aca="1" ref="I8" ca="1">IFERROR(INDEX(Tableau6[prochaine visite ari],SMALL(IF((Tableau6[prochaine visite ari]&lt;TODAY())*(Tableau6[Status]="Actif"),ROW(Tableau6[prochaine visite ari])-MIN(ROW(Employé!$BH$4))+1,""),ROWS(I$5:I8))),"")</f>
        <v>91</v>
      </c>
      <c r="J8" s="8" t="str">
        <f t="array" aca="1" ref="J8" ca="1">IFERROR(INDEX(Tableau6[Nom abrégé],SMALL(IF((Tableau6[prochaine visite ari]&lt;TODAY())*(Tableau6[Status]="Actif"),ROW(Tableau6[prochaine visite ari])-MIN(ROW(Employé!$BH$4))+1,""),ROWS(J$5:J8))),"")</f>
        <v>NAVARRO Ch</v>
      </c>
      <c r="K8" s="2" t="str">
        <f t="array" aca="1" ref="K8" ca="1">IFERROR(INDEX(Tableau6[prochaine visite ari],SMALL(IF((Tableau6[prochaine visite ari]&gt;=TODAY())*(Tableau6[prochaine visite ari]&lt;=TODAY()+92)*(Tableau6[Status]="Actif"),ROW(Tableau6[prochaine visite ari])-MIN(ROW(Employé!$BH$4))+1,""),ROWS(K$5:K8))),"")</f>
        <v/>
      </c>
      <c r="L8" s="8" t="str">
        <f t="array" aca="1" ref="L8" ca="1">IFERROR(INDEX(Tableau6[Nom abrégé],SMALL(IF((Tableau6[prochaine visite ari]&gt;=TODAY())*(Tableau6[prochaine visite ari]&lt;=TODAY()+92)*(Tableau6[Status]="Actif"),ROW(Tableau6[prochaine visite ari])-MIN(ROW(Employé!$BH$4))+1,""),ROWS(L$5:L8))),"")</f>
        <v/>
      </c>
      <c r="M8" s="2" t="str">
        <f t="array" aca="1" ref="M8" ca="1">IFERROR(INDEX(Tableau6[prochaine visite ari],SMALL(IF((Tableau6[prochaine visite ari]&gt;TODAY()+92)*(Tableau6[Status]="Actif"),ROW(Tableau6[prochaine visite ari])-MIN(ROW(Employé!$BH$4))+1,""),ROWS(M$5:M8))),"")</f>
        <v/>
      </c>
      <c r="N8" s="8" t="str">
        <f t="array" aca="1" ref="N8" ca="1">IFERROR(INDEX(Tableau6[Nom abrégé],SMALL(IF((Tableau6[prochaine visite ari]&gt;TODAY()+92)*(Tableau6[Status]="Actif"),ROW(Tableau6[prochaine visite ari])-MIN(ROW(Employé!$BH$4))+1,""),ROWS(N$5:N8))),"")</f>
        <v/>
      </c>
    </row>
    <row r="9" spans="1:14" x14ac:dyDescent="0.2">
      <c r="A9" s="9"/>
      <c r="B9" s="2">
        <f t="array" aca="1" ref="B9" ca="1">IFERROR(INDEX(Tableau6[prochaine visite epi],SMALL(IF((Tableau6[prochaine visite epi]&lt;TODAY())*(Tableau6[Status]="Actif"),ROW(Tableau6[prochaine visite epi])-MIN(ROW(Employé!$AD$4))+1,""),ROWS(B$5:B9))),"")</f>
        <v>91</v>
      </c>
      <c r="C9" s="10" t="str">
        <f t="array" aca="1" ref="C9" ca="1">IFERROR(INDEX(Tableau6[Nom abrégé],SMALL(IF((Tableau6[prochaine visite epi]&lt;TODAY())*(Tableau6[Status]="Actif"),ROW(Tableau6[prochaine visite epi])-MIN(ROW(Employé!$AD$4))+1,""),ROWS(C$5:C9))),"")</f>
        <v>AUDIE An</v>
      </c>
      <c r="D9" s="11" t="str">
        <f t="array" aca="1" ref="D9" ca="1">IFERROR(INDEX(Tableau6[prochaine visite epi],SMALL(IF((Tableau6[prochaine visite epi]&gt;=TODAY())*(Tableau6[prochaine visite epi]&lt;=TODAY()+92)*(Tableau6[Status]="Actif"),ROW(Tableau6[prochaine visite epi])-MIN(ROW(Employé!$AD$4))+1,""),ROWS(D$5:D9))),"")</f>
        <v/>
      </c>
      <c r="E9" s="12" t="str">
        <f t="array" aca="1" ref="E9" ca="1">IFERROR(INDEX(Tableau6[Nom abrégé],SMALL(IF((Tableau6[prochaine visite epi]&gt;=TODAY())*(Tableau6[prochaine visite epi]&lt;=TODAY()+92)*(Tableau6[Status]="Actif"),ROW(Tableau6[prochaine visite epi])-MIN(ROW(Employé!$AD$4))+1,""),ROWS(E$5:E9))),"")</f>
        <v/>
      </c>
      <c r="F9" s="2" t="str">
        <f t="array" aca="1" ref="F9" ca="1">IFERROR(INDEX(Tableau6[prochaine visite epi],SMALL(IF((Tableau6[prochaine visite epi]&gt;TODAY()+92)*(Tableau6[Status]="Actif"),ROW(Tableau6[prochaine visite epi])-MIN(ROW(Employé!$AD$4))+1,""),ROWS(F$5:F9))),"")</f>
        <v/>
      </c>
      <c r="G9" s="8" t="str">
        <f t="array" aca="1" ref="G9" ca="1">IFERROR(INDEX(Tableau6[Nom abrégé],SMALL(IF((Tableau6[prochaine visite epi]&gt;TODAY()+92)*(Tableau6[Status]="Actif"),ROW(Tableau6[prochaine visite epi])-MIN(ROW(Employé!$AD$4))+1,""),ROWS(G$5:G9))),"")</f>
        <v/>
      </c>
      <c r="I9" s="2">
        <f t="array" aca="1" ref="I9" ca="1">IFERROR(INDEX(Tableau6[prochaine visite ari],SMALL(IF((Tableau6[prochaine visite ari]&lt;TODAY())*(Tableau6[Status]="Actif"),ROW(Tableau6[prochaine visite ari])-MIN(ROW(Employé!$BH$4))+1,""),ROWS(I$5:I9))),"")</f>
        <v>91</v>
      </c>
      <c r="J9" s="8" t="str">
        <f t="array" aca="1" ref="J9" ca="1">IFERROR(INDEX(Tableau6[Nom abrégé],SMALL(IF((Tableau6[prochaine visite ari]&lt;TODAY())*(Tableau6[Status]="Actif"),ROW(Tableau6[prochaine visite ari])-MIN(ROW(Employé!$BH$4))+1,""),ROWS(J$5:J9))),"")</f>
        <v>AUDIE An</v>
      </c>
      <c r="K9" s="2" t="str">
        <f t="array" aca="1" ref="K9" ca="1">IFERROR(INDEX(Tableau6[prochaine visite ari],SMALL(IF((Tableau6[prochaine visite ari]&gt;=TODAY())*(Tableau6[prochaine visite ari]&lt;=TODAY()+92)*(Tableau6[Status]="Actif"),ROW(Tableau6[prochaine visite ari])-MIN(ROW(Employé!$BH$4))+1,""),ROWS(K$5:K9))),"")</f>
        <v/>
      </c>
      <c r="L9" s="8" t="str">
        <f t="array" aca="1" ref="L9" ca="1">IFERROR(INDEX(Tableau6[Nom abrégé],SMALL(IF((Tableau6[prochaine visite ari]&gt;=TODAY())*(Tableau6[prochaine visite ari]&lt;=TODAY()+92)*(Tableau6[Status]="Actif"),ROW(Tableau6[prochaine visite ari])-MIN(ROW(Employé!$BH$4))+1,""),ROWS(L$5:L9))),"")</f>
        <v/>
      </c>
      <c r="M9" s="2" t="str">
        <f t="array" aca="1" ref="M9" ca="1">IFERROR(INDEX(Tableau6[prochaine visite ari],SMALL(IF((Tableau6[prochaine visite ari]&gt;TODAY()+92)*(Tableau6[Status]="Actif"),ROW(Tableau6[prochaine visite ari])-MIN(ROW(Employé!$BH$4))+1,""),ROWS(M$5:M9))),"")</f>
        <v/>
      </c>
      <c r="N9" s="8" t="str">
        <f t="array" aca="1" ref="N9" ca="1">IFERROR(INDEX(Tableau6[Nom abrégé],SMALL(IF((Tableau6[prochaine visite ari]&gt;TODAY()+92)*(Tableau6[Status]="Actif"),ROW(Tableau6[prochaine visite ari])-MIN(ROW(Employé!$BH$4))+1,""),ROWS(N$5:N9))),"")</f>
        <v/>
      </c>
    </row>
    <row r="10" spans="1:14" x14ac:dyDescent="0.2">
      <c r="A10" s="9"/>
      <c r="B10" s="2">
        <f t="array" aca="1" ref="B10" ca="1">IFERROR(INDEX(Tableau6[prochaine visite epi],SMALL(IF((Tableau6[prochaine visite epi]&lt;TODAY())*(Tableau6[Status]="Actif"),ROW(Tableau6[prochaine visite epi])-MIN(ROW(Employé!$AD$4))+1,""),ROWS(B$5:B10))),"")</f>
        <v>91</v>
      </c>
      <c r="C10" s="10" t="str">
        <f t="array" aca="1" ref="C10" ca="1">IFERROR(INDEX(Tableau6[Nom abrégé],SMALL(IF((Tableau6[prochaine visite epi]&lt;TODAY())*(Tableau6[Status]="Actif"),ROW(Tableau6[prochaine visite epi])-MIN(ROW(Employé!$AD$4))+1,""),ROWS(C$5:C10))),"")</f>
        <v>DISTEFANO Al</v>
      </c>
      <c r="D10" s="11" t="str">
        <f t="array" aca="1" ref="D10" ca="1">IFERROR(INDEX(Tableau6[prochaine visite epi],SMALL(IF((Tableau6[prochaine visite epi]&gt;=TODAY())*(Tableau6[prochaine visite epi]&lt;=TODAY()+92)*(Tableau6[Status]="Actif"),ROW(Tableau6[prochaine visite epi])-MIN(ROW(Employé!$AD$4))+1,""),ROWS(D$5:D10))),"")</f>
        <v/>
      </c>
      <c r="E10" s="12" t="str">
        <f t="array" aca="1" ref="E10" ca="1">IFERROR(INDEX(Tableau6[Nom abrégé],SMALL(IF((Tableau6[prochaine visite epi]&gt;=TODAY())*(Tableau6[prochaine visite epi]&lt;=TODAY()+92)*(Tableau6[Status]="Actif"),ROW(Tableau6[prochaine visite epi])-MIN(ROW(Employé!$AD$4))+1,""),ROWS(E$5:E10))),"")</f>
        <v/>
      </c>
      <c r="F10" s="2" t="str">
        <f t="array" aca="1" ref="F10" ca="1">IFERROR(INDEX(Tableau6[prochaine visite epi],SMALL(IF((Tableau6[prochaine visite epi]&gt;TODAY()+92)*(Tableau6[Status]="Actif"),ROW(Tableau6[prochaine visite epi])-MIN(ROW(Employé!$AD$4))+1,""),ROWS(F$5:F10))),"")</f>
        <v/>
      </c>
      <c r="G10" s="8" t="str">
        <f t="array" aca="1" ref="G10" ca="1">IFERROR(INDEX(Tableau6[Nom abrégé],SMALL(IF((Tableau6[prochaine visite epi]&gt;TODAY()+92)*(Tableau6[Status]="Actif"),ROW(Tableau6[prochaine visite epi])-MIN(ROW(Employé!$AD$4))+1,""),ROWS(G$5:G10))),"")</f>
        <v/>
      </c>
      <c r="I10" s="2">
        <f t="array" aca="1" ref="I10" ca="1">IFERROR(INDEX(Tableau6[prochaine visite ari],SMALL(IF((Tableau6[prochaine visite ari]&lt;TODAY())*(Tableau6[Status]="Actif"),ROW(Tableau6[prochaine visite ari])-MIN(ROW(Employé!$BH$4))+1,""),ROWS(I$5:I10))),"")</f>
        <v>91</v>
      </c>
      <c r="J10" s="8" t="str">
        <f t="array" aca="1" ref="J10" ca="1">IFERROR(INDEX(Tableau6[Nom abrégé],SMALL(IF((Tableau6[prochaine visite ari]&lt;TODAY())*(Tableau6[Status]="Actif"),ROW(Tableau6[prochaine visite ari])-MIN(ROW(Employé!$BH$4))+1,""),ROWS(J$5:J10))),"")</f>
        <v>DISTEFANO Al</v>
      </c>
      <c r="K10" s="2" t="str">
        <f t="array" aca="1" ref="K10" ca="1">IFERROR(INDEX(Tableau6[prochaine visite ari],SMALL(IF((Tableau6[prochaine visite ari]&gt;=TODAY())*(Tableau6[prochaine visite ari]&lt;=TODAY()+92)*(Tableau6[Status]="Actif"),ROW(Tableau6[prochaine visite ari])-MIN(ROW(Employé!$BH$4))+1,""),ROWS(K$5:K10))),"")</f>
        <v/>
      </c>
      <c r="L10" s="8" t="str">
        <f t="array" aca="1" ref="L10" ca="1">IFERROR(INDEX(Tableau6[Nom abrégé],SMALL(IF((Tableau6[prochaine visite ari]&gt;=TODAY())*(Tableau6[prochaine visite ari]&lt;=TODAY()+92)*(Tableau6[Status]="Actif"),ROW(Tableau6[prochaine visite ari])-MIN(ROW(Employé!$BH$4))+1,""),ROWS(L$5:L10))),"")</f>
        <v/>
      </c>
      <c r="M10" s="2" t="str">
        <f t="array" aca="1" ref="M10" ca="1">IFERROR(INDEX(Tableau6[prochaine visite ari],SMALL(IF((Tableau6[prochaine visite ari]&gt;TODAY()+92)*(Tableau6[Status]="Actif"),ROW(Tableau6[prochaine visite ari])-MIN(ROW(Employé!$BH$4))+1,""),ROWS(M$5:M10))),"")</f>
        <v/>
      </c>
      <c r="N10" s="8" t="str">
        <f t="array" aca="1" ref="N10" ca="1">IFERROR(INDEX(Tableau6[Nom abrégé],SMALL(IF((Tableau6[prochaine visite ari]&gt;TODAY()+92)*(Tableau6[Status]="Actif"),ROW(Tableau6[prochaine visite ari])-MIN(ROW(Employé!$BH$4))+1,""),ROWS(N$5:N10))),"")</f>
        <v/>
      </c>
    </row>
    <row r="11" spans="1:14" x14ac:dyDescent="0.2">
      <c r="A11" s="9"/>
      <c r="B11" s="2">
        <f t="array" aca="1" ref="B11" ca="1">IFERROR(INDEX(Tableau6[prochaine visite epi],SMALL(IF((Tableau6[prochaine visite epi]&lt;TODAY())*(Tableau6[Status]="Actif"),ROW(Tableau6[prochaine visite epi])-MIN(ROW(Employé!$AD$4))+1,""),ROWS(B$5:B11))),"")</f>
        <v>91</v>
      </c>
      <c r="C11" s="10" t="str">
        <f t="array" aca="1" ref="C11" ca="1">IFERROR(INDEX(Tableau6[Nom abrégé],SMALL(IF((Tableau6[prochaine visite epi]&lt;TODAY())*(Tableau6[Status]="Actif"),ROW(Tableau6[prochaine visite epi])-MIN(ROW(Employé!$AD$4))+1,""),ROWS(C$5:C11))),"")</f>
        <v>SCHWEITZER Je</v>
      </c>
      <c r="D11" s="11" t="str">
        <f t="array" aca="1" ref="D11" ca="1">IFERROR(INDEX(Tableau6[prochaine visite epi],SMALL(IF((Tableau6[prochaine visite epi]&gt;=TODAY())*(Tableau6[prochaine visite epi]&lt;=TODAY()+92)*(Tableau6[Status]="Actif"),ROW(Tableau6[prochaine visite epi])-MIN(ROW(Employé!$AD$4))+1,""),ROWS(D$5:D11))),"")</f>
        <v/>
      </c>
      <c r="E11" s="12" t="str">
        <f t="array" aca="1" ref="E11" ca="1">IFERROR(INDEX(Tableau6[Nom abrégé],SMALL(IF((Tableau6[prochaine visite epi]&gt;=TODAY())*(Tableau6[prochaine visite epi]&lt;=TODAY()+92)*(Tableau6[Status]="Actif"),ROW(Tableau6[prochaine visite epi])-MIN(ROW(Employé!$AD$4))+1,""),ROWS(E$5:E11))),"")</f>
        <v/>
      </c>
      <c r="F11" s="2" t="str">
        <f t="array" aca="1" ref="F11" ca="1">IFERROR(INDEX(Tableau6[prochaine visite epi],SMALL(IF((Tableau6[prochaine visite epi]&gt;TODAY()+92)*(Tableau6[Status]="Actif"),ROW(Tableau6[prochaine visite epi])-MIN(ROW(Employé!$AD$4))+1,""),ROWS(F$5:F11))),"")</f>
        <v/>
      </c>
      <c r="G11" s="8" t="str">
        <f t="array" aca="1" ref="G11" ca="1">IFERROR(INDEX(Tableau6[Nom abrégé],SMALL(IF((Tableau6[prochaine visite epi]&gt;TODAY()+92)*(Tableau6[Status]="Actif"),ROW(Tableau6[prochaine visite epi])-MIN(ROW(Employé!$AD$4))+1,""),ROWS(G$5:G11))),"")</f>
        <v/>
      </c>
      <c r="I11" s="2">
        <f t="array" aca="1" ref="I11" ca="1">IFERROR(INDEX(Tableau6[prochaine visite ari],SMALL(IF((Tableau6[prochaine visite ari]&lt;TODAY())*(Tableau6[Status]="Actif"),ROW(Tableau6[prochaine visite ari])-MIN(ROW(Employé!$BH$4))+1,""),ROWS(I$5:I11))),"")</f>
        <v>91</v>
      </c>
      <c r="J11" s="8" t="str">
        <f t="array" aca="1" ref="J11" ca="1">IFERROR(INDEX(Tableau6[Nom abrégé],SMALL(IF((Tableau6[prochaine visite ari]&lt;TODAY())*(Tableau6[Status]="Actif"),ROW(Tableau6[prochaine visite ari])-MIN(ROW(Employé!$BH$4))+1,""),ROWS(J$5:J11))),"")</f>
        <v>SCHWEITZER Je</v>
      </c>
      <c r="K11" s="2" t="str">
        <f t="array" aca="1" ref="K11" ca="1">IFERROR(INDEX(Tableau6[prochaine visite ari],SMALL(IF((Tableau6[prochaine visite ari]&gt;=TODAY())*(Tableau6[prochaine visite ari]&lt;=TODAY()+92)*(Tableau6[Status]="Actif"),ROW(Tableau6[prochaine visite ari])-MIN(ROW(Employé!$BH$4))+1,""),ROWS(K$5:K11))),"")</f>
        <v/>
      </c>
      <c r="L11" s="8" t="str">
        <f t="array" aca="1" ref="L11" ca="1">IFERROR(INDEX(Tableau6[Nom abrégé],SMALL(IF((Tableau6[prochaine visite ari]&gt;=TODAY())*(Tableau6[prochaine visite ari]&lt;=TODAY()+92)*(Tableau6[Status]="Actif"),ROW(Tableau6[prochaine visite ari])-MIN(ROW(Employé!$BH$4))+1,""),ROWS(L$5:L11))),"")</f>
        <v/>
      </c>
      <c r="M11" s="2" t="str">
        <f t="array" aca="1" ref="M11" ca="1">IFERROR(INDEX(Tableau6[prochaine visite ari],SMALL(IF((Tableau6[prochaine visite ari]&gt;TODAY()+92)*(Tableau6[Status]="Actif"),ROW(Tableau6[prochaine visite ari])-MIN(ROW(Employé!$BH$4))+1,""),ROWS(M$5:M11))),"")</f>
        <v/>
      </c>
      <c r="N11" s="8" t="str">
        <f t="array" aca="1" ref="N11" ca="1">IFERROR(INDEX(Tableau6[Nom abrégé],SMALL(IF((Tableau6[prochaine visite ari]&gt;TODAY()+92)*(Tableau6[Status]="Actif"),ROW(Tableau6[prochaine visite ari])-MIN(ROW(Employé!$BH$4))+1,""),ROWS(N$5:N11))),"")</f>
        <v/>
      </c>
    </row>
    <row r="12" spans="1:14" x14ac:dyDescent="0.2">
      <c r="A12" s="9"/>
      <c r="B12" s="2">
        <f t="array" aca="1" ref="B12" ca="1">IFERROR(INDEX(Tableau6[prochaine visite epi],SMALL(IF((Tableau6[prochaine visite epi]&lt;TODAY())*(Tableau6[Status]="Actif"),ROW(Tableau6[prochaine visite epi])-MIN(ROW(Employé!$AD$4))+1,""),ROWS(B$5:B12))),"")</f>
        <v>91</v>
      </c>
      <c r="C12" s="10" t="str">
        <f t="array" aca="1" ref="C12" ca="1">IFERROR(INDEX(Tableau6[Nom abrégé],SMALL(IF((Tableau6[prochaine visite epi]&lt;TODAY())*(Tableau6[Status]="Actif"),ROW(Tableau6[prochaine visite epi])-MIN(ROW(Employé!$AD$4))+1,""),ROWS(C$5:C12))),"")</f>
        <v>AFONSO Ju</v>
      </c>
      <c r="D12" s="11" t="str">
        <f t="array" aca="1" ref="D12" ca="1">IFERROR(INDEX(Tableau6[prochaine visite epi],SMALL(IF((Tableau6[prochaine visite epi]&gt;=TODAY())*(Tableau6[prochaine visite epi]&lt;=TODAY()+92)*(Tableau6[Status]="Actif"),ROW(Tableau6[prochaine visite epi])-MIN(ROW(Employé!$AD$4))+1,""),ROWS(D$5:D12))),"")</f>
        <v/>
      </c>
      <c r="E12" s="12" t="str">
        <f t="array" aca="1" ref="E12" ca="1">IFERROR(INDEX(Tableau6[Nom abrégé],SMALL(IF((Tableau6[prochaine visite epi]&gt;=TODAY())*(Tableau6[prochaine visite epi]&lt;=TODAY()+92)*(Tableau6[Status]="Actif"),ROW(Tableau6[prochaine visite epi])-MIN(ROW(Employé!$AD$4))+1,""),ROWS(E$5:E12))),"")</f>
        <v/>
      </c>
      <c r="F12" s="2" t="str">
        <f t="array" aca="1" ref="F12" ca="1">IFERROR(INDEX(Tableau6[prochaine visite epi],SMALL(IF((Tableau6[prochaine visite epi]&gt;TODAY()+92)*(Tableau6[Status]="Actif"),ROW(Tableau6[prochaine visite epi])-MIN(ROW(Employé!$AD$4))+1,""),ROWS(F$5:F12))),"")</f>
        <v/>
      </c>
      <c r="G12" s="8" t="str">
        <f t="array" aca="1" ref="G12" ca="1">IFERROR(INDEX(Tableau6[Nom abrégé],SMALL(IF((Tableau6[prochaine visite epi]&gt;TODAY()+92)*(Tableau6[Status]="Actif"),ROW(Tableau6[prochaine visite epi])-MIN(ROW(Employé!$AD$4))+1,""),ROWS(G$5:G12))),"")</f>
        <v/>
      </c>
      <c r="I12" s="2">
        <f t="array" aca="1" ref="I12" ca="1">IFERROR(INDEX(Tableau6[prochaine visite ari],SMALL(IF((Tableau6[prochaine visite ari]&lt;TODAY())*(Tableau6[Status]="Actif"),ROW(Tableau6[prochaine visite ari])-MIN(ROW(Employé!$BH$4))+1,""),ROWS(I$5:I12))),"")</f>
        <v>91</v>
      </c>
      <c r="J12" s="8" t="str">
        <f t="array" aca="1" ref="J12" ca="1">IFERROR(INDEX(Tableau6[Nom abrégé],SMALL(IF((Tableau6[prochaine visite ari]&lt;TODAY())*(Tableau6[Status]="Actif"),ROW(Tableau6[prochaine visite ari])-MIN(ROW(Employé!$BH$4))+1,""),ROWS(J$5:J12))),"")</f>
        <v>AFONSO Ju</v>
      </c>
      <c r="K12" s="2" t="str">
        <f t="array" aca="1" ref="K12" ca="1">IFERROR(INDEX(Tableau6[prochaine visite ari],SMALL(IF((Tableau6[prochaine visite ari]&gt;=TODAY())*(Tableau6[prochaine visite ari]&lt;=TODAY()+92)*(Tableau6[Status]="Actif"),ROW(Tableau6[prochaine visite ari])-MIN(ROW(Employé!$BH$4))+1,""),ROWS(K$5:K12))),"")</f>
        <v/>
      </c>
      <c r="L12" s="8" t="str">
        <f t="array" aca="1" ref="L12" ca="1">IFERROR(INDEX(Tableau6[Nom abrégé],SMALL(IF((Tableau6[prochaine visite ari]&gt;=TODAY())*(Tableau6[prochaine visite ari]&lt;=TODAY()+92)*(Tableau6[Status]="Actif"),ROW(Tableau6[prochaine visite ari])-MIN(ROW(Employé!$BH$4))+1,""),ROWS(L$5:L12))),"")</f>
        <v/>
      </c>
      <c r="M12" s="2" t="str">
        <f t="array" aca="1" ref="M12" ca="1">IFERROR(INDEX(Tableau6[prochaine visite ari],SMALL(IF((Tableau6[prochaine visite ari]&gt;TODAY()+92)*(Tableau6[Status]="Actif"),ROW(Tableau6[prochaine visite ari])-MIN(ROW(Employé!$BH$4))+1,""),ROWS(M$5:M12))),"")</f>
        <v/>
      </c>
      <c r="N12" s="8" t="str">
        <f t="array" aca="1" ref="N12" ca="1">IFERROR(INDEX(Tableau6[Nom abrégé],SMALL(IF((Tableau6[prochaine visite ari]&gt;TODAY()+92)*(Tableau6[Status]="Actif"),ROW(Tableau6[prochaine visite ari])-MIN(ROW(Employé!$BH$4))+1,""),ROWS(N$5:N12))),"")</f>
        <v/>
      </c>
    </row>
    <row r="13" spans="1:14" x14ac:dyDescent="0.2">
      <c r="A13" s="9"/>
      <c r="B13" s="2">
        <f t="array" aca="1" ref="B13" ca="1">IFERROR(INDEX(Tableau6[prochaine visite epi],SMALL(IF((Tableau6[prochaine visite epi]&lt;TODAY())*(Tableau6[Status]="Actif"),ROW(Tableau6[prochaine visite epi])-MIN(ROW(Employé!$AD$4))+1,""),ROWS(B$5:B13))),"")</f>
        <v>91</v>
      </c>
      <c r="C13" s="10" t="str">
        <f t="array" aca="1" ref="C13" ca="1">IFERROR(INDEX(Tableau6[Nom abrégé],SMALL(IF((Tableau6[prochaine visite epi]&lt;TODAY())*(Tableau6[Status]="Actif"),ROW(Tableau6[prochaine visite epi])-MIN(ROW(Employé!$AD$4))+1,""),ROWS(C$5:C13))),"")</f>
        <v>LEROY Fr</v>
      </c>
      <c r="D13" s="11" t="str">
        <f t="array" aca="1" ref="D13" ca="1">IFERROR(INDEX(Tableau6[prochaine visite epi],SMALL(IF((Tableau6[prochaine visite epi]&gt;=TODAY())*(Tableau6[prochaine visite epi]&lt;=TODAY()+92)*(Tableau6[Status]="Actif"),ROW(Tableau6[prochaine visite epi])-MIN(ROW(Employé!$AD$4))+1,""),ROWS(D$5:D13))),"")</f>
        <v/>
      </c>
      <c r="E13" s="12" t="str">
        <f t="array" aca="1" ref="E13" ca="1">IFERROR(INDEX(Tableau6[Nom abrégé],SMALL(IF((Tableau6[prochaine visite epi]&gt;=TODAY())*(Tableau6[prochaine visite epi]&lt;=TODAY()+92)*(Tableau6[Status]="Actif"),ROW(Tableau6[prochaine visite epi])-MIN(ROW(Employé!$AD$4))+1,""),ROWS(E$5:E13))),"")</f>
        <v/>
      </c>
      <c r="F13" s="2" t="str">
        <f t="array" aca="1" ref="F13" ca="1">IFERROR(INDEX(Tableau6[prochaine visite epi],SMALL(IF((Tableau6[prochaine visite epi]&gt;TODAY()+92)*(Tableau6[Status]="Actif"),ROW(Tableau6[prochaine visite epi])-MIN(ROW(Employé!$AD$4))+1,""),ROWS(F$5:F13))),"")</f>
        <v/>
      </c>
      <c r="G13" s="8" t="str">
        <f t="array" aca="1" ref="G13" ca="1">IFERROR(INDEX(Tableau6[Nom abrégé],SMALL(IF((Tableau6[prochaine visite epi]&gt;TODAY()+92)*(Tableau6[Status]="Actif"),ROW(Tableau6[prochaine visite epi])-MIN(ROW(Employé!$AD$4))+1,""),ROWS(G$5:G13))),"")</f>
        <v/>
      </c>
      <c r="I13" s="2">
        <f t="array" aca="1" ref="I13" ca="1">IFERROR(INDEX(Tableau6[prochaine visite ari],SMALL(IF((Tableau6[prochaine visite ari]&lt;TODAY())*(Tableau6[Status]="Actif"),ROW(Tableau6[prochaine visite ari])-MIN(ROW(Employé!$BH$4))+1,""),ROWS(I$5:I13))),"")</f>
        <v>91</v>
      </c>
      <c r="J13" s="8" t="str">
        <f t="array" aca="1" ref="J13" ca="1">IFERROR(INDEX(Tableau6[Nom abrégé],SMALL(IF((Tableau6[prochaine visite ari]&lt;TODAY())*(Tableau6[Status]="Actif"),ROW(Tableau6[prochaine visite ari])-MIN(ROW(Employé!$BH$4))+1,""),ROWS(J$5:J13))),"")</f>
        <v>LEROY Fr</v>
      </c>
      <c r="K13" s="2" t="str">
        <f t="array" aca="1" ref="K13" ca="1">IFERROR(INDEX(Tableau6[prochaine visite ari],SMALL(IF((Tableau6[prochaine visite ari]&gt;=TODAY())*(Tableau6[prochaine visite ari]&lt;=TODAY()+92)*(Tableau6[Status]="Actif"),ROW(Tableau6[prochaine visite ari])-MIN(ROW(Employé!$BH$4))+1,""),ROWS(K$5:K13))),"")</f>
        <v/>
      </c>
      <c r="L13" s="8" t="str">
        <f t="array" aca="1" ref="L13" ca="1">IFERROR(INDEX(Tableau6[Nom abrégé],SMALL(IF((Tableau6[prochaine visite ari]&gt;=TODAY())*(Tableau6[prochaine visite ari]&lt;=TODAY()+92)*(Tableau6[Status]="Actif"),ROW(Tableau6[prochaine visite ari])-MIN(ROW(Employé!$BH$4))+1,""),ROWS(L$5:L13))),"")</f>
        <v/>
      </c>
      <c r="M13" s="2" t="str">
        <f t="array" aca="1" ref="M13" ca="1">IFERROR(INDEX(Tableau6[prochaine visite ari],SMALL(IF((Tableau6[prochaine visite ari]&gt;TODAY()+92)*(Tableau6[Status]="Actif"),ROW(Tableau6[prochaine visite ari])-MIN(ROW(Employé!$BH$4))+1,""),ROWS(M$5:M13))),"")</f>
        <v/>
      </c>
      <c r="N13" s="8" t="str">
        <f t="array" aca="1" ref="N13" ca="1">IFERROR(INDEX(Tableau6[Nom abrégé],SMALL(IF((Tableau6[prochaine visite ari]&gt;TODAY()+92)*(Tableau6[Status]="Actif"),ROW(Tableau6[prochaine visite ari])-MIN(ROW(Employé!$BH$4))+1,""),ROWS(N$5:N13))),"")</f>
        <v/>
      </c>
    </row>
    <row r="14" spans="1:14" x14ac:dyDescent="0.2">
      <c r="A14" s="9"/>
      <c r="B14" s="2">
        <f t="array" aca="1" ref="B14" ca="1">IFERROR(INDEX(Tableau6[prochaine visite epi],SMALL(IF((Tableau6[prochaine visite epi]&lt;TODAY())*(Tableau6[Status]="Actif"),ROW(Tableau6[prochaine visite epi])-MIN(ROW(Employé!$AD$4))+1,""),ROWS(B$5:B14))),"")</f>
        <v>91</v>
      </c>
      <c r="C14" s="10" t="str">
        <f t="array" aca="1" ref="C14" ca="1">IFERROR(INDEX(Tableau6[Nom abrégé],SMALL(IF((Tableau6[prochaine visite epi]&lt;TODAY())*(Tableau6[Status]="Actif"),ROW(Tableau6[prochaine visite epi])-MIN(ROW(Employé!$AD$4))+1,""),ROWS(C$5:C14))),"")</f>
        <v>LEROY Je</v>
      </c>
      <c r="D14" s="11" t="str">
        <f t="array" aca="1" ref="D14" ca="1">IFERROR(INDEX(Tableau6[prochaine visite epi],SMALL(IF((Tableau6[prochaine visite epi]&gt;=TODAY())*(Tableau6[prochaine visite epi]&lt;=TODAY()+92)*(Tableau6[Status]="Actif"),ROW(Tableau6[prochaine visite epi])-MIN(ROW(Employé!$AD$4))+1,""),ROWS(D$5:D14))),"")</f>
        <v/>
      </c>
      <c r="E14" s="12" t="str">
        <f t="array" aca="1" ref="E14" ca="1">IFERROR(INDEX(Tableau6[Nom abrégé],SMALL(IF((Tableau6[prochaine visite epi]&gt;=TODAY())*(Tableau6[prochaine visite epi]&lt;=TODAY()+92)*(Tableau6[Status]="Actif"),ROW(Tableau6[prochaine visite epi])-MIN(ROW(Employé!$AD$4))+1,""),ROWS(E$5:E14))),"")</f>
        <v/>
      </c>
      <c r="F14" s="2" t="str">
        <f t="array" aca="1" ref="F14" ca="1">IFERROR(INDEX(Tableau6[prochaine visite epi],SMALL(IF((Tableau6[prochaine visite epi]&gt;TODAY()+92)*(Tableau6[Status]="Actif"),ROW(Tableau6[prochaine visite epi])-MIN(ROW(Employé!$AD$4))+1,""),ROWS(F$5:F14))),"")</f>
        <v/>
      </c>
      <c r="G14" s="8" t="str">
        <f t="array" aca="1" ref="G14" ca="1">IFERROR(INDEX(Tableau6[Nom abrégé],SMALL(IF((Tableau6[prochaine visite epi]&gt;TODAY()+92)*(Tableau6[Status]="Actif"),ROW(Tableau6[prochaine visite epi])-MIN(ROW(Employé!$AD$4))+1,""),ROWS(G$5:G14))),"")</f>
        <v/>
      </c>
      <c r="I14" s="2">
        <f t="array" aca="1" ref="I14" ca="1">IFERROR(INDEX(Tableau6[prochaine visite ari],SMALL(IF((Tableau6[prochaine visite ari]&lt;TODAY())*(Tableau6[Status]="Actif"),ROW(Tableau6[prochaine visite ari])-MIN(ROW(Employé!$BH$4))+1,""),ROWS(I$5:I14))),"")</f>
        <v>91</v>
      </c>
      <c r="J14" s="8" t="str">
        <f t="array" aca="1" ref="J14" ca="1">IFERROR(INDEX(Tableau6[Nom abrégé],SMALL(IF((Tableau6[prochaine visite ari]&lt;TODAY())*(Tableau6[Status]="Actif"),ROW(Tableau6[prochaine visite ari])-MIN(ROW(Employé!$BH$4))+1,""),ROWS(J$5:J14))),"")</f>
        <v>LEROY Je</v>
      </c>
      <c r="K14" s="2" t="str">
        <f t="array" aca="1" ref="K14" ca="1">IFERROR(INDEX(Tableau6[prochaine visite ari],SMALL(IF((Tableau6[prochaine visite ari]&gt;=TODAY())*(Tableau6[prochaine visite ari]&lt;=TODAY()+92)*(Tableau6[Status]="Actif"),ROW(Tableau6[prochaine visite ari])-MIN(ROW(Employé!$BH$4))+1,""),ROWS(K$5:K14))),"")</f>
        <v/>
      </c>
      <c r="L14" s="8" t="str">
        <f t="array" aca="1" ref="L14" ca="1">IFERROR(INDEX(Tableau6[Nom abrégé],SMALL(IF((Tableau6[prochaine visite ari]&gt;=TODAY())*(Tableau6[prochaine visite ari]&lt;=TODAY()+92)*(Tableau6[Status]="Actif"),ROW(Tableau6[prochaine visite ari])-MIN(ROW(Employé!$BH$4))+1,""),ROWS(L$5:L14))),"")</f>
        <v/>
      </c>
      <c r="M14" s="2" t="str">
        <f t="array" aca="1" ref="M14" ca="1">IFERROR(INDEX(Tableau6[prochaine visite ari],SMALL(IF((Tableau6[prochaine visite ari]&gt;TODAY()+92)*(Tableau6[Status]="Actif"),ROW(Tableau6[prochaine visite ari])-MIN(ROW(Employé!$BH$4))+1,""),ROWS(M$5:M14))),"")</f>
        <v/>
      </c>
      <c r="N14" s="8" t="str">
        <f t="array" aca="1" ref="N14" ca="1">IFERROR(INDEX(Tableau6[Nom abrégé],SMALL(IF((Tableau6[prochaine visite ari]&gt;TODAY()+92)*(Tableau6[Status]="Actif"),ROW(Tableau6[prochaine visite ari])-MIN(ROW(Employé!$BH$4))+1,""),ROWS(N$5:N14))),"")</f>
        <v/>
      </c>
    </row>
    <row r="15" spans="1:14" x14ac:dyDescent="0.2">
      <c r="A15" s="9"/>
      <c r="B15" s="2">
        <f t="array" aca="1" ref="B15" ca="1">IFERROR(INDEX(Tableau6[prochaine visite epi],SMALL(IF((Tableau6[prochaine visite epi]&lt;TODAY())*(Tableau6[Status]="Actif"),ROW(Tableau6[prochaine visite epi])-MIN(ROW(Employé!$AD$4))+1,""),ROWS(B$5:B15))),"")</f>
        <v>91</v>
      </c>
      <c r="C15" s="10" t="str">
        <f t="array" aca="1" ref="C15" ca="1">IFERROR(INDEX(Tableau6[Nom abrégé],SMALL(IF((Tableau6[prochaine visite epi]&lt;TODAY())*(Tableau6[Status]="Actif"),ROW(Tableau6[prochaine visite epi])-MIN(ROW(Employé!$AD$4))+1,""),ROWS(C$5:C15))),"")</f>
        <v>FERRARA Ju</v>
      </c>
      <c r="D15" s="11" t="str">
        <f t="array" aca="1" ref="D15" ca="1">IFERROR(INDEX(Tableau6[prochaine visite epi],SMALL(IF((Tableau6[prochaine visite epi]&gt;=TODAY())*(Tableau6[prochaine visite epi]&lt;=TODAY()+92)*(Tableau6[Status]="Actif"),ROW(Tableau6[prochaine visite epi])-MIN(ROW(Employé!$AD$4))+1,""),ROWS(D$5:D15))),"")</f>
        <v/>
      </c>
      <c r="E15" s="12" t="str">
        <f t="array" aca="1" ref="E15" ca="1">IFERROR(INDEX(Tableau6[Nom abrégé],SMALL(IF((Tableau6[prochaine visite epi]&gt;=TODAY())*(Tableau6[prochaine visite epi]&lt;=TODAY()+92)*(Tableau6[Status]="Actif"),ROW(Tableau6[prochaine visite epi])-MIN(ROW(Employé!$AD$4))+1,""),ROWS(E$5:E15))),"")</f>
        <v/>
      </c>
      <c r="F15" s="2" t="str">
        <f t="array" aca="1" ref="F15" ca="1">IFERROR(INDEX(Tableau6[prochaine visite epi],SMALL(IF((Tableau6[prochaine visite epi]&gt;TODAY()+92)*(Tableau6[Status]="Actif"),ROW(Tableau6[prochaine visite epi])-MIN(ROW(Employé!$AD$4))+1,""),ROWS(F$5:F15))),"")</f>
        <v/>
      </c>
      <c r="G15" s="8" t="str">
        <f t="array" aca="1" ref="G15" ca="1">IFERROR(INDEX(Tableau6[Nom abrégé],SMALL(IF((Tableau6[prochaine visite epi]&gt;TODAY()+92)*(Tableau6[Status]="Actif"),ROW(Tableau6[prochaine visite epi])-MIN(ROW(Employé!$AD$4))+1,""),ROWS(G$5:G15))),"")</f>
        <v/>
      </c>
      <c r="I15" s="2">
        <f t="array" aca="1" ref="I15" ca="1">IFERROR(INDEX(Tableau6[prochaine visite ari],SMALL(IF((Tableau6[prochaine visite ari]&lt;TODAY())*(Tableau6[Status]="Actif"),ROW(Tableau6[prochaine visite ari])-MIN(ROW(Employé!$BH$4))+1,""),ROWS(I$5:I15))),"")</f>
        <v>91</v>
      </c>
      <c r="J15" s="8" t="str">
        <f t="array" aca="1" ref="J15" ca="1">IFERROR(INDEX(Tableau6[Nom abrégé],SMALL(IF((Tableau6[prochaine visite ari]&lt;TODAY())*(Tableau6[Status]="Actif"),ROW(Tableau6[prochaine visite ari])-MIN(ROW(Employé!$BH$4))+1,""),ROWS(J$5:J15))),"")</f>
        <v>FERRARA Ju</v>
      </c>
      <c r="K15" s="2" t="str">
        <f t="array" aca="1" ref="K15" ca="1">IFERROR(INDEX(Tableau6[prochaine visite ari],SMALL(IF((Tableau6[prochaine visite ari]&gt;=TODAY())*(Tableau6[prochaine visite ari]&lt;=TODAY()+92)*(Tableau6[Status]="Actif"),ROW(Tableau6[prochaine visite ari])-MIN(ROW(Employé!$BH$4))+1,""),ROWS(K$5:K15))),"")</f>
        <v/>
      </c>
      <c r="L15" s="8" t="str">
        <f t="array" aca="1" ref="L15" ca="1">IFERROR(INDEX(Tableau6[Nom abrégé],SMALL(IF((Tableau6[prochaine visite ari]&gt;=TODAY())*(Tableau6[prochaine visite ari]&lt;=TODAY()+92)*(Tableau6[Status]="Actif"),ROW(Tableau6[prochaine visite ari])-MIN(ROW(Employé!$BH$4))+1,""),ROWS(L$5:L15))),"")</f>
        <v/>
      </c>
      <c r="M15" s="2" t="str">
        <f t="array" aca="1" ref="M15" ca="1">IFERROR(INDEX(Tableau6[prochaine visite ari],SMALL(IF((Tableau6[prochaine visite ari]&gt;TODAY()+92)*(Tableau6[Status]="Actif"),ROW(Tableau6[prochaine visite ari])-MIN(ROW(Employé!$BH$4))+1,""),ROWS(M$5:M15))),"")</f>
        <v/>
      </c>
      <c r="N15" s="8" t="str">
        <f t="array" aca="1" ref="N15" ca="1">IFERROR(INDEX(Tableau6[Nom abrégé],SMALL(IF((Tableau6[prochaine visite ari]&gt;TODAY()+92)*(Tableau6[Status]="Actif"),ROW(Tableau6[prochaine visite ari])-MIN(ROW(Employé!$BH$4))+1,""),ROWS(N$5:N15))),"")</f>
        <v/>
      </c>
    </row>
    <row r="16" spans="1:14" x14ac:dyDescent="0.2">
      <c r="A16" s="9"/>
      <c r="B16" s="2">
        <f t="array" aca="1" ref="B16" ca="1">IFERROR(INDEX(Tableau6[prochaine visite epi],SMALL(IF((Tableau6[prochaine visite epi]&lt;TODAY())*(Tableau6[Status]="Actif"),ROW(Tableau6[prochaine visite epi])-MIN(ROW(Employé!$AD$4))+1,""),ROWS(B$5:B16))),"")</f>
        <v>91</v>
      </c>
      <c r="C16" s="10" t="str">
        <f t="array" aca="1" ref="C16" ca="1">IFERROR(INDEX(Tableau6[Nom abrégé],SMALL(IF((Tableau6[prochaine visite epi]&lt;TODAY())*(Tableau6[Status]="Actif"),ROW(Tableau6[prochaine visite epi])-MIN(ROW(Employé!$AD$4))+1,""),ROWS(C$5:C16))),"")</f>
        <v>BALLESTER Xa</v>
      </c>
      <c r="D16" s="11" t="str">
        <f t="array" aca="1" ref="D16" ca="1">IFERROR(INDEX(Tableau6[prochaine visite epi],SMALL(IF((Tableau6[prochaine visite epi]&gt;=TODAY())*(Tableau6[prochaine visite epi]&lt;=TODAY()+92)*(Tableau6[Status]="Actif"),ROW(Tableau6[prochaine visite epi])-MIN(ROW(Employé!$AD$4))+1,""),ROWS(D$5:D16))),"")</f>
        <v/>
      </c>
      <c r="E16" s="12" t="str">
        <f t="array" aca="1" ref="E16" ca="1">IFERROR(INDEX(Tableau6[Nom abrégé],SMALL(IF((Tableau6[prochaine visite epi]&gt;=TODAY())*(Tableau6[prochaine visite epi]&lt;=TODAY()+92)*(Tableau6[Status]="Actif"),ROW(Tableau6[prochaine visite epi])-MIN(ROW(Employé!$AD$4))+1,""),ROWS(E$5:E16))),"")</f>
        <v/>
      </c>
      <c r="F16" s="2" t="str">
        <f t="array" aca="1" ref="F16" ca="1">IFERROR(INDEX(Tableau6[prochaine visite epi],SMALL(IF((Tableau6[prochaine visite epi]&gt;TODAY()+92)*(Tableau6[Status]="Actif"),ROW(Tableau6[prochaine visite epi])-MIN(ROW(Employé!$AD$4))+1,""),ROWS(F$5:F16))),"")</f>
        <v/>
      </c>
      <c r="G16" s="8" t="str">
        <f t="array" aca="1" ref="G16" ca="1">IFERROR(INDEX(Tableau6[Nom abrégé],SMALL(IF((Tableau6[prochaine visite epi]&gt;TODAY()+92)*(Tableau6[Status]="Actif"),ROW(Tableau6[prochaine visite epi])-MIN(ROW(Employé!$AD$4))+1,""),ROWS(G$5:G16))),"")</f>
        <v/>
      </c>
      <c r="I16" s="2">
        <f t="array" aca="1" ref="I16" ca="1">IFERROR(INDEX(Tableau6[prochaine visite ari],SMALL(IF((Tableau6[prochaine visite ari]&lt;TODAY())*(Tableau6[Status]="Actif"),ROW(Tableau6[prochaine visite ari])-MIN(ROW(Employé!$BH$4))+1,""),ROWS(I$5:I16))),"")</f>
        <v>91</v>
      </c>
      <c r="J16" s="8" t="str">
        <f t="array" aca="1" ref="J16" ca="1">IFERROR(INDEX(Tableau6[Nom abrégé],SMALL(IF((Tableau6[prochaine visite ari]&lt;TODAY())*(Tableau6[Status]="Actif"),ROW(Tableau6[prochaine visite ari])-MIN(ROW(Employé!$BH$4))+1,""),ROWS(J$5:J16))),"")</f>
        <v>BALLESTER Xa</v>
      </c>
      <c r="K16" s="2" t="str">
        <f t="array" aca="1" ref="K16" ca="1">IFERROR(INDEX(Tableau6[prochaine visite ari],SMALL(IF((Tableau6[prochaine visite ari]&gt;=TODAY())*(Tableau6[prochaine visite ari]&lt;=TODAY()+92)*(Tableau6[Status]="Actif"),ROW(Tableau6[prochaine visite ari])-MIN(ROW(Employé!$BH$4))+1,""),ROWS(K$5:K16))),"")</f>
        <v/>
      </c>
      <c r="L16" s="8" t="str">
        <f t="array" aca="1" ref="L16" ca="1">IFERROR(INDEX(Tableau6[Nom abrégé],SMALL(IF((Tableau6[prochaine visite ari]&gt;=TODAY())*(Tableau6[prochaine visite ari]&lt;=TODAY()+92)*(Tableau6[Status]="Actif"),ROW(Tableau6[prochaine visite ari])-MIN(ROW(Employé!$BH$4))+1,""),ROWS(L$5:L16))),"")</f>
        <v/>
      </c>
      <c r="M16" s="2" t="str">
        <f t="array" aca="1" ref="M16" ca="1">IFERROR(INDEX(Tableau6[prochaine visite ari],SMALL(IF((Tableau6[prochaine visite ari]&gt;TODAY()+92)*(Tableau6[Status]="Actif"),ROW(Tableau6[prochaine visite ari])-MIN(ROW(Employé!$BH$4))+1,""),ROWS(M$5:M16))),"")</f>
        <v/>
      </c>
      <c r="N16" s="8" t="str">
        <f t="array" aca="1" ref="N16" ca="1">IFERROR(INDEX(Tableau6[Nom abrégé],SMALL(IF((Tableau6[prochaine visite ari]&gt;TODAY()+92)*(Tableau6[Status]="Actif"),ROW(Tableau6[prochaine visite ari])-MIN(ROW(Employé!$BH$4))+1,""),ROWS(N$5:N16))),"")</f>
        <v/>
      </c>
    </row>
    <row r="17" spans="1:14" x14ac:dyDescent="0.2">
      <c r="A17" s="9"/>
      <c r="B17" s="2">
        <f t="array" aca="1" ref="B17" ca="1">IFERROR(INDEX(Tableau6[prochaine visite epi],SMALL(IF((Tableau6[prochaine visite epi]&lt;TODAY())*(Tableau6[Status]="Actif"),ROW(Tableau6[prochaine visite epi])-MIN(ROW(Employé!$AD$4))+1,""),ROWS(B$5:B17))),"")</f>
        <v>91</v>
      </c>
      <c r="C17" s="10" t="str">
        <f t="array" aca="1" ref="C17" ca="1">IFERROR(INDEX(Tableau6[Nom abrégé],SMALL(IF((Tableau6[prochaine visite epi]&lt;TODAY())*(Tableau6[Status]="Actif"),ROW(Tableau6[prochaine visite epi])-MIN(ROW(Employé!$AD$4))+1,""),ROWS(C$5:C17))),"")</f>
        <v>DESMYTER Da</v>
      </c>
      <c r="D17" s="11" t="str">
        <f t="array" aca="1" ref="D17" ca="1">IFERROR(INDEX(Tableau6[prochaine visite epi],SMALL(IF((Tableau6[prochaine visite epi]&gt;=TODAY())*(Tableau6[prochaine visite epi]&lt;=TODAY()+92)*(Tableau6[Status]="Actif"),ROW(Tableau6[prochaine visite epi])-MIN(ROW(Employé!$AD$4))+1,""),ROWS(D$5:D17))),"")</f>
        <v/>
      </c>
      <c r="E17" s="12" t="str">
        <f t="array" aca="1" ref="E17" ca="1">IFERROR(INDEX(Tableau6[Nom abrégé],SMALL(IF((Tableau6[prochaine visite epi]&gt;=TODAY())*(Tableau6[prochaine visite epi]&lt;=TODAY()+92)*(Tableau6[Status]="Actif"),ROW(Tableau6[prochaine visite epi])-MIN(ROW(Employé!$AD$4))+1,""),ROWS(E$5:E17))),"")</f>
        <v/>
      </c>
      <c r="F17" s="2" t="str">
        <f t="array" aca="1" ref="F17" ca="1">IFERROR(INDEX(Tableau6[prochaine visite epi],SMALL(IF((Tableau6[prochaine visite epi]&gt;TODAY()+92)*(Tableau6[Status]="Actif"),ROW(Tableau6[prochaine visite epi])-MIN(ROW(Employé!$AD$4))+1,""),ROWS(F$5:F17))),"")</f>
        <v/>
      </c>
      <c r="G17" s="8" t="str">
        <f t="array" aca="1" ref="G17" ca="1">IFERROR(INDEX(Tableau6[Nom abrégé],SMALL(IF((Tableau6[prochaine visite epi]&gt;TODAY()+92)*(Tableau6[Status]="Actif"),ROW(Tableau6[prochaine visite epi])-MIN(ROW(Employé!$AD$4))+1,""),ROWS(G$5:G17))),"")</f>
        <v/>
      </c>
      <c r="I17" s="2">
        <f t="array" aca="1" ref="I17" ca="1">IFERROR(INDEX(Tableau6[prochaine visite ari],SMALL(IF((Tableau6[prochaine visite ari]&lt;TODAY())*(Tableau6[Status]="Actif"),ROW(Tableau6[prochaine visite ari])-MIN(ROW(Employé!$BH$4))+1,""),ROWS(I$5:I17))),"")</f>
        <v>91</v>
      </c>
      <c r="J17" s="8" t="str">
        <f t="array" aca="1" ref="J17" ca="1">IFERROR(INDEX(Tableau6[Nom abrégé],SMALL(IF((Tableau6[prochaine visite ari]&lt;TODAY())*(Tableau6[Status]="Actif"),ROW(Tableau6[prochaine visite ari])-MIN(ROW(Employé!$BH$4))+1,""),ROWS(J$5:J17))),"")</f>
        <v>DESMYTER Da</v>
      </c>
      <c r="K17" s="2" t="str">
        <f t="array" aca="1" ref="K17" ca="1">IFERROR(INDEX(Tableau6[prochaine visite ari],SMALL(IF((Tableau6[prochaine visite ari]&gt;=TODAY())*(Tableau6[prochaine visite ari]&lt;=TODAY()+92)*(Tableau6[Status]="Actif"),ROW(Tableau6[prochaine visite ari])-MIN(ROW(Employé!$BH$4))+1,""),ROWS(K$5:K17))),"")</f>
        <v/>
      </c>
      <c r="L17" s="8" t="str">
        <f t="array" aca="1" ref="L17" ca="1">IFERROR(INDEX(Tableau6[Nom abrégé],SMALL(IF((Tableau6[prochaine visite ari]&gt;=TODAY())*(Tableau6[prochaine visite ari]&lt;=TODAY()+92)*(Tableau6[Status]="Actif"),ROW(Tableau6[prochaine visite ari])-MIN(ROW(Employé!$BH$4))+1,""),ROWS(L$5:L17))),"")</f>
        <v/>
      </c>
      <c r="M17" s="2" t="str">
        <f t="array" aca="1" ref="M17" ca="1">IFERROR(INDEX(Tableau6[prochaine visite ari],SMALL(IF((Tableau6[prochaine visite ari]&gt;TODAY()+92)*(Tableau6[Status]="Actif"),ROW(Tableau6[prochaine visite ari])-MIN(ROW(Employé!$BH$4))+1,""),ROWS(M$5:M17))),"")</f>
        <v/>
      </c>
      <c r="N17" s="8" t="str">
        <f t="array" aca="1" ref="N17" ca="1">IFERROR(INDEX(Tableau6[Nom abrégé],SMALL(IF((Tableau6[prochaine visite ari]&gt;TODAY()+92)*(Tableau6[Status]="Actif"),ROW(Tableau6[prochaine visite ari])-MIN(ROW(Employé!$BH$4))+1,""),ROWS(N$5:N17))),"")</f>
        <v/>
      </c>
    </row>
    <row r="18" spans="1:14" x14ac:dyDescent="0.2">
      <c r="A18" s="9"/>
      <c r="B18" s="2">
        <f t="array" aca="1" ref="B18" ca="1">IFERROR(INDEX(Tableau6[prochaine visite epi],SMALL(IF((Tableau6[prochaine visite epi]&lt;TODAY())*(Tableau6[Status]="Actif"),ROW(Tableau6[prochaine visite epi])-MIN(ROW(Employé!$AD$4))+1,""),ROWS(B$5:B18))),"")</f>
        <v>91</v>
      </c>
      <c r="C18" s="10" t="str">
        <f t="array" aca="1" ref="C18" ca="1">IFERROR(INDEX(Tableau6[Nom abrégé],SMALL(IF((Tableau6[prochaine visite epi]&lt;TODAY())*(Tableau6[Status]="Actif"),ROW(Tableau6[prochaine visite epi])-MIN(ROW(Employé!$AD$4))+1,""),ROWS(C$5:C18))),"")</f>
        <v>NAJJARI Mo</v>
      </c>
      <c r="D18" s="11" t="str">
        <f t="array" aca="1" ref="D18" ca="1">IFERROR(INDEX(Tableau6[prochaine visite epi],SMALL(IF((Tableau6[prochaine visite epi]&gt;=TODAY())*(Tableau6[prochaine visite epi]&lt;=TODAY()+92)*(Tableau6[Status]="Actif"),ROW(Tableau6[prochaine visite epi])-MIN(ROW(Employé!$AD$4))+1,""),ROWS(D$5:D18))),"")</f>
        <v/>
      </c>
      <c r="E18" s="12" t="str">
        <f t="array" aca="1" ref="E18" ca="1">IFERROR(INDEX(Tableau6[Nom abrégé],SMALL(IF((Tableau6[prochaine visite epi]&gt;=TODAY())*(Tableau6[prochaine visite epi]&lt;=TODAY()+92)*(Tableau6[Status]="Actif"),ROW(Tableau6[prochaine visite epi])-MIN(ROW(Employé!$AD$4))+1,""),ROWS(E$5:E18))),"")</f>
        <v/>
      </c>
      <c r="F18" s="2" t="str">
        <f t="array" aca="1" ref="F18" ca="1">IFERROR(INDEX(Tableau6[prochaine visite epi],SMALL(IF((Tableau6[prochaine visite epi]&gt;TODAY()+92)*(Tableau6[Status]="Actif"),ROW(Tableau6[prochaine visite epi])-MIN(ROW(Employé!$AD$4))+1,""),ROWS(F$5:F18))),"")</f>
        <v/>
      </c>
      <c r="G18" s="8" t="str">
        <f t="array" aca="1" ref="G18" ca="1">IFERROR(INDEX(Tableau6[Nom abrégé],SMALL(IF((Tableau6[prochaine visite epi]&gt;TODAY()+92)*(Tableau6[Status]="Actif"),ROW(Tableau6[prochaine visite epi])-MIN(ROW(Employé!$AD$4))+1,""),ROWS(G$5:G18))),"")</f>
        <v/>
      </c>
      <c r="I18" s="2">
        <f t="array" aca="1" ref="I18" ca="1">IFERROR(INDEX(Tableau6[prochaine visite ari],SMALL(IF((Tableau6[prochaine visite ari]&lt;TODAY())*(Tableau6[Status]="Actif"),ROW(Tableau6[prochaine visite ari])-MIN(ROW(Employé!$BH$4))+1,""),ROWS(I$5:I18))),"")</f>
        <v>91</v>
      </c>
      <c r="J18" s="8" t="str">
        <f t="array" aca="1" ref="J18" ca="1">IFERROR(INDEX(Tableau6[Nom abrégé],SMALL(IF((Tableau6[prochaine visite ari]&lt;TODAY())*(Tableau6[Status]="Actif"),ROW(Tableau6[prochaine visite ari])-MIN(ROW(Employé!$BH$4))+1,""),ROWS(J$5:J18))),"")</f>
        <v>NAJJARI Mo</v>
      </c>
      <c r="K18" s="2" t="str">
        <f t="array" aca="1" ref="K18" ca="1">IFERROR(INDEX(Tableau6[prochaine visite ari],SMALL(IF((Tableau6[prochaine visite ari]&gt;=TODAY())*(Tableau6[prochaine visite ari]&lt;=TODAY()+92)*(Tableau6[Status]="Actif"),ROW(Tableau6[prochaine visite ari])-MIN(ROW(Employé!$BH$4))+1,""),ROWS(K$5:K18))),"")</f>
        <v/>
      </c>
      <c r="L18" s="8" t="str">
        <f t="array" aca="1" ref="L18" ca="1">IFERROR(INDEX(Tableau6[Nom abrégé],SMALL(IF((Tableau6[prochaine visite ari]&gt;=TODAY())*(Tableau6[prochaine visite ari]&lt;=TODAY()+92)*(Tableau6[Status]="Actif"),ROW(Tableau6[prochaine visite ari])-MIN(ROW(Employé!$BH$4))+1,""),ROWS(L$5:L18))),"")</f>
        <v/>
      </c>
      <c r="M18" s="2" t="str">
        <f t="array" aca="1" ref="M18" ca="1">IFERROR(INDEX(Tableau6[prochaine visite ari],SMALL(IF((Tableau6[prochaine visite ari]&gt;TODAY()+92)*(Tableau6[Status]="Actif"),ROW(Tableau6[prochaine visite ari])-MIN(ROW(Employé!$BH$4))+1,""),ROWS(M$5:M18))),"")</f>
        <v/>
      </c>
      <c r="N18" s="8" t="str">
        <f t="array" aca="1" ref="N18" ca="1">IFERROR(INDEX(Tableau6[Nom abrégé],SMALL(IF((Tableau6[prochaine visite ari]&gt;TODAY()+92)*(Tableau6[Status]="Actif"),ROW(Tableau6[prochaine visite ari])-MIN(ROW(Employé!$BH$4))+1,""),ROWS(N$5:N18))),"")</f>
        <v/>
      </c>
    </row>
    <row r="19" spans="1:14" ht="13.5" thickBot="1" x14ac:dyDescent="0.25">
      <c r="A19" s="9"/>
      <c r="B19" s="2" t="str">
        <f t="array" aca="1" ref="B19" ca="1">IFERROR(INDEX(Tableau6[prochaine visite epi],SMALL(IF((Tableau6[prochaine visite epi]&lt;TODAY())*(Tableau6[Status]="Actif"),ROW(Tableau6[prochaine visite epi])-MIN(ROW(Employé!$AD$4))+1,""),ROWS(B$5:B19))),"")</f>
        <v/>
      </c>
      <c r="C19" s="10" t="str">
        <f t="array" aca="1" ref="C19" ca="1">IFERROR(INDEX(Tableau6[Nom abrégé],SMALL(IF((Tableau6[prochaine visite epi]&lt;TODAY())*(Tableau6[Status]="Actif"),ROW(Tableau6[prochaine visite epi])-MIN(ROW(Employé!$AD$4))+1,""),ROWS(C$5:C19))),"")</f>
        <v/>
      </c>
      <c r="D19" s="11" t="str">
        <f t="array" aca="1" ref="D19" ca="1">IFERROR(INDEX(Tableau6[prochaine visite epi],SMALL(IF((Tableau6[prochaine visite epi]&gt;=TODAY())*(Tableau6[prochaine visite epi]&lt;=TODAY()+92)*(Tableau6[Status]="Actif"),ROW(Tableau6[prochaine visite epi])-MIN(ROW(Employé!$AD$4))+1,""),ROWS(D$5:D19))),"")</f>
        <v/>
      </c>
      <c r="E19" s="12" t="str">
        <f t="array" aca="1" ref="E19" ca="1">IFERROR(INDEX(Tableau6[Nom abrégé],SMALL(IF((Tableau6[prochaine visite epi]&gt;=TODAY())*(Tableau6[prochaine visite epi]&lt;=TODAY()+92)*(Tableau6[Status]="Actif"),ROW(Tableau6[prochaine visite epi])-MIN(ROW(Employé!$AD$4))+1,""),ROWS(E$5:E19))),"")</f>
        <v/>
      </c>
      <c r="F19" s="2" t="str">
        <f t="array" aca="1" ref="F19" ca="1">IFERROR(INDEX(Tableau6[prochaine visite epi],SMALL(IF((Tableau6[prochaine visite epi]&gt;TODAY()+92)*(Tableau6[Status]="Actif"),ROW(Tableau6[prochaine visite epi])-MIN(ROW(Employé!$AD$4))+1,""),ROWS(F$5:F19))),"")</f>
        <v/>
      </c>
      <c r="G19" s="8" t="str">
        <f t="array" aca="1" ref="G19" ca="1">IFERROR(INDEX(Tableau6[Nom abrégé],SMALL(IF((Tableau6[prochaine visite epi]&gt;TODAY()+92)*(Tableau6[Status]="Actif"),ROW(Tableau6[prochaine visite epi])-MIN(ROW(Employé!$AD$4))+1,""),ROWS(G$5:G19))),"")</f>
        <v/>
      </c>
      <c r="I19" s="2" t="str">
        <f t="array" aca="1" ref="I19" ca="1">IFERROR(INDEX(Tableau6[prochaine visite ari],SMALL(IF((Tableau6[prochaine visite ari]&lt;TODAY())*(Tableau6[Status]="Actif"),ROW(Tableau6[prochaine visite ari])-MIN(ROW(Employé!$BH$4))+1,""),ROWS(I$5:I19))),"")</f>
        <v/>
      </c>
      <c r="J19" s="8" t="str">
        <f t="array" aca="1" ref="J19" ca="1">IFERROR(INDEX(Tableau6[Nom abrégé],SMALL(IF((Tableau6[prochaine visite ari]&lt;TODAY())*(Tableau6[Status]="Actif"),ROW(Tableau6[prochaine visite ari])-MIN(ROW(Employé!$BH$4))+1,""),ROWS(J$5:J19))),"")</f>
        <v/>
      </c>
      <c r="K19" s="2" t="str">
        <f t="array" aca="1" ref="K19" ca="1">IFERROR(INDEX(Tableau6[prochaine visite ari],SMALL(IF((Tableau6[prochaine visite ari]&gt;=TODAY())*(Tableau6[prochaine visite ari]&lt;=TODAY()+92)*(Tableau6[Status]="Actif"),ROW(Tableau6[prochaine visite ari])-MIN(ROW(Employé!$BH$4))+1,""),ROWS(K$5:K19))),"")</f>
        <v/>
      </c>
      <c r="L19" s="8" t="str">
        <f t="array" aca="1" ref="L19" ca="1">IFERROR(INDEX(Tableau6[Nom abrégé],SMALL(IF((Tableau6[prochaine visite ari]&gt;=TODAY())*(Tableau6[prochaine visite ari]&lt;=TODAY()+92)*(Tableau6[Status]="Actif"),ROW(Tableau6[prochaine visite ari])-MIN(ROW(Employé!$BH$4))+1,""),ROWS(L$5:L19))),"")</f>
        <v/>
      </c>
      <c r="M19" s="2" t="str">
        <f t="array" aca="1" ref="M19" ca="1">IFERROR(INDEX(Tableau6[prochaine visite ari],SMALL(IF((Tableau6[prochaine visite ari]&gt;TODAY()+92)*(Tableau6[Status]="Actif"),ROW(Tableau6[prochaine visite ari])-MIN(ROW(Employé!$BH$4))+1,""),ROWS(M$5:M19))),"")</f>
        <v/>
      </c>
      <c r="N19" s="8" t="str">
        <f t="array" aca="1" ref="N19" ca="1">IFERROR(INDEX(Tableau6[Nom abrégé],SMALL(IF((Tableau6[prochaine visite ari]&gt;TODAY()+92)*(Tableau6[Status]="Actif"),ROW(Tableau6[prochaine visite ari])-MIN(ROW(Employé!$BH$4))+1,""),ROWS(N$5:N19))),"")</f>
        <v/>
      </c>
    </row>
    <row r="20" spans="1:14" ht="13.5" thickTop="1" x14ac:dyDescent="0.2">
      <c r="A20" s="9"/>
      <c r="B20" s="21"/>
      <c r="C20" s="22"/>
      <c r="D20" s="22"/>
      <c r="E20" s="22"/>
      <c r="F20" s="22"/>
      <c r="G20" s="22"/>
      <c r="I20" s="21"/>
      <c r="J20" s="22"/>
      <c r="K20" s="22"/>
      <c r="L20" s="22"/>
      <c r="M20" s="22"/>
      <c r="N20" s="22"/>
    </row>
    <row r="21" spans="1:14" x14ac:dyDescent="0.2">
      <c r="B21" s="25" t="s">
        <v>117</v>
      </c>
      <c r="I21" s="25" t="s">
        <v>119</v>
      </c>
    </row>
    <row r="22" spans="1:14" ht="15.75" x14ac:dyDescent="0.2">
      <c r="B22" s="81" t="s">
        <v>111</v>
      </c>
      <c r="C22" s="82"/>
      <c r="D22" s="82"/>
      <c r="E22" s="82"/>
      <c r="F22" s="82"/>
      <c r="G22" s="83"/>
      <c r="I22" s="81" t="s">
        <v>112</v>
      </c>
      <c r="J22" s="82"/>
      <c r="K22" s="82"/>
      <c r="L22" s="82"/>
      <c r="M22" s="82"/>
      <c r="N22" s="83"/>
    </row>
    <row r="23" spans="1:14" x14ac:dyDescent="0.2">
      <c r="B23" s="84" t="s">
        <v>24</v>
      </c>
      <c r="C23" s="84"/>
      <c r="D23" s="85" t="str">
        <f ca="1">TEXT(TODAY(),"jj/mm/aaaa")&amp;" --&gt; "&amp;TEXT(TODAY()+365,"jj/mm/aaaa")</f>
        <v>10/10/2018 --&gt; 10/10/2019</v>
      </c>
      <c r="E23" s="85"/>
      <c r="F23" s="86" t="str">
        <f ca="1">"&gt; "&amp;TEXT(TODAY()+365,"jj/mm/aaaa")</f>
        <v>&gt; 10/10/2019</v>
      </c>
      <c r="G23" s="86"/>
      <c r="I23" s="84" t="s">
        <v>24</v>
      </c>
      <c r="J23" s="84"/>
      <c r="K23" s="85" t="str">
        <f ca="1">TEXT(TODAY(),"jj/mm/aaaa")&amp;" --&gt; "&amp;TEXT(TODAY()+365,"jj/mm/aaaa")</f>
        <v>10/10/2018 --&gt; 10/10/2019</v>
      </c>
      <c r="L23" s="85"/>
      <c r="M23" s="86" t="str">
        <f ca="1">"&gt; "&amp;TEXT(TODAY()+365,"jj/mm/aaaa")</f>
        <v>&gt; 10/10/2019</v>
      </c>
      <c r="N23" s="86"/>
    </row>
    <row r="24" spans="1:14" x14ac:dyDescent="0.2">
      <c r="B24" s="15" t="s">
        <v>25</v>
      </c>
      <c r="C24" s="15" t="s">
        <v>26</v>
      </c>
      <c r="D24" s="15" t="s">
        <v>25</v>
      </c>
      <c r="E24" s="15" t="s">
        <v>26</v>
      </c>
      <c r="F24" s="15" t="s">
        <v>25</v>
      </c>
      <c r="G24" s="15" t="s">
        <v>26</v>
      </c>
      <c r="I24" s="15" t="s">
        <v>25</v>
      </c>
      <c r="J24" s="15" t="s">
        <v>26</v>
      </c>
      <c r="K24" s="15" t="s">
        <v>25</v>
      </c>
      <c r="L24" s="15" t="s">
        <v>26</v>
      </c>
      <c r="M24" s="15" t="s">
        <v>25</v>
      </c>
      <c r="N24" s="15" t="s">
        <v>26</v>
      </c>
    </row>
    <row r="25" spans="1:14" x14ac:dyDescent="0.2">
      <c r="B25" s="2">
        <f t="array" aca="1" ref="B25" ca="1">IFERROR(INDEX(Tableau6[prochaine visite pou],SMALL(IF((Tableau6[prochaine visite pou]&lt;TODAY())*(Tableau6[Status]="Actif"),ROW(Tableau6[prochaine visite pou])-MIN(ROW(Employé!$AG$4))+1,""),ROWS(B$25:B25))),"")</f>
        <v>366</v>
      </c>
      <c r="C25" s="8" t="str">
        <f t="array" aca="1" ref="C25" ca="1">IFERROR(INDEX(Tableau6[Nom abrégé],SMALL(IF((Tableau6[prochaine visite pou]&lt;TODAY())*(Tableau6[Status]="Actif"),ROW(Tableau6[prochaine visite pou])-MIN(ROW(Employé!$AG$4))+1,""),ROWS(C$25:C25))),"")</f>
        <v>BENAZET Je</v>
      </c>
      <c r="D25" s="2" t="str">
        <f t="array" aca="1" ref="D25" ca="1">IFERROR(INDEX(Tableau6[prochaine visite pou],SMALL(IF((Tableau6[prochaine visite pou]&gt;=TODAY())*(Tableau6[prochaine visite pou]&lt;=TODAY()+365)*(Tableau6[Status]="Actif"),ROW(Tableau6[prochaine visite pou])-MIN(ROW(Employé!$AG$4))+1,""),ROWS(D$25:D25))),"")</f>
        <v/>
      </c>
      <c r="E25" s="8" t="str">
        <f t="array" aca="1" ref="E25" ca="1">IFERROR(INDEX(Tableau6[Nom abrégé],SMALL(IF((Tableau6[prochaine visite pou]&gt;=TODAY())*(Tableau6[prochaine visite pou]&lt;=TODAY()+365)*(Tableau6[Status]="Actif"),ROW(Tableau6[prochaine visite pou])-MIN(ROW(Employé!$AG$4))+1,""),ROWS(E$25:E25))),"")</f>
        <v/>
      </c>
      <c r="F25" s="2" t="str">
        <f t="array" aca="1" ref="F25" ca="1">IFERROR(INDEX(Tableau6[prochaine visite pou],SMALL(IF((Tableau6[prochaine visite pou]&gt;TODAY()+365)*(Tableau6[Status]="Actif"),ROW(Tableau6[prochaine visite pou])-MIN(ROW(Employé!$AG$4))+1,""),ROWS(F$25:F25))),"")</f>
        <v/>
      </c>
      <c r="G25" s="8" t="str">
        <f t="array" aca="1" ref="G25" ca="1">IFERROR(INDEX(Tableau6[Nom abrégé],SMALL(IF((Tableau6[prochaine visite pou]&gt;TODAY()+365)*(Tableau6[Status]="Actif"),ROW(Tableau6[prochaine visite pou])-MIN(ROW(Employé!$AG$4))+1,""),ROWS(G$25:G25))),"")</f>
        <v/>
      </c>
      <c r="I25" s="2">
        <f t="array" aca="1" ref="I25" ca="1">IFERROR(INDEX(Tableau6[prochaine visite mét],SMALL(IF((Tableau6[prochaine visite mét]&lt;TODAY())*(Tableau6[Status]="Actif"),ROW(Tableau6[prochaine visite mét])-MIN(ROW(Employé!$AJ$4))+1,""),ROWS(I$25:I25))),"")</f>
        <v>1827</v>
      </c>
      <c r="J25" s="8" t="str">
        <f t="array" aca="1" ref="J25" ca="1">IFERROR(INDEX(Tableau6[Nom abrégé],SMALL(IF((Tableau6[prochaine visite mét]&lt;TODAY())*(Tableau6[Status]="Actif"),ROW(Tableau6[prochaine visite mét])-MIN(ROW(Employé!$AJ$4))+1,""),ROWS(J$25:J25))),"")</f>
        <v>BENAZET Je</v>
      </c>
      <c r="K25" s="2" t="str">
        <f t="array" aca="1" ref="K25" ca="1">IFERROR(INDEX(Tableau6[prochaine visite mét],SMALL(IF((Tableau6[prochaine visite mét]&gt;=TODAY())*(Tableau6[prochaine visite mét]&lt;=TODAY()+365)*(Tableau6[Status]="Actif"),ROW(Tableau6[prochaine visite mét])-MIN(ROW(Employé!$AJ$4))+1,""),ROWS(K$25:K25))),"")</f>
        <v/>
      </c>
      <c r="L25" s="8" t="str">
        <f t="array" aca="1" ref="L25" ca="1">IFERROR(INDEX(Tableau6[Nom abrégé],SMALL(IF((Tableau6[prochaine visite mét]&gt;=TODAY())*(Tableau6[prochaine visite mét]&lt;=TODAY()+365)*(Tableau6[Status]="Actif"),ROW(Tableau6[prochaine visite mét])-MIN(ROW(Employé!$AJ$4))+1,""),ROWS(L$25:L25))),"")</f>
        <v/>
      </c>
      <c r="M25" s="2" t="str">
        <f t="array" aca="1" ref="M25" ca="1">IFERROR(INDEX(Tableau6[prochaine visite mét],SMALL(IF((Tableau6[prochaine visite mét]&gt;TODAY()+365)*(Tableau6[Status]="Actif"),ROW(Tableau6[prochaine visite mét])-MIN(ROW(Employé!$AJ$4))+1,""),ROWS(M$25:M25))),"")</f>
        <v/>
      </c>
      <c r="N25" s="8" t="str">
        <f t="array" aca="1" ref="N25" ca="1">IFERROR(INDEX(Tableau6[Nom abrégé],SMALL(IF((Tableau6[prochaine visite mét]&gt;TODAY()+365)*(Tableau6[Status]="Actif"),ROW(Tableau6[prochaine visite mét])-MIN(ROW(Employé!$AJ$4))+1,""),ROWS(N$25:N25))),"")</f>
        <v/>
      </c>
    </row>
    <row r="26" spans="1:14" x14ac:dyDescent="0.2">
      <c r="B26" s="2">
        <f t="array" aca="1" ref="B26" ca="1">IFERROR(INDEX(Tableau6[prochaine visite pou],SMALL(IF((Tableau6[prochaine visite pou]&lt;TODAY())*(Tableau6[Status]="Actif"),ROW(Tableau6[prochaine visite pou])-MIN(ROW(Employé!$AG$4))+1,""),ROWS(B$25:B26))),"")</f>
        <v>366</v>
      </c>
      <c r="C26" s="8" t="str">
        <f t="array" aca="1" ref="C26" ca="1">IFERROR(INDEX(Tableau6[Nom abrégé],SMALL(IF((Tableau6[prochaine visite pou]&lt;TODAY())*(Tableau6[Status]="Actif"),ROW(Tableau6[prochaine visite pou])-MIN(ROW(Employé!$AG$4))+1,""),ROWS(C$25:C26))),"")</f>
        <v>ZARAGOZA Di</v>
      </c>
      <c r="D26" s="2" t="str">
        <f t="array" aca="1" ref="D26" ca="1">IFERROR(INDEX(Tableau6[prochaine visite pou],SMALL(IF((Tableau6[prochaine visite pou]&gt;=TODAY())*(Tableau6[prochaine visite pou]&lt;=TODAY()+365)*(Tableau6[Status]="Actif"),ROW(Tableau6[prochaine visite pou])-MIN(ROW(Employé!$AG$4))+1,""),ROWS(D$25:D26))),"")</f>
        <v/>
      </c>
      <c r="E26" s="8" t="str">
        <f t="array" aca="1" ref="E26" ca="1">IFERROR(INDEX(Tableau6[Nom abrégé],SMALL(IF((Tableau6[prochaine visite pou]&gt;=TODAY())*(Tableau6[prochaine visite pou]&lt;=TODAY()+365)*(Tableau6[Status]="Actif"),ROW(Tableau6[prochaine visite pou])-MIN(ROW(Employé!$AG$4))+1,""),ROWS(E$25:E26))),"")</f>
        <v/>
      </c>
      <c r="F26" s="2" t="str">
        <f t="array" aca="1" ref="F26" ca="1">IFERROR(INDEX(Tableau6[prochaine visite pou],SMALL(IF((Tableau6[prochaine visite pou]&gt;TODAY()+365)*(Tableau6[Status]="Actif"),ROW(Tableau6[prochaine visite pou])-MIN(ROW(Employé!$AG$4))+1,""),ROWS(F$25:F26))),"")</f>
        <v/>
      </c>
      <c r="G26" s="8" t="str">
        <f t="array" aca="1" ref="G26" ca="1">IFERROR(INDEX(Tableau6[Nom abrégé],SMALL(IF((Tableau6[prochaine visite pou]&gt;TODAY()+365)*(Tableau6[Status]="Actif"),ROW(Tableau6[prochaine visite pou])-MIN(ROW(Employé!$AG$4))+1,""),ROWS(G$25:G26))),"")</f>
        <v/>
      </c>
      <c r="I26" s="2">
        <f t="array" aca="1" ref="I26" ca="1">IFERROR(INDEX(Tableau6[prochaine visite mét],SMALL(IF((Tableau6[prochaine visite mét]&lt;TODAY())*(Tableau6[Status]="Actif"),ROW(Tableau6[prochaine visite mét])-MIN(ROW(Employé!$AJ$4))+1,""),ROWS(I$25:I26))),"")</f>
        <v>1827</v>
      </c>
      <c r="J26" s="8" t="str">
        <f t="array" aca="1" ref="J26" ca="1">IFERROR(INDEX(Tableau6[Nom abrégé],SMALL(IF((Tableau6[prochaine visite mét]&lt;TODAY())*(Tableau6[Status]="Actif"),ROW(Tableau6[prochaine visite mét])-MIN(ROW(Employé!$AJ$4))+1,""),ROWS(J$25:J26))),"")</f>
        <v>ZARAGOZA Di</v>
      </c>
      <c r="K26" s="2" t="str">
        <f t="array" aca="1" ref="K26" ca="1">IFERROR(INDEX(Tableau6[prochaine visite mét],SMALL(IF((Tableau6[prochaine visite mét]&gt;=TODAY())*(Tableau6[prochaine visite mét]&lt;=TODAY()+365)*(Tableau6[Status]="Actif"),ROW(Tableau6[prochaine visite mét])-MIN(ROW(Employé!$AJ$4))+1,""),ROWS(K$25:K26))),"")</f>
        <v/>
      </c>
      <c r="L26" s="8" t="str">
        <f t="array" aca="1" ref="L26" ca="1">IFERROR(INDEX(Tableau6[Nom abrégé],SMALL(IF((Tableau6[prochaine visite mét]&gt;=TODAY())*(Tableau6[prochaine visite mét]&lt;=TODAY()+365)*(Tableau6[Status]="Actif"),ROW(Tableau6[prochaine visite mét])-MIN(ROW(Employé!$AJ$4))+1,""),ROWS(L$25:L26))),"")</f>
        <v/>
      </c>
      <c r="M26" s="2" t="str">
        <f t="array" aca="1" ref="M26" ca="1">IFERROR(INDEX(Tableau6[prochaine visite mét],SMALL(IF((Tableau6[prochaine visite mét]&gt;TODAY()+365)*(Tableau6[Status]="Actif"),ROW(Tableau6[prochaine visite mét])-MIN(ROW(Employé!$AJ$4))+1,""),ROWS(M$25:M26))),"")</f>
        <v/>
      </c>
      <c r="N26" s="8" t="str">
        <f t="array" aca="1" ref="N26" ca="1">IFERROR(INDEX(Tableau6[Nom abrégé],SMALL(IF((Tableau6[prochaine visite mét]&gt;TODAY()+365)*(Tableau6[Status]="Actif"),ROW(Tableau6[prochaine visite mét])-MIN(ROW(Employé!$AJ$4))+1,""),ROWS(N$25:N26))),"")</f>
        <v/>
      </c>
    </row>
    <row r="27" spans="1:14" x14ac:dyDescent="0.2">
      <c r="B27" s="2">
        <f t="array" aca="1" ref="B27" ca="1">IFERROR(INDEX(Tableau6[prochaine visite pou],SMALL(IF((Tableau6[prochaine visite pou]&lt;TODAY())*(Tableau6[Status]="Actif"),ROW(Tableau6[prochaine visite pou])-MIN(ROW(Employé!$AG$4))+1,""),ROWS(B$25:B27))),"")</f>
        <v>366</v>
      </c>
      <c r="C27" s="8" t="str">
        <f t="array" aca="1" ref="C27" ca="1">IFERROR(INDEX(Tableau6[Nom abrégé],SMALL(IF((Tableau6[prochaine visite pou]&lt;TODAY())*(Tableau6[Status]="Actif"),ROW(Tableau6[prochaine visite pou])-MIN(ROW(Employé!$AG$4))+1,""),ROWS(C$25:C27))),"")</f>
        <v>SANTOS Je</v>
      </c>
      <c r="D27" s="2" t="str">
        <f t="array" aca="1" ref="D27" ca="1">IFERROR(INDEX(Tableau6[prochaine visite pou],SMALL(IF((Tableau6[prochaine visite pou]&gt;=TODAY())*(Tableau6[prochaine visite pou]&lt;=TODAY()+365)*(Tableau6[Status]="Actif"),ROW(Tableau6[prochaine visite pou])-MIN(ROW(Employé!$AG$4))+1,""),ROWS(D$25:D27))),"")</f>
        <v/>
      </c>
      <c r="E27" s="8" t="str">
        <f t="array" aca="1" ref="E27" ca="1">IFERROR(INDEX(Tableau6[Nom abrégé],SMALL(IF((Tableau6[prochaine visite pou]&gt;=TODAY())*(Tableau6[prochaine visite pou]&lt;=TODAY()+365)*(Tableau6[Status]="Actif"),ROW(Tableau6[prochaine visite pou])-MIN(ROW(Employé!$AG$4))+1,""),ROWS(E$25:E27))),"")</f>
        <v/>
      </c>
      <c r="F27" s="2" t="str">
        <f t="array" aca="1" ref="F27" ca="1">IFERROR(INDEX(Tableau6[prochaine visite pou],SMALL(IF((Tableau6[prochaine visite pou]&gt;TODAY()+365)*(Tableau6[Status]="Actif"),ROW(Tableau6[prochaine visite pou])-MIN(ROW(Employé!$AG$4))+1,""),ROWS(F$25:F27))),"")</f>
        <v/>
      </c>
      <c r="G27" s="8" t="str">
        <f t="array" aca="1" ref="G27" ca="1">IFERROR(INDEX(Tableau6[Nom abrégé],SMALL(IF((Tableau6[prochaine visite pou]&gt;TODAY()+365)*(Tableau6[Status]="Actif"),ROW(Tableau6[prochaine visite pou])-MIN(ROW(Employé!$AG$4))+1,""),ROWS(G$25:G27))),"")</f>
        <v/>
      </c>
      <c r="I27" s="2">
        <f t="array" aca="1" ref="I27" ca="1">IFERROR(INDEX(Tableau6[prochaine visite mét],SMALL(IF((Tableau6[prochaine visite mét]&lt;TODAY())*(Tableau6[Status]="Actif"),ROW(Tableau6[prochaine visite mét])-MIN(ROW(Employé!$AJ$4))+1,""),ROWS(I$25:I27))),"")</f>
        <v>1827</v>
      </c>
      <c r="J27" s="8" t="str">
        <f t="array" aca="1" ref="J27" ca="1">IFERROR(INDEX(Tableau6[Nom abrégé],SMALL(IF((Tableau6[prochaine visite mét]&lt;TODAY())*(Tableau6[Status]="Actif"),ROW(Tableau6[prochaine visite mét])-MIN(ROW(Employé!$AJ$4))+1,""),ROWS(J$25:J27))),"")</f>
        <v>SANTOS Je</v>
      </c>
      <c r="K27" s="2" t="str">
        <f t="array" aca="1" ref="K27" ca="1">IFERROR(INDEX(Tableau6[prochaine visite mét],SMALL(IF((Tableau6[prochaine visite mét]&gt;=TODAY())*(Tableau6[prochaine visite mét]&lt;=TODAY()+365)*(Tableau6[Status]="Actif"),ROW(Tableau6[prochaine visite mét])-MIN(ROW(Employé!$AJ$4))+1,""),ROWS(K$25:K27))),"")</f>
        <v/>
      </c>
      <c r="L27" s="8" t="str">
        <f t="array" aca="1" ref="L27" ca="1">IFERROR(INDEX(Tableau6[Nom abrégé],SMALL(IF((Tableau6[prochaine visite mét]&gt;=TODAY())*(Tableau6[prochaine visite mét]&lt;=TODAY()+365)*(Tableau6[Status]="Actif"),ROW(Tableau6[prochaine visite mét])-MIN(ROW(Employé!$AJ$4))+1,""),ROWS(L$25:L27))),"")</f>
        <v/>
      </c>
      <c r="M27" s="2" t="str">
        <f t="array" aca="1" ref="M27" ca="1">IFERROR(INDEX(Tableau6[prochaine visite mét],SMALL(IF((Tableau6[prochaine visite mét]&gt;TODAY()+365)*(Tableau6[Status]="Actif"),ROW(Tableau6[prochaine visite mét])-MIN(ROW(Employé!$AJ$4))+1,""),ROWS(M$25:M27))),"")</f>
        <v/>
      </c>
      <c r="N27" s="8" t="str">
        <f t="array" aca="1" ref="N27" ca="1">IFERROR(INDEX(Tableau6[Nom abrégé],SMALL(IF((Tableau6[prochaine visite mét]&gt;TODAY()+365)*(Tableau6[Status]="Actif"),ROW(Tableau6[prochaine visite mét])-MIN(ROW(Employé!$AJ$4))+1,""),ROWS(N$25:N27))),"")</f>
        <v/>
      </c>
    </row>
    <row r="28" spans="1:14" x14ac:dyDescent="0.2">
      <c r="B28" s="2">
        <f t="array" aca="1" ref="B28" ca="1">IFERROR(INDEX(Tableau6[prochaine visite pou],SMALL(IF((Tableau6[prochaine visite pou]&lt;TODAY())*(Tableau6[Status]="Actif"),ROW(Tableau6[prochaine visite pou])-MIN(ROW(Employé!$AG$4))+1,""),ROWS(B$25:B28))),"")</f>
        <v>366</v>
      </c>
      <c r="C28" s="8" t="str">
        <f t="array" aca="1" ref="C28" ca="1">IFERROR(INDEX(Tableau6[Nom abrégé],SMALL(IF((Tableau6[prochaine visite pou]&lt;TODAY())*(Tableau6[Status]="Actif"),ROW(Tableau6[prochaine visite pou])-MIN(ROW(Employé!$AG$4))+1,""),ROWS(C$25:C28))),"")</f>
        <v>NAVARRO Ch</v>
      </c>
      <c r="D28" s="2" t="str">
        <f t="array" aca="1" ref="D28" ca="1">IFERROR(INDEX(Tableau6[prochaine visite pou],SMALL(IF((Tableau6[prochaine visite pou]&gt;=TODAY())*(Tableau6[prochaine visite pou]&lt;=TODAY()+365)*(Tableau6[Status]="Actif"),ROW(Tableau6[prochaine visite pou])-MIN(ROW(Employé!$AG$4))+1,""),ROWS(D$25:D28))),"")</f>
        <v/>
      </c>
      <c r="E28" s="8" t="str">
        <f t="array" aca="1" ref="E28" ca="1">IFERROR(INDEX(Tableau6[Nom abrégé],SMALL(IF((Tableau6[prochaine visite pou]&gt;=TODAY())*(Tableau6[prochaine visite pou]&lt;=TODAY()+365)*(Tableau6[Status]="Actif"),ROW(Tableau6[prochaine visite pou])-MIN(ROW(Employé!$AG$4))+1,""),ROWS(E$25:E28))),"")</f>
        <v/>
      </c>
      <c r="F28" s="2" t="str">
        <f t="array" aca="1" ref="F28" ca="1">IFERROR(INDEX(Tableau6[prochaine visite pou],SMALL(IF((Tableau6[prochaine visite pou]&gt;TODAY()+365)*(Tableau6[Status]="Actif"),ROW(Tableau6[prochaine visite pou])-MIN(ROW(Employé!$AG$4))+1,""),ROWS(F$25:F28))),"")</f>
        <v/>
      </c>
      <c r="G28" s="8" t="str">
        <f t="array" aca="1" ref="G28" ca="1">IFERROR(INDEX(Tableau6[Nom abrégé],SMALL(IF((Tableau6[prochaine visite pou]&gt;TODAY()+365)*(Tableau6[Status]="Actif"),ROW(Tableau6[prochaine visite pou])-MIN(ROW(Employé!$AG$4))+1,""),ROWS(G$25:G28))),"")</f>
        <v/>
      </c>
      <c r="I28" s="2">
        <f t="array" aca="1" ref="I28" ca="1">IFERROR(INDEX(Tableau6[prochaine visite mét],SMALL(IF((Tableau6[prochaine visite mét]&lt;TODAY())*(Tableau6[Status]="Actif"),ROW(Tableau6[prochaine visite mét])-MIN(ROW(Employé!$AJ$4))+1,""),ROWS(I$25:I28))),"")</f>
        <v>1827</v>
      </c>
      <c r="J28" s="8" t="str">
        <f t="array" aca="1" ref="J28" ca="1">IFERROR(INDEX(Tableau6[Nom abrégé],SMALL(IF((Tableau6[prochaine visite mét]&lt;TODAY())*(Tableau6[Status]="Actif"),ROW(Tableau6[prochaine visite mét])-MIN(ROW(Employé!$AJ$4))+1,""),ROWS(J$25:J28))),"")</f>
        <v>NAVARRO Ch</v>
      </c>
      <c r="K28" s="2" t="str">
        <f t="array" aca="1" ref="K28" ca="1">IFERROR(INDEX(Tableau6[prochaine visite mét],SMALL(IF((Tableau6[prochaine visite mét]&gt;=TODAY())*(Tableau6[prochaine visite mét]&lt;=TODAY()+365)*(Tableau6[Status]="Actif"),ROW(Tableau6[prochaine visite mét])-MIN(ROW(Employé!$AJ$4))+1,""),ROWS(K$25:K28))),"")</f>
        <v/>
      </c>
      <c r="L28" s="8" t="str">
        <f t="array" aca="1" ref="L28" ca="1">IFERROR(INDEX(Tableau6[Nom abrégé],SMALL(IF((Tableau6[prochaine visite mét]&gt;=TODAY())*(Tableau6[prochaine visite mét]&lt;=TODAY()+365)*(Tableau6[Status]="Actif"),ROW(Tableau6[prochaine visite mét])-MIN(ROW(Employé!$AJ$4))+1,""),ROWS(L$25:L28))),"")</f>
        <v/>
      </c>
      <c r="M28" s="2" t="str">
        <f t="array" aca="1" ref="M28" ca="1">IFERROR(INDEX(Tableau6[prochaine visite mét],SMALL(IF((Tableau6[prochaine visite mét]&gt;TODAY()+365)*(Tableau6[Status]="Actif"),ROW(Tableau6[prochaine visite mét])-MIN(ROW(Employé!$AJ$4))+1,""),ROWS(M$25:M28))),"")</f>
        <v/>
      </c>
      <c r="N28" s="8" t="str">
        <f t="array" aca="1" ref="N28" ca="1">IFERROR(INDEX(Tableau6[Nom abrégé],SMALL(IF((Tableau6[prochaine visite mét]&gt;TODAY()+365)*(Tableau6[Status]="Actif"),ROW(Tableau6[prochaine visite mét])-MIN(ROW(Employé!$AJ$4))+1,""),ROWS(N$25:N28))),"")</f>
        <v/>
      </c>
    </row>
    <row r="29" spans="1:14" x14ac:dyDescent="0.2">
      <c r="B29" s="2">
        <f t="array" aca="1" ref="B29" ca="1">IFERROR(INDEX(Tableau6[prochaine visite pou],SMALL(IF((Tableau6[prochaine visite pou]&lt;TODAY())*(Tableau6[Status]="Actif"),ROW(Tableau6[prochaine visite pou])-MIN(ROW(Employé!$AG$4))+1,""),ROWS(B$25:B29))),"")</f>
        <v>366</v>
      </c>
      <c r="C29" s="8" t="str">
        <f t="array" aca="1" ref="C29" ca="1">IFERROR(INDEX(Tableau6[Nom abrégé],SMALL(IF((Tableau6[prochaine visite pou]&lt;TODAY())*(Tableau6[Status]="Actif"),ROW(Tableau6[prochaine visite pou])-MIN(ROW(Employé!$AG$4))+1,""),ROWS(C$25:C29))),"")</f>
        <v>AUDIE An</v>
      </c>
      <c r="D29" s="2" t="str">
        <f t="array" aca="1" ref="D29" ca="1">IFERROR(INDEX(Tableau6[prochaine visite pou],SMALL(IF((Tableau6[prochaine visite pou]&gt;=TODAY())*(Tableau6[prochaine visite pou]&lt;=TODAY()+365)*(Tableau6[Status]="Actif"),ROW(Tableau6[prochaine visite pou])-MIN(ROW(Employé!$AG$4))+1,""),ROWS(D$25:D29))),"")</f>
        <v/>
      </c>
      <c r="E29" s="8" t="str">
        <f t="array" aca="1" ref="E29" ca="1">IFERROR(INDEX(Tableau6[Nom abrégé],SMALL(IF((Tableau6[prochaine visite pou]&gt;=TODAY())*(Tableau6[prochaine visite pou]&lt;=TODAY()+365)*(Tableau6[Status]="Actif"),ROW(Tableau6[prochaine visite pou])-MIN(ROW(Employé!$AG$4))+1,""),ROWS(E$25:E29))),"")</f>
        <v/>
      </c>
      <c r="F29" s="2" t="str">
        <f t="array" aca="1" ref="F29" ca="1">IFERROR(INDEX(Tableau6[prochaine visite pou],SMALL(IF((Tableau6[prochaine visite pou]&gt;TODAY()+365)*(Tableau6[Status]="Actif"),ROW(Tableau6[prochaine visite pou])-MIN(ROW(Employé!$AG$4))+1,""),ROWS(F$25:F29))),"")</f>
        <v/>
      </c>
      <c r="G29" s="8" t="str">
        <f t="array" aca="1" ref="G29" ca="1">IFERROR(INDEX(Tableau6[Nom abrégé],SMALL(IF((Tableau6[prochaine visite pou]&gt;TODAY()+365)*(Tableau6[Status]="Actif"),ROW(Tableau6[prochaine visite pou])-MIN(ROW(Employé!$AG$4))+1,""),ROWS(G$25:G29))),"")</f>
        <v/>
      </c>
      <c r="I29" s="2">
        <f t="array" aca="1" ref="I29" ca="1">IFERROR(INDEX(Tableau6[prochaine visite mét],SMALL(IF((Tableau6[prochaine visite mét]&lt;TODAY())*(Tableau6[Status]="Actif"),ROW(Tableau6[prochaine visite mét])-MIN(ROW(Employé!$AJ$4))+1,""),ROWS(I$25:I29))),"")</f>
        <v>1827</v>
      </c>
      <c r="J29" s="8" t="str">
        <f t="array" aca="1" ref="J29" ca="1">IFERROR(INDEX(Tableau6[Nom abrégé],SMALL(IF((Tableau6[prochaine visite mét]&lt;TODAY())*(Tableau6[Status]="Actif"),ROW(Tableau6[prochaine visite mét])-MIN(ROW(Employé!$AJ$4))+1,""),ROWS(J$25:J29))),"")</f>
        <v>AUDIE An</v>
      </c>
      <c r="K29" s="2" t="str">
        <f t="array" aca="1" ref="K29" ca="1">IFERROR(INDEX(Tableau6[prochaine visite mét],SMALL(IF((Tableau6[prochaine visite mét]&gt;=TODAY())*(Tableau6[prochaine visite mét]&lt;=TODAY()+365)*(Tableau6[Status]="Actif"),ROW(Tableau6[prochaine visite mét])-MIN(ROW(Employé!$AJ$4))+1,""),ROWS(K$25:K29))),"")</f>
        <v/>
      </c>
      <c r="L29" s="8" t="str">
        <f t="array" aca="1" ref="L29" ca="1">IFERROR(INDEX(Tableau6[Nom abrégé],SMALL(IF((Tableau6[prochaine visite mét]&gt;=TODAY())*(Tableau6[prochaine visite mét]&lt;=TODAY()+365)*(Tableau6[Status]="Actif"),ROW(Tableau6[prochaine visite mét])-MIN(ROW(Employé!$AJ$4))+1,""),ROWS(L$25:L29))),"")</f>
        <v/>
      </c>
      <c r="M29" s="2" t="str">
        <f t="array" aca="1" ref="M29" ca="1">IFERROR(INDEX(Tableau6[prochaine visite mét],SMALL(IF((Tableau6[prochaine visite mét]&gt;TODAY()+365)*(Tableau6[Status]="Actif"),ROW(Tableau6[prochaine visite mét])-MIN(ROW(Employé!$AJ$4))+1,""),ROWS(M$25:M29))),"")</f>
        <v/>
      </c>
      <c r="N29" s="8" t="str">
        <f t="array" aca="1" ref="N29" ca="1">IFERROR(INDEX(Tableau6[Nom abrégé],SMALL(IF((Tableau6[prochaine visite mét]&gt;TODAY()+365)*(Tableau6[Status]="Actif"),ROW(Tableau6[prochaine visite mét])-MIN(ROW(Employé!$AJ$4))+1,""),ROWS(N$25:N29))),"")</f>
        <v/>
      </c>
    </row>
    <row r="30" spans="1:14" x14ac:dyDescent="0.2">
      <c r="B30" s="2">
        <f t="array" aca="1" ref="B30" ca="1">IFERROR(INDEX(Tableau6[prochaine visite pou],SMALL(IF((Tableau6[prochaine visite pou]&lt;TODAY())*(Tableau6[Status]="Actif"),ROW(Tableau6[prochaine visite pou])-MIN(ROW(Employé!$AG$4))+1,""),ROWS(B$25:B30))),"")</f>
        <v>366</v>
      </c>
      <c r="C30" s="8" t="str">
        <f t="array" aca="1" ref="C30" ca="1">IFERROR(INDEX(Tableau6[Nom abrégé],SMALL(IF((Tableau6[prochaine visite pou]&lt;TODAY())*(Tableau6[Status]="Actif"),ROW(Tableau6[prochaine visite pou])-MIN(ROW(Employé!$AG$4))+1,""),ROWS(C$25:C30))),"")</f>
        <v>DISTEFANO Al</v>
      </c>
      <c r="D30" s="2" t="str">
        <f t="array" aca="1" ref="D30" ca="1">IFERROR(INDEX(Tableau6[prochaine visite pou],SMALL(IF((Tableau6[prochaine visite pou]&gt;=TODAY())*(Tableau6[prochaine visite pou]&lt;=TODAY()+365)*(Tableau6[Status]="Actif"),ROW(Tableau6[prochaine visite pou])-MIN(ROW(Employé!$AG$4))+1,""),ROWS(D$25:D30))),"")</f>
        <v/>
      </c>
      <c r="E30" s="8" t="str">
        <f t="array" aca="1" ref="E30" ca="1">IFERROR(INDEX(Tableau6[Nom abrégé],SMALL(IF((Tableau6[prochaine visite pou]&gt;=TODAY())*(Tableau6[prochaine visite pou]&lt;=TODAY()+365)*(Tableau6[Status]="Actif"),ROW(Tableau6[prochaine visite pou])-MIN(ROW(Employé!$AG$4))+1,""),ROWS(E$25:E30))),"")</f>
        <v/>
      </c>
      <c r="F30" s="2" t="str">
        <f t="array" aca="1" ref="F30" ca="1">IFERROR(INDEX(Tableau6[prochaine visite pou],SMALL(IF((Tableau6[prochaine visite pou]&gt;TODAY()+365)*(Tableau6[Status]="Actif"),ROW(Tableau6[prochaine visite pou])-MIN(ROW(Employé!$AG$4))+1,""),ROWS(F$25:F30))),"")</f>
        <v/>
      </c>
      <c r="G30" s="8" t="str">
        <f t="array" aca="1" ref="G30" ca="1">IFERROR(INDEX(Tableau6[Nom abrégé],SMALL(IF((Tableau6[prochaine visite pou]&gt;TODAY()+365)*(Tableau6[Status]="Actif"),ROW(Tableau6[prochaine visite pou])-MIN(ROW(Employé!$AG$4))+1,""),ROWS(G$25:G30))),"")</f>
        <v/>
      </c>
      <c r="I30" s="2">
        <f t="array" aca="1" ref="I30" ca="1">IFERROR(INDEX(Tableau6[prochaine visite mét],SMALL(IF((Tableau6[prochaine visite mét]&lt;TODAY())*(Tableau6[Status]="Actif"),ROW(Tableau6[prochaine visite mét])-MIN(ROW(Employé!$AJ$4))+1,""),ROWS(I$25:I30))),"")</f>
        <v>1827</v>
      </c>
      <c r="J30" s="8" t="str">
        <f t="array" aca="1" ref="J30" ca="1">IFERROR(INDEX(Tableau6[Nom abrégé],SMALL(IF((Tableau6[prochaine visite mét]&lt;TODAY())*(Tableau6[Status]="Actif"),ROW(Tableau6[prochaine visite mét])-MIN(ROW(Employé!$AJ$4))+1,""),ROWS(J$25:J30))),"")</f>
        <v>DISTEFANO Al</v>
      </c>
      <c r="K30" s="2" t="str">
        <f t="array" aca="1" ref="K30" ca="1">IFERROR(INDEX(Tableau6[prochaine visite mét],SMALL(IF((Tableau6[prochaine visite mét]&gt;=TODAY())*(Tableau6[prochaine visite mét]&lt;=TODAY()+365)*(Tableau6[Status]="Actif"),ROW(Tableau6[prochaine visite mét])-MIN(ROW(Employé!$AJ$4))+1,""),ROWS(K$25:K30))),"")</f>
        <v/>
      </c>
      <c r="L30" s="8" t="str">
        <f t="array" aca="1" ref="L30" ca="1">IFERROR(INDEX(Tableau6[Nom abrégé],SMALL(IF((Tableau6[prochaine visite mét]&gt;=TODAY())*(Tableau6[prochaine visite mét]&lt;=TODAY()+365)*(Tableau6[Status]="Actif"),ROW(Tableau6[prochaine visite mét])-MIN(ROW(Employé!$AJ$4))+1,""),ROWS(L$25:L30))),"")</f>
        <v/>
      </c>
      <c r="M30" s="2" t="str">
        <f t="array" aca="1" ref="M30" ca="1">IFERROR(INDEX(Tableau6[prochaine visite mét],SMALL(IF((Tableau6[prochaine visite mét]&gt;TODAY()+365)*(Tableau6[Status]="Actif"),ROW(Tableau6[prochaine visite mét])-MIN(ROW(Employé!$AJ$4))+1,""),ROWS(M$25:M30))),"")</f>
        <v/>
      </c>
      <c r="N30" s="8" t="str">
        <f t="array" aca="1" ref="N30" ca="1">IFERROR(INDEX(Tableau6[Nom abrégé],SMALL(IF((Tableau6[prochaine visite mét]&gt;TODAY()+365)*(Tableau6[Status]="Actif"),ROW(Tableau6[prochaine visite mét])-MIN(ROW(Employé!$AJ$4))+1,""),ROWS(N$25:N30))),"")</f>
        <v/>
      </c>
    </row>
    <row r="31" spans="1:14" x14ac:dyDescent="0.2">
      <c r="B31" s="2">
        <f t="array" aca="1" ref="B31" ca="1">IFERROR(INDEX(Tableau6[prochaine visite pou],SMALL(IF((Tableau6[prochaine visite pou]&lt;TODAY())*(Tableau6[Status]="Actif"),ROW(Tableau6[prochaine visite pou])-MIN(ROW(Employé!$AG$4))+1,""),ROWS(B$25:B31))),"")</f>
        <v>366</v>
      </c>
      <c r="C31" s="8" t="str">
        <f t="array" aca="1" ref="C31" ca="1">IFERROR(INDEX(Tableau6[Nom abrégé],SMALL(IF((Tableau6[prochaine visite pou]&lt;TODAY())*(Tableau6[Status]="Actif"),ROW(Tableau6[prochaine visite pou])-MIN(ROW(Employé!$AG$4))+1,""),ROWS(C$25:C31))),"")</f>
        <v>SCHWEITZER Je</v>
      </c>
      <c r="D31" s="2" t="str">
        <f t="array" aca="1" ref="D31" ca="1">IFERROR(INDEX(Tableau6[prochaine visite pou],SMALL(IF((Tableau6[prochaine visite pou]&gt;=TODAY())*(Tableau6[prochaine visite pou]&lt;=TODAY()+365)*(Tableau6[Status]="Actif"),ROW(Tableau6[prochaine visite pou])-MIN(ROW(Employé!$AG$4))+1,""),ROWS(D$25:D31))),"")</f>
        <v/>
      </c>
      <c r="E31" s="8" t="str">
        <f t="array" aca="1" ref="E31" ca="1">IFERROR(INDEX(Tableau6[Nom abrégé],SMALL(IF((Tableau6[prochaine visite pou]&gt;=TODAY())*(Tableau6[prochaine visite pou]&lt;=TODAY()+365)*(Tableau6[Status]="Actif"),ROW(Tableau6[prochaine visite pou])-MIN(ROW(Employé!$AG$4))+1,""),ROWS(E$25:E31))),"")</f>
        <v/>
      </c>
      <c r="F31" s="2" t="str">
        <f t="array" aca="1" ref="F31" ca="1">IFERROR(INDEX(Tableau6[prochaine visite pou],SMALL(IF((Tableau6[prochaine visite pou]&gt;TODAY()+365)*(Tableau6[Status]="Actif"),ROW(Tableau6[prochaine visite pou])-MIN(ROW(Employé!$AG$4))+1,""),ROWS(F$25:F31))),"")</f>
        <v/>
      </c>
      <c r="G31" s="8" t="str">
        <f t="array" aca="1" ref="G31" ca="1">IFERROR(INDEX(Tableau6[Nom abrégé],SMALL(IF((Tableau6[prochaine visite pou]&gt;TODAY()+365)*(Tableau6[Status]="Actif"),ROW(Tableau6[prochaine visite pou])-MIN(ROW(Employé!$AG$4))+1,""),ROWS(G$25:G31))),"")</f>
        <v/>
      </c>
      <c r="I31" s="2">
        <f t="array" aca="1" ref="I31" ca="1">IFERROR(INDEX(Tableau6[prochaine visite mét],SMALL(IF((Tableau6[prochaine visite mét]&lt;TODAY())*(Tableau6[Status]="Actif"),ROW(Tableau6[prochaine visite mét])-MIN(ROW(Employé!$AJ$4))+1,""),ROWS(I$25:I31))),"")</f>
        <v>1827</v>
      </c>
      <c r="J31" s="8" t="str">
        <f t="array" aca="1" ref="J31" ca="1">IFERROR(INDEX(Tableau6[Nom abrégé],SMALL(IF((Tableau6[prochaine visite mét]&lt;TODAY())*(Tableau6[Status]="Actif"),ROW(Tableau6[prochaine visite mét])-MIN(ROW(Employé!$AJ$4))+1,""),ROWS(J$25:J31))),"")</f>
        <v>SCHWEITZER Je</v>
      </c>
      <c r="K31" s="2" t="str">
        <f t="array" aca="1" ref="K31" ca="1">IFERROR(INDEX(Tableau6[prochaine visite mét],SMALL(IF((Tableau6[prochaine visite mét]&gt;=TODAY())*(Tableau6[prochaine visite mét]&lt;=TODAY()+365)*(Tableau6[Status]="Actif"),ROW(Tableau6[prochaine visite mét])-MIN(ROW(Employé!$AJ$4))+1,""),ROWS(K$25:K31))),"")</f>
        <v/>
      </c>
      <c r="L31" s="8" t="str">
        <f t="array" aca="1" ref="L31" ca="1">IFERROR(INDEX(Tableau6[Nom abrégé],SMALL(IF((Tableau6[prochaine visite mét]&gt;=TODAY())*(Tableau6[prochaine visite mét]&lt;=TODAY()+365)*(Tableau6[Status]="Actif"),ROW(Tableau6[prochaine visite mét])-MIN(ROW(Employé!$AJ$4))+1,""),ROWS(L$25:L31))),"")</f>
        <v/>
      </c>
      <c r="M31" s="2" t="str">
        <f t="array" aca="1" ref="M31" ca="1">IFERROR(INDEX(Tableau6[prochaine visite mét],SMALL(IF((Tableau6[prochaine visite mét]&gt;TODAY()+365)*(Tableau6[Status]="Actif"),ROW(Tableau6[prochaine visite mét])-MIN(ROW(Employé!$AJ$4))+1,""),ROWS(M$25:M31))),"")</f>
        <v/>
      </c>
      <c r="N31" s="8" t="str">
        <f t="array" aca="1" ref="N31" ca="1">IFERROR(INDEX(Tableau6[Nom abrégé],SMALL(IF((Tableau6[prochaine visite mét]&gt;TODAY()+365)*(Tableau6[Status]="Actif"),ROW(Tableau6[prochaine visite mét])-MIN(ROW(Employé!$AJ$4))+1,""),ROWS(N$25:N31))),"")</f>
        <v/>
      </c>
    </row>
    <row r="32" spans="1:14" x14ac:dyDescent="0.2">
      <c r="B32" s="2">
        <f t="array" aca="1" ref="B32" ca="1">IFERROR(INDEX(Tableau6[prochaine visite pou],SMALL(IF((Tableau6[prochaine visite pou]&lt;TODAY())*(Tableau6[Status]="Actif"),ROW(Tableau6[prochaine visite pou])-MIN(ROW(Employé!$AG$4))+1,""),ROWS(B$25:B32))),"")</f>
        <v>366</v>
      </c>
      <c r="C32" s="8" t="str">
        <f t="array" aca="1" ref="C32" ca="1">IFERROR(INDEX(Tableau6[Nom abrégé],SMALL(IF((Tableau6[prochaine visite pou]&lt;TODAY())*(Tableau6[Status]="Actif"),ROW(Tableau6[prochaine visite pou])-MIN(ROW(Employé!$AG$4))+1,""),ROWS(C$25:C32))),"")</f>
        <v>AFONSO Ju</v>
      </c>
      <c r="D32" s="2" t="str">
        <f t="array" aca="1" ref="D32" ca="1">IFERROR(INDEX(Tableau6[prochaine visite pou],SMALL(IF((Tableau6[prochaine visite pou]&gt;=TODAY())*(Tableau6[prochaine visite pou]&lt;=TODAY()+365)*(Tableau6[Status]="Actif"),ROW(Tableau6[prochaine visite pou])-MIN(ROW(Employé!$AG$4))+1,""),ROWS(D$25:D32))),"")</f>
        <v/>
      </c>
      <c r="E32" s="8" t="str">
        <f t="array" aca="1" ref="E32" ca="1">IFERROR(INDEX(Tableau6[Nom abrégé],SMALL(IF((Tableau6[prochaine visite pou]&gt;=TODAY())*(Tableau6[prochaine visite pou]&lt;=TODAY()+365)*(Tableau6[Status]="Actif"),ROW(Tableau6[prochaine visite pou])-MIN(ROW(Employé!$AG$4))+1,""),ROWS(E$25:E32))),"")</f>
        <v/>
      </c>
      <c r="F32" s="2" t="str">
        <f t="array" aca="1" ref="F32" ca="1">IFERROR(INDEX(Tableau6[prochaine visite pou],SMALL(IF((Tableau6[prochaine visite pou]&gt;TODAY()+365)*(Tableau6[Status]="Actif"),ROW(Tableau6[prochaine visite pou])-MIN(ROW(Employé!$AG$4))+1,""),ROWS(F$25:F32))),"")</f>
        <v/>
      </c>
      <c r="G32" s="8" t="str">
        <f t="array" aca="1" ref="G32" ca="1">IFERROR(INDEX(Tableau6[Nom abrégé],SMALL(IF((Tableau6[prochaine visite pou]&gt;TODAY()+365)*(Tableau6[Status]="Actif"),ROW(Tableau6[prochaine visite pou])-MIN(ROW(Employé!$AG$4))+1,""),ROWS(G$25:G32))),"")</f>
        <v/>
      </c>
      <c r="I32" s="2">
        <f t="array" aca="1" ref="I32" ca="1">IFERROR(INDEX(Tableau6[prochaine visite mét],SMALL(IF((Tableau6[prochaine visite mét]&lt;TODAY())*(Tableau6[Status]="Actif"),ROW(Tableau6[prochaine visite mét])-MIN(ROW(Employé!$AJ$4))+1,""),ROWS(I$25:I32))),"")</f>
        <v>1827</v>
      </c>
      <c r="J32" s="8" t="str">
        <f t="array" aca="1" ref="J32" ca="1">IFERROR(INDEX(Tableau6[Nom abrégé],SMALL(IF((Tableau6[prochaine visite mét]&lt;TODAY())*(Tableau6[Status]="Actif"),ROW(Tableau6[prochaine visite mét])-MIN(ROW(Employé!$AJ$4))+1,""),ROWS(J$25:J32))),"")</f>
        <v>AFONSO Ju</v>
      </c>
      <c r="K32" s="2" t="str">
        <f t="array" aca="1" ref="K32" ca="1">IFERROR(INDEX(Tableau6[prochaine visite mét],SMALL(IF((Tableau6[prochaine visite mét]&gt;=TODAY())*(Tableau6[prochaine visite mét]&lt;=TODAY()+365)*(Tableau6[Status]="Actif"),ROW(Tableau6[prochaine visite mét])-MIN(ROW(Employé!$AJ$4))+1,""),ROWS(K$25:K32))),"")</f>
        <v/>
      </c>
      <c r="L32" s="8" t="str">
        <f t="array" aca="1" ref="L32" ca="1">IFERROR(INDEX(Tableau6[Nom abrégé],SMALL(IF((Tableau6[prochaine visite mét]&gt;=TODAY())*(Tableau6[prochaine visite mét]&lt;=TODAY()+365)*(Tableau6[Status]="Actif"),ROW(Tableau6[prochaine visite mét])-MIN(ROW(Employé!$AJ$4))+1,""),ROWS(L$25:L32))),"")</f>
        <v/>
      </c>
      <c r="M32" s="2" t="str">
        <f t="array" aca="1" ref="M32" ca="1">IFERROR(INDEX(Tableau6[prochaine visite mét],SMALL(IF((Tableau6[prochaine visite mét]&gt;TODAY()+365)*(Tableau6[Status]="Actif"),ROW(Tableau6[prochaine visite mét])-MIN(ROW(Employé!$AJ$4))+1,""),ROWS(M$25:M32))),"")</f>
        <v/>
      </c>
      <c r="N32" s="8" t="str">
        <f t="array" aca="1" ref="N32" ca="1">IFERROR(INDEX(Tableau6[Nom abrégé],SMALL(IF((Tableau6[prochaine visite mét]&gt;TODAY()+365)*(Tableau6[Status]="Actif"),ROW(Tableau6[prochaine visite mét])-MIN(ROW(Employé!$AJ$4))+1,""),ROWS(N$25:N32))),"")</f>
        <v/>
      </c>
    </row>
    <row r="33" spans="2:14" x14ac:dyDescent="0.2">
      <c r="B33" s="2">
        <f t="array" aca="1" ref="B33" ca="1">IFERROR(INDEX(Tableau6[prochaine visite pou],SMALL(IF((Tableau6[prochaine visite pou]&lt;TODAY())*(Tableau6[Status]="Actif"),ROW(Tableau6[prochaine visite pou])-MIN(ROW(Employé!$AG$4))+1,""),ROWS(B$25:B33))),"")</f>
        <v>366</v>
      </c>
      <c r="C33" s="8" t="str">
        <f t="array" aca="1" ref="C33" ca="1">IFERROR(INDEX(Tableau6[Nom abrégé],SMALL(IF((Tableau6[prochaine visite pou]&lt;TODAY())*(Tableau6[Status]="Actif"),ROW(Tableau6[prochaine visite pou])-MIN(ROW(Employé!$AG$4))+1,""),ROWS(C$25:C33))),"")</f>
        <v>LEROY Fr</v>
      </c>
      <c r="D33" s="2" t="str">
        <f t="array" aca="1" ref="D33" ca="1">IFERROR(INDEX(Tableau6[prochaine visite pou],SMALL(IF((Tableau6[prochaine visite pou]&gt;=TODAY())*(Tableau6[prochaine visite pou]&lt;=TODAY()+365)*(Tableau6[Status]="Actif"),ROW(Tableau6[prochaine visite pou])-MIN(ROW(Employé!$AG$4))+1,""),ROWS(D$25:D33))),"")</f>
        <v/>
      </c>
      <c r="E33" s="8" t="str">
        <f t="array" aca="1" ref="E33" ca="1">IFERROR(INDEX(Tableau6[Nom abrégé],SMALL(IF((Tableau6[prochaine visite pou]&gt;=TODAY())*(Tableau6[prochaine visite pou]&lt;=TODAY()+365)*(Tableau6[Status]="Actif"),ROW(Tableau6[prochaine visite pou])-MIN(ROW(Employé!$AG$4))+1,""),ROWS(E$25:E33))),"")</f>
        <v/>
      </c>
      <c r="F33" s="2" t="str">
        <f t="array" aca="1" ref="F33" ca="1">IFERROR(INDEX(Tableau6[prochaine visite pou],SMALL(IF((Tableau6[prochaine visite pou]&gt;TODAY()+365)*(Tableau6[Status]="Actif"),ROW(Tableau6[prochaine visite pou])-MIN(ROW(Employé!$AG$4))+1,""),ROWS(F$25:F33))),"")</f>
        <v/>
      </c>
      <c r="G33" s="8" t="str">
        <f t="array" aca="1" ref="G33" ca="1">IFERROR(INDEX(Tableau6[Nom abrégé],SMALL(IF((Tableau6[prochaine visite pou]&gt;TODAY()+365)*(Tableau6[Status]="Actif"),ROW(Tableau6[prochaine visite pou])-MIN(ROW(Employé!$AG$4))+1,""),ROWS(G$25:G33))),"")</f>
        <v/>
      </c>
      <c r="I33" s="2">
        <f t="array" aca="1" ref="I33" ca="1">IFERROR(INDEX(Tableau6[prochaine visite mét],SMALL(IF((Tableau6[prochaine visite mét]&lt;TODAY())*(Tableau6[Status]="Actif"),ROW(Tableau6[prochaine visite mét])-MIN(ROW(Employé!$AJ$4))+1,""),ROWS(I$25:I33))),"")</f>
        <v>1827</v>
      </c>
      <c r="J33" s="8" t="str">
        <f t="array" aca="1" ref="J33" ca="1">IFERROR(INDEX(Tableau6[Nom abrégé],SMALL(IF((Tableau6[prochaine visite mét]&lt;TODAY())*(Tableau6[Status]="Actif"),ROW(Tableau6[prochaine visite mét])-MIN(ROW(Employé!$AJ$4))+1,""),ROWS(J$25:J33))),"")</f>
        <v>LEROY Fr</v>
      </c>
      <c r="K33" s="2" t="str">
        <f t="array" aca="1" ref="K33" ca="1">IFERROR(INDEX(Tableau6[prochaine visite mét],SMALL(IF((Tableau6[prochaine visite mét]&gt;=TODAY())*(Tableau6[prochaine visite mét]&lt;=TODAY()+365)*(Tableau6[Status]="Actif"),ROW(Tableau6[prochaine visite mét])-MIN(ROW(Employé!$AJ$4))+1,""),ROWS(K$25:K33))),"")</f>
        <v/>
      </c>
      <c r="L33" s="8" t="str">
        <f t="array" aca="1" ref="L33" ca="1">IFERROR(INDEX(Tableau6[Nom abrégé],SMALL(IF((Tableau6[prochaine visite mét]&gt;=TODAY())*(Tableau6[prochaine visite mét]&lt;=TODAY()+365)*(Tableau6[Status]="Actif"),ROW(Tableau6[prochaine visite mét])-MIN(ROW(Employé!$AJ$4))+1,""),ROWS(L$25:L33))),"")</f>
        <v/>
      </c>
      <c r="M33" s="2" t="str">
        <f t="array" aca="1" ref="M33" ca="1">IFERROR(INDEX(Tableau6[prochaine visite mét],SMALL(IF((Tableau6[prochaine visite mét]&gt;TODAY()+365)*(Tableau6[Status]="Actif"),ROW(Tableau6[prochaine visite mét])-MIN(ROW(Employé!$AJ$4))+1,""),ROWS(M$25:M33))),"")</f>
        <v/>
      </c>
      <c r="N33" s="8" t="str">
        <f t="array" aca="1" ref="N33" ca="1">IFERROR(INDEX(Tableau6[Nom abrégé],SMALL(IF((Tableau6[prochaine visite mét]&gt;TODAY()+365)*(Tableau6[Status]="Actif"),ROW(Tableau6[prochaine visite mét])-MIN(ROW(Employé!$AJ$4))+1,""),ROWS(N$25:N33))),"")</f>
        <v/>
      </c>
    </row>
    <row r="34" spans="2:14" x14ac:dyDescent="0.2">
      <c r="B34" s="2">
        <f t="array" aca="1" ref="B34" ca="1">IFERROR(INDEX(Tableau6[prochaine visite pou],SMALL(IF((Tableau6[prochaine visite pou]&lt;TODAY())*(Tableau6[Status]="Actif"),ROW(Tableau6[prochaine visite pou])-MIN(ROW(Employé!$AG$4))+1,""),ROWS(B$25:B34))),"")</f>
        <v>366</v>
      </c>
      <c r="C34" s="8" t="str">
        <f t="array" aca="1" ref="C34" ca="1">IFERROR(INDEX(Tableau6[Nom abrégé],SMALL(IF((Tableau6[prochaine visite pou]&lt;TODAY())*(Tableau6[Status]="Actif"),ROW(Tableau6[prochaine visite pou])-MIN(ROW(Employé!$AG$4))+1,""),ROWS(C$25:C34))),"")</f>
        <v>LEROY Je</v>
      </c>
      <c r="D34" s="2" t="str">
        <f t="array" aca="1" ref="D34" ca="1">IFERROR(INDEX(Tableau6[prochaine visite pou],SMALL(IF((Tableau6[prochaine visite pou]&gt;=TODAY())*(Tableau6[prochaine visite pou]&lt;=TODAY()+365)*(Tableau6[Status]="Actif"),ROW(Tableau6[prochaine visite pou])-MIN(ROW(Employé!$AG$4))+1,""),ROWS(D$25:D34))),"")</f>
        <v/>
      </c>
      <c r="E34" s="8" t="str">
        <f t="array" aca="1" ref="E34" ca="1">IFERROR(INDEX(Tableau6[Nom abrégé],SMALL(IF((Tableau6[prochaine visite pou]&gt;=TODAY())*(Tableau6[prochaine visite pou]&lt;=TODAY()+365)*(Tableau6[Status]="Actif"),ROW(Tableau6[prochaine visite pou])-MIN(ROW(Employé!$AG$4))+1,""),ROWS(E$25:E34))),"")</f>
        <v/>
      </c>
      <c r="F34" s="2" t="str">
        <f t="array" aca="1" ref="F34" ca="1">IFERROR(INDEX(Tableau6[prochaine visite pou],SMALL(IF((Tableau6[prochaine visite pou]&gt;TODAY()+365)*(Tableau6[Status]="Actif"),ROW(Tableau6[prochaine visite pou])-MIN(ROW(Employé!$AG$4))+1,""),ROWS(F$25:F34))),"")</f>
        <v/>
      </c>
      <c r="G34" s="8" t="str">
        <f t="array" aca="1" ref="G34" ca="1">IFERROR(INDEX(Tableau6[Nom abrégé],SMALL(IF((Tableau6[prochaine visite pou]&gt;TODAY()+365)*(Tableau6[Status]="Actif"),ROW(Tableau6[prochaine visite pou])-MIN(ROW(Employé!$AG$4))+1,""),ROWS(G$25:G34))),"")</f>
        <v/>
      </c>
      <c r="I34" s="2">
        <f t="array" aca="1" ref="I34" ca="1">IFERROR(INDEX(Tableau6[prochaine visite mét],SMALL(IF((Tableau6[prochaine visite mét]&lt;TODAY())*(Tableau6[Status]="Actif"),ROW(Tableau6[prochaine visite mét])-MIN(ROW(Employé!$AJ$4))+1,""),ROWS(I$25:I34))),"")</f>
        <v>1827</v>
      </c>
      <c r="J34" s="8" t="str">
        <f t="array" aca="1" ref="J34" ca="1">IFERROR(INDEX(Tableau6[Nom abrégé],SMALL(IF((Tableau6[prochaine visite mét]&lt;TODAY())*(Tableau6[Status]="Actif"),ROW(Tableau6[prochaine visite mét])-MIN(ROW(Employé!$AJ$4))+1,""),ROWS(J$25:J34))),"")</f>
        <v>LEROY Je</v>
      </c>
      <c r="K34" s="2" t="str">
        <f t="array" aca="1" ref="K34" ca="1">IFERROR(INDEX(Tableau6[prochaine visite mét],SMALL(IF((Tableau6[prochaine visite mét]&gt;=TODAY())*(Tableau6[prochaine visite mét]&lt;=TODAY()+365)*(Tableau6[Status]="Actif"),ROW(Tableau6[prochaine visite mét])-MIN(ROW(Employé!$AJ$4))+1,""),ROWS(K$25:K34))),"")</f>
        <v/>
      </c>
      <c r="L34" s="8" t="str">
        <f t="array" aca="1" ref="L34" ca="1">IFERROR(INDEX(Tableau6[Nom abrégé],SMALL(IF((Tableau6[prochaine visite mét]&gt;=TODAY())*(Tableau6[prochaine visite mét]&lt;=TODAY()+365)*(Tableau6[Status]="Actif"),ROW(Tableau6[prochaine visite mét])-MIN(ROW(Employé!$AJ$4))+1,""),ROWS(L$25:L34))),"")</f>
        <v/>
      </c>
      <c r="M34" s="2" t="str">
        <f t="array" aca="1" ref="M34" ca="1">IFERROR(INDEX(Tableau6[prochaine visite mét],SMALL(IF((Tableau6[prochaine visite mét]&gt;TODAY()+365)*(Tableau6[Status]="Actif"),ROW(Tableau6[prochaine visite mét])-MIN(ROW(Employé!$AJ$4))+1,""),ROWS(M$25:M34))),"")</f>
        <v/>
      </c>
      <c r="N34" s="8" t="str">
        <f t="array" aca="1" ref="N34" ca="1">IFERROR(INDEX(Tableau6[Nom abrégé],SMALL(IF((Tableau6[prochaine visite mét]&gt;TODAY()+365)*(Tableau6[Status]="Actif"),ROW(Tableau6[prochaine visite mét])-MIN(ROW(Employé!$AJ$4))+1,""),ROWS(N$25:N34))),"")</f>
        <v/>
      </c>
    </row>
    <row r="35" spans="2:14" x14ac:dyDescent="0.2">
      <c r="B35" s="2">
        <f t="array" aca="1" ref="B35" ca="1">IFERROR(INDEX(Tableau6[prochaine visite pou],SMALL(IF((Tableau6[prochaine visite pou]&lt;TODAY())*(Tableau6[Status]="Actif"),ROW(Tableau6[prochaine visite pou])-MIN(ROW(Employé!$AG$4))+1,""),ROWS(B$25:B35))),"")</f>
        <v>366</v>
      </c>
      <c r="C35" s="8" t="str">
        <f t="array" aca="1" ref="C35" ca="1">IFERROR(INDEX(Tableau6[Nom abrégé],SMALL(IF((Tableau6[prochaine visite pou]&lt;TODAY())*(Tableau6[Status]="Actif"),ROW(Tableau6[prochaine visite pou])-MIN(ROW(Employé!$AG$4))+1,""),ROWS(C$25:C35))),"")</f>
        <v>FERRARA Ju</v>
      </c>
      <c r="D35" s="2" t="str">
        <f t="array" aca="1" ref="D35" ca="1">IFERROR(INDEX(Tableau6[prochaine visite pou],SMALL(IF((Tableau6[prochaine visite pou]&gt;=TODAY())*(Tableau6[prochaine visite pou]&lt;=TODAY()+365)*(Tableau6[Status]="Actif"),ROW(Tableau6[prochaine visite pou])-MIN(ROW(Employé!$AG$4))+1,""),ROWS(D$25:D35))),"")</f>
        <v/>
      </c>
      <c r="E35" s="8" t="str">
        <f t="array" aca="1" ref="E35" ca="1">IFERROR(INDEX(Tableau6[Nom abrégé],SMALL(IF((Tableau6[prochaine visite pou]&gt;=TODAY())*(Tableau6[prochaine visite pou]&lt;=TODAY()+365)*(Tableau6[Status]="Actif"),ROW(Tableau6[prochaine visite pou])-MIN(ROW(Employé!$AG$4))+1,""),ROWS(E$25:E35))),"")</f>
        <v/>
      </c>
      <c r="F35" s="2" t="str">
        <f t="array" aca="1" ref="F35" ca="1">IFERROR(INDEX(Tableau6[prochaine visite pou],SMALL(IF((Tableau6[prochaine visite pou]&gt;TODAY()+365)*(Tableau6[Status]="Actif"),ROW(Tableau6[prochaine visite pou])-MIN(ROW(Employé!$AG$4))+1,""),ROWS(F$25:F35))),"")</f>
        <v/>
      </c>
      <c r="G35" s="8" t="str">
        <f t="array" aca="1" ref="G35" ca="1">IFERROR(INDEX(Tableau6[Nom abrégé],SMALL(IF((Tableau6[prochaine visite pou]&gt;TODAY()+365)*(Tableau6[Status]="Actif"),ROW(Tableau6[prochaine visite pou])-MIN(ROW(Employé!$AG$4))+1,""),ROWS(G$25:G35))),"")</f>
        <v/>
      </c>
      <c r="I35" s="2">
        <f t="array" aca="1" ref="I35" ca="1">IFERROR(INDEX(Tableau6[prochaine visite mét],SMALL(IF((Tableau6[prochaine visite mét]&lt;TODAY())*(Tableau6[Status]="Actif"),ROW(Tableau6[prochaine visite mét])-MIN(ROW(Employé!$AJ$4))+1,""),ROWS(I$25:I35))),"")</f>
        <v>1827</v>
      </c>
      <c r="J35" s="8" t="str">
        <f t="array" aca="1" ref="J35" ca="1">IFERROR(INDEX(Tableau6[Nom abrégé],SMALL(IF((Tableau6[prochaine visite mét]&lt;TODAY())*(Tableau6[Status]="Actif"),ROW(Tableau6[prochaine visite mét])-MIN(ROW(Employé!$AJ$4))+1,""),ROWS(J$25:J35))),"")</f>
        <v>FERRARA Ju</v>
      </c>
      <c r="K35" s="2" t="str">
        <f t="array" aca="1" ref="K35" ca="1">IFERROR(INDEX(Tableau6[prochaine visite mét],SMALL(IF((Tableau6[prochaine visite mét]&gt;=TODAY())*(Tableau6[prochaine visite mét]&lt;=TODAY()+365)*(Tableau6[Status]="Actif"),ROW(Tableau6[prochaine visite mét])-MIN(ROW(Employé!$AJ$4))+1,""),ROWS(K$25:K35))),"")</f>
        <v/>
      </c>
      <c r="L35" s="8" t="str">
        <f t="array" aca="1" ref="L35" ca="1">IFERROR(INDEX(Tableau6[Nom abrégé],SMALL(IF((Tableau6[prochaine visite mét]&gt;=TODAY())*(Tableau6[prochaine visite mét]&lt;=TODAY()+365)*(Tableau6[Status]="Actif"),ROW(Tableau6[prochaine visite mét])-MIN(ROW(Employé!$AJ$4))+1,""),ROWS(L$25:L35))),"")</f>
        <v/>
      </c>
      <c r="M35" s="2" t="str">
        <f t="array" aca="1" ref="M35" ca="1">IFERROR(INDEX(Tableau6[prochaine visite mét],SMALL(IF((Tableau6[prochaine visite mét]&gt;TODAY()+365)*(Tableau6[Status]="Actif"),ROW(Tableau6[prochaine visite mét])-MIN(ROW(Employé!$AJ$4))+1,""),ROWS(M$25:M35))),"")</f>
        <v/>
      </c>
      <c r="N35" s="8" t="str">
        <f t="array" aca="1" ref="N35" ca="1">IFERROR(INDEX(Tableau6[Nom abrégé],SMALL(IF((Tableau6[prochaine visite mét]&gt;TODAY()+365)*(Tableau6[Status]="Actif"),ROW(Tableau6[prochaine visite mét])-MIN(ROW(Employé!$AJ$4))+1,""),ROWS(N$25:N35))),"")</f>
        <v/>
      </c>
    </row>
    <row r="36" spans="2:14" x14ac:dyDescent="0.2">
      <c r="B36" s="2">
        <f t="array" aca="1" ref="B36" ca="1">IFERROR(INDEX(Tableau6[prochaine visite pou],SMALL(IF((Tableau6[prochaine visite pou]&lt;TODAY())*(Tableau6[Status]="Actif"),ROW(Tableau6[prochaine visite pou])-MIN(ROW(Employé!$AG$4))+1,""),ROWS(B$25:B36))),"")</f>
        <v>366</v>
      </c>
      <c r="C36" s="8" t="str">
        <f t="array" aca="1" ref="C36" ca="1">IFERROR(INDEX(Tableau6[Nom abrégé],SMALL(IF((Tableau6[prochaine visite pou]&lt;TODAY())*(Tableau6[Status]="Actif"),ROW(Tableau6[prochaine visite pou])-MIN(ROW(Employé!$AG$4))+1,""),ROWS(C$25:C36))),"")</f>
        <v>BALLESTER Xa</v>
      </c>
      <c r="D36" s="2" t="str">
        <f t="array" aca="1" ref="D36" ca="1">IFERROR(INDEX(Tableau6[prochaine visite pou],SMALL(IF((Tableau6[prochaine visite pou]&gt;=TODAY())*(Tableau6[prochaine visite pou]&lt;=TODAY()+365)*(Tableau6[Status]="Actif"),ROW(Tableau6[prochaine visite pou])-MIN(ROW(Employé!$AG$4))+1,""),ROWS(D$25:D36))),"")</f>
        <v/>
      </c>
      <c r="E36" s="8" t="str">
        <f t="array" aca="1" ref="E36" ca="1">IFERROR(INDEX(Tableau6[Nom abrégé],SMALL(IF((Tableau6[prochaine visite pou]&gt;=TODAY())*(Tableau6[prochaine visite pou]&lt;=TODAY()+365)*(Tableau6[Status]="Actif"),ROW(Tableau6[prochaine visite pou])-MIN(ROW(Employé!$AG$4))+1,""),ROWS(E$25:E36))),"")</f>
        <v/>
      </c>
      <c r="F36" s="2" t="str">
        <f t="array" aca="1" ref="F36" ca="1">IFERROR(INDEX(Tableau6[prochaine visite pou],SMALL(IF((Tableau6[prochaine visite pou]&gt;TODAY()+365)*(Tableau6[Status]="Actif"),ROW(Tableau6[prochaine visite pou])-MIN(ROW(Employé!$AG$4))+1,""),ROWS(F$25:F36))),"")</f>
        <v/>
      </c>
      <c r="G36" s="8" t="str">
        <f t="array" aca="1" ref="G36" ca="1">IFERROR(INDEX(Tableau6[Nom abrégé],SMALL(IF((Tableau6[prochaine visite pou]&gt;TODAY()+365)*(Tableau6[Status]="Actif"),ROW(Tableau6[prochaine visite pou])-MIN(ROW(Employé!$AG$4))+1,""),ROWS(G$25:G36))),"")</f>
        <v/>
      </c>
      <c r="I36" s="2">
        <f t="array" aca="1" ref="I36" ca="1">IFERROR(INDEX(Tableau6[prochaine visite mét],SMALL(IF((Tableau6[prochaine visite mét]&lt;TODAY())*(Tableau6[Status]="Actif"),ROW(Tableau6[prochaine visite mét])-MIN(ROW(Employé!$AJ$4))+1,""),ROWS(I$25:I36))),"")</f>
        <v>1827</v>
      </c>
      <c r="J36" s="8" t="str">
        <f t="array" aca="1" ref="J36" ca="1">IFERROR(INDEX(Tableau6[Nom abrégé],SMALL(IF((Tableau6[prochaine visite mét]&lt;TODAY())*(Tableau6[Status]="Actif"),ROW(Tableau6[prochaine visite mét])-MIN(ROW(Employé!$AJ$4))+1,""),ROWS(J$25:J36))),"")</f>
        <v>BALLESTER Xa</v>
      </c>
      <c r="K36" s="2" t="str">
        <f t="array" aca="1" ref="K36" ca="1">IFERROR(INDEX(Tableau6[prochaine visite mét],SMALL(IF((Tableau6[prochaine visite mét]&gt;=TODAY())*(Tableau6[prochaine visite mét]&lt;=TODAY()+365)*(Tableau6[Status]="Actif"),ROW(Tableau6[prochaine visite mét])-MIN(ROW(Employé!$AJ$4))+1,""),ROWS(K$25:K36))),"")</f>
        <v/>
      </c>
      <c r="L36" s="8" t="str">
        <f t="array" aca="1" ref="L36" ca="1">IFERROR(INDEX(Tableau6[Nom abrégé],SMALL(IF((Tableau6[prochaine visite mét]&gt;=TODAY())*(Tableau6[prochaine visite mét]&lt;=TODAY()+365)*(Tableau6[Status]="Actif"),ROW(Tableau6[prochaine visite mét])-MIN(ROW(Employé!$AJ$4))+1,""),ROWS(L$25:L36))),"")</f>
        <v/>
      </c>
      <c r="M36" s="2" t="str">
        <f t="array" aca="1" ref="M36" ca="1">IFERROR(INDEX(Tableau6[prochaine visite mét],SMALL(IF((Tableau6[prochaine visite mét]&gt;TODAY()+365)*(Tableau6[Status]="Actif"),ROW(Tableau6[prochaine visite mét])-MIN(ROW(Employé!$AJ$4))+1,""),ROWS(M$25:M36))),"")</f>
        <v/>
      </c>
      <c r="N36" s="8" t="str">
        <f t="array" aca="1" ref="N36" ca="1">IFERROR(INDEX(Tableau6[Nom abrégé],SMALL(IF((Tableau6[prochaine visite mét]&gt;TODAY()+365)*(Tableau6[Status]="Actif"),ROW(Tableau6[prochaine visite mét])-MIN(ROW(Employé!$AJ$4))+1,""),ROWS(N$25:N36))),"")</f>
        <v/>
      </c>
    </row>
    <row r="37" spans="2:14" x14ac:dyDescent="0.2">
      <c r="B37" s="2">
        <f t="array" aca="1" ref="B37" ca="1">IFERROR(INDEX(Tableau6[prochaine visite pou],SMALL(IF((Tableau6[prochaine visite pou]&lt;TODAY())*(Tableau6[Status]="Actif"),ROW(Tableau6[prochaine visite pou])-MIN(ROW(Employé!$AG$4))+1,""),ROWS(B$25:B37))),"")</f>
        <v>366</v>
      </c>
      <c r="C37" s="8" t="str">
        <f t="array" aca="1" ref="C37" ca="1">IFERROR(INDEX(Tableau6[Nom abrégé],SMALL(IF((Tableau6[prochaine visite pou]&lt;TODAY())*(Tableau6[Status]="Actif"),ROW(Tableau6[prochaine visite pou])-MIN(ROW(Employé!$AG$4))+1,""),ROWS(C$25:C37))),"")</f>
        <v>DESMYTER Da</v>
      </c>
      <c r="D37" s="2" t="str">
        <f t="array" aca="1" ref="D37" ca="1">IFERROR(INDEX(Tableau6[prochaine visite pou],SMALL(IF((Tableau6[prochaine visite pou]&gt;=TODAY())*(Tableau6[prochaine visite pou]&lt;=TODAY()+365)*(Tableau6[Status]="Actif"),ROW(Tableau6[prochaine visite pou])-MIN(ROW(Employé!$AG$4))+1,""),ROWS(D$25:D37))),"")</f>
        <v/>
      </c>
      <c r="E37" s="8" t="str">
        <f t="array" aca="1" ref="E37" ca="1">IFERROR(INDEX(Tableau6[Nom abrégé],SMALL(IF((Tableau6[prochaine visite pou]&gt;=TODAY())*(Tableau6[prochaine visite pou]&lt;=TODAY()+365)*(Tableau6[Status]="Actif"),ROW(Tableau6[prochaine visite pou])-MIN(ROW(Employé!$AG$4))+1,""),ROWS(E$25:E37))),"")</f>
        <v/>
      </c>
      <c r="F37" s="2" t="str">
        <f t="array" aca="1" ref="F37" ca="1">IFERROR(INDEX(Tableau6[prochaine visite pou],SMALL(IF((Tableau6[prochaine visite pou]&gt;TODAY()+365)*(Tableau6[Status]="Actif"),ROW(Tableau6[prochaine visite pou])-MIN(ROW(Employé!$AG$4))+1,""),ROWS(F$25:F37))),"")</f>
        <v/>
      </c>
      <c r="G37" s="8" t="str">
        <f t="array" aca="1" ref="G37" ca="1">IFERROR(INDEX(Tableau6[Nom abrégé],SMALL(IF((Tableau6[prochaine visite pou]&gt;TODAY()+365)*(Tableau6[Status]="Actif"),ROW(Tableau6[prochaine visite pou])-MIN(ROW(Employé!$AG$4))+1,""),ROWS(G$25:G37))),"")</f>
        <v/>
      </c>
      <c r="I37" s="2">
        <f t="array" aca="1" ref="I37" ca="1">IFERROR(INDEX(Tableau6[prochaine visite mét],SMALL(IF((Tableau6[prochaine visite mét]&lt;TODAY())*(Tableau6[Status]="Actif"),ROW(Tableau6[prochaine visite mét])-MIN(ROW(Employé!$AJ$4))+1,""),ROWS(I$25:I37))),"")</f>
        <v>1827</v>
      </c>
      <c r="J37" s="8" t="str">
        <f t="array" aca="1" ref="J37" ca="1">IFERROR(INDEX(Tableau6[Nom abrégé],SMALL(IF((Tableau6[prochaine visite mét]&lt;TODAY())*(Tableau6[Status]="Actif"),ROW(Tableau6[prochaine visite mét])-MIN(ROW(Employé!$AJ$4))+1,""),ROWS(J$25:J37))),"")</f>
        <v>DESMYTER Da</v>
      </c>
      <c r="K37" s="2" t="str">
        <f t="array" aca="1" ref="K37" ca="1">IFERROR(INDEX(Tableau6[prochaine visite mét],SMALL(IF((Tableau6[prochaine visite mét]&gt;=TODAY())*(Tableau6[prochaine visite mét]&lt;=TODAY()+365)*(Tableau6[Status]="Actif"),ROW(Tableau6[prochaine visite mét])-MIN(ROW(Employé!$AJ$4))+1,""),ROWS(K$25:K37))),"")</f>
        <v/>
      </c>
      <c r="L37" s="8" t="str">
        <f t="array" aca="1" ref="L37" ca="1">IFERROR(INDEX(Tableau6[Nom abrégé],SMALL(IF((Tableau6[prochaine visite mét]&gt;=TODAY())*(Tableau6[prochaine visite mét]&lt;=TODAY()+365)*(Tableau6[Status]="Actif"),ROW(Tableau6[prochaine visite mét])-MIN(ROW(Employé!$AJ$4))+1,""),ROWS(L$25:L37))),"")</f>
        <v/>
      </c>
      <c r="M37" s="2" t="str">
        <f t="array" aca="1" ref="M37" ca="1">IFERROR(INDEX(Tableau6[prochaine visite mét],SMALL(IF((Tableau6[prochaine visite mét]&gt;TODAY()+365)*(Tableau6[Status]="Actif"),ROW(Tableau6[prochaine visite mét])-MIN(ROW(Employé!$AJ$4))+1,""),ROWS(M$25:M37))),"")</f>
        <v/>
      </c>
      <c r="N37" s="8" t="str">
        <f t="array" aca="1" ref="N37" ca="1">IFERROR(INDEX(Tableau6[Nom abrégé],SMALL(IF((Tableau6[prochaine visite mét]&gt;TODAY()+365)*(Tableau6[Status]="Actif"),ROW(Tableau6[prochaine visite mét])-MIN(ROW(Employé!$AJ$4))+1,""),ROWS(N$25:N37))),"")</f>
        <v/>
      </c>
    </row>
    <row r="38" spans="2:14" x14ac:dyDescent="0.2">
      <c r="B38" s="2">
        <f t="array" aca="1" ref="B38" ca="1">IFERROR(INDEX(Tableau6[prochaine visite pou],SMALL(IF((Tableau6[prochaine visite pou]&lt;TODAY())*(Tableau6[Status]="Actif"),ROW(Tableau6[prochaine visite pou])-MIN(ROW(Employé!$AG$4))+1,""),ROWS(B$25:B38))),"")</f>
        <v>366</v>
      </c>
      <c r="C38" s="8" t="str">
        <f t="array" aca="1" ref="C38" ca="1">IFERROR(INDEX(Tableau6[Nom abrégé],SMALL(IF((Tableau6[prochaine visite pou]&lt;TODAY())*(Tableau6[Status]="Actif"),ROW(Tableau6[prochaine visite pou])-MIN(ROW(Employé!$AG$4))+1,""),ROWS(C$25:C38))),"")</f>
        <v>NAJJARI Mo</v>
      </c>
      <c r="D38" s="2" t="str">
        <f t="array" aca="1" ref="D38" ca="1">IFERROR(INDEX(Tableau6[prochaine visite pou],SMALL(IF((Tableau6[prochaine visite pou]&gt;=TODAY())*(Tableau6[prochaine visite pou]&lt;=TODAY()+365)*(Tableau6[Status]="Actif"),ROW(Tableau6[prochaine visite pou])-MIN(ROW(Employé!$AG$4))+1,""),ROWS(D$25:D38))),"")</f>
        <v/>
      </c>
      <c r="E38" s="8" t="str">
        <f t="array" aca="1" ref="E38" ca="1">IFERROR(INDEX(Tableau6[Nom abrégé],SMALL(IF((Tableau6[prochaine visite pou]&gt;=TODAY())*(Tableau6[prochaine visite pou]&lt;=TODAY()+365)*(Tableau6[Status]="Actif"),ROW(Tableau6[prochaine visite pou])-MIN(ROW(Employé!$AG$4))+1,""),ROWS(E$25:E38))),"")</f>
        <v/>
      </c>
      <c r="F38" s="2" t="str">
        <f t="array" aca="1" ref="F38" ca="1">IFERROR(INDEX(Tableau6[prochaine visite pou],SMALL(IF((Tableau6[prochaine visite pou]&gt;TODAY()+365)*(Tableau6[Status]="Actif"),ROW(Tableau6[prochaine visite pou])-MIN(ROW(Employé!$AG$4))+1,""),ROWS(F$25:F38))),"")</f>
        <v/>
      </c>
      <c r="G38" s="8" t="str">
        <f t="array" aca="1" ref="G38" ca="1">IFERROR(INDEX(Tableau6[Nom abrégé],SMALL(IF((Tableau6[prochaine visite pou]&gt;TODAY()+365)*(Tableau6[Status]="Actif"),ROW(Tableau6[prochaine visite pou])-MIN(ROW(Employé!$AG$4))+1,""),ROWS(G$25:G38))),"")</f>
        <v/>
      </c>
      <c r="I38" s="2">
        <f t="array" aca="1" ref="I38" ca="1">IFERROR(INDEX(Tableau6[prochaine visite mét],SMALL(IF((Tableau6[prochaine visite mét]&lt;TODAY())*(Tableau6[Status]="Actif"),ROW(Tableau6[prochaine visite mét])-MIN(ROW(Employé!$AJ$4))+1,""),ROWS(I$25:I38))),"")</f>
        <v>1827</v>
      </c>
      <c r="J38" s="8" t="str">
        <f t="array" aca="1" ref="J38" ca="1">IFERROR(INDEX(Tableau6[Nom abrégé],SMALL(IF((Tableau6[prochaine visite mét]&lt;TODAY())*(Tableau6[Status]="Actif"),ROW(Tableau6[prochaine visite mét])-MIN(ROW(Employé!$AJ$4))+1,""),ROWS(J$25:J38))),"")</f>
        <v>NAJJARI Mo</v>
      </c>
      <c r="K38" s="2" t="str">
        <f t="array" aca="1" ref="K38" ca="1">IFERROR(INDEX(Tableau6[prochaine visite mét],SMALL(IF((Tableau6[prochaine visite mét]&gt;=TODAY())*(Tableau6[prochaine visite mét]&lt;=TODAY()+365)*(Tableau6[Status]="Actif"),ROW(Tableau6[prochaine visite mét])-MIN(ROW(Employé!$AJ$4))+1,""),ROWS(K$25:K38))),"")</f>
        <v/>
      </c>
      <c r="L38" s="8" t="str">
        <f t="array" aca="1" ref="L38" ca="1">IFERROR(INDEX(Tableau6[Nom abrégé],SMALL(IF((Tableau6[prochaine visite mét]&gt;=TODAY())*(Tableau6[prochaine visite mét]&lt;=TODAY()+365)*(Tableau6[Status]="Actif"),ROW(Tableau6[prochaine visite mét])-MIN(ROW(Employé!$AJ$4))+1,""),ROWS(L$25:L38))),"")</f>
        <v/>
      </c>
      <c r="M38" s="2" t="str">
        <f t="array" aca="1" ref="M38" ca="1">IFERROR(INDEX(Tableau6[prochaine visite mét],SMALL(IF((Tableau6[prochaine visite mét]&gt;TODAY()+365)*(Tableau6[Status]="Actif"),ROW(Tableau6[prochaine visite mét])-MIN(ROW(Employé!$AJ$4))+1,""),ROWS(M$25:M38))),"")</f>
        <v/>
      </c>
      <c r="N38" s="8" t="str">
        <f t="array" aca="1" ref="N38" ca="1">IFERROR(INDEX(Tableau6[Nom abrégé],SMALL(IF((Tableau6[prochaine visite mét]&gt;TODAY()+365)*(Tableau6[Status]="Actif"),ROW(Tableau6[prochaine visite mét])-MIN(ROW(Employé!$AJ$4))+1,""),ROWS(N$25:N38))),"")</f>
        <v/>
      </c>
    </row>
    <row r="39" spans="2:14" ht="13.5" thickBot="1" x14ac:dyDescent="0.25">
      <c r="B39" s="2" t="str">
        <f t="array" aca="1" ref="B39" ca="1">IFERROR(INDEX(Tableau6[prochaine visite pou],SMALL(IF((Tableau6[prochaine visite pou]&lt;TODAY())*(Tableau6[Status]="Actif"),ROW(Tableau6[prochaine visite pou])-MIN(ROW(Employé!$AG$4))+1,""),ROWS(B$25:B39))),"")</f>
        <v/>
      </c>
      <c r="C39" s="8" t="str">
        <f t="array" aca="1" ref="C39" ca="1">IFERROR(INDEX(Tableau6[Nom abrégé],SMALL(IF((Tableau6[prochaine visite pou]&lt;TODAY())*(Tableau6[Status]="Actif"),ROW(Tableau6[prochaine visite pou])-MIN(ROW(Employé!$AG$4))+1,""),ROWS(C$25:C39))),"")</f>
        <v/>
      </c>
      <c r="D39" s="2" t="str">
        <f t="array" aca="1" ref="D39" ca="1">IFERROR(INDEX(Tableau6[prochaine visite pou],SMALL(IF((Tableau6[prochaine visite pou]&gt;=TODAY())*(Tableau6[prochaine visite pou]&lt;=TODAY()+365)*(Tableau6[Status]="Actif"),ROW(Tableau6[prochaine visite pou])-MIN(ROW(Employé!$AG$4))+1,""),ROWS(D$25:D39))),"")</f>
        <v/>
      </c>
      <c r="E39" s="8" t="str">
        <f t="array" aca="1" ref="E39" ca="1">IFERROR(INDEX(Tableau6[Nom abrégé],SMALL(IF((Tableau6[prochaine visite pou]&gt;=TODAY())*(Tableau6[prochaine visite pou]&lt;=TODAY()+365)*(Tableau6[Status]="Actif"),ROW(Tableau6[prochaine visite pou])-MIN(ROW(Employé!$AG$4))+1,""),ROWS(E$25:E39))),"")</f>
        <v/>
      </c>
      <c r="F39" s="2" t="str">
        <f t="array" aca="1" ref="F39" ca="1">IFERROR(INDEX(Tableau6[prochaine visite pou],SMALL(IF((Tableau6[prochaine visite pou]&gt;TODAY()+365)*(Tableau6[Status]="Actif"),ROW(Tableau6[prochaine visite pou])-MIN(ROW(Employé!$AG$4))+1,""),ROWS(F$25:F39))),"")</f>
        <v/>
      </c>
      <c r="G39" s="8" t="str">
        <f t="array" aca="1" ref="G39" ca="1">IFERROR(INDEX(Tableau6[Nom abrégé],SMALL(IF((Tableau6[prochaine visite pou]&gt;TODAY()+365)*(Tableau6[Status]="Actif"),ROW(Tableau6[prochaine visite pou])-MIN(ROW(Employé!$AG$4))+1,""),ROWS(G$25:G39))),"")</f>
        <v/>
      </c>
      <c r="I39" s="2" t="str">
        <f t="array" aca="1" ref="I39" ca="1">IFERROR(INDEX(Tableau6[prochaine visite mét],SMALL(IF((Tableau6[prochaine visite mét]&lt;TODAY())*(Tableau6[Status]="Actif"),ROW(Tableau6[prochaine visite mét])-MIN(ROW(Employé!$AJ$4))+1,""),ROWS(I$25:I39))),"")</f>
        <v/>
      </c>
      <c r="J39" s="8" t="str">
        <f t="array" aca="1" ref="J39" ca="1">IFERROR(INDEX(Tableau6[Nom abrégé],SMALL(IF((Tableau6[prochaine visite mét]&lt;TODAY())*(Tableau6[Status]="Actif"),ROW(Tableau6[prochaine visite mét])-MIN(ROW(Employé!$AJ$4))+1,""),ROWS(J$25:J39))),"")</f>
        <v/>
      </c>
      <c r="K39" s="2" t="str">
        <f t="array" aca="1" ref="K39" ca="1">IFERROR(INDEX(Tableau6[prochaine visite mét],SMALL(IF((Tableau6[prochaine visite mét]&gt;=TODAY())*(Tableau6[prochaine visite mét]&lt;=TODAY()+365)*(Tableau6[Status]="Actif"),ROW(Tableau6[prochaine visite mét])-MIN(ROW(Employé!$AJ$4))+1,""),ROWS(K$25:K39))),"")</f>
        <v/>
      </c>
      <c r="L39" s="8" t="str">
        <f t="array" aca="1" ref="L39" ca="1">IFERROR(INDEX(Tableau6[Nom abrégé],SMALL(IF((Tableau6[prochaine visite mét]&gt;=TODAY())*(Tableau6[prochaine visite mét]&lt;=TODAY()+365)*(Tableau6[Status]="Actif"),ROW(Tableau6[prochaine visite mét])-MIN(ROW(Employé!$AJ$4))+1,""),ROWS(L$25:L39))),"")</f>
        <v/>
      </c>
      <c r="M39" s="2" t="str">
        <f t="array" aca="1" ref="M39" ca="1">IFERROR(INDEX(Tableau6[prochaine visite mét],SMALL(IF((Tableau6[prochaine visite mét]&gt;TODAY()+365)*(Tableau6[Status]="Actif"),ROW(Tableau6[prochaine visite mét])-MIN(ROW(Employé!$AJ$4))+1,""),ROWS(M$25:M39))),"")</f>
        <v/>
      </c>
      <c r="N39" s="8" t="str">
        <f t="array" aca="1" ref="N39" ca="1">IFERROR(INDEX(Tableau6[Nom abrégé],SMALL(IF((Tableau6[prochaine visite mét]&gt;TODAY()+365)*(Tableau6[Status]="Actif"),ROW(Tableau6[prochaine visite mét])-MIN(ROW(Employé!$AJ$4))+1,""),ROWS(N$25:N39))),"")</f>
        <v/>
      </c>
    </row>
    <row r="40" spans="2:14" ht="13.5" thickTop="1" x14ac:dyDescent="0.2">
      <c r="B40" s="21"/>
      <c r="C40" s="22"/>
      <c r="D40" s="22"/>
      <c r="E40" s="22"/>
      <c r="F40" s="22"/>
      <c r="G40" s="22"/>
      <c r="I40" s="21"/>
      <c r="J40" s="22"/>
      <c r="K40" s="22"/>
      <c r="L40" s="22"/>
      <c r="M40" s="22"/>
      <c r="N40" s="22"/>
    </row>
    <row r="41" spans="2:14" x14ac:dyDescent="0.2">
      <c r="B41" s="25" t="s">
        <v>117</v>
      </c>
      <c r="I41" s="25" t="s">
        <v>120</v>
      </c>
    </row>
    <row r="42" spans="2:14" ht="15.75" x14ac:dyDescent="0.2">
      <c r="B42" s="81" t="s">
        <v>113</v>
      </c>
      <c r="C42" s="82"/>
      <c r="D42" s="82"/>
      <c r="E42" s="82"/>
      <c r="F42" s="82"/>
      <c r="G42" s="83"/>
      <c r="I42" s="81" t="s">
        <v>122</v>
      </c>
      <c r="J42" s="82"/>
      <c r="K42" s="82"/>
      <c r="L42" s="82"/>
      <c r="M42" s="82"/>
      <c r="N42" s="83"/>
    </row>
    <row r="43" spans="2:14" x14ac:dyDescent="0.2">
      <c r="B43" s="84" t="s">
        <v>24</v>
      </c>
      <c r="C43" s="84"/>
      <c r="D43" s="85" t="str">
        <f ca="1">TEXT(TODAY(),"jj/mm/aaaa")&amp;" --&gt; "&amp;TEXT(TODAY()+365,"jj/mm/aaaa")</f>
        <v>10/10/2018 --&gt; 10/10/2019</v>
      </c>
      <c r="E43" s="85"/>
      <c r="F43" s="86" t="str">
        <f ca="1">"&gt; "&amp;TEXT(TODAY()+365,"jj/mm/aaaa")</f>
        <v>&gt; 10/10/2019</v>
      </c>
      <c r="G43" s="86"/>
      <c r="I43" s="84" t="s">
        <v>24</v>
      </c>
      <c r="J43" s="84"/>
      <c r="K43" s="85" t="str">
        <f ca="1">TEXT(TODAY(),"jj/mm/aaaa")&amp;" --&gt; "&amp;TEXT(TODAY()+15,"jj/mm/aaaa")</f>
        <v>10/10/2018 --&gt; 25/10/2018</v>
      </c>
      <c r="L43" s="85"/>
      <c r="M43" s="86" t="str">
        <f ca="1">"&gt; "&amp;TEXT(TODAY()+15,"jj/mm/aaaa")</f>
        <v>&gt; 25/10/2018</v>
      </c>
      <c r="N43" s="86"/>
    </row>
    <row r="44" spans="2:14" x14ac:dyDescent="0.2">
      <c r="B44" s="15" t="s">
        <v>25</v>
      </c>
      <c r="C44" s="15" t="s">
        <v>26</v>
      </c>
      <c r="D44" s="15" t="s">
        <v>25</v>
      </c>
      <c r="E44" s="15" t="s">
        <v>26</v>
      </c>
      <c r="F44" s="15" t="s">
        <v>25</v>
      </c>
      <c r="G44" s="15" t="s">
        <v>26</v>
      </c>
      <c r="I44" s="15" t="s">
        <v>25</v>
      </c>
      <c r="J44" s="15" t="s">
        <v>26</v>
      </c>
      <c r="K44" s="15" t="s">
        <v>25</v>
      </c>
      <c r="L44" s="15" t="s">
        <v>26</v>
      </c>
      <c r="M44" s="15" t="s">
        <v>25</v>
      </c>
      <c r="N44" s="15" t="s">
        <v>26</v>
      </c>
    </row>
    <row r="45" spans="2:14" x14ac:dyDescent="0.2">
      <c r="B45" s="2">
        <f t="array" aca="1" ref="B45" ca="1">IFERROR(INDEX(Tableau6[prochaine visite co²],SMALL(IF((Tableau6[prochaine visite co²]&lt;TODAY())*(Tableau6[Status]="Actif"),ROW(Tableau6[prochaine visite co²])-MIN(ROW(Employé!$AM$4))+1,""),ROWS(B$45:B45))),"")</f>
        <v>366</v>
      </c>
      <c r="C45" s="10" t="str">
        <f t="array" aca="1" ref="C45" ca="1">IFERROR(INDEX(Tableau6[Nom abrégé],SMALL(IF((Tableau6[prochaine visite co²]&lt;TODAY())*(Tableau6[Status]="Actif"),ROW(Tableau6[prochaine visite co²])-MIN(ROW(Employé!$AM$4))+1,""),ROWS(C$45:C45))),"")</f>
        <v>BENAZET Je</v>
      </c>
      <c r="D45" s="11" t="str">
        <f t="array" aca="1" ref="D45" ca="1">IFERROR(INDEX(Tableau6[prochaine visite co²],SMALL(IF((Tableau6[prochaine visite co²]&gt;=TODAY())*(Tableau6[prochaine visite co²]&lt;=TODAY()+365)*(Tableau6[Status]="Actif"),ROW(Tableau6[prochaine visite co²])-MIN(ROW(Employé!$AM$4))+1,""),ROWS(D$45:D45))),"")</f>
        <v/>
      </c>
      <c r="E45" s="12" t="str">
        <f t="array" aca="1" ref="E45" ca="1">IFERROR(INDEX(Tableau6[Nom abrégé],SMALL(IF((Tableau6[prochaine visite co²]&gt;=TODAY())*(Tableau6[prochaine visite co²]&lt;=TODAY()+365)*(Tableau6[Status]="Actif"),ROW(Tableau6[prochaine visite co²])-MIN(ROW(Employé!$AM$4))+1,""),ROWS(E$45:E45))),"")</f>
        <v/>
      </c>
      <c r="F45" s="2" t="str">
        <f t="array" aca="1" ref="F45" ca="1">IFERROR(INDEX(Tableau6[prochaine visite co²],SMALL(IF((Tableau6[prochaine visite co²]&gt;TODAY()+365)*(Tableau6[Status]="Actif"),ROW(Tableau6[prochaine visite co²])-MIN(ROW(Employé!$AM$4))+1,""),ROWS(F$45:F45))),"")</f>
        <v/>
      </c>
      <c r="G45" s="8" t="str">
        <f t="array" aca="1" ref="G45" ca="1">IFERROR(INDEX(Tableau6[Nom abrégé],SMALL(IF((Tableau6[prochaine visite co²]&gt;TODAY()+365)*(Tableau6[Status]="Actif"),ROW(Tableau6[prochaine visite co²])-MIN(ROW(Employé!$AM$4))+1,""),ROWS(G$45:G45))),"")</f>
        <v/>
      </c>
      <c r="I45" s="2">
        <f t="array" aca="1" ref="I45" ca="1">IFERROR(INDEX(Tableau6[prochaine visite véh],SMALL(IF((Tableau6[prochaine visite véh]&lt;TODAY())*(Tableau6[Status]="Actif"),ROW(Tableau6[prochaine visite véh])-MIN(ROW(Employé!$BE$4))+1,""),ROWS(I$45:I45))),"")</f>
        <v>15</v>
      </c>
      <c r="J45" s="8" t="str">
        <f t="array" aca="1" ref="J45" ca="1">IFERROR(INDEX(Tableau6[Nom abrégé],SMALL(IF((Tableau6[prochaine visite véh]&lt;TODAY())*(Tableau6[Status]="Actif"),ROW(Tableau6[prochaine visite véh])-MIN(ROW(Employé!$BE$4))+1,""),ROWS(J$45:J45))),"")</f>
        <v>BENAZET Je</v>
      </c>
      <c r="K45" s="2" t="str">
        <f t="array" aca="1" ref="K45" ca="1">IFERROR(INDEX(Tableau6[prochaine visite véh],SMALL(IF((Tableau6[prochaine visite véh]&gt;=TODAY())*(Tableau6[prochaine visite véh]&lt;=TODAY()+15)*(Tableau6[Status]="Actif"),ROW(Tableau6[prochaine visite véh])-MIN(ROW(Employé!$BE$4))+1,""),ROWS(K$45:K45))),"")</f>
        <v/>
      </c>
      <c r="L45" s="8" t="str">
        <f t="array" aca="1" ref="L45" ca="1">IFERROR(INDEX(Tableau6[Nom abrégé],SMALL(IF((Tableau6[prochaine visite véh]&gt;=TODAY())*(Tableau6[prochaine visite véh]&lt;=TODAY()+15)*(Tableau6[Status]="Actif"),ROW(Tableau6[prochaine visite véh])-MIN(ROW(Employé!$BE$4))+1,""),ROWS(L$45:L45))),"")</f>
        <v/>
      </c>
      <c r="M45" s="2" t="str">
        <f t="array" aca="1" ref="M45" ca="1">IFERROR(INDEX(Tableau6[prochaine visite véh],SMALL(IF((Tableau6[prochaine visite véh]&gt;TODAY()+15)*(Tableau6[Status]="Actif"),ROW(Tableau6[prochaine visite véh])-MIN(ROW(Employé!$BE$4))+1,""),ROWS(M$45:M45))),"")</f>
        <v/>
      </c>
      <c r="N45" s="8" t="str">
        <f t="array" aca="1" ref="N45" ca="1">IFERROR(INDEX(Tableau6[Nom abrégé],SMALL(IF((Tableau6[prochaine visite véh]&gt;TODAY()+15)*(Tableau6[Status]="Actif"),ROW(Tableau6[prochaine visite véh])-MIN(ROW(Employé!$BE$4))+1,""),ROWS(N$45:N45))),"")</f>
        <v/>
      </c>
    </row>
    <row r="46" spans="2:14" x14ac:dyDescent="0.2">
      <c r="B46" s="2">
        <f t="array" aca="1" ref="B46" ca="1">IFERROR(INDEX(Tableau6[prochaine visite co²],SMALL(IF((Tableau6[prochaine visite co²]&lt;TODAY())*(Tableau6[Status]="Actif"),ROW(Tableau6[prochaine visite co²])-MIN(ROW(Employé!$AM$4))+1,""),ROWS(B$45:B46))),"")</f>
        <v>366</v>
      </c>
      <c r="C46" s="10" t="str">
        <f t="array" aca="1" ref="C46" ca="1">IFERROR(INDEX(Tableau6[Nom abrégé],SMALL(IF((Tableau6[prochaine visite co²]&lt;TODAY())*(Tableau6[Status]="Actif"),ROW(Tableau6[prochaine visite co²])-MIN(ROW(Employé!$AM$4))+1,""),ROWS(C$45:C46))),"")</f>
        <v>ZARAGOZA Di</v>
      </c>
      <c r="D46" s="11" t="str">
        <f t="array" aca="1" ref="D46" ca="1">IFERROR(INDEX(Tableau6[prochaine visite co²],SMALL(IF((Tableau6[prochaine visite co²]&gt;=TODAY())*(Tableau6[prochaine visite co²]&lt;=TODAY()+365)*(Tableau6[Status]="Actif"),ROW(Tableau6[prochaine visite co²])-MIN(ROW(Employé!$AM$4))+1,""),ROWS(D$45:D46))),"")</f>
        <v/>
      </c>
      <c r="E46" s="12" t="str">
        <f t="array" aca="1" ref="E46" ca="1">IFERROR(INDEX(Tableau6[Nom abrégé],SMALL(IF((Tableau6[prochaine visite co²]&gt;=TODAY())*(Tableau6[prochaine visite co²]&lt;=TODAY()+365)*(Tableau6[Status]="Actif"),ROW(Tableau6[prochaine visite co²])-MIN(ROW(Employé!$AM$4))+1,""),ROWS(E$45:E46))),"")</f>
        <v/>
      </c>
      <c r="F46" s="2" t="str">
        <f t="array" aca="1" ref="F46" ca="1">IFERROR(INDEX(Tableau6[prochaine visite co²],SMALL(IF((Tableau6[prochaine visite co²]&gt;TODAY()+365)*(Tableau6[Status]="Actif"),ROW(Tableau6[prochaine visite co²])-MIN(ROW(Employé!$AM$4))+1,""),ROWS(F$45:F46))),"")</f>
        <v/>
      </c>
      <c r="G46" s="8" t="str">
        <f t="array" aca="1" ref="G46" ca="1">IFERROR(INDEX(Tableau6[Nom abrégé],SMALL(IF((Tableau6[prochaine visite co²]&gt;TODAY()+365)*(Tableau6[Status]="Actif"),ROW(Tableau6[prochaine visite co²])-MIN(ROW(Employé!$AM$4))+1,""),ROWS(G$45:G46))),"")</f>
        <v/>
      </c>
      <c r="I46" s="2">
        <f t="array" aca="1" ref="I46" ca="1">IFERROR(INDEX(Tableau6[prochaine visite véh],SMALL(IF((Tableau6[prochaine visite véh]&lt;TODAY())*(Tableau6[Status]="Actif"),ROW(Tableau6[prochaine visite véh])-MIN(ROW(Employé!$BE$4))+1,""),ROWS(I$45:I46))),"")</f>
        <v>15</v>
      </c>
      <c r="J46" s="8" t="str">
        <f t="array" aca="1" ref="J46" ca="1">IFERROR(INDEX(Tableau6[Nom abrégé],SMALL(IF((Tableau6[prochaine visite véh]&lt;TODAY())*(Tableau6[Status]="Actif"),ROW(Tableau6[prochaine visite véh])-MIN(ROW(Employé!$BE$4))+1,""),ROWS(J$45:J46))),"")</f>
        <v>ZARAGOZA Di</v>
      </c>
      <c r="K46" s="2" t="str">
        <f t="array" aca="1" ref="K46" ca="1">IFERROR(INDEX(Tableau6[prochaine visite véh],SMALL(IF((Tableau6[prochaine visite véh]&gt;=TODAY())*(Tableau6[prochaine visite véh]&lt;=TODAY()+15)*(Tableau6[Status]="Actif"),ROW(Tableau6[prochaine visite véh])-MIN(ROW(Employé!$BE$4))+1,""),ROWS(K$45:K46))),"")</f>
        <v/>
      </c>
      <c r="L46" s="8" t="str">
        <f t="array" aca="1" ref="L46" ca="1">IFERROR(INDEX(Tableau6[Nom abrégé],SMALL(IF((Tableau6[prochaine visite véh]&gt;=TODAY())*(Tableau6[prochaine visite véh]&lt;=TODAY()+15)*(Tableau6[Status]="Actif"),ROW(Tableau6[prochaine visite véh])-MIN(ROW(Employé!$BE$4))+1,""),ROWS(L$45:L46))),"")</f>
        <v/>
      </c>
      <c r="M46" s="2" t="str">
        <f t="array" aca="1" ref="M46" ca="1">IFERROR(INDEX(Tableau6[prochaine visite véh],SMALL(IF((Tableau6[prochaine visite véh]&gt;TODAY()+15)*(Tableau6[Status]="Actif"),ROW(Tableau6[prochaine visite véh])-MIN(ROW(Employé!$BE$4))+1,""),ROWS(M$45:M46))),"")</f>
        <v/>
      </c>
      <c r="N46" s="8" t="str">
        <f t="array" aca="1" ref="N46" ca="1">IFERROR(INDEX(Tableau6[Nom abrégé],SMALL(IF((Tableau6[prochaine visite véh]&gt;TODAY()+15)*(Tableau6[Status]="Actif"),ROW(Tableau6[prochaine visite véh])-MIN(ROW(Employé!$BE$4))+1,""),ROWS(N$45:N46))),"")</f>
        <v/>
      </c>
    </row>
    <row r="47" spans="2:14" x14ac:dyDescent="0.2">
      <c r="B47" s="2">
        <f t="array" aca="1" ref="B47" ca="1">IFERROR(INDEX(Tableau6[prochaine visite co²],SMALL(IF((Tableau6[prochaine visite co²]&lt;TODAY())*(Tableau6[Status]="Actif"),ROW(Tableau6[prochaine visite co²])-MIN(ROW(Employé!$AM$4))+1,""),ROWS(B$45:B47))),"")</f>
        <v>366</v>
      </c>
      <c r="C47" s="10" t="str">
        <f t="array" aca="1" ref="C47" ca="1">IFERROR(INDEX(Tableau6[Nom abrégé],SMALL(IF((Tableau6[prochaine visite co²]&lt;TODAY())*(Tableau6[Status]="Actif"),ROW(Tableau6[prochaine visite co²])-MIN(ROW(Employé!$AM$4))+1,""),ROWS(C$45:C47))),"")</f>
        <v>SANTOS Je</v>
      </c>
      <c r="D47" s="11" t="str">
        <f t="array" aca="1" ref="D47" ca="1">IFERROR(INDEX(Tableau6[prochaine visite co²],SMALL(IF((Tableau6[prochaine visite co²]&gt;=TODAY())*(Tableau6[prochaine visite co²]&lt;=TODAY()+365)*(Tableau6[Status]="Actif"),ROW(Tableau6[prochaine visite co²])-MIN(ROW(Employé!$AM$4))+1,""),ROWS(D$45:D47))),"")</f>
        <v/>
      </c>
      <c r="E47" s="12" t="str">
        <f t="array" aca="1" ref="E47" ca="1">IFERROR(INDEX(Tableau6[Nom abrégé],SMALL(IF((Tableau6[prochaine visite co²]&gt;=TODAY())*(Tableau6[prochaine visite co²]&lt;=TODAY()+365)*(Tableau6[Status]="Actif"),ROW(Tableau6[prochaine visite co²])-MIN(ROW(Employé!$AM$4))+1,""),ROWS(E$45:E47))),"")</f>
        <v/>
      </c>
      <c r="F47" s="2" t="str">
        <f t="array" aca="1" ref="F47" ca="1">IFERROR(INDEX(Tableau6[prochaine visite co²],SMALL(IF((Tableau6[prochaine visite co²]&gt;TODAY()+365)*(Tableau6[Status]="Actif"),ROW(Tableau6[prochaine visite co²])-MIN(ROW(Employé!$AM$4))+1,""),ROWS(F$45:F47))),"")</f>
        <v/>
      </c>
      <c r="G47" s="8" t="str">
        <f t="array" aca="1" ref="G47" ca="1">IFERROR(INDEX(Tableau6[Nom abrégé],SMALL(IF((Tableau6[prochaine visite co²]&gt;TODAY()+365)*(Tableau6[Status]="Actif"),ROW(Tableau6[prochaine visite co²])-MIN(ROW(Employé!$AM$4))+1,""),ROWS(G$45:G47))),"")</f>
        <v/>
      </c>
      <c r="I47" s="2">
        <f t="array" aca="1" ref="I47" ca="1">IFERROR(INDEX(Tableau6[prochaine visite véh],SMALL(IF((Tableau6[prochaine visite véh]&lt;TODAY())*(Tableau6[Status]="Actif"),ROW(Tableau6[prochaine visite véh])-MIN(ROW(Employé!$BE$4))+1,""),ROWS(I$45:I47))),"")</f>
        <v>15</v>
      </c>
      <c r="J47" s="8" t="str">
        <f t="array" aca="1" ref="J47" ca="1">IFERROR(INDEX(Tableau6[Nom abrégé],SMALL(IF((Tableau6[prochaine visite véh]&lt;TODAY())*(Tableau6[Status]="Actif"),ROW(Tableau6[prochaine visite véh])-MIN(ROW(Employé!$BE$4))+1,""),ROWS(J$45:J47))),"")</f>
        <v>SANTOS Je</v>
      </c>
      <c r="K47" s="2" t="str">
        <f t="array" aca="1" ref="K47" ca="1">IFERROR(INDEX(Tableau6[prochaine visite véh],SMALL(IF((Tableau6[prochaine visite véh]&gt;=TODAY())*(Tableau6[prochaine visite véh]&lt;=TODAY()+15)*(Tableau6[Status]="Actif"),ROW(Tableau6[prochaine visite véh])-MIN(ROW(Employé!$BE$4))+1,""),ROWS(K$45:K47))),"")</f>
        <v/>
      </c>
      <c r="L47" s="8" t="str">
        <f t="array" aca="1" ref="L47" ca="1">IFERROR(INDEX(Tableau6[Nom abrégé],SMALL(IF((Tableau6[prochaine visite véh]&gt;=TODAY())*(Tableau6[prochaine visite véh]&lt;=TODAY()+15)*(Tableau6[Status]="Actif"),ROW(Tableau6[prochaine visite véh])-MIN(ROW(Employé!$BE$4))+1,""),ROWS(L$45:L47))),"")</f>
        <v/>
      </c>
      <c r="M47" s="2" t="str">
        <f t="array" aca="1" ref="M47" ca="1">IFERROR(INDEX(Tableau6[prochaine visite véh],SMALL(IF((Tableau6[prochaine visite véh]&gt;TODAY()+15)*(Tableau6[Status]="Actif"),ROW(Tableau6[prochaine visite véh])-MIN(ROW(Employé!$BE$4))+1,""),ROWS(M$45:M47))),"")</f>
        <v/>
      </c>
      <c r="N47" s="8" t="str">
        <f t="array" aca="1" ref="N47" ca="1">IFERROR(INDEX(Tableau6[Nom abrégé],SMALL(IF((Tableau6[prochaine visite véh]&gt;TODAY()+15)*(Tableau6[Status]="Actif"),ROW(Tableau6[prochaine visite véh])-MIN(ROW(Employé!$BE$4))+1,""),ROWS(N$45:N47))),"")</f>
        <v/>
      </c>
    </row>
    <row r="48" spans="2:14" x14ac:dyDescent="0.2">
      <c r="B48" s="2">
        <f t="array" aca="1" ref="B48" ca="1">IFERROR(INDEX(Tableau6[prochaine visite co²],SMALL(IF((Tableau6[prochaine visite co²]&lt;TODAY())*(Tableau6[Status]="Actif"),ROW(Tableau6[prochaine visite co²])-MIN(ROW(Employé!$AM$4))+1,""),ROWS(B$45:B48))),"")</f>
        <v>366</v>
      </c>
      <c r="C48" s="10" t="str">
        <f t="array" aca="1" ref="C48" ca="1">IFERROR(INDEX(Tableau6[Nom abrégé],SMALL(IF((Tableau6[prochaine visite co²]&lt;TODAY())*(Tableau6[Status]="Actif"),ROW(Tableau6[prochaine visite co²])-MIN(ROW(Employé!$AM$4))+1,""),ROWS(C$45:C48))),"")</f>
        <v>NAVARRO Ch</v>
      </c>
      <c r="D48" s="11" t="str">
        <f t="array" aca="1" ref="D48" ca="1">IFERROR(INDEX(Tableau6[prochaine visite co²],SMALL(IF((Tableau6[prochaine visite co²]&gt;=TODAY())*(Tableau6[prochaine visite co²]&lt;=TODAY()+365)*(Tableau6[Status]="Actif"),ROW(Tableau6[prochaine visite co²])-MIN(ROW(Employé!$AM$4))+1,""),ROWS(D$45:D48))),"")</f>
        <v/>
      </c>
      <c r="E48" s="12" t="str">
        <f t="array" aca="1" ref="E48" ca="1">IFERROR(INDEX(Tableau6[Nom abrégé],SMALL(IF((Tableau6[prochaine visite co²]&gt;=TODAY())*(Tableau6[prochaine visite co²]&lt;=TODAY()+365)*(Tableau6[Status]="Actif"),ROW(Tableau6[prochaine visite co²])-MIN(ROW(Employé!$AM$4))+1,""),ROWS(E$45:E48))),"")</f>
        <v/>
      </c>
      <c r="F48" s="2" t="str">
        <f t="array" aca="1" ref="F48" ca="1">IFERROR(INDEX(Tableau6[prochaine visite co²],SMALL(IF((Tableau6[prochaine visite co²]&gt;TODAY()+365)*(Tableau6[Status]="Actif"),ROW(Tableau6[prochaine visite co²])-MIN(ROW(Employé!$AM$4))+1,""),ROWS(F$45:F48))),"")</f>
        <v/>
      </c>
      <c r="G48" s="8" t="str">
        <f t="array" aca="1" ref="G48" ca="1">IFERROR(INDEX(Tableau6[Nom abrégé],SMALL(IF((Tableau6[prochaine visite co²]&gt;TODAY()+365)*(Tableau6[Status]="Actif"),ROW(Tableau6[prochaine visite co²])-MIN(ROW(Employé!$AM$4))+1,""),ROWS(G$45:G48))),"")</f>
        <v/>
      </c>
      <c r="I48" s="2">
        <f t="array" aca="1" ref="I48" ca="1">IFERROR(INDEX(Tableau6[prochaine visite véh],SMALL(IF((Tableau6[prochaine visite véh]&lt;TODAY())*(Tableau6[Status]="Actif"),ROW(Tableau6[prochaine visite véh])-MIN(ROW(Employé!$BE$4))+1,""),ROWS(I$45:I48))),"")</f>
        <v>15</v>
      </c>
      <c r="J48" s="8" t="str">
        <f t="array" aca="1" ref="J48" ca="1">IFERROR(INDEX(Tableau6[Nom abrégé],SMALL(IF((Tableau6[prochaine visite véh]&lt;TODAY())*(Tableau6[Status]="Actif"),ROW(Tableau6[prochaine visite véh])-MIN(ROW(Employé!$BE$4))+1,""),ROWS(J$45:J48))),"")</f>
        <v>NAVARRO Ch</v>
      </c>
      <c r="K48" s="2" t="str">
        <f t="array" aca="1" ref="K48" ca="1">IFERROR(INDEX(Tableau6[prochaine visite véh],SMALL(IF((Tableau6[prochaine visite véh]&gt;=TODAY())*(Tableau6[prochaine visite véh]&lt;=TODAY()+15)*(Tableau6[Status]="Actif"),ROW(Tableau6[prochaine visite véh])-MIN(ROW(Employé!$BE$4))+1,""),ROWS(K$45:K48))),"")</f>
        <v/>
      </c>
      <c r="L48" s="8" t="str">
        <f t="array" aca="1" ref="L48" ca="1">IFERROR(INDEX(Tableau6[Nom abrégé],SMALL(IF((Tableau6[prochaine visite véh]&gt;=TODAY())*(Tableau6[prochaine visite véh]&lt;=TODAY()+15)*(Tableau6[Status]="Actif"),ROW(Tableau6[prochaine visite véh])-MIN(ROW(Employé!$BE$4))+1,""),ROWS(L$45:L48))),"")</f>
        <v/>
      </c>
      <c r="M48" s="2" t="str">
        <f t="array" aca="1" ref="M48" ca="1">IFERROR(INDEX(Tableau6[prochaine visite véh],SMALL(IF((Tableau6[prochaine visite véh]&gt;TODAY()+15)*(Tableau6[Status]="Actif"),ROW(Tableau6[prochaine visite véh])-MIN(ROW(Employé!$BE$4))+1,""),ROWS(M$45:M48))),"")</f>
        <v/>
      </c>
      <c r="N48" s="8" t="str">
        <f t="array" aca="1" ref="N48" ca="1">IFERROR(INDEX(Tableau6[Nom abrégé],SMALL(IF((Tableau6[prochaine visite véh]&gt;TODAY()+15)*(Tableau6[Status]="Actif"),ROW(Tableau6[prochaine visite véh])-MIN(ROW(Employé!$BE$4))+1,""),ROWS(N$45:N48))),"")</f>
        <v/>
      </c>
    </row>
    <row r="49" spans="2:14" x14ac:dyDescent="0.2">
      <c r="B49" s="2">
        <f t="array" aca="1" ref="B49" ca="1">IFERROR(INDEX(Tableau6[prochaine visite co²],SMALL(IF((Tableau6[prochaine visite co²]&lt;TODAY())*(Tableau6[Status]="Actif"),ROW(Tableau6[prochaine visite co²])-MIN(ROW(Employé!$AM$4))+1,""),ROWS(B$45:B49))),"")</f>
        <v>366</v>
      </c>
      <c r="C49" s="10" t="str">
        <f t="array" aca="1" ref="C49" ca="1">IFERROR(INDEX(Tableau6[Nom abrégé],SMALL(IF((Tableau6[prochaine visite co²]&lt;TODAY())*(Tableau6[Status]="Actif"),ROW(Tableau6[prochaine visite co²])-MIN(ROW(Employé!$AM$4))+1,""),ROWS(C$45:C49))),"")</f>
        <v>AUDIE An</v>
      </c>
      <c r="D49" s="11" t="str">
        <f t="array" aca="1" ref="D49" ca="1">IFERROR(INDEX(Tableau6[prochaine visite co²],SMALL(IF((Tableau6[prochaine visite co²]&gt;=TODAY())*(Tableau6[prochaine visite co²]&lt;=TODAY()+365)*(Tableau6[Status]="Actif"),ROW(Tableau6[prochaine visite co²])-MIN(ROW(Employé!$AM$4))+1,""),ROWS(D$45:D49))),"")</f>
        <v/>
      </c>
      <c r="E49" s="12" t="str">
        <f t="array" aca="1" ref="E49" ca="1">IFERROR(INDEX(Tableau6[Nom abrégé],SMALL(IF((Tableau6[prochaine visite co²]&gt;=TODAY())*(Tableau6[prochaine visite co²]&lt;=TODAY()+365)*(Tableau6[Status]="Actif"),ROW(Tableau6[prochaine visite co²])-MIN(ROW(Employé!$AM$4))+1,""),ROWS(E$45:E49))),"")</f>
        <v/>
      </c>
      <c r="F49" s="2" t="str">
        <f t="array" aca="1" ref="F49" ca="1">IFERROR(INDEX(Tableau6[prochaine visite co²],SMALL(IF((Tableau6[prochaine visite co²]&gt;TODAY()+365)*(Tableau6[Status]="Actif"),ROW(Tableau6[prochaine visite co²])-MIN(ROW(Employé!$AM$4))+1,""),ROWS(F$45:F49))),"")</f>
        <v/>
      </c>
      <c r="G49" s="8" t="str">
        <f t="array" aca="1" ref="G49" ca="1">IFERROR(INDEX(Tableau6[Nom abrégé],SMALL(IF((Tableau6[prochaine visite co²]&gt;TODAY()+365)*(Tableau6[Status]="Actif"),ROW(Tableau6[prochaine visite co²])-MIN(ROW(Employé!$AM$4))+1,""),ROWS(G$45:G49))),"")</f>
        <v/>
      </c>
      <c r="I49" s="2">
        <f t="array" aca="1" ref="I49" ca="1">IFERROR(INDEX(Tableau6[prochaine visite véh],SMALL(IF((Tableau6[prochaine visite véh]&lt;TODAY())*(Tableau6[Status]="Actif"),ROW(Tableau6[prochaine visite véh])-MIN(ROW(Employé!$BE$4))+1,""),ROWS(I$45:I49))),"")</f>
        <v>15</v>
      </c>
      <c r="J49" s="8" t="str">
        <f t="array" aca="1" ref="J49" ca="1">IFERROR(INDEX(Tableau6[Nom abrégé],SMALL(IF((Tableau6[prochaine visite véh]&lt;TODAY())*(Tableau6[Status]="Actif"),ROW(Tableau6[prochaine visite véh])-MIN(ROW(Employé!$BE$4))+1,""),ROWS(J$45:J49))),"")</f>
        <v>AUDIE An</v>
      </c>
      <c r="K49" s="2" t="str">
        <f t="array" aca="1" ref="K49" ca="1">IFERROR(INDEX(Tableau6[prochaine visite véh],SMALL(IF((Tableau6[prochaine visite véh]&gt;=TODAY())*(Tableau6[prochaine visite véh]&lt;=TODAY()+15)*(Tableau6[Status]="Actif"),ROW(Tableau6[prochaine visite véh])-MIN(ROW(Employé!$BE$4))+1,""),ROWS(K$45:K49))),"")</f>
        <v/>
      </c>
      <c r="L49" s="8" t="str">
        <f t="array" aca="1" ref="L49" ca="1">IFERROR(INDEX(Tableau6[Nom abrégé],SMALL(IF((Tableau6[prochaine visite véh]&gt;=TODAY())*(Tableau6[prochaine visite véh]&lt;=TODAY()+15)*(Tableau6[Status]="Actif"),ROW(Tableau6[prochaine visite véh])-MIN(ROW(Employé!$BE$4))+1,""),ROWS(L$45:L49))),"")</f>
        <v/>
      </c>
      <c r="M49" s="2" t="str">
        <f t="array" aca="1" ref="M49" ca="1">IFERROR(INDEX(Tableau6[prochaine visite véh],SMALL(IF((Tableau6[prochaine visite véh]&gt;TODAY()+15)*(Tableau6[Status]="Actif"),ROW(Tableau6[prochaine visite véh])-MIN(ROW(Employé!$BE$4))+1,""),ROWS(M$45:M49))),"")</f>
        <v/>
      </c>
      <c r="N49" s="8" t="str">
        <f t="array" aca="1" ref="N49" ca="1">IFERROR(INDEX(Tableau6[Nom abrégé],SMALL(IF((Tableau6[prochaine visite véh]&gt;TODAY()+15)*(Tableau6[Status]="Actif"),ROW(Tableau6[prochaine visite véh])-MIN(ROW(Employé!$BE$4))+1,""),ROWS(N$45:N49))),"")</f>
        <v/>
      </c>
    </row>
    <row r="50" spans="2:14" x14ac:dyDescent="0.2">
      <c r="B50" s="2">
        <f t="array" aca="1" ref="B50" ca="1">IFERROR(INDEX(Tableau6[prochaine visite co²],SMALL(IF((Tableau6[prochaine visite co²]&lt;TODAY())*(Tableau6[Status]="Actif"),ROW(Tableau6[prochaine visite co²])-MIN(ROW(Employé!$AM$4))+1,""),ROWS(B$45:B50))),"")</f>
        <v>366</v>
      </c>
      <c r="C50" s="10" t="str">
        <f t="array" aca="1" ref="C50" ca="1">IFERROR(INDEX(Tableau6[Nom abrégé],SMALL(IF((Tableau6[prochaine visite co²]&lt;TODAY())*(Tableau6[Status]="Actif"),ROW(Tableau6[prochaine visite co²])-MIN(ROW(Employé!$AM$4))+1,""),ROWS(C$45:C50))),"")</f>
        <v>DISTEFANO Al</v>
      </c>
      <c r="D50" s="11" t="str">
        <f t="array" aca="1" ref="D50" ca="1">IFERROR(INDEX(Tableau6[prochaine visite co²],SMALL(IF((Tableau6[prochaine visite co²]&gt;=TODAY())*(Tableau6[prochaine visite co²]&lt;=TODAY()+365)*(Tableau6[Status]="Actif"),ROW(Tableau6[prochaine visite co²])-MIN(ROW(Employé!$AM$4))+1,""),ROWS(D$45:D50))),"")</f>
        <v/>
      </c>
      <c r="E50" s="12" t="str">
        <f t="array" aca="1" ref="E50" ca="1">IFERROR(INDEX(Tableau6[Nom abrégé],SMALL(IF((Tableau6[prochaine visite co²]&gt;=TODAY())*(Tableau6[prochaine visite co²]&lt;=TODAY()+365)*(Tableau6[Status]="Actif"),ROW(Tableau6[prochaine visite co²])-MIN(ROW(Employé!$AM$4))+1,""),ROWS(E$45:E50))),"")</f>
        <v/>
      </c>
      <c r="F50" s="2" t="str">
        <f t="array" aca="1" ref="F50" ca="1">IFERROR(INDEX(Tableau6[prochaine visite co²],SMALL(IF((Tableau6[prochaine visite co²]&gt;TODAY()+365)*(Tableau6[Status]="Actif"),ROW(Tableau6[prochaine visite co²])-MIN(ROW(Employé!$AM$4))+1,""),ROWS(F$45:F50))),"")</f>
        <v/>
      </c>
      <c r="G50" s="8" t="str">
        <f t="array" aca="1" ref="G50" ca="1">IFERROR(INDEX(Tableau6[Nom abrégé],SMALL(IF((Tableau6[prochaine visite co²]&gt;TODAY()+365)*(Tableau6[Status]="Actif"),ROW(Tableau6[prochaine visite co²])-MIN(ROW(Employé!$AM$4))+1,""),ROWS(G$45:G50))),"")</f>
        <v/>
      </c>
      <c r="I50" s="2">
        <f t="array" aca="1" ref="I50" ca="1">IFERROR(INDEX(Tableau6[prochaine visite véh],SMALL(IF((Tableau6[prochaine visite véh]&lt;TODAY())*(Tableau6[Status]="Actif"),ROW(Tableau6[prochaine visite véh])-MIN(ROW(Employé!$BE$4))+1,""),ROWS(I$45:I50))),"")</f>
        <v>15</v>
      </c>
      <c r="J50" s="8" t="str">
        <f t="array" aca="1" ref="J50" ca="1">IFERROR(INDEX(Tableau6[Nom abrégé],SMALL(IF((Tableau6[prochaine visite véh]&lt;TODAY())*(Tableau6[Status]="Actif"),ROW(Tableau6[prochaine visite véh])-MIN(ROW(Employé!$BE$4))+1,""),ROWS(J$45:J50))),"")</f>
        <v>DISTEFANO Al</v>
      </c>
      <c r="K50" s="2" t="str">
        <f t="array" aca="1" ref="K50" ca="1">IFERROR(INDEX(Tableau6[prochaine visite véh],SMALL(IF((Tableau6[prochaine visite véh]&gt;=TODAY())*(Tableau6[prochaine visite véh]&lt;=TODAY()+15)*(Tableau6[Status]="Actif"),ROW(Tableau6[prochaine visite véh])-MIN(ROW(Employé!$BE$4))+1,""),ROWS(K$45:K50))),"")</f>
        <v/>
      </c>
      <c r="L50" s="8" t="str">
        <f t="array" aca="1" ref="L50" ca="1">IFERROR(INDEX(Tableau6[Nom abrégé],SMALL(IF((Tableau6[prochaine visite véh]&gt;=TODAY())*(Tableau6[prochaine visite véh]&lt;=TODAY()+15)*(Tableau6[Status]="Actif"),ROW(Tableau6[prochaine visite véh])-MIN(ROW(Employé!$BE$4))+1,""),ROWS(L$45:L50))),"")</f>
        <v/>
      </c>
      <c r="M50" s="2" t="str">
        <f t="array" aca="1" ref="M50" ca="1">IFERROR(INDEX(Tableau6[prochaine visite véh],SMALL(IF((Tableau6[prochaine visite véh]&gt;TODAY()+15)*(Tableau6[Status]="Actif"),ROW(Tableau6[prochaine visite véh])-MIN(ROW(Employé!$BE$4))+1,""),ROWS(M$45:M50))),"")</f>
        <v/>
      </c>
      <c r="N50" s="8" t="str">
        <f t="array" aca="1" ref="N50" ca="1">IFERROR(INDEX(Tableau6[Nom abrégé],SMALL(IF((Tableau6[prochaine visite véh]&gt;TODAY()+15)*(Tableau6[Status]="Actif"),ROW(Tableau6[prochaine visite véh])-MIN(ROW(Employé!$BE$4))+1,""),ROWS(N$45:N50))),"")</f>
        <v/>
      </c>
    </row>
    <row r="51" spans="2:14" x14ac:dyDescent="0.2">
      <c r="B51" s="2">
        <f t="array" aca="1" ref="B51" ca="1">IFERROR(INDEX(Tableau6[prochaine visite co²],SMALL(IF((Tableau6[prochaine visite co²]&lt;TODAY())*(Tableau6[Status]="Actif"),ROW(Tableau6[prochaine visite co²])-MIN(ROW(Employé!$AM$4))+1,""),ROWS(B$45:B51))),"")</f>
        <v>366</v>
      </c>
      <c r="C51" s="10" t="str">
        <f t="array" aca="1" ref="C51" ca="1">IFERROR(INDEX(Tableau6[Nom abrégé],SMALL(IF((Tableau6[prochaine visite co²]&lt;TODAY())*(Tableau6[Status]="Actif"),ROW(Tableau6[prochaine visite co²])-MIN(ROW(Employé!$AM$4))+1,""),ROWS(C$45:C51))),"")</f>
        <v>SCHWEITZER Je</v>
      </c>
      <c r="D51" s="11" t="str">
        <f t="array" aca="1" ref="D51" ca="1">IFERROR(INDEX(Tableau6[prochaine visite co²],SMALL(IF((Tableau6[prochaine visite co²]&gt;=TODAY())*(Tableau6[prochaine visite co²]&lt;=TODAY()+365)*(Tableau6[Status]="Actif"),ROW(Tableau6[prochaine visite co²])-MIN(ROW(Employé!$AM$4))+1,""),ROWS(D$45:D51))),"")</f>
        <v/>
      </c>
      <c r="E51" s="12" t="str">
        <f t="array" aca="1" ref="E51" ca="1">IFERROR(INDEX(Tableau6[Nom abrégé],SMALL(IF((Tableau6[prochaine visite co²]&gt;=TODAY())*(Tableau6[prochaine visite co²]&lt;=TODAY()+365)*(Tableau6[Status]="Actif"),ROW(Tableau6[prochaine visite co²])-MIN(ROW(Employé!$AM$4))+1,""),ROWS(E$45:E51))),"")</f>
        <v/>
      </c>
      <c r="F51" s="2" t="str">
        <f t="array" aca="1" ref="F51" ca="1">IFERROR(INDEX(Tableau6[prochaine visite co²],SMALL(IF((Tableau6[prochaine visite co²]&gt;TODAY()+365)*(Tableau6[Status]="Actif"),ROW(Tableau6[prochaine visite co²])-MIN(ROW(Employé!$AM$4))+1,""),ROWS(F$45:F51))),"")</f>
        <v/>
      </c>
      <c r="G51" s="8" t="str">
        <f t="array" aca="1" ref="G51" ca="1">IFERROR(INDEX(Tableau6[Nom abrégé],SMALL(IF((Tableau6[prochaine visite co²]&gt;TODAY()+365)*(Tableau6[Status]="Actif"),ROW(Tableau6[prochaine visite co²])-MIN(ROW(Employé!$AM$4))+1,""),ROWS(G$45:G51))),"")</f>
        <v/>
      </c>
      <c r="I51" s="2">
        <f t="array" aca="1" ref="I51" ca="1">IFERROR(INDEX(Tableau6[prochaine visite véh],SMALL(IF((Tableau6[prochaine visite véh]&lt;TODAY())*(Tableau6[Status]="Actif"),ROW(Tableau6[prochaine visite véh])-MIN(ROW(Employé!$BE$4))+1,""),ROWS(I$45:I51))),"")</f>
        <v>15</v>
      </c>
      <c r="J51" s="8" t="str">
        <f t="array" aca="1" ref="J51" ca="1">IFERROR(INDEX(Tableau6[Nom abrégé],SMALL(IF((Tableau6[prochaine visite véh]&lt;TODAY())*(Tableau6[Status]="Actif"),ROW(Tableau6[prochaine visite véh])-MIN(ROW(Employé!$BE$4))+1,""),ROWS(J$45:J51))),"")</f>
        <v>SCHWEITZER Je</v>
      </c>
      <c r="K51" s="2" t="str">
        <f t="array" aca="1" ref="K51" ca="1">IFERROR(INDEX(Tableau6[prochaine visite véh],SMALL(IF((Tableau6[prochaine visite véh]&gt;=TODAY())*(Tableau6[prochaine visite véh]&lt;=TODAY()+15)*(Tableau6[Status]="Actif"),ROW(Tableau6[prochaine visite véh])-MIN(ROW(Employé!$BE$4))+1,""),ROWS(K$45:K51))),"")</f>
        <v/>
      </c>
      <c r="L51" s="8" t="str">
        <f t="array" aca="1" ref="L51" ca="1">IFERROR(INDEX(Tableau6[Nom abrégé],SMALL(IF((Tableau6[prochaine visite véh]&gt;=TODAY())*(Tableau6[prochaine visite véh]&lt;=TODAY()+15)*(Tableau6[Status]="Actif"),ROW(Tableau6[prochaine visite véh])-MIN(ROW(Employé!$BE$4))+1,""),ROWS(L$45:L51))),"")</f>
        <v/>
      </c>
      <c r="M51" s="2" t="str">
        <f t="array" aca="1" ref="M51" ca="1">IFERROR(INDEX(Tableau6[prochaine visite véh],SMALL(IF((Tableau6[prochaine visite véh]&gt;TODAY()+15)*(Tableau6[Status]="Actif"),ROW(Tableau6[prochaine visite véh])-MIN(ROW(Employé!$BE$4))+1,""),ROWS(M$45:M51))),"")</f>
        <v/>
      </c>
      <c r="N51" s="8" t="str">
        <f t="array" aca="1" ref="N51" ca="1">IFERROR(INDEX(Tableau6[Nom abrégé],SMALL(IF((Tableau6[prochaine visite véh]&gt;TODAY()+15)*(Tableau6[Status]="Actif"),ROW(Tableau6[prochaine visite véh])-MIN(ROW(Employé!$BE$4))+1,""),ROWS(N$45:N51))),"")</f>
        <v/>
      </c>
    </row>
    <row r="52" spans="2:14" x14ac:dyDescent="0.2">
      <c r="B52" s="2">
        <f t="array" aca="1" ref="B52" ca="1">IFERROR(INDEX(Tableau6[prochaine visite co²],SMALL(IF((Tableau6[prochaine visite co²]&lt;TODAY())*(Tableau6[Status]="Actif"),ROW(Tableau6[prochaine visite co²])-MIN(ROW(Employé!$AM$4))+1,""),ROWS(B$45:B52))),"")</f>
        <v>366</v>
      </c>
      <c r="C52" s="10" t="str">
        <f t="array" aca="1" ref="C52" ca="1">IFERROR(INDEX(Tableau6[Nom abrégé],SMALL(IF((Tableau6[prochaine visite co²]&lt;TODAY())*(Tableau6[Status]="Actif"),ROW(Tableau6[prochaine visite co²])-MIN(ROW(Employé!$AM$4))+1,""),ROWS(C$45:C52))),"")</f>
        <v>AFONSO Ju</v>
      </c>
      <c r="D52" s="11" t="str">
        <f t="array" aca="1" ref="D52" ca="1">IFERROR(INDEX(Tableau6[prochaine visite co²],SMALL(IF((Tableau6[prochaine visite co²]&gt;=TODAY())*(Tableau6[prochaine visite co²]&lt;=TODAY()+365)*(Tableau6[Status]="Actif"),ROW(Tableau6[prochaine visite co²])-MIN(ROW(Employé!$AM$4))+1,""),ROWS(D$45:D52))),"")</f>
        <v/>
      </c>
      <c r="E52" s="12" t="str">
        <f t="array" aca="1" ref="E52" ca="1">IFERROR(INDEX(Tableau6[Nom abrégé],SMALL(IF((Tableau6[prochaine visite co²]&gt;=TODAY())*(Tableau6[prochaine visite co²]&lt;=TODAY()+365)*(Tableau6[Status]="Actif"),ROW(Tableau6[prochaine visite co²])-MIN(ROW(Employé!$AM$4))+1,""),ROWS(E$45:E52))),"")</f>
        <v/>
      </c>
      <c r="F52" s="2" t="str">
        <f t="array" aca="1" ref="F52" ca="1">IFERROR(INDEX(Tableau6[prochaine visite co²],SMALL(IF((Tableau6[prochaine visite co²]&gt;TODAY()+365)*(Tableau6[Status]="Actif"),ROW(Tableau6[prochaine visite co²])-MIN(ROW(Employé!$AM$4))+1,""),ROWS(F$45:F52))),"")</f>
        <v/>
      </c>
      <c r="G52" s="8" t="str">
        <f t="array" aca="1" ref="G52" ca="1">IFERROR(INDEX(Tableau6[Nom abrégé],SMALL(IF((Tableau6[prochaine visite co²]&gt;TODAY()+365)*(Tableau6[Status]="Actif"),ROW(Tableau6[prochaine visite co²])-MIN(ROW(Employé!$AM$4))+1,""),ROWS(G$45:G52))),"")</f>
        <v/>
      </c>
      <c r="I52" s="2">
        <f t="array" aca="1" ref="I52" ca="1">IFERROR(INDEX(Tableau6[prochaine visite véh],SMALL(IF((Tableau6[prochaine visite véh]&lt;TODAY())*(Tableau6[Status]="Actif"),ROW(Tableau6[prochaine visite véh])-MIN(ROW(Employé!$BE$4))+1,""),ROWS(I$45:I52))),"")</f>
        <v>15</v>
      </c>
      <c r="J52" s="8" t="str">
        <f t="array" aca="1" ref="J52" ca="1">IFERROR(INDEX(Tableau6[Nom abrégé],SMALL(IF((Tableau6[prochaine visite véh]&lt;TODAY())*(Tableau6[Status]="Actif"),ROW(Tableau6[prochaine visite véh])-MIN(ROW(Employé!$BE$4))+1,""),ROWS(J$45:J52))),"")</f>
        <v>AFONSO Ju</v>
      </c>
      <c r="K52" s="2" t="str">
        <f t="array" aca="1" ref="K52" ca="1">IFERROR(INDEX(Tableau6[prochaine visite véh],SMALL(IF((Tableau6[prochaine visite véh]&gt;=TODAY())*(Tableau6[prochaine visite véh]&lt;=TODAY()+15)*(Tableau6[Status]="Actif"),ROW(Tableau6[prochaine visite véh])-MIN(ROW(Employé!$BE$4))+1,""),ROWS(K$45:K52))),"")</f>
        <v/>
      </c>
      <c r="L52" s="8" t="str">
        <f t="array" aca="1" ref="L52" ca="1">IFERROR(INDEX(Tableau6[Nom abrégé],SMALL(IF((Tableau6[prochaine visite véh]&gt;=TODAY())*(Tableau6[prochaine visite véh]&lt;=TODAY()+15)*(Tableau6[Status]="Actif"),ROW(Tableau6[prochaine visite véh])-MIN(ROW(Employé!$BE$4))+1,""),ROWS(L$45:L52))),"")</f>
        <v/>
      </c>
      <c r="M52" s="2" t="str">
        <f t="array" aca="1" ref="M52" ca="1">IFERROR(INDEX(Tableau6[prochaine visite véh],SMALL(IF((Tableau6[prochaine visite véh]&gt;TODAY()+15)*(Tableau6[Status]="Actif"),ROW(Tableau6[prochaine visite véh])-MIN(ROW(Employé!$BE$4))+1,""),ROWS(M$45:M52))),"")</f>
        <v/>
      </c>
      <c r="N52" s="8" t="str">
        <f t="array" aca="1" ref="N52" ca="1">IFERROR(INDEX(Tableau6[Nom abrégé],SMALL(IF((Tableau6[prochaine visite véh]&gt;TODAY()+15)*(Tableau6[Status]="Actif"),ROW(Tableau6[prochaine visite véh])-MIN(ROW(Employé!$BE$4))+1,""),ROWS(N$45:N52))),"")</f>
        <v/>
      </c>
    </row>
    <row r="53" spans="2:14" x14ac:dyDescent="0.2">
      <c r="B53" s="2">
        <f t="array" aca="1" ref="B53" ca="1">IFERROR(INDEX(Tableau6[prochaine visite co²],SMALL(IF((Tableau6[prochaine visite co²]&lt;TODAY())*(Tableau6[Status]="Actif"),ROW(Tableau6[prochaine visite co²])-MIN(ROW(Employé!$AM$4))+1,""),ROWS(B$45:B53))),"")</f>
        <v>366</v>
      </c>
      <c r="C53" s="10" t="str">
        <f t="array" aca="1" ref="C53" ca="1">IFERROR(INDEX(Tableau6[Nom abrégé],SMALL(IF((Tableau6[prochaine visite co²]&lt;TODAY())*(Tableau6[Status]="Actif"),ROW(Tableau6[prochaine visite co²])-MIN(ROW(Employé!$AM$4))+1,""),ROWS(C$45:C53))),"")</f>
        <v>LEROY Fr</v>
      </c>
      <c r="D53" s="11" t="str">
        <f t="array" aca="1" ref="D53" ca="1">IFERROR(INDEX(Tableau6[prochaine visite co²],SMALL(IF((Tableau6[prochaine visite co²]&gt;=TODAY())*(Tableau6[prochaine visite co²]&lt;=TODAY()+365)*(Tableau6[Status]="Actif"),ROW(Tableau6[prochaine visite co²])-MIN(ROW(Employé!$AM$4))+1,""),ROWS(D$45:D53))),"")</f>
        <v/>
      </c>
      <c r="E53" s="12" t="str">
        <f t="array" aca="1" ref="E53" ca="1">IFERROR(INDEX(Tableau6[Nom abrégé],SMALL(IF((Tableau6[prochaine visite co²]&gt;=TODAY())*(Tableau6[prochaine visite co²]&lt;=TODAY()+365)*(Tableau6[Status]="Actif"),ROW(Tableau6[prochaine visite co²])-MIN(ROW(Employé!$AM$4))+1,""),ROWS(E$45:E53))),"")</f>
        <v/>
      </c>
      <c r="F53" s="2" t="str">
        <f t="array" aca="1" ref="F53" ca="1">IFERROR(INDEX(Tableau6[prochaine visite co²],SMALL(IF((Tableau6[prochaine visite co²]&gt;TODAY()+365)*(Tableau6[Status]="Actif"),ROW(Tableau6[prochaine visite co²])-MIN(ROW(Employé!$AM$4))+1,""),ROWS(F$45:F53))),"")</f>
        <v/>
      </c>
      <c r="G53" s="8" t="str">
        <f t="array" aca="1" ref="G53" ca="1">IFERROR(INDEX(Tableau6[Nom abrégé],SMALL(IF((Tableau6[prochaine visite co²]&gt;TODAY()+365)*(Tableau6[Status]="Actif"),ROW(Tableau6[prochaine visite co²])-MIN(ROW(Employé!$AM$4))+1,""),ROWS(G$45:G53))),"")</f>
        <v/>
      </c>
      <c r="I53" s="2">
        <f t="array" aca="1" ref="I53" ca="1">IFERROR(INDEX(Tableau6[prochaine visite véh],SMALL(IF((Tableau6[prochaine visite véh]&lt;TODAY())*(Tableau6[Status]="Actif"),ROW(Tableau6[prochaine visite véh])-MIN(ROW(Employé!$BE$4))+1,""),ROWS(I$45:I53))),"")</f>
        <v>15</v>
      </c>
      <c r="J53" s="8" t="str">
        <f t="array" aca="1" ref="J53" ca="1">IFERROR(INDEX(Tableau6[Nom abrégé],SMALL(IF((Tableau6[prochaine visite véh]&lt;TODAY())*(Tableau6[Status]="Actif"),ROW(Tableau6[prochaine visite véh])-MIN(ROW(Employé!$BE$4))+1,""),ROWS(J$45:J53))),"")</f>
        <v>LEROY Fr</v>
      </c>
      <c r="K53" s="2" t="str">
        <f t="array" aca="1" ref="K53" ca="1">IFERROR(INDEX(Tableau6[prochaine visite véh],SMALL(IF((Tableau6[prochaine visite véh]&gt;=TODAY())*(Tableau6[prochaine visite véh]&lt;=TODAY()+15)*(Tableau6[Status]="Actif"),ROW(Tableau6[prochaine visite véh])-MIN(ROW(Employé!$BE$4))+1,""),ROWS(K$45:K53))),"")</f>
        <v/>
      </c>
      <c r="L53" s="8" t="str">
        <f t="array" aca="1" ref="L53" ca="1">IFERROR(INDEX(Tableau6[Nom abrégé],SMALL(IF((Tableau6[prochaine visite véh]&gt;=TODAY())*(Tableau6[prochaine visite véh]&lt;=TODAY()+15)*(Tableau6[Status]="Actif"),ROW(Tableau6[prochaine visite véh])-MIN(ROW(Employé!$BE$4))+1,""),ROWS(L$45:L53))),"")</f>
        <v/>
      </c>
      <c r="M53" s="2" t="str">
        <f t="array" aca="1" ref="M53" ca="1">IFERROR(INDEX(Tableau6[prochaine visite véh],SMALL(IF((Tableau6[prochaine visite véh]&gt;TODAY()+15)*(Tableau6[Status]="Actif"),ROW(Tableau6[prochaine visite véh])-MIN(ROW(Employé!$BE$4))+1,""),ROWS(M$45:M53))),"")</f>
        <v/>
      </c>
      <c r="N53" s="8" t="str">
        <f t="array" aca="1" ref="N53" ca="1">IFERROR(INDEX(Tableau6[Nom abrégé],SMALL(IF((Tableau6[prochaine visite véh]&gt;TODAY()+15)*(Tableau6[Status]="Actif"),ROW(Tableau6[prochaine visite véh])-MIN(ROW(Employé!$BE$4))+1,""),ROWS(N$45:N53))),"")</f>
        <v/>
      </c>
    </row>
    <row r="54" spans="2:14" x14ac:dyDescent="0.2">
      <c r="B54" s="2">
        <f t="array" aca="1" ref="B54" ca="1">IFERROR(INDEX(Tableau6[prochaine visite co²],SMALL(IF((Tableau6[prochaine visite co²]&lt;TODAY())*(Tableau6[Status]="Actif"),ROW(Tableau6[prochaine visite co²])-MIN(ROW(Employé!$AM$4))+1,""),ROWS(B$45:B54))),"")</f>
        <v>366</v>
      </c>
      <c r="C54" s="10" t="str">
        <f t="array" aca="1" ref="C54" ca="1">IFERROR(INDEX(Tableau6[Nom abrégé],SMALL(IF((Tableau6[prochaine visite co²]&lt;TODAY())*(Tableau6[Status]="Actif"),ROW(Tableau6[prochaine visite co²])-MIN(ROW(Employé!$AM$4))+1,""),ROWS(C$45:C54))),"")</f>
        <v>LEROY Je</v>
      </c>
      <c r="D54" s="11" t="str">
        <f t="array" aca="1" ref="D54" ca="1">IFERROR(INDEX(Tableau6[prochaine visite co²],SMALL(IF((Tableau6[prochaine visite co²]&gt;=TODAY())*(Tableau6[prochaine visite co²]&lt;=TODAY()+365)*(Tableau6[Status]="Actif"),ROW(Tableau6[prochaine visite co²])-MIN(ROW(Employé!$AM$4))+1,""),ROWS(D$45:D54))),"")</f>
        <v/>
      </c>
      <c r="E54" s="12" t="str">
        <f t="array" aca="1" ref="E54" ca="1">IFERROR(INDEX(Tableau6[Nom abrégé],SMALL(IF((Tableau6[prochaine visite co²]&gt;=TODAY())*(Tableau6[prochaine visite co²]&lt;=TODAY()+365)*(Tableau6[Status]="Actif"),ROW(Tableau6[prochaine visite co²])-MIN(ROW(Employé!$AM$4))+1,""),ROWS(E$45:E54))),"")</f>
        <v/>
      </c>
      <c r="F54" s="2" t="str">
        <f t="array" aca="1" ref="F54" ca="1">IFERROR(INDEX(Tableau6[prochaine visite co²],SMALL(IF((Tableau6[prochaine visite co²]&gt;TODAY()+365)*(Tableau6[Status]="Actif"),ROW(Tableau6[prochaine visite co²])-MIN(ROW(Employé!$AM$4))+1,""),ROWS(F$45:F54))),"")</f>
        <v/>
      </c>
      <c r="G54" s="8" t="str">
        <f t="array" aca="1" ref="G54" ca="1">IFERROR(INDEX(Tableau6[Nom abrégé],SMALL(IF((Tableau6[prochaine visite co²]&gt;TODAY()+365)*(Tableau6[Status]="Actif"),ROW(Tableau6[prochaine visite co²])-MIN(ROW(Employé!$AM$4))+1,""),ROWS(G$45:G54))),"")</f>
        <v/>
      </c>
      <c r="I54" s="2">
        <f t="array" aca="1" ref="I54" ca="1">IFERROR(INDEX(Tableau6[prochaine visite véh],SMALL(IF((Tableau6[prochaine visite véh]&lt;TODAY())*(Tableau6[Status]="Actif"),ROW(Tableau6[prochaine visite véh])-MIN(ROW(Employé!$BE$4))+1,""),ROWS(I$45:I54))),"")</f>
        <v>15</v>
      </c>
      <c r="J54" s="8" t="str">
        <f t="array" aca="1" ref="J54" ca="1">IFERROR(INDEX(Tableau6[Nom abrégé],SMALL(IF((Tableau6[prochaine visite véh]&lt;TODAY())*(Tableau6[Status]="Actif"),ROW(Tableau6[prochaine visite véh])-MIN(ROW(Employé!$BE$4))+1,""),ROWS(J$45:J54))),"")</f>
        <v>LEROY Je</v>
      </c>
      <c r="K54" s="2" t="str">
        <f t="array" aca="1" ref="K54" ca="1">IFERROR(INDEX(Tableau6[prochaine visite véh],SMALL(IF((Tableau6[prochaine visite véh]&gt;=TODAY())*(Tableau6[prochaine visite véh]&lt;=TODAY()+15)*(Tableau6[Status]="Actif"),ROW(Tableau6[prochaine visite véh])-MIN(ROW(Employé!$BE$4))+1,""),ROWS(K$45:K54))),"")</f>
        <v/>
      </c>
      <c r="L54" s="8" t="str">
        <f t="array" aca="1" ref="L54" ca="1">IFERROR(INDEX(Tableau6[Nom abrégé],SMALL(IF((Tableau6[prochaine visite véh]&gt;=TODAY())*(Tableau6[prochaine visite véh]&lt;=TODAY()+15)*(Tableau6[Status]="Actif"),ROW(Tableau6[prochaine visite véh])-MIN(ROW(Employé!$BE$4))+1,""),ROWS(L$45:L54))),"")</f>
        <v/>
      </c>
      <c r="M54" s="2" t="str">
        <f t="array" aca="1" ref="M54" ca="1">IFERROR(INDEX(Tableau6[prochaine visite véh],SMALL(IF((Tableau6[prochaine visite véh]&gt;TODAY()+15)*(Tableau6[Status]="Actif"),ROW(Tableau6[prochaine visite véh])-MIN(ROW(Employé!$BE$4))+1,""),ROWS(M$45:M54))),"")</f>
        <v/>
      </c>
      <c r="N54" s="8" t="str">
        <f t="array" aca="1" ref="N54" ca="1">IFERROR(INDEX(Tableau6[Nom abrégé],SMALL(IF((Tableau6[prochaine visite véh]&gt;TODAY()+15)*(Tableau6[Status]="Actif"),ROW(Tableau6[prochaine visite véh])-MIN(ROW(Employé!$BE$4))+1,""),ROWS(N$45:N54))),"")</f>
        <v/>
      </c>
    </row>
    <row r="55" spans="2:14" x14ac:dyDescent="0.2">
      <c r="B55" s="2">
        <f t="array" aca="1" ref="B55" ca="1">IFERROR(INDEX(Tableau6[prochaine visite co²],SMALL(IF((Tableau6[prochaine visite co²]&lt;TODAY())*(Tableau6[Status]="Actif"),ROW(Tableau6[prochaine visite co²])-MIN(ROW(Employé!$AM$4))+1,""),ROWS(B$45:B55))),"")</f>
        <v>366</v>
      </c>
      <c r="C55" s="10" t="str">
        <f t="array" aca="1" ref="C55" ca="1">IFERROR(INDEX(Tableau6[Nom abrégé],SMALL(IF((Tableau6[prochaine visite co²]&lt;TODAY())*(Tableau6[Status]="Actif"),ROW(Tableau6[prochaine visite co²])-MIN(ROW(Employé!$AM$4))+1,""),ROWS(C$45:C55))),"")</f>
        <v>FERRARA Ju</v>
      </c>
      <c r="D55" s="11" t="str">
        <f t="array" aca="1" ref="D55" ca="1">IFERROR(INDEX(Tableau6[prochaine visite co²],SMALL(IF((Tableau6[prochaine visite co²]&gt;=TODAY())*(Tableau6[prochaine visite co²]&lt;=TODAY()+365)*(Tableau6[Status]="Actif"),ROW(Tableau6[prochaine visite co²])-MIN(ROW(Employé!$AM$4))+1,""),ROWS(D$45:D55))),"")</f>
        <v/>
      </c>
      <c r="E55" s="12" t="str">
        <f t="array" aca="1" ref="E55" ca="1">IFERROR(INDEX(Tableau6[Nom abrégé],SMALL(IF((Tableau6[prochaine visite co²]&gt;=TODAY())*(Tableau6[prochaine visite co²]&lt;=TODAY()+365)*(Tableau6[Status]="Actif"),ROW(Tableau6[prochaine visite co²])-MIN(ROW(Employé!$AM$4))+1,""),ROWS(E$45:E55))),"")</f>
        <v/>
      </c>
      <c r="F55" s="2" t="str">
        <f t="array" aca="1" ref="F55" ca="1">IFERROR(INDEX(Tableau6[prochaine visite co²],SMALL(IF((Tableau6[prochaine visite co²]&gt;TODAY()+365)*(Tableau6[Status]="Actif"),ROW(Tableau6[prochaine visite co²])-MIN(ROW(Employé!$AM$4))+1,""),ROWS(F$45:F55))),"")</f>
        <v/>
      </c>
      <c r="G55" s="8" t="str">
        <f t="array" aca="1" ref="G55" ca="1">IFERROR(INDEX(Tableau6[Nom abrégé],SMALL(IF((Tableau6[prochaine visite co²]&gt;TODAY()+365)*(Tableau6[Status]="Actif"),ROW(Tableau6[prochaine visite co²])-MIN(ROW(Employé!$AM$4))+1,""),ROWS(G$45:G55))),"")</f>
        <v/>
      </c>
      <c r="I55" s="2">
        <f t="array" aca="1" ref="I55" ca="1">IFERROR(INDEX(Tableau6[prochaine visite véh],SMALL(IF((Tableau6[prochaine visite véh]&lt;TODAY())*(Tableau6[Status]="Actif"),ROW(Tableau6[prochaine visite véh])-MIN(ROW(Employé!$BE$4))+1,""),ROWS(I$45:I55))),"")</f>
        <v>15</v>
      </c>
      <c r="J55" s="8" t="str">
        <f t="array" aca="1" ref="J55" ca="1">IFERROR(INDEX(Tableau6[Nom abrégé],SMALL(IF((Tableau6[prochaine visite véh]&lt;TODAY())*(Tableau6[Status]="Actif"),ROW(Tableau6[prochaine visite véh])-MIN(ROW(Employé!$BE$4))+1,""),ROWS(J$45:J55))),"")</f>
        <v>FERRARA Ju</v>
      </c>
      <c r="K55" s="2" t="str">
        <f t="array" aca="1" ref="K55" ca="1">IFERROR(INDEX(Tableau6[prochaine visite véh],SMALL(IF((Tableau6[prochaine visite véh]&gt;=TODAY())*(Tableau6[prochaine visite véh]&lt;=TODAY()+15)*(Tableau6[Status]="Actif"),ROW(Tableau6[prochaine visite véh])-MIN(ROW(Employé!$BE$4))+1,""),ROWS(K$45:K55))),"")</f>
        <v/>
      </c>
      <c r="L55" s="8" t="str">
        <f t="array" aca="1" ref="L55" ca="1">IFERROR(INDEX(Tableau6[Nom abrégé],SMALL(IF((Tableau6[prochaine visite véh]&gt;=TODAY())*(Tableau6[prochaine visite véh]&lt;=TODAY()+15)*(Tableau6[Status]="Actif"),ROW(Tableau6[prochaine visite véh])-MIN(ROW(Employé!$BE$4))+1,""),ROWS(L$45:L55))),"")</f>
        <v/>
      </c>
      <c r="M55" s="2" t="str">
        <f t="array" aca="1" ref="M55" ca="1">IFERROR(INDEX(Tableau6[prochaine visite véh],SMALL(IF((Tableau6[prochaine visite véh]&gt;TODAY()+15)*(Tableau6[Status]="Actif"),ROW(Tableau6[prochaine visite véh])-MIN(ROW(Employé!$BE$4))+1,""),ROWS(M$45:M55))),"")</f>
        <v/>
      </c>
      <c r="N55" s="8" t="str">
        <f t="array" aca="1" ref="N55" ca="1">IFERROR(INDEX(Tableau6[Nom abrégé],SMALL(IF((Tableau6[prochaine visite véh]&gt;TODAY()+15)*(Tableau6[Status]="Actif"),ROW(Tableau6[prochaine visite véh])-MIN(ROW(Employé!$BE$4))+1,""),ROWS(N$45:N55))),"")</f>
        <v/>
      </c>
    </row>
    <row r="56" spans="2:14" x14ac:dyDescent="0.2">
      <c r="B56" s="2">
        <f t="array" aca="1" ref="B56" ca="1">IFERROR(INDEX(Tableau6[prochaine visite co²],SMALL(IF((Tableau6[prochaine visite co²]&lt;TODAY())*(Tableau6[Status]="Actif"),ROW(Tableau6[prochaine visite co²])-MIN(ROW(Employé!$AM$4))+1,""),ROWS(B$45:B56))),"")</f>
        <v>366</v>
      </c>
      <c r="C56" s="10" t="str">
        <f t="array" aca="1" ref="C56" ca="1">IFERROR(INDEX(Tableau6[Nom abrégé],SMALL(IF((Tableau6[prochaine visite co²]&lt;TODAY())*(Tableau6[Status]="Actif"),ROW(Tableau6[prochaine visite co²])-MIN(ROW(Employé!$AM$4))+1,""),ROWS(C$45:C56))),"")</f>
        <v>BALLESTER Xa</v>
      </c>
      <c r="D56" s="11" t="str">
        <f t="array" aca="1" ref="D56" ca="1">IFERROR(INDEX(Tableau6[prochaine visite co²],SMALL(IF((Tableau6[prochaine visite co²]&gt;=TODAY())*(Tableau6[prochaine visite co²]&lt;=TODAY()+365)*(Tableau6[Status]="Actif"),ROW(Tableau6[prochaine visite co²])-MIN(ROW(Employé!$AM$4))+1,""),ROWS(D$45:D56))),"")</f>
        <v/>
      </c>
      <c r="E56" s="12" t="str">
        <f t="array" aca="1" ref="E56" ca="1">IFERROR(INDEX(Tableau6[Nom abrégé],SMALL(IF((Tableau6[prochaine visite co²]&gt;=TODAY())*(Tableau6[prochaine visite co²]&lt;=TODAY()+365)*(Tableau6[Status]="Actif"),ROW(Tableau6[prochaine visite co²])-MIN(ROW(Employé!$AM$4))+1,""),ROWS(E$45:E56))),"")</f>
        <v/>
      </c>
      <c r="F56" s="2" t="str">
        <f t="array" aca="1" ref="F56" ca="1">IFERROR(INDEX(Tableau6[prochaine visite co²],SMALL(IF((Tableau6[prochaine visite co²]&gt;TODAY()+365)*(Tableau6[Status]="Actif"),ROW(Tableau6[prochaine visite co²])-MIN(ROW(Employé!$AM$4))+1,""),ROWS(F$45:F56))),"")</f>
        <v/>
      </c>
      <c r="G56" s="8" t="str">
        <f t="array" aca="1" ref="G56" ca="1">IFERROR(INDEX(Tableau6[Nom abrégé],SMALL(IF((Tableau6[prochaine visite co²]&gt;TODAY()+365)*(Tableau6[Status]="Actif"),ROW(Tableau6[prochaine visite co²])-MIN(ROW(Employé!$AM$4))+1,""),ROWS(G$45:G56))),"")</f>
        <v/>
      </c>
      <c r="I56" s="2">
        <f t="array" aca="1" ref="I56" ca="1">IFERROR(INDEX(Tableau6[prochaine visite véh],SMALL(IF((Tableau6[prochaine visite véh]&lt;TODAY())*(Tableau6[Status]="Actif"),ROW(Tableau6[prochaine visite véh])-MIN(ROW(Employé!$BE$4))+1,""),ROWS(I$45:I56))),"")</f>
        <v>15</v>
      </c>
      <c r="J56" s="8" t="str">
        <f t="array" aca="1" ref="J56" ca="1">IFERROR(INDEX(Tableau6[Nom abrégé],SMALL(IF((Tableau6[prochaine visite véh]&lt;TODAY())*(Tableau6[Status]="Actif"),ROW(Tableau6[prochaine visite véh])-MIN(ROW(Employé!$BE$4))+1,""),ROWS(J$45:J56))),"")</f>
        <v>BALLESTER Xa</v>
      </c>
      <c r="K56" s="2" t="str">
        <f t="array" aca="1" ref="K56" ca="1">IFERROR(INDEX(Tableau6[prochaine visite véh],SMALL(IF((Tableau6[prochaine visite véh]&gt;=TODAY())*(Tableau6[prochaine visite véh]&lt;=TODAY()+15)*(Tableau6[Status]="Actif"),ROW(Tableau6[prochaine visite véh])-MIN(ROW(Employé!$BE$4))+1,""),ROWS(K$45:K56))),"")</f>
        <v/>
      </c>
      <c r="L56" s="8" t="str">
        <f t="array" aca="1" ref="L56" ca="1">IFERROR(INDEX(Tableau6[Nom abrégé],SMALL(IF((Tableau6[prochaine visite véh]&gt;=TODAY())*(Tableau6[prochaine visite véh]&lt;=TODAY()+15)*(Tableau6[Status]="Actif"),ROW(Tableau6[prochaine visite véh])-MIN(ROW(Employé!$BE$4))+1,""),ROWS(L$45:L56))),"")</f>
        <v/>
      </c>
      <c r="M56" s="2" t="str">
        <f t="array" aca="1" ref="M56" ca="1">IFERROR(INDEX(Tableau6[prochaine visite véh],SMALL(IF((Tableau6[prochaine visite véh]&gt;TODAY()+15)*(Tableau6[Status]="Actif"),ROW(Tableau6[prochaine visite véh])-MIN(ROW(Employé!$BE$4))+1,""),ROWS(M$45:M56))),"")</f>
        <v/>
      </c>
      <c r="N56" s="8" t="str">
        <f t="array" aca="1" ref="N56" ca="1">IFERROR(INDEX(Tableau6[Nom abrégé],SMALL(IF((Tableau6[prochaine visite véh]&gt;TODAY()+15)*(Tableau6[Status]="Actif"),ROW(Tableau6[prochaine visite véh])-MIN(ROW(Employé!$BE$4))+1,""),ROWS(N$45:N56))),"")</f>
        <v/>
      </c>
    </row>
    <row r="57" spans="2:14" x14ac:dyDescent="0.2">
      <c r="B57" s="2">
        <f t="array" aca="1" ref="B57" ca="1">IFERROR(INDEX(Tableau6[prochaine visite co²],SMALL(IF((Tableau6[prochaine visite co²]&lt;TODAY())*(Tableau6[Status]="Actif"),ROW(Tableau6[prochaine visite co²])-MIN(ROW(Employé!$AM$4))+1,""),ROWS(B$45:B57))),"")</f>
        <v>366</v>
      </c>
      <c r="C57" s="10" t="str">
        <f t="array" aca="1" ref="C57" ca="1">IFERROR(INDEX(Tableau6[Nom abrégé],SMALL(IF((Tableau6[prochaine visite co²]&lt;TODAY())*(Tableau6[Status]="Actif"),ROW(Tableau6[prochaine visite co²])-MIN(ROW(Employé!$AM$4))+1,""),ROWS(C$45:C57))),"")</f>
        <v>DESMYTER Da</v>
      </c>
      <c r="D57" s="11" t="str">
        <f t="array" aca="1" ref="D57" ca="1">IFERROR(INDEX(Tableau6[prochaine visite co²],SMALL(IF((Tableau6[prochaine visite co²]&gt;=TODAY())*(Tableau6[prochaine visite co²]&lt;=TODAY()+365)*(Tableau6[Status]="Actif"),ROW(Tableau6[prochaine visite co²])-MIN(ROW(Employé!$AM$4))+1,""),ROWS(D$45:D57))),"")</f>
        <v/>
      </c>
      <c r="E57" s="12" t="str">
        <f t="array" aca="1" ref="E57" ca="1">IFERROR(INDEX(Tableau6[Nom abrégé],SMALL(IF((Tableau6[prochaine visite co²]&gt;=TODAY())*(Tableau6[prochaine visite co²]&lt;=TODAY()+365)*(Tableau6[Status]="Actif"),ROW(Tableau6[prochaine visite co²])-MIN(ROW(Employé!$AM$4))+1,""),ROWS(E$45:E57))),"")</f>
        <v/>
      </c>
      <c r="F57" s="2" t="str">
        <f t="array" aca="1" ref="F57" ca="1">IFERROR(INDEX(Tableau6[prochaine visite co²],SMALL(IF((Tableau6[prochaine visite co²]&gt;TODAY()+365)*(Tableau6[Status]="Actif"),ROW(Tableau6[prochaine visite co²])-MIN(ROW(Employé!$AM$4))+1,""),ROWS(F$45:F57))),"")</f>
        <v/>
      </c>
      <c r="G57" s="8" t="str">
        <f t="array" aca="1" ref="G57" ca="1">IFERROR(INDEX(Tableau6[Nom abrégé],SMALL(IF((Tableau6[prochaine visite co²]&gt;TODAY()+365)*(Tableau6[Status]="Actif"),ROW(Tableau6[prochaine visite co²])-MIN(ROW(Employé!$AM$4))+1,""),ROWS(G$45:G57))),"")</f>
        <v/>
      </c>
      <c r="I57" s="2">
        <f t="array" aca="1" ref="I57" ca="1">IFERROR(INDEX(Tableau6[prochaine visite véh],SMALL(IF((Tableau6[prochaine visite véh]&lt;TODAY())*(Tableau6[Status]="Actif"),ROW(Tableau6[prochaine visite véh])-MIN(ROW(Employé!$BE$4))+1,""),ROWS(I$45:I57))),"")</f>
        <v>15</v>
      </c>
      <c r="J57" s="8" t="str">
        <f t="array" aca="1" ref="J57" ca="1">IFERROR(INDEX(Tableau6[Nom abrégé],SMALL(IF((Tableau6[prochaine visite véh]&lt;TODAY())*(Tableau6[Status]="Actif"),ROW(Tableau6[prochaine visite véh])-MIN(ROW(Employé!$BE$4))+1,""),ROWS(J$45:J57))),"")</f>
        <v>DESMYTER Da</v>
      </c>
      <c r="K57" s="2" t="str">
        <f t="array" aca="1" ref="K57" ca="1">IFERROR(INDEX(Tableau6[prochaine visite véh],SMALL(IF((Tableau6[prochaine visite véh]&gt;=TODAY())*(Tableau6[prochaine visite véh]&lt;=TODAY()+15)*(Tableau6[Status]="Actif"),ROW(Tableau6[prochaine visite véh])-MIN(ROW(Employé!$BE$4))+1,""),ROWS(K$45:K57))),"")</f>
        <v/>
      </c>
      <c r="L57" s="8" t="str">
        <f t="array" aca="1" ref="L57" ca="1">IFERROR(INDEX(Tableau6[Nom abrégé],SMALL(IF((Tableau6[prochaine visite véh]&gt;=TODAY())*(Tableau6[prochaine visite véh]&lt;=TODAY()+15)*(Tableau6[Status]="Actif"),ROW(Tableau6[prochaine visite véh])-MIN(ROW(Employé!$BE$4))+1,""),ROWS(L$45:L57))),"")</f>
        <v/>
      </c>
      <c r="M57" s="2" t="str">
        <f t="array" aca="1" ref="M57" ca="1">IFERROR(INDEX(Tableau6[prochaine visite véh],SMALL(IF((Tableau6[prochaine visite véh]&gt;TODAY()+15)*(Tableau6[Status]="Actif"),ROW(Tableau6[prochaine visite véh])-MIN(ROW(Employé!$BE$4))+1,""),ROWS(M$45:M57))),"")</f>
        <v/>
      </c>
      <c r="N57" s="8" t="str">
        <f t="array" aca="1" ref="N57" ca="1">IFERROR(INDEX(Tableau6[Nom abrégé],SMALL(IF((Tableau6[prochaine visite véh]&gt;TODAY()+15)*(Tableau6[Status]="Actif"),ROW(Tableau6[prochaine visite véh])-MIN(ROW(Employé!$BE$4))+1,""),ROWS(N$45:N57))),"")</f>
        <v/>
      </c>
    </row>
    <row r="58" spans="2:14" x14ac:dyDescent="0.2">
      <c r="B58" s="2">
        <f t="array" aca="1" ref="B58" ca="1">IFERROR(INDEX(Tableau6[prochaine visite co²],SMALL(IF((Tableau6[prochaine visite co²]&lt;TODAY())*(Tableau6[Status]="Actif"),ROW(Tableau6[prochaine visite co²])-MIN(ROW(Employé!$AM$4))+1,""),ROWS(B$45:B58))),"")</f>
        <v>366</v>
      </c>
      <c r="C58" s="10" t="str">
        <f t="array" aca="1" ref="C58" ca="1">IFERROR(INDEX(Tableau6[Nom abrégé],SMALL(IF((Tableau6[prochaine visite co²]&lt;TODAY())*(Tableau6[Status]="Actif"),ROW(Tableau6[prochaine visite co²])-MIN(ROW(Employé!$AM$4))+1,""),ROWS(C$45:C58))),"")</f>
        <v>NAJJARI Mo</v>
      </c>
      <c r="D58" s="11" t="str">
        <f t="array" aca="1" ref="D58" ca="1">IFERROR(INDEX(Tableau6[prochaine visite co²],SMALL(IF((Tableau6[prochaine visite co²]&gt;=TODAY())*(Tableau6[prochaine visite co²]&lt;=TODAY()+365)*(Tableau6[Status]="Actif"),ROW(Tableau6[prochaine visite co²])-MIN(ROW(Employé!$AM$4))+1,""),ROWS(D$45:D58))),"")</f>
        <v/>
      </c>
      <c r="E58" s="12" t="str">
        <f t="array" aca="1" ref="E58" ca="1">IFERROR(INDEX(Tableau6[Nom abrégé],SMALL(IF((Tableau6[prochaine visite co²]&gt;=TODAY())*(Tableau6[prochaine visite co²]&lt;=TODAY()+365)*(Tableau6[Status]="Actif"),ROW(Tableau6[prochaine visite co²])-MIN(ROW(Employé!$AM$4))+1,""),ROWS(E$45:E58))),"")</f>
        <v/>
      </c>
      <c r="F58" s="2" t="str">
        <f t="array" aca="1" ref="F58" ca="1">IFERROR(INDEX(Tableau6[prochaine visite co²],SMALL(IF((Tableau6[prochaine visite co²]&gt;TODAY()+365)*(Tableau6[Status]="Actif"),ROW(Tableau6[prochaine visite co²])-MIN(ROW(Employé!$AM$4))+1,""),ROWS(F$45:F58))),"")</f>
        <v/>
      </c>
      <c r="G58" s="8" t="str">
        <f t="array" aca="1" ref="G58" ca="1">IFERROR(INDEX(Tableau6[Nom abrégé],SMALL(IF((Tableau6[prochaine visite co²]&gt;TODAY()+365)*(Tableau6[Status]="Actif"),ROW(Tableau6[prochaine visite co²])-MIN(ROW(Employé!$AM$4))+1,""),ROWS(G$45:G58))),"")</f>
        <v/>
      </c>
      <c r="I58" s="2">
        <f t="array" aca="1" ref="I58" ca="1">IFERROR(INDEX(Tableau6[prochaine visite véh],SMALL(IF((Tableau6[prochaine visite véh]&lt;TODAY())*(Tableau6[Status]="Actif"),ROW(Tableau6[prochaine visite véh])-MIN(ROW(Employé!$BE$4))+1,""),ROWS(I$45:I58))),"")</f>
        <v>15</v>
      </c>
      <c r="J58" s="8" t="str">
        <f t="array" aca="1" ref="J58" ca="1">IFERROR(INDEX(Tableau6[Nom abrégé],SMALL(IF((Tableau6[prochaine visite véh]&lt;TODAY())*(Tableau6[Status]="Actif"),ROW(Tableau6[prochaine visite véh])-MIN(ROW(Employé!$BE$4))+1,""),ROWS(J$45:J58))),"")</f>
        <v>NAJJARI Mo</v>
      </c>
      <c r="K58" s="2" t="str">
        <f t="array" aca="1" ref="K58" ca="1">IFERROR(INDEX(Tableau6[prochaine visite véh],SMALL(IF((Tableau6[prochaine visite véh]&gt;=TODAY())*(Tableau6[prochaine visite véh]&lt;=TODAY()+15)*(Tableau6[Status]="Actif"),ROW(Tableau6[prochaine visite véh])-MIN(ROW(Employé!$BE$4))+1,""),ROWS(K$45:K58))),"")</f>
        <v/>
      </c>
      <c r="L58" s="8" t="str">
        <f t="array" aca="1" ref="L58" ca="1">IFERROR(INDEX(Tableau6[Nom abrégé],SMALL(IF((Tableau6[prochaine visite véh]&gt;=TODAY())*(Tableau6[prochaine visite véh]&lt;=TODAY()+15)*(Tableau6[Status]="Actif"),ROW(Tableau6[prochaine visite véh])-MIN(ROW(Employé!$BE$4))+1,""),ROWS(L$45:L58))),"")</f>
        <v/>
      </c>
      <c r="M58" s="2" t="str">
        <f t="array" aca="1" ref="M58" ca="1">IFERROR(INDEX(Tableau6[prochaine visite véh],SMALL(IF((Tableau6[prochaine visite véh]&gt;TODAY()+15)*(Tableau6[Status]="Actif"),ROW(Tableau6[prochaine visite véh])-MIN(ROW(Employé!$BE$4))+1,""),ROWS(M$45:M58))),"")</f>
        <v/>
      </c>
      <c r="N58" s="8" t="str">
        <f t="array" aca="1" ref="N58" ca="1">IFERROR(INDEX(Tableau6[Nom abrégé],SMALL(IF((Tableau6[prochaine visite véh]&gt;TODAY()+15)*(Tableau6[Status]="Actif"),ROW(Tableau6[prochaine visite véh])-MIN(ROW(Employé!$BE$4))+1,""),ROWS(N$45:N58))),"")</f>
        <v/>
      </c>
    </row>
    <row r="59" spans="2:14" ht="13.5" thickBot="1" x14ac:dyDescent="0.25">
      <c r="B59" s="2" t="str">
        <f t="array" aca="1" ref="B59" ca="1">IFERROR(INDEX(Tableau6[prochaine visite co²],SMALL(IF((Tableau6[prochaine visite co²]&lt;TODAY())*(Tableau6[Status]="Actif"),ROW(Tableau6[prochaine visite co²])-MIN(ROW(Employé!$AM$4))+1,""),ROWS(B$45:B59))),"")</f>
        <v/>
      </c>
      <c r="C59" s="10" t="str">
        <f t="array" aca="1" ref="C59" ca="1">IFERROR(INDEX(Tableau6[Nom abrégé],SMALL(IF((Tableau6[prochaine visite co²]&lt;TODAY())*(Tableau6[Status]="Actif"),ROW(Tableau6[prochaine visite co²])-MIN(ROW(Employé!$AM$4))+1,""),ROWS(C$45:C59))),"")</f>
        <v/>
      </c>
      <c r="D59" s="11" t="str">
        <f t="array" aca="1" ref="D59" ca="1">IFERROR(INDEX(Tableau6[prochaine visite co²],SMALL(IF((Tableau6[prochaine visite co²]&gt;=TODAY())*(Tableau6[prochaine visite co²]&lt;=TODAY()+365)*(Tableau6[Status]="Actif"),ROW(Tableau6[prochaine visite co²])-MIN(ROW(Employé!$AM$4))+1,""),ROWS(D$45:D59))),"")</f>
        <v/>
      </c>
      <c r="E59" s="12" t="str">
        <f t="array" aca="1" ref="E59" ca="1">IFERROR(INDEX(Tableau6[Nom abrégé],SMALL(IF((Tableau6[prochaine visite co²]&gt;=TODAY())*(Tableau6[prochaine visite co²]&lt;=TODAY()+365)*(Tableau6[Status]="Actif"),ROW(Tableau6[prochaine visite co²])-MIN(ROW(Employé!$AM$4))+1,""),ROWS(E$45:E59))),"")</f>
        <v/>
      </c>
      <c r="F59" s="2" t="str">
        <f t="array" aca="1" ref="F59" ca="1">IFERROR(INDEX(Tableau6[prochaine visite co²],SMALL(IF((Tableau6[prochaine visite co²]&gt;TODAY()+365)*(Tableau6[Status]="Actif"),ROW(Tableau6[prochaine visite co²])-MIN(ROW(Employé!$AM$4))+1,""),ROWS(F$45:F59))),"")</f>
        <v/>
      </c>
      <c r="G59" s="8" t="str">
        <f t="array" aca="1" ref="G59" ca="1">IFERROR(INDEX(Tableau6[Nom abrégé],SMALL(IF((Tableau6[prochaine visite co²]&gt;TODAY()+365)*(Tableau6[Status]="Actif"),ROW(Tableau6[prochaine visite co²])-MIN(ROW(Employé!$AM$4))+1,""),ROWS(G$45:G59))),"")</f>
        <v/>
      </c>
      <c r="I59" s="2" t="str">
        <f t="array" aca="1" ref="I59" ca="1">IFERROR(INDEX(Tableau6[prochaine visite véh],SMALL(IF((Tableau6[prochaine visite véh]&lt;TODAY())*(Tableau6[Status]="Actif"),ROW(Tableau6[prochaine visite véh])-MIN(ROW(Employé!$BE$4))+1,""),ROWS(I$45:I59))),"")</f>
        <v/>
      </c>
      <c r="J59" s="8" t="str">
        <f t="array" aca="1" ref="J59" ca="1">IFERROR(INDEX(Tableau6[Nom abrégé],SMALL(IF((Tableau6[prochaine visite véh]&lt;TODAY())*(Tableau6[Status]="Actif"),ROW(Tableau6[prochaine visite véh])-MIN(ROW(Employé!$BE$4))+1,""),ROWS(J$45:J59))),"")</f>
        <v/>
      </c>
      <c r="K59" s="2" t="str">
        <f t="array" aca="1" ref="K59" ca="1">IFERROR(INDEX(Tableau6[prochaine visite véh],SMALL(IF((Tableau6[prochaine visite véh]&gt;=TODAY())*(Tableau6[prochaine visite véh]&lt;=TODAY()+15)*(Tableau6[Status]="Actif"),ROW(Tableau6[prochaine visite véh])-MIN(ROW(Employé!$BE$4))+1,""),ROWS(K$45:K59))),"")</f>
        <v/>
      </c>
      <c r="L59" s="8" t="str">
        <f t="array" aca="1" ref="L59" ca="1">IFERROR(INDEX(Tableau6[Nom abrégé],SMALL(IF((Tableau6[prochaine visite véh]&gt;=TODAY())*(Tableau6[prochaine visite véh]&lt;=TODAY()+15)*(Tableau6[Status]="Actif"),ROW(Tableau6[prochaine visite véh])-MIN(ROW(Employé!$BE$4))+1,""),ROWS(L$45:L59))),"")</f>
        <v/>
      </c>
      <c r="M59" s="2" t="str">
        <f t="array" aca="1" ref="M59" ca="1">IFERROR(INDEX(Tableau6[prochaine visite véh],SMALL(IF((Tableau6[prochaine visite véh]&gt;TODAY()+15)*(Tableau6[Status]="Actif"),ROW(Tableau6[prochaine visite véh])-MIN(ROW(Employé!$BE$4))+1,""),ROWS(M$45:M59))),"")</f>
        <v/>
      </c>
      <c r="N59" s="8" t="str">
        <f t="array" aca="1" ref="N59" ca="1">IFERROR(INDEX(Tableau6[Nom abrégé],SMALL(IF((Tableau6[prochaine visite véh]&gt;TODAY()+15)*(Tableau6[Status]="Actif"),ROW(Tableau6[prochaine visite véh])-MIN(ROW(Employé!$BE$4))+1,""),ROWS(N$45:N59))),"")</f>
        <v/>
      </c>
    </row>
    <row r="60" spans="2:14" ht="13.5" thickTop="1" x14ac:dyDescent="0.2">
      <c r="B60" s="24"/>
      <c r="C60" s="24"/>
      <c r="D60" s="24"/>
      <c r="E60" s="24"/>
      <c r="F60" s="24"/>
      <c r="G60" s="24"/>
      <c r="I60" s="24"/>
      <c r="J60" s="24"/>
      <c r="K60" s="24"/>
      <c r="L60" s="24"/>
      <c r="M60" s="24"/>
      <c r="N60" s="24"/>
    </row>
  </sheetData>
  <sheetProtection algorithmName="SHA-512" hashValue="JncIS7AWO4EnWctOnzRqD1WQiDEJ4lZW3JaXrm30Nps2hslJrzp7OVMv2ucEIA1eTZF+a5fsISzzlAcKsY9IwA==" saltValue="nKoPSwEhrQRSS6rPNRJP2w==" spinCount="100000" sheet="1" objects="1" scenarios="1"/>
  <mergeCells count="24">
    <mergeCell ref="B2:G2"/>
    <mergeCell ref="I2:N2"/>
    <mergeCell ref="B3:C3"/>
    <mergeCell ref="D3:E3"/>
    <mergeCell ref="F3:G3"/>
    <mergeCell ref="I3:J3"/>
    <mergeCell ref="K3:L3"/>
    <mergeCell ref="M3:N3"/>
    <mergeCell ref="B22:G22"/>
    <mergeCell ref="I22:N22"/>
    <mergeCell ref="B23:C23"/>
    <mergeCell ref="D23:E23"/>
    <mergeCell ref="F23:G23"/>
    <mergeCell ref="I23:J23"/>
    <mergeCell ref="K23:L23"/>
    <mergeCell ref="M23:N23"/>
    <mergeCell ref="B42:G42"/>
    <mergeCell ref="I42:N42"/>
    <mergeCell ref="B43:C43"/>
    <mergeCell ref="D43:E43"/>
    <mergeCell ref="F43:G43"/>
    <mergeCell ref="I43:J43"/>
    <mergeCell ref="K43:L43"/>
    <mergeCell ref="M43:N43"/>
  </mergeCells>
  <conditionalFormatting sqref="C5:C19">
    <cfRule type="expression" dxfId="43" priority="30">
      <formula>OR($C5&lt;&gt;"",$D5&lt;&gt;"")</formula>
    </cfRule>
  </conditionalFormatting>
  <conditionalFormatting sqref="B5:C19">
    <cfRule type="expression" dxfId="42" priority="29">
      <formula>$B5&lt;&gt;""</formula>
    </cfRule>
  </conditionalFormatting>
  <conditionalFormatting sqref="E5:E19">
    <cfRule type="expression" dxfId="41" priority="28">
      <formula>OR($E5&lt;&gt;"",$F5&lt;&gt;"")</formula>
    </cfRule>
  </conditionalFormatting>
  <conditionalFormatting sqref="D5:E19">
    <cfRule type="expression" dxfId="40" priority="27">
      <formula>$D5&lt;&gt;""</formula>
    </cfRule>
  </conditionalFormatting>
  <conditionalFormatting sqref="F5:G19">
    <cfRule type="expression" dxfId="39" priority="26">
      <formula>$F5&lt;&gt;""</formula>
    </cfRule>
  </conditionalFormatting>
  <conditionalFormatting sqref="J5:J19">
    <cfRule type="expression" dxfId="38" priority="25">
      <formula>OR($J5&lt;&gt;"",$K5&lt;&gt;"")</formula>
    </cfRule>
  </conditionalFormatting>
  <conditionalFormatting sqref="L5:L19">
    <cfRule type="expression" dxfId="37" priority="24">
      <formula>OR($L5&lt;&gt;"",$M5&lt;&gt;"")</formula>
    </cfRule>
  </conditionalFormatting>
  <conditionalFormatting sqref="I5:J19">
    <cfRule type="expression" dxfId="36" priority="23">
      <formula>$I5&lt;&gt;""</formula>
    </cfRule>
  </conditionalFormatting>
  <conditionalFormatting sqref="K5:L19">
    <cfRule type="expression" dxfId="35" priority="22">
      <formula>$K5&lt;&gt;""</formula>
    </cfRule>
  </conditionalFormatting>
  <conditionalFormatting sqref="M5:N19">
    <cfRule type="expression" dxfId="34" priority="21">
      <formula>$M5&lt;&gt;""</formula>
    </cfRule>
  </conditionalFormatting>
  <conditionalFormatting sqref="B25:C39">
    <cfRule type="expression" dxfId="33" priority="19">
      <formula>$B25&lt;&gt;""</formula>
    </cfRule>
  </conditionalFormatting>
  <conditionalFormatting sqref="C25:C39">
    <cfRule type="expression" dxfId="32" priority="20">
      <formula>OR($C25&lt;&gt;"",$D25&lt;&gt;"")</formula>
    </cfRule>
  </conditionalFormatting>
  <conditionalFormatting sqref="E25:E39">
    <cfRule type="expression" dxfId="31" priority="18">
      <formula>OR($E25&lt;&gt;"",$F25&lt;&gt;"")</formula>
    </cfRule>
  </conditionalFormatting>
  <conditionalFormatting sqref="D25:E39">
    <cfRule type="expression" dxfId="30" priority="17">
      <formula>$D25&lt;&gt;""</formula>
    </cfRule>
  </conditionalFormatting>
  <conditionalFormatting sqref="F25:G39">
    <cfRule type="expression" dxfId="29" priority="16">
      <formula>$F25&lt;&gt;""</formula>
    </cfRule>
  </conditionalFormatting>
  <conditionalFormatting sqref="C45:C59">
    <cfRule type="expression" dxfId="28" priority="15">
      <formula>OR($C45&lt;&gt;"",$D45&lt;&gt;"")</formula>
    </cfRule>
  </conditionalFormatting>
  <conditionalFormatting sqref="B45:C59">
    <cfRule type="expression" dxfId="27" priority="14">
      <formula>$B45&lt;&gt;""</formula>
    </cfRule>
  </conditionalFormatting>
  <conditionalFormatting sqref="E45:E59">
    <cfRule type="expression" dxfId="26" priority="13">
      <formula>OR($E45&lt;&gt;"",$F45&lt;&gt;"")</formula>
    </cfRule>
  </conditionalFormatting>
  <conditionalFormatting sqref="D45:E59">
    <cfRule type="expression" dxfId="25" priority="12">
      <formula>$D45&lt;&gt;""</formula>
    </cfRule>
  </conditionalFormatting>
  <conditionalFormatting sqref="F45:G59">
    <cfRule type="expression" dxfId="24" priority="11">
      <formula>$F45&lt;&gt;""</formula>
    </cfRule>
  </conditionalFormatting>
  <conditionalFormatting sqref="J45:J59">
    <cfRule type="expression" dxfId="23" priority="10">
      <formula>OR($J45&lt;&gt;"",$K45&lt;&gt;"")</formula>
    </cfRule>
  </conditionalFormatting>
  <conditionalFormatting sqref="L45:L59">
    <cfRule type="expression" dxfId="22" priority="9">
      <formula>OR($L45&lt;&gt;"",$M45&lt;&gt;"")</formula>
    </cfRule>
  </conditionalFormatting>
  <conditionalFormatting sqref="I45:J59">
    <cfRule type="expression" dxfId="21" priority="8">
      <formula>$I45&lt;&gt;""</formula>
    </cfRule>
  </conditionalFormatting>
  <conditionalFormatting sqref="K45:L59">
    <cfRule type="expression" dxfId="20" priority="7">
      <formula>$K45&lt;&gt;""</formula>
    </cfRule>
  </conditionalFormatting>
  <conditionalFormatting sqref="M45:N59">
    <cfRule type="expression" dxfId="19" priority="6">
      <formula>$M45&lt;&gt;""</formula>
    </cfRule>
  </conditionalFormatting>
  <conditionalFormatting sqref="J25:J39">
    <cfRule type="expression" dxfId="18" priority="5">
      <formula>OR($J25&lt;&gt;"",$K25&lt;&gt;"")</formula>
    </cfRule>
  </conditionalFormatting>
  <conditionalFormatting sqref="L25:L39">
    <cfRule type="expression" dxfId="17" priority="4">
      <formula>OR($L25&lt;&gt;"",$M25&lt;&gt;"")</formula>
    </cfRule>
  </conditionalFormatting>
  <conditionalFormatting sqref="I25:J39">
    <cfRule type="expression" dxfId="16" priority="3">
      <formula>$I25&lt;&gt;""</formula>
    </cfRule>
  </conditionalFormatting>
  <conditionalFormatting sqref="K25:L39">
    <cfRule type="expression" dxfId="15" priority="2">
      <formula>$K25&lt;&gt;""</formula>
    </cfRule>
  </conditionalFormatting>
  <conditionalFormatting sqref="M25:N39">
    <cfRule type="expression" dxfId="14" priority="1">
      <formula>$M25&lt;&gt;""</formula>
    </cfRule>
  </conditionalFormatting>
  <pageMargins left="0.11811023622047245" right="0.11811023622047245" top="0.74803149606299213" bottom="0.74803149606299213" header="0.31496062992125984" footer="0.31496062992125984"/>
  <pageSetup paperSize="9" scale="87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6" tint="-0.249977111117893"/>
  </sheetPr>
  <dimension ref="A1:N40"/>
  <sheetViews>
    <sheetView showGridLines="0" workbookViewId="0"/>
  </sheetViews>
  <sheetFormatPr baseColWidth="10" defaultRowHeight="12.75" x14ac:dyDescent="0.2"/>
  <cols>
    <col min="1" max="1" width="2.7109375" style="8" customWidth="1"/>
    <col min="2" max="2" width="9.7109375" style="8" customWidth="1"/>
    <col min="3" max="3" width="16.7109375" style="8" customWidth="1"/>
    <col min="4" max="4" width="9.7109375" style="8" customWidth="1"/>
    <col min="5" max="5" width="16.7109375" style="8" customWidth="1"/>
    <col min="6" max="6" width="9.7109375" style="8" customWidth="1"/>
    <col min="7" max="7" width="16.7109375" style="8" customWidth="1"/>
    <col min="8" max="8" width="2.7109375" style="8" customWidth="1"/>
    <col min="9" max="9" width="9.7109375" style="8" customWidth="1"/>
    <col min="10" max="10" width="16.7109375" style="8" customWidth="1"/>
    <col min="11" max="11" width="9.7109375" style="8" customWidth="1"/>
    <col min="12" max="12" width="16.7109375" style="8" customWidth="1"/>
    <col min="13" max="13" width="9.7109375" style="8" customWidth="1"/>
    <col min="14" max="14" width="16.7109375" style="8" customWidth="1"/>
    <col min="15" max="15" width="2.5703125" style="8" customWidth="1"/>
    <col min="16" max="16384" width="11.42578125" style="8"/>
  </cols>
  <sheetData>
    <row r="1" spans="1:14" x14ac:dyDescent="0.2">
      <c r="B1" s="25" t="s">
        <v>126</v>
      </c>
      <c r="I1" s="25" t="s">
        <v>126</v>
      </c>
    </row>
    <row r="2" spans="1:14" ht="15.75" x14ac:dyDescent="0.2">
      <c r="B2" s="81" t="s">
        <v>133</v>
      </c>
      <c r="C2" s="82"/>
      <c r="D2" s="82"/>
      <c r="E2" s="82"/>
      <c r="F2" s="82"/>
      <c r="G2" s="83"/>
      <c r="I2" s="81" t="s">
        <v>125</v>
      </c>
      <c r="J2" s="82"/>
      <c r="K2" s="82"/>
      <c r="L2" s="82"/>
      <c r="M2" s="82"/>
      <c r="N2" s="83"/>
    </row>
    <row r="3" spans="1:14" x14ac:dyDescent="0.2">
      <c r="B3" s="84" t="s">
        <v>24</v>
      </c>
      <c r="C3" s="84"/>
      <c r="D3" s="85" t="str">
        <f ca="1">TEXT(TODAY(),"jj/mm/aaaa")&amp;" --&gt; "&amp;TEXT(TODAY()+365,"jj/mm/aaaa")</f>
        <v>10/10/2018 --&gt; 10/10/2019</v>
      </c>
      <c r="E3" s="85"/>
      <c r="F3" s="86" t="str">
        <f ca="1">"&gt; "&amp;TEXT(TODAY()+365,"jj/mm/aaaa")</f>
        <v>&gt; 10/10/2019</v>
      </c>
      <c r="G3" s="86"/>
      <c r="I3" s="84" t="s">
        <v>24</v>
      </c>
      <c r="J3" s="84"/>
      <c r="K3" s="85" t="str">
        <f ca="1">TEXT(TODAY(),"jj/mm/aaaa")&amp;" --&gt; "&amp;TEXT(TODAY()+365,"jj/mm/aaaa")</f>
        <v>10/10/2018 --&gt; 10/10/2019</v>
      </c>
      <c r="L3" s="85"/>
      <c r="M3" s="86" t="str">
        <f ca="1">"&gt; "&amp;TEXT(TODAY()+365,"jj/mm/aaaa")</f>
        <v>&gt; 10/10/2019</v>
      </c>
      <c r="N3" s="86"/>
    </row>
    <row r="4" spans="1:14" x14ac:dyDescent="0.2">
      <c r="B4" s="15" t="s">
        <v>25</v>
      </c>
      <c r="C4" s="15" t="s">
        <v>26</v>
      </c>
      <c r="D4" s="15" t="s">
        <v>25</v>
      </c>
      <c r="E4" s="15" t="s">
        <v>26</v>
      </c>
      <c r="F4" s="15" t="s">
        <v>25</v>
      </c>
      <c r="G4" s="15" t="s">
        <v>26</v>
      </c>
      <c r="I4" s="15" t="s">
        <v>25</v>
      </c>
      <c r="J4" s="15" t="s">
        <v>26</v>
      </c>
      <c r="K4" s="15" t="s">
        <v>25</v>
      </c>
      <c r="L4" s="15" t="s">
        <v>26</v>
      </c>
      <c r="M4" s="15" t="s">
        <v>25</v>
      </c>
      <c r="N4" s="15" t="s">
        <v>26</v>
      </c>
    </row>
    <row r="5" spans="1:14" x14ac:dyDescent="0.2">
      <c r="A5" s="9"/>
      <c r="B5" s="2">
        <f t="array" aca="1" ref="B5" ca="1">IFERROR(INDEX(Tableau6[prochaine visite rpa],SMALL(IF((Tableau6[prochaine visite rpa]&lt;TODAY())*(Tableau6[Status]="Actif"),ROW(Tableau6[prochaine visite rpa])-MIN(ROW(Employé!$AP$4))+1,""),ROWS(B$5:B5))),"")</f>
        <v>1096</v>
      </c>
      <c r="C5" s="8" t="str">
        <f t="array" aca="1" ref="C5" ca="1">IFERROR(INDEX(Tableau6[Nom abrégé],SMALL(IF((Tableau6[prochaine visite rpa]&lt;TODAY())*(Tableau6[Status]="Actif"),ROW(Tableau6[prochaine visite rpa])-MIN(ROW(Employé!$AP$4))+1,""),ROWS(C$5:C5))),"")</f>
        <v>BENAZET Je</v>
      </c>
      <c r="D5" s="2" t="str">
        <f t="array" aca="1" ref="D5" ca="1">IFERROR(INDEX(Tableau6[prochaine visite rpa],SMALL(IF((Tableau6[prochaine visite rpa]&gt;=TODAY())*(Tableau6[prochaine visite rpa]&lt;=TODAY()+365)*(Tableau6[Status]="Actif"),ROW(Tableau6[prochaine visite rpa])-MIN(ROW(Employé!$AP$4))+1,""),ROWS(D$5:D5))),"")</f>
        <v/>
      </c>
      <c r="E5" s="8" t="str">
        <f t="array" aca="1" ref="E5" ca="1">IFERROR(INDEX(Tableau6[Nom abrégé],SMALL(IF((Tableau6[prochaine visite rpa]&gt;=TODAY())*(Tableau6[prochaine visite rpa]&lt;=TODAY()+365)*(Tableau6[Status]="Actif"),ROW(Tableau6[prochaine visite rpa])-MIN(ROW(Employé!$AP$4))+1,""),ROWS(E$5:E5))),"")</f>
        <v/>
      </c>
      <c r="F5" s="2" t="str">
        <f t="array" aca="1" ref="F5" ca="1">IFERROR(INDEX(Tableau6[prochaine visite rpa],SMALL(IF((Tableau6[prochaine visite rpa]&gt;TODAY()+365)*(Tableau6[Status]="Actif"),ROW(Tableau6[prochaine visite rpa])-MIN(ROW(Employé!$AP$4))+1,""),ROWS(F$5:F5))),"")</f>
        <v/>
      </c>
      <c r="G5" s="26" t="str">
        <f t="array" aca="1" ref="G5" ca="1">IFERROR(INDEX(Tableau6[Nom abrégé],SMALL(IF((Tableau6[prochaine visite rpa]&gt;TODAY()+365)*(Tableau6[Status]="Actif"),ROW(Tableau6[prochaine visite rpa])-MIN(ROW(Employé!$AP$4))+1,""),ROWS(G$5:G5))),"")</f>
        <v/>
      </c>
      <c r="I5" s="2">
        <f t="array" aca="1" ref="I5" ca="1">IFERROR(INDEX(Tableau6[prochaine visite pis],SMALL(IF((Tableau6[prochaine visite pis]&lt;TODAY())*(Tableau6[Status]="Actif"),ROW(Tableau6[prochaine visite pis])-MIN(ROW(Employé!$BB$4))+1,""),ROWS(I$5:I5))),"")</f>
        <v>1096</v>
      </c>
      <c r="J5" s="10" t="str">
        <f t="array" aca="1" ref="J5" ca="1">IFERROR(INDEX(Tableau6[Nom abrégé],SMALL(IF((Tableau6[prochaine visite pis]&lt;TODAY())*(Tableau6[Status]="Actif"),ROW(Tableau6[prochaine visite pis])-MIN(ROW(Employé!$BB$4))+1,""),ROWS(J$5:J5))),"")</f>
        <v>BENAZET Je</v>
      </c>
      <c r="K5" s="11" t="str">
        <f t="array" aca="1" ref="K5" ca="1">IFERROR(INDEX(Tableau6[prochaine visite pis],SMALL(IF((Tableau6[prochaine visite pis]&gt;=TODAY())*(Tableau6[prochaine visite pis]&lt;=TODAY()+365)*(Tableau6[Status]="Actif"),ROW(Tableau6[prochaine visite pis])-MIN(ROW(Employé!$BB$4))+1,""),ROWS(K$5:K5))),"")</f>
        <v/>
      </c>
      <c r="L5" s="12" t="str">
        <f t="array" aca="1" ref="L5" ca="1">IFERROR(INDEX(Tableau6[Nom abrégé],SMALL(IF((Tableau6[prochaine visite pis]&gt;=TODAY())*(Tableau6[prochaine visite pis]&lt;=TODAY()+365)*(Tableau6[Status]="Actif"),ROW(Tableau6[prochaine visite pis])-MIN(ROW(Employé!$BB$4))+1,""),ROWS(L$5:L5))),"")</f>
        <v/>
      </c>
      <c r="M5" s="2" t="str">
        <f t="array" aca="1" ref="M5" ca="1">IFERROR(INDEX(Tableau6[prochaine visite pis],SMALL(IF((Tableau6[prochaine visite pis]&gt;TODAY()+365)*(Tableau6[Status]="Actif"),ROW(Tableau6[prochaine visite pis])-MIN(ROW(Employé!$BB$4))+1,""),ROWS(M$5:M5))),"")</f>
        <v/>
      </c>
      <c r="N5" s="8" t="str">
        <f t="array" aca="1" ref="N5" ca="1">IFERROR(INDEX(Tableau6[Nom abrégé],SMALL(IF((Tableau6[prochaine visite pis]&gt;TODAY()+365)*(Tableau6[Status]="Actif"),ROW(Tableau6[prochaine visite pis])-MIN(ROW(Employé!$BB$4))+1,""),ROWS(N$5:N5))),"")</f>
        <v/>
      </c>
    </row>
    <row r="6" spans="1:14" x14ac:dyDescent="0.2">
      <c r="A6" s="9"/>
      <c r="B6" s="2">
        <f t="array" aca="1" ref="B6" ca="1">IFERROR(INDEX(Tableau6[prochaine visite rpa],SMALL(IF((Tableau6[prochaine visite rpa]&lt;TODAY())*(Tableau6[Status]="Actif"),ROW(Tableau6[prochaine visite rpa])-MIN(ROW(Employé!$AP$4))+1,""),ROWS(B$5:B6))),"")</f>
        <v>1096</v>
      </c>
      <c r="C6" s="8" t="str">
        <f t="array" aca="1" ref="C6" ca="1">IFERROR(INDEX(Tableau6[Nom abrégé],SMALL(IF((Tableau6[prochaine visite rpa]&lt;TODAY())*(Tableau6[Status]="Actif"),ROW(Tableau6[prochaine visite rpa])-MIN(ROW(Employé!$AP$4))+1,""),ROWS(C$5:C6))),"")</f>
        <v>ZARAGOZA Di</v>
      </c>
      <c r="D6" s="2" t="str">
        <f t="array" aca="1" ref="D6" ca="1">IFERROR(INDEX(Tableau6[prochaine visite rpa],SMALL(IF((Tableau6[prochaine visite rpa]&gt;=TODAY())*(Tableau6[prochaine visite rpa]&lt;=TODAY()+365)*(Tableau6[Status]="Actif"),ROW(Tableau6[prochaine visite rpa])-MIN(ROW(Employé!$AP$4))+1,""),ROWS(D$5:D6))),"")</f>
        <v/>
      </c>
      <c r="E6" s="8" t="str">
        <f t="array" aca="1" ref="E6" ca="1">IFERROR(INDEX(Tableau6[Nom abrégé],SMALL(IF((Tableau6[prochaine visite rpa]&gt;=TODAY())*(Tableau6[prochaine visite rpa]&lt;=TODAY()+365)*(Tableau6[Status]="Actif"),ROW(Tableau6[prochaine visite rpa])-MIN(ROW(Employé!$AP$4))+1,""),ROWS(E$5:E6))),"")</f>
        <v/>
      </c>
      <c r="F6" s="2" t="str">
        <f t="array" aca="1" ref="F6" ca="1">IFERROR(INDEX(Tableau6[prochaine visite rpa],SMALL(IF((Tableau6[prochaine visite rpa]&gt;TODAY()+365)*(Tableau6[Status]="Actif"),ROW(Tableau6[prochaine visite rpa])-MIN(ROW(Employé!$AP$4))+1,""),ROWS(F$5:F6))),"")</f>
        <v/>
      </c>
      <c r="G6" s="26" t="str">
        <f t="array" aca="1" ref="G6" ca="1">IFERROR(INDEX(Tableau6[Nom abrégé],SMALL(IF((Tableau6[prochaine visite rpa]&gt;TODAY()+365)*(Tableau6[Status]="Actif"),ROW(Tableau6[prochaine visite rpa])-MIN(ROW(Employé!$AP$4))+1,""),ROWS(G$5:G6))),"")</f>
        <v/>
      </c>
      <c r="I6" s="2">
        <f t="array" aca="1" ref="I6" ca="1">IFERROR(INDEX(Tableau6[prochaine visite pis],SMALL(IF((Tableau6[prochaine visite pis]&lt;TODAY())*(Tableau6[Status]="Actif"),ROW(Tableau6[prochaine visite pis])-MIN(ROW(Employé!$BB$4))+1,""),ROWS(I$5:I6))),"")</f>
        <v>1096</v>
      </c>
      <c r="J6" s="10" t="str">
        <f t="array" aca="1" ref="J6" ca="1">IFERROR(INDEX(Tableau6[Nom abrégé],SMALL(IF((Tableau6[prochaine visite pis]&lt;TODAY())*(Tableau6[Status]="Actif"),ROW(Tableau6[prochaine visite pis])-MIN(ROW(Employé!$BB$4))+1,""),ROWS(J$5:J6))),"")</f>
        <v>ZARAGOZA Di</v>
      </c>
      <c r="K6" s="11" t="str">
        <f t="array" aca="1" ref="K6" ca="1">IFERROR(INDEX(Tableau6[prochaine visite pis],SMALL(IF((Tableau6[prochaine visite pis]&gt;=TODAY())*(Tableau6[prochaine visite pis]&lt;=TODAY()+365)*(Tableau6[Status]="Actif"),ROW(Tableau6[prochaine visite pis])-MIN(ROW(Employé!$BB$4))+1,""),ROWS(K$5:K6))),"")</f>
        <v/>
      </c>
      <c r="L6" s="12" t="str">
        <f t="array" aca="1" ref="L6" ca="1">IFERROR(INDEX(Tableau6[Nom abrégé],SMALL(IF((Tableau6[prochaine visite pis]&gt;=TODAY())*(Tableau6[prochaine visite pis]&lt;=TODAY()+365)*(Tableau6[Status]="Actif"),ROW(Tableau6[prochaine visite pis])-MIN(ROW(Employé!$BB$4))+1,""),ROWS(L$5:L6))),"")</f>
        <v/>
      </c>
      <c r="M6" s="2" t="str">
        <f t="array" aca="1" ref="M6" ca="1">IFERROR(INDEX(Tableau6[prochaine visite pis],SMALL(IF((Tableau6[prochaine visite pis]&gt;TODAY()+365)*(Tableau6[Status]="Actif"),ROW(Tableau6[prochaine visite pis])-MIN(ROW(Employé!$BB$4))+1,""),ROWS(M$5:M6))),"")</f>
        <v/>
      </c>
      <c r="N6" s="8" t="str">
        <f t="array" aca="1" ref="N6" ca="1">IFERROR(INDEX(Tableau6[Nom abrégé],SMALL(IF((Tableau6[prochaine visite pis]&gt;TODAY()+365)*(Tableau6[Status]="Actif"),ROW(Tableau6[prochaine visite pis])-MIN(ROW(Employé!$BB$4))+1,""),ROWS(N$5:N6))),"")</f>
        <v/>
      </c>
    </row>
    <row r="7" spans="1:14" x14ac:dyDescent="0.2">
      <c r="A7" s="9"/>
      <c r="B7" s="2">
        <f t="array" aca="1" ref="B7" ca="1">IFERROR(INDEX(Tableau6[prochaine visite rpa],SMALL(IF((Tableau6[prochaine visite rpa]&lt;TODAY())*(Tableau6[Status]="Actif"),ROW(Tableau6[prochaine visite rpa])-MIN(ROW(Employé!$AP$4))+1,""),ROWS(B$5:B7))),"")</f>
        <v>1096</v>
      </c>
      <c r="C7" s="8" t="str">
        <f t="array" aca="1" ref="C7" ca="1">IFERROR(INDEX(Tableau6[Nom abrégé],SMALL(IF((Tableau6[prochaine visite rpa]&lt;TODAY())*(Tableau6[Status]="Actif"),ROW(Tableau6[prochaine visite rpa])-MIN(ROW(Employé!$AP$4))+1,""),ROWS(C$5:C7))),"")</f>
        <v>SANTOS Je</v>
      </c>
      <c r="D7" s="2" t="str">
        <f t="array" aca="1" ref="D7" ca="1">IFERROR(INDEX(Tableau6[prochaine visite rpa],SMALL(IF((Tableau6[prochaine visite rpa]&gt;=TODAY())*(Tableau6[prochaine visite rpa]&lt;=TODAY()+365)*(Tableau6[Status]="Actif"),ROW(Tableau6[prochaine visite rpa])-MIN(ROW(Employé!$AP$4))+1,""),ROWS(D$5:D7))),"")</f>
        <v/>
      </c>
      <c r="E7" s="8" t="str">
        <f t="array" aca="1" ref="E7" ca="1">IFERROR(INDEX(Tableau6[Nom abrégé],SMALL(IF((Tableau6[prochaine visite rpa]&gt;=TODAY())*(Tableau6[prochaine visite rpa]&lt;=TODAY()+365)*(Tableau6[Status]="Actif"),ROW(Tableau6[prochaine visite rpa])-MIN(ROW(Employé!$AP$4))+1,""),ROWS(E$5:E7))),"")</f>
        <v/>
      </c>
      <c r="F7" s="2" t="str">
        <f t="array" aca="1" ref="F7" ca="1">IFERROR(INDEX(Tableau6[prochaine visite rpa],SMALL(IF((Tableau6[prochaine visite rpa]&gt;TODAY()+365)*(Tableau6[Status]="Actif"),ROW(Tableau6[prochaine visite rpa])-MIN(ROW(Employé!$AP$4))+1,""),ROWS(F$5:F7))),"")</f>
        <v/>
      </c>
      <c r="G7" s="26" t="str">
        <f t="array" aca="1" ref="G7" ca="1">IFERROR(INDEX(Tableau6[Nom abrégé],SMALL(IF((Tableau6[prochaine visite rpa]&gt;TODAY()+365)*(Tableau6[Status]="Actif"),ROW(Tableau6[prochaine visite rpa])-MIN(ROW(Employé!$AP$4))+1,""),ROWS(G$5:G7))),"")</f>
        <v/>
      </c>
      <c r="I7" s="2">
        <f t="array" aca="1" ref="I7" ca="1">IFERROR(INDEX(Tableau6[prochaine visite pis],SMALL(IF((Tableau6[prochaine visite pis]&lt;TODAY())*(Tableau6[Status]="Actif"),ROW(Tableau6[prochaine visite pis])-MIN(ROW(Employé!$BB$4))+1,""),ROWS(I$5:I7))),"")</f>
        <v>1096</v>
      </c>
      <c r="J7" s="10" t="str">
        <f t="array" aca="1" ref="J7" ca="1">IFERROR(INDEX(Tableau6[Nom abrégé],SMALL(IF((Tableau6[prochaine visite pis]&lt;TODAY())*(Tableau6[Status]="Actif"),ROW(Tableau6[prochaine visite pis])-MIN(ROW(Employé!$BB$4))+1,""),ROWS(J$5:J7))),"")</f>
        <v>SANTOS Je</v>
      </c>
      <c r="K7" s="11" t="str">
        <f t="array" aca="1" ref="K7" ca="1">IFERROR(INDEX(Tableau6[prochaine visite pis],SMALL(IF((Tableau6[prochaine visite pis]&gt;=TODAY())*(Tableau6[prochaine visite pis]&lt;=TODAY()+365)*(Tableau6[Status]="Actif"),ROW(Tableau6[prochaine visite pis])-MIN(ROW(Employé!$BB$4))+1,""),ROWS(K$5:K7))),"")</f>
        <v/>
      </c>
      <c r="L7" s="12" t="str">
        <f t="array" aca="1" ref="L7" ca="1">IFERROR(INDEX(Tableau6[Nom abrégé],SMALL(IF((Tableau6[prochaine visite pis]&gt;=TODAY())*(Tableau6[prochaine visite pis]&lt;=TODAY()+365)*(Tableau6[Status]="Actif"),ROW(Tableau6[prochaine visite pis])-MIN(ROW(Employé!$BB$4))+1,""),ROWS(L$5:L7))),"")</f>
        <v/>
      </c>
      <c r="M7" s="2" t="str">
        <f t="array" aca="1" ref="M7" ca="1">IFERROR(INDEX(Tableau6[prochaine visite pis],SMALL(IF((Tableau6[prochaine visite pis]&gt;TODAY()+365)*(Tableau6[Status]="Actif"),ROW(Tableau6[prochaine visite pis])-MIN(ROW(Employé!$BB$4))+1,""),ROWS(M$5:M7))),"")</f>
        <v/>
      </c>
      <c r="N7" s="8" t="str">
        <f t="array" aca="1" ref="N7" ca="1">IFERROR(INDEX(Tableau6[Nom abrégé],SMALL(IF((Tableau6[prochaine visite pis]&gt;TODAY()+365)*(Tableau6[Status]="Actif"),ROW(Tableau6[prochaine visite pis])-MIN(ROW(Employé!$BB$4))+1,""),ROWS(N$5:N7))),"")</f>
        <v/>
      </c>
    </row>
    <row r="8" spans="1:14" x14ac:dyDescent="0.2">
      <c r="A8" s="9"/>
      <c r="B8" s="2">
        <f t="array" aca="1" ref="B8" ca="1">IFERROR(INDEX(Tableau6[prochaine visite rpa],SMALL(IF((Tableau6[prochaine visite rpa]&lt;TODAY())*(Tableau6[Status]="Actif"),ROW(Tableau6[prochaine visite rpa])-MIN(ROW(Employé!$AP$4))+1,""),ROWS(B$5:B8))),"")</f>
        <v>1096</v>
      </c>
      <c r="C8" s="8" t="str">
        <f t="array" aca="1" ref="C8" ca="1">IFERROR(INDEX(Tableau6[Nom abrégé],SMALL(IF((Tableau6[prochaine visite rpa]&lt;TODAY())*(Tableau6[Status]="Actif"),ROW(Tableau6[prochaine visite rpa])-MIN(ROW(Employé!$AP$4))+1,""),ROWS(C$5:C8))),"")</f>
        <v>NAVARRO Ch</v>
      </c>
      <c r="D8" s="2" t="str">
        <f t="array" aca="1" ref="D8" ca="1">IFERROR(INDEX(Tableau6[prochaine visite rpa],SMALL(IF((Tableau6[prochaine visite rpa]&gt;=TODAY())*(Tableau6[prochaine visite rpa]&lt;=TODAY()+365)*(Tableau6[Status]="Actif"),ROW(Tableau6[prochaine visite rpa])-MIN(ROW(Employé!$AP$4))+1,""),ROWS(D$5:D8))),"")</f>
        <v/>
      </c>
      <c r="E8" s="8" t="str">
        <f t="array" aca="1" ref="E8" ca="1">IFERROR(INDEX(Tableau6[Nom abrégé],SMALL(IF((Tableau6[prochaine visite rpa]&gt;=TODAY())*(Tableau6[prochaine visite rpa]&lt;=TODAY()+365)*(Tableau6[Status]="Actif"),ROW(Tableau6[prochaine visite rpa])-MIN(ROW(Employé!$AP$4))+1,""),ROWS(E$5:E8))),"")</f>
        <v/>
      </c>
      <c r="F8" s="2" t="str">
        <f t="array" aca="1" ref="F8" ca="1">IFERROR(INDEX(Tableau6[prochaine visite rpa],SMALL(IF((Tableau6[prochaine visite rpa]&gt;TODAY()+365)*(Tableau6[Status]="Actif"),ROW(Tableau6[prochaine visite rpa])-MIN(ROW(Employé!$AP$4))+1,""),ROWS(F$5:F8))),"")</f>
        <v/>
      </c>
      <c r="G8" s="26" t="str">
        <f t="array" aca="1" ref="G8" ca="1">IFERROR(INDEX(Tableau6[Nom abrégé],SMALL(IF((Tableau6[prochaine visite rpa]&gt;TODAY()+365)*(Tableau6[Status]="Actif"),ROW(Tableau6[prochaine visite rpa])-MIN(ROW(Employé!$AP$4))+1,""),ROWS(G$5:G8))),"")</f>
        <v/>
      </c>
      <c r="I8" s="2">
        <f t="array" aca="1" ref="I8" ca="1">IFERROR(INDEX(Tableau6[prochaine visite pis],SMALL(IF((Tableau6[prochaine visite pis]&lt;TODAY())*(Tableau6[Status]="Actif"),ROW(Tableau6[prochaine visite pis])-MIN(ROW(Employé!$BB$4))+1,""),ROWS(I$5:I8))),"")</f>
        <v>1096</v>
      </c>
      <c r="J8" s="10" t="str">
        <f t="array" aca="1" ref="J8" ca="1">IFERROR(INDEX(Tableau6[Nom abrégé],SMALL(IF((Tableau6[prochaine visite pis]&lt;TODAY())*(Tableau6[Status]="Actif"),ROW(Tableau6[prochaine visite pis])-MIN(ROW(Employé!$BB$4))+1,""),ROWS(J$5:J8))),"")</f>
        <v>NAVARRO Ch</v>
      </c>
      <c r="K8" s="11" t="str">
        <f t="array" aca="1" ref="K8" ca="1">IFERROR(INDEX(Tableau6[prochaine visite pis],SMALL(IF((Tableau6[prochaine visite pis]&gt;=TODAY())*(Tableau6[prochaine visite pis]&lt;=TODAY()+365)*(Tableau6[Status]="Actif"),ROW(Tableau6[prochaine visite pis])-MIN(ROW(Employé!$BB$4))+1,""),ROWS(K$5:K8))),"")</f>
        <v/>
      </c>
      <c r="L8" s="12" t="str">
        <f t="array" aca="1" ref="L8" ca="1">IFERROR(INDEX(Tableau6[Nom abrégé],SMALL(IF((Tableau6[prochaine visite pis]&gt;=TODAY())*(Tableau6[prochaine visite pis]&lt;=TODAY()+365)*(Tableau6[Status]="Actif"),ROW(Tableau6[prochaine visite pis])-MIN(ROW(Employé!$BB$4))+1,""),ROWS(L$5:L8))),"")</f>
        <v/>
      </c>
      <c r="M8" s="2" t="str">
        <f t="array" aca="1" ref="M8" ca="1">IFERROR(INDEX(Tableau6[prochaine visite pis],SMALL(IF((Tableau6[prochaine visite pis]&gt;TODAY()+365)*(Tableau6[Status]="Actif"),ROW(Tableau6[prochaine visite pis])-MIN(ROW(Employé!$BB$4))+1,""),ROWS(M$5:M8))),"")</f>
        <v/>
      </c>
      <c r="N8" s="8" t="str">
        <f t="array" aca="1" ref="N8" ca="1">IFERROR(INDEX(Tableau6[Nom abrégé],SMALL(IF((Tableau6[prochaine visite pis]&gt;TODAY()+365)*(Tableau6[Status]="Actif"),ROW(Tableau6[prochaine visite pis])-MIN(ROW(Employé!$BB$4))+1,""),ROWS(N$5:N8))),"")</f>
        <v/>
      </c>
    </row>
    <row r="9" spans="1:14" x14ac:dyDescent="0.2">
      <c r="A9" s="9"/>
      <c r="B9" s="2">
        <f t="array" aca="1" ref="B9" ca="1">IFERROR(INDEX(Tableau6[prochaine visite rpa],SMALL(IF((Tableau6[prochaine visite rpa]&lt;TODAY())*(Tableau6[Status]="Actif"),ROW(Tableau6[prochaine visite rpa])-MIN(ROW(Employé!$AP$4))+1,""),ROWS(B$5:B9))),"")</f>
        <v>1096</v>
      </c>
      <c r="C9" s="8" t="str">
        <f t="array" aca="1" ref="C9" ca="1">IFERROR(INDEX(Tableau6[Nom abrégé],SMALL(IF((Tableau6[prochaine visite rpa]&lt;TODAY())*(Tableau6[Status]="Actif"),ROW(Tableau6[prochaine visite rpa])-MIN(ROW(Employé!$AP$4))+1,""),ROWS(C$5:C9))),"")</f>
        <v>AUDIE An</v>
      </c>
      <c r="D9" s="2" t="str">
        <f t="array" aca="1" ref="D9" ca="1">IFERROR(INDEX(Tableau6[prochaine visite rpa],SMALL(IF((Tableau6[prochaine visite rpa]&gt;=TODAY())*(Tableau6[prochaine visite rpa]&lt;=TODAY()+365)*(Tableau6[Status]="Actif"),ROW(Tableau6[prochaine visite rpa])-MIN(ROW(Employé!$AP$4))+1,""),ROWS(D$5:D9))),"")</f>
        <v/>
      </c>
      <c r="E9" s="8" t="str">
        <f t="array" aca="1" ref="E9" ca="1">IFERROR(INDEX(Tableau6[Nom abrégé],SMALL(IF((Tableau6[prochaine visite rpa]&gt;=TODAY())*(Tableau6[prochaine visite rpa]&lt;=TODAY()+365)*(Tableau6[Status]="Actif"),ROW(Tableau6[prochaine visite rpa])-MIN(ROW(Employé!$AP$4))+1,""),ROWS(E$5:E9))),"")</f>
        <v/>
      </c>
      <c r="F9" s="2" t="str">
        <f t="array" aca="1" ref="F9" ca="1">IFERROR(INDEX(Tableau6[prochaine visite rpa],SMALL(IF((Tableau6[prochaine visite rpa]&gt;TODAY()+365)*(Tableau6[Status]="Actif"),ROW(Tableau6[prochaine visite rpa])-MIN(ROW(Employé!$AP$4))+1,""),ROWS(F$5:F9))),"")</f>
        <v/>
      </c>
      <c r="G9" s="26" t="str">
        <f t="array" aca="1" ref="G9" ca="1">IFERROR(INDEX(Tableau6[Nom abrégé],SMALL(IF((Tableau6[prochaine visite rpa]&gt;TODAY()+365)*(Tableau6[Status]="Actif"),ROW(Tableau6[prochaine visite rpa])-MIN(ROW(Employé!$AP$4))+1,""),ROWS(G$5:G9))),"")</f>
        <v/>
      </c>
      <c r="I9" s="2">
        <f t="array" aca="1" ref="I9" ca="1">IFERROR(INDEX(Tableau6[prochaine visite pis],SMALL(IF((Tableau6[prochaine visite pis]&lt;TODAY())*(Tableau6[Status]="Actif"),ROW(Tableau6[prochaine visite pis])-MIN(ROW(Employé!$BB$4))+1,""),ROWS(I$5:I9))),"")</f>
        <v>1096</v>
      </c>
      <c r="J9" s="10" t="str">
        <f t="array" aca="1" ref="J9" ca="1">IFERROR(INDEX(Tableau6[Nom abrégé],SMALL(IF((Tableau6[prochaine visite pis]&lt;TODAY())*(Tableau6[Status]="Actif"),ROW(Tableau6[prochaine visite pis])-MIN(ROW(Employé!$BB$4))+1,""),ROWS(J$5:J9))),"")</f>
        <v>AUDIE An</v>
      </c>
      <c r="K9" s="11" t="str">
        <f t="array" aca="1" ref="K9" ca="1">IFERROR(INDEX(Tableau6[prochaine visite pis],SMALL(IF((Tableau6[prochaine visite pis]&gt;=TODAY())*(Tableau6[prochaine visite pis]&lt;=TODAY()+365)*(Tableau6[Status]="Actif"),ROW(Tableau6[prochaine visite pis])-MIN(ROW(Employé!$BB$4))+1,""),ROWS(K$5:K9))),"")</f>
        <v/>
      </c>
      <c r="L9" s="12" t="str">
        <f t="array" aca="1" ref="L9" ca="1">IFERROR(INDEX(Tableau6[Nom abrégé],SMALL(IF((Tableau6[prochaine visite pis]&gt;=TODAY())*(Tableau6[prochaine visite pis]&lt;=TODAY()+365)*(Tableau6[Status]="Actif"),ROW(Tableau6[prochaine visite pis])-MIN(ROW(Employé!$BB$4))+1,""),ROWS(L$5:L9))),"")</f>
        <v/>
      </c>
      <c r="M9" s="2" t="str">
        <f t="array" aca="1" ref="M9" ca="1">IFERROR(INDEX(Tableau6[prochaine visite pis],SMALL(IF((Tableau6[prochaine visite pis]&gt;TODAY()+365)*(Tableau6[Status]="Actif"),ROW(Tableau6[prochaine visite pis])-MIN(ROW(Employé!$BB$4))+1,""),ROWS(M$5:M9))),"")</f>
        <v/>
      </c>
      <c r="N9" s="8" t="str">
        <f t="array" aca="1" ref="N9" ca="1">IFERROR(INDEX(Tableau6[Nom abrégé],SMALL(IF((Tableau6[prochaine visite pis]&gt;TODAY()+365)*(Tableau6[Status]="Actif"),ROW(Tableau6[prochaine visite pis])-MIN(ROW(Employé!$BB$4))+1,""),ROWS(N$5:N9))),"")</f>
        <v/>
      </c>
    </row>
    <row r="10" spans="1:14" x14ac:dyDescent="0.2">
      <c r="A10" s="9"/>
      <c r="B10" s="2">
        <f t="array" aca="1" ref="B10" ca="1">IFERROR(INDEX(Tableau6[prochaine visite rpa],SMALL(IF((Tableau6[prochaine visite rpa]&lt;TODAY())*(Tableau6[Status]="Actif"),ROW(Tableau6[prochaine visite rpa])-MIN(ROW(Employé!$AP$4))+1,""),ROWS(B$5:B10))),"")</f>
        <v>1096</v>
      </c>
      <c r="C10" s="8" t="str">
        <f t="array" aca="1" ref="C10" ca="1">IFERROR(INDEX(Tableau6[Nom abrégé],SMALL(IF((Tableau6[prochaine visite rpa]&lt;TODAY())*(Tableau6[Status]="Actif"),ROW(Tableau6[prochaine visite rpa])-MIN(ROW(Employé!$AP$4))+1,""),ROWS(C$5:C10))),"")</f>
        <v>DISTEFANO Al</v>
      </c>
      <c r="D10" s="2" t="str">
        <f t="array" aca="1" ref="D10" ca="1">IFERROR(INDEX(Tableau6[prochaine visite rpa],SMALL(IF((Tableau6[prochaine visite rpa]&gt;=TODAY())*(Tableau6[prochaine visite rpa]&lt;=TODAY()+365)*(Tableau6[Status]="Actif"),ROW(Tableau6[prochaine visite rpa])-MIN(ROW(Employé!$AP$4))+1,""),ROWS(D$5:D10))),"")</f>
        <v/>
      </c>
      <c r="E10" s="8" t="str">
        <f t="array" aca="1" ref="E10" ca="1">IFERROR(INDEX(Tableau6[Nom abrégé],SMALL(IF((Tableau6[prochaine visite rpa]&gt;=TODAY())*(Tableau6[prochaine visite rpa]&lt;=TODAY()+365)*(Tableau6[Status]="Actif"),ROW(Tableau6[prochaine visite rpa])-MIN(ROW(Employé!$AP$4))+1,""),ROWS(E$5:E10))),"")</f>
        <v/>
      </c>
      <c r="F10" s="2" t="str">
        <f t="array" aca="1" ref="F10" ca="1">IFERROR(INDEX(Tableau6[prochaine visite rpa],SMALL(IF((Tableau6[prochaine visite rpa]&gt;TODAY()+365)*(Tableau6[Status]="Actif"),ROW(Tableau6[prochaine visite rpa])-MIN(ROW(Employé!$AP$4))+1,""),ROWS(F$5:F10))),"")</f>
        <v/>
      </c>
      <c r="G10" s="26" t="str">
        <f t="array" aca="1" ref="G10" ca="1">IFERROR(INDEX(Tableau6[Nom abrégé],SMALL(IF((Tableau6[prochaine visite rpa]&gt;TODAY()+365)*(Tableau6[Status]="Actif"),ROW(Tableau6[prochaine visite rpa])-MIN(ROW(Employé!$AP$4))+1,""),ROWS(G$5:G10))),"")</f>
        <v/>
      </c>
      <c r="I10" s="2">
        <f t="array" aca="1" ref="I10" ca="1">IFERROR(INDEX(Tableau6[prochaine visite pis],SMALL(IF((Tableau6[prochaine visite pis]&lt;TODAY())*(Tableau6[Status]="Actif"),ROW(Tableau6[prochaine visite pis])-MIN(ROW(Employé!$BB$4))+1,""),ROWS(I$5:I10))),"")</f>
        <v>1096</v>
      </c>
      <c r="J10" s="10" t="str">
        <f t="array" aca="1" ref="J10" ca="1">IFERROR(INDEX(Tableau6[Nom abrégé],SMALL(IF((Tableau6[prochaine visite pis]&lt;TODAY())*(Tableau6[Status]="Actif"),ROW(Tableau6[prochaine visite pis])-MIN(ROW(Employé!$BB$4))+1,""),ROWS(J$5:J10))),"")</f>
        <v>DISTEFANO Al</v>
      </c>
      <c r="K10" s="11" t="str">
        <f t="array" aca="1" ref="K10" ca="1">IFERROR(INDEX(Tableau6[prochaine visite pis],SMALL(IF((Tableau6[prochaine visite pis]&gt;=TODAY())*(Tableau6[prochaine visite pis]&lt;=TODAY()+365)*(Tableau6[Status]="Actif"),ROW(Tableau6[prochaine visite pis])-MIN(ROW(Employé!$BB$4))+1,""),ROWS(K$5:K10))),"")</f>
        <v/>
      </c>
      <c r="L10" s="12" t="str">
        <f t="array" aca="1" ref="L10" ca="1">IFERROR(INDEX(Tableau6[Nom abrégé],SMALL(IF((Tableau6[prochaine visite pis]&gt;=TODAY())*(Tableau6[prochaine visite pis]&lt;=TODAY()+365)*(Tableau6[Status]="Actif"),ROW(Tableau6[prochaine visite pis])-MIN(ROW(Employé!$BB$4))+1,""),ROWS(L$5:L10))),"")</f>
        <v/>
      </c>
      <c r="M10" s="2" t="str">
        <f t="array" aca="1" ref="M10" ca="1">IFERROR(INDEX(Tableau6[prochaine visite pis],SMALL(IF((Tableau6[prochaine visite pis]&gt;TODAY()+365)*(Tableau6[Status]="Actif"),ROW(Tableau6[prochaine visite pis])-MIN(ROW(Employé!$BB$4))+1,""),ROWS(M$5:M10))),"")</f>
        <v/>
      </c>
      <c r="N10" s="8" t="str">
        <f t="array" aca="1" ref="N10" ca="1">IFERROR(INDEX(Tableau6[Nom abrégé],SMALL(IF((Tableau6[prochaine visite pis]&gt;TODAY()+365)*(Tableau6[Status]="Actif"),ROW(Tableau6[prochaine visite pis])-MIN(ROW(Employé!$BB$4))+1,""),ROWS(N$5:N10))),"")</f>
        <v/>
      </c>
    </row>
    <row r="11" spans="1:14" x14ac:dyDescent="0.2">
      <c r="A11" s="9"/>
      <c r="B11" s="2">
        <f t="array" aca="1" ref="B11" ca="1">IFERROR(INDEX(Tableau6[prochaine visite rpa],SMALL(IF((Tableau6[prochaine visite rpa]&lt;TODAY())*(Tableau6[Status]="Actif"),ROW(Tableau6[prochaine visite rpa])-MIN(ROW(Employé!$AP$4))+1,""),ROWS(B$5:B11))),"")</f>
        <v>1096</v>
      </c>
      <c r="C11" s="8" t="str">
        <f t="array" aca="1" ref="C11" ca="1">IFERROR(INDEX(Tableau6[Nom abrégé],SMALL(IF((Tableau6[prochaine visite rpa]&lt;TODAY())*(Tableau6[Status]="Actif"),ROW(Tableau6[prochaine visite rpa])-MIN(ROW(Employé!$AP$4))+1,""),ROWS(C$5:C11))),"")</f>
        <v>SCHWEITZER Je</v>
      </c>
      <c r="D11" s="2" t="str">
        <f t="array" aca="1" ref="D11" ca="1">IFERROR(INDEX(Tableau6[prochaine visite rpa],SMALL(IF((Tableau6[prochaine visite rpa]&gt;=TODAY())*(Tableau6[prochaine visite rpa]&lt;=TODAY()+365)*(Tableau6[Status]="Actif"),ROW(Tableau6[prochaine visite rpa])-MIN(ROW(Employé!$AP$4))+1,""),ROWS(D$5:D11))),"")</f>
        <v/>
      </c>
      <c r="E11" s="8" t="str">
        <f t="array" aca="1" ref="E11" ca="1">IFERROR(INDEX(Tableau6[Nom abrégé],SMALL(IF((Tableau6[prochaine visite rpa]&gt;=TODAY())*(Tableau6[prochaine visite rpa]&lt;=TODAY()+365)*(Tableau6[Status]="Actif"),ROW(Tableau6[prochaine visite rpa])-MIN(ROW(Employé!$AP$4))+1,""),ROWS(E$5:E11))),"")</f>
        <v/>
      </c>
      <c r="F11" s="2" t="str">
        <f t="array" aca="1" ref="F11" ca="1">IFERROR(INDEX(Tableau6[prochaine visite rpa],SMALL(IF((Tableau6[prochaine visite rpa]&gt;TODAY()+365)*(Tableau6[Status]="Actif"),ROW(Tableau6[prochaine visite rpa])-MIN(ROW(Employé!$AP$4))+1,""),ROWS(F$5:F11))),"")</f>
        <v/>
      </c>
      <c r="G11" s="26" t="str">
        <f t="array" aca="1" ref="G11" ca="1">IFERROR(INDEX(Tableau6[Nom abrégé],SMALL(IF((Tableau6[prochaine visite rpa]&gt;TODAY()+365)*(Tableau6[Status]="Actif"),ROW(Tableau6[prochaine visite rpa])-MIN(ROW(Employé!$AP$4))+1,""),ROWS(G$5:G11))),"")</f>
        <v/>
      </c>
      <c r="I11" s="2">
        <f t="array" aca="1" ref="I11" ca="1">IFERROR(INDEX(Tableau6[prochaine visite pis],SMALL(IF((Tableau6[prochaine visite pis]&lt;TODAY())*(Tableau6[Status]="Actif"),ROW(Tableau6[prochaine visite pis])-MIN(ROW(Employé!$BB$4))+1,""),ROWS(I$5:I11))),"")</f>
        <v>1096</v>
      </c>
      <c r="J11" s="10" t="str">
        <f t="array" aca="1" ref="J11" ca="1">IFERROR(INDEX(Tableau6[Nom abrégé],SMALL(IF((Tableau6[prochaine visite pis]&lt;TODAY())*(Tableau6[Status]="Actif"),ROW(Tableau6[prochaine visite pis])-MIN(ROW(Employé!$BB$4))+1,""),ROWS(J$5:J11))),"")</f>
        <v>SCHWEITZER Je</v>
      </c>
      <c r="K11" s="11" t="str">
        <f t="array" aca="1" ref="K11" ca="1">IFERROR(INDEX(Tableau6[prochaine visite pis],SMALL(IF((Tableau6[prochaine visite pis]&gt;=TODAY())*(Tableau6[prochaine visite pis]&lt;=TODAY()+365)*(Tableau6[Status]="Actif"),ROW(Tableau6[prochaine visite pis])-MIN(ROW(Employé!$BB$4))+1,""),ROWS(K$5:K11))),"")</f>
        <v/>
      </c>
      <c r="L11" s="12" t="str">
        <f t="array" aca="1" ref="L11" ca="1">IFERROR(INDEX(Tableau6[Nom abrégé],SMALL(IF((Tableau6[prochaine visite pis]&gt;=TODAY())*(Tableau6[prochaine visite pis]&lt;=TODAY()+365)*(Tableau6[Status]="Actif"),ROW(Tableau6[prochaine visite pis])-MIN(ROW(Employé!$BB$4))+1,""),ROWS(L$5:L11))),"")</f>
        <v/>
      </c>
      <c r="M11" s="2" t="str">
        <f t="array" aca="1" ref="M11" ca="1">IFERROR(INDEX(Tableau6[prochaine visite pis],SMALL(IF((Tableau6[prochaine visite pis]&gt;TODAY()+365)*(Tableau6[Status]="Actif"),ROW(Tableau6[prochaine visite pis])-MIN(ROW(Employé!$BB$4))+1,""),ROWS(M$5:M11))),"")</f>
        <v/>
      </c>
      <c r="N11" s="8" t="str">
        <f t="array" aca="1" ref="N11" ca="1">IFERROR(INDEX(Tableau6[Nom abrégé],SMALL(IF((Tableau6[prochaine visite pis]&gt;TODAY()+365)*(Tableau6[Status]="Actif"),ROW(Tableau6[prochaine visite pis])-MIN(ROW(Employé!$BB$4))+1,""),ROWS(N$5:N11))),"")</f>
        <v/>
      </c>
    </row>
    <row r="12" spans="1:14" x14ac:dyDescent="0.2">
      <c r="A12" s="9"/>
      <c r="B12" s="2">
        <f t="array" aca="1" ref="B12" ca="1">IFERROR(INDEX(Tableau6[prochaine visite rpa],SMALL(IF((Tableau6[prochaine visite rpa]&lt;TODAY())*(Tableau6[Status]="Actif"),ROW(Tableau6[prochaine visite rpa])-MIN(ROW(Employé!$AP$4))+1,""),ROWS(B$5:B12))),"")</f>
        <v>1096</v>
      </c>
      <c r="C12" s="8" t="str">
        <f t="array" aca="1" ref="C12" ca="1">IFERROR(INDEX(Tableau6[Nom abrégé],SMALL(IF((Tableau6[prochaine visite rpa]&lt;TODAY())*(Tableau6[Status]="Actif"),ROW(Tableau6[prochaine visite rpa])-MIN(ROW(Employé!$AP$4))+1,""),ROWS(C$5:C12))),"")</f>
        <v>AFONSO Ju</v>
      </c>
      <c r="D12" s="2" t="str">
        <f t="array" aca="1" ref="D12" ca="1">IFERROR(INDEX(Tableau6[prochaine visite rpa],SMALL(IF((Tableau6[prochaine visite rpa]&gt;=TODAY())*(Tableau6[prochaine visite rpa]&lt;=TODAY()+365)*(Tableau6[Status]="Actif"),ROW(Tableau6[prochaine visite rpa])-MIN(ROW(Employé!$AP$4))+1,""),ROWS(D$5:D12))),"")</f>
        <v/>
      </c>
      <c r="E12" s="8" t="str">
        <f t="array" aca="1" ref="E12" ca="1">IFERROR(INDEX(Tableau6[Nom abrégé],SMALL(IF((Tableau6[prochaine visite rpa]&gt;=TODAY())*(Tableau6[prochaine visite rpa]&lt;=TODAY()+365)*(Tableau6[Status]="Actif"),ROW(Tableau6[prochaine visite rpa])-MIN(ROW(Employé!$AP$4))+1,""),ROWS(E$5:E12))),"")</f>
        <v/>
      </c>
      <c r="F12" s="2" t="str">
        <f t="array" aca="1" ref="F12" ca="1">IFERROR(INDEX(Tableau6[prochaine visite rpa],SMALL(IF((Tableau6[prochaine visite rpa]&gt;TODAY()+365)*(Tableau6[Status]="Actif"),ROW(Tableau6[prochaine visite rpa])-MIN(ROW(Employé!$AP$4))+1,""),ROWS(F$5:F12))),"")</f>
        <v/>
      </c>
      <c r="G12" s="26" t="str">
        <f t="array" aca="1" ref="G12" ca="1">IFERROR(INDEX(Tableau6[Nom abrégé],SMALL(IF((Tableau6[prochaine visite rpa]&gt;TODAY()+365)*(Tableau6[Status]="Actif"),ROW(Tableau6[prochaine visite rpa])-MIN(ROW(Employé!$AP$4))+1,""),ROWS(G$5:G12))),"")</f>
        <v/>
      </c>
      <c r="I12" s="2">
        <f t="array" aca="1" ref="I12" ca="1">IFERROR(INDEX(Tableau6[prochaine visite pis],SMALL(IF((Tableau6[prochaine visite pis]&lt;TODAY())*(Tableau6[Status]="Actif"),ROW(Tableau6[prochaine visite pis])-MIN(ROW(Employé!$BB$4))+1,""),ROWS(I$5:I12))),"")</f>
        <v>1096</v>
      </c>
      <c r="J12" s="10" t="str">
        <f t="array" aca="1" ref="J12" ca="1">IFERROR(INDEX(Tableau6[Nom abrégé],SMALL(IF((Tableau6[prochaine visite pis]&lt;TODAY())*(Tableau6[Status]="Actif"),ROW(Tableau6[prochaine visite pis])-MIN(ROW(Employé!$BB$4))+1,""),ROWS(J$5:J12))),"")</f>
        <v>AFONSO Ju</v>
      </c>
      <c r="K12" s="11" t="str">
        <f t="array" aca="1" ref="K12" ca="1">IFERROR(INDEX(Tableau6[prochaine visite pis],SMALL(IF((Tableau6[prochaine visite pis]&gt;=TODAY())*(Tableau6[prochaine visite pis]&lt;=TODAY()+365)*(Tableau6[Status]="Actif"),ROW(Tableau6[prochaine visite pis])-MIN(ROW(Employé!$BB$4))+1,""),ROWS(K$5:K12))),"")</f>
        <v/>
      </c>
      <c r="L12" s="12" t="str">
        <f t="array" aca="1" ref="L12" ca="1">IFERROR(INDEX(Tableau6[Nom abrégé],SMALL(IF((Tableau6[prochaine visite pis]&gt;=TODAY())*(Tableau6[prochaine visite pis]&lt;=TODAY()+365)*(Tableau6[Status]="Actif"),ROW(Tableau6[prochaine visite pis])-MIN(ROW(Employé!$BB$4))+1,""),ROWS(L$5:L12))),"")</f>
        <v/>
      </c>
      <c r="M12" s="2" t="str">
        <f t="array" aca="1" ref="M12" ca="1">IFERROR(INDEX(Tableau6[prochaine visite pis],SMALL(IF((Tableau6[prochaine visite pis]&gt;TODAY()+365)*(Tableau6[Status]="Actif"),ROW(Tableau6[prochaine visite pis])-MIN(ROW(Employé!$BB$4))+1,""),ROWS(M$5:M12))),"")</f>
        <v/>
      </c>
      <c r="N12" s="8" t="str">
        <f t="array" aca="1" ref="N12" ca="1">IFERROR(INDEX(Tableau6[Nom abrégé],SMALL(IF((Tableau6[prochaine visite pis]&gt;TODAY()+365)*(Tableau6[Status]="Actif"),ROW(Tableau6[prochaine visite pis])-MIN(ROW(Employé!$BB$4))+1,""),ROWS(N$5:N12))),"")</f>
        <v/>
      </c>
    </row>
    <row r="13" spans="1:14" x14ac:dyDescent="0.2">
      <c r="A13" s="9"/>
      <c r="B13" s="2">
        <f t="array" aca="1" ref="B13" ca="1">IFERROR(INDEX(Tableau6[prochaine visite rpa],SMALL(IF((Tableau6[prochaine visite rpa]&lt;TODAY())*(Tableau6[Status]="Actif"),ROW(Tableau6[prochaine visite rpa])-MIN(ROW(Employé!$AP$4))+1,""),ROWS(B$5:B13))),"")</f>
        <v>1096</v>
      </c>
      <c r="C13" s="8" t="str">
        <f t="array" aca="1" ref="C13" ca="1">IFERROR(INDEX(Tableau6[Nom abrégé],SMALL(IF((Tableau6[prochaine visite rpa]&lt;TODAY())*(Tableau6[Status]="Actif"),ROW(Tableau6[prochaine visite rpa])-MIN(ROW(Employé!$AP$4))+1,""),ROWS(C$5:C13))),"")</f>
        <v>LEROY Fr</v>
      </c>
      <c r="D13" s="2" t="str">
        <f t="array" aca="1" ref="D13" ca="1">IFERROR(INDEX(Tableau6[prochaine visite rpa],SMALL(IF((Tableau6[prochaine visite rpa]&gt;=TODAY())*(Tableau6[prochaine visite rpa]&lt;=TODAY()+365)*(Tableau6[Status]="Actif"),ROW(Tableau6[prochaine visite rpa])-MIN(ROW(Employé!$AP$4))+1,""),ROWS(D$5:D13))),"")</f>
        <v/>
      </c>
      <c r="E13" s="8" t="str">
        <f t="array" aca="1" ref="E13" ca="1">IFERROR(INDEX(Tableau6[Nom abrégé],SMALL(IF((Tableau6[prochaine visite rpa]&gt;=TODAY())*(Tableau6[prochaine visite rpa]&lt;=TODAY()+365)*(Tableau6[Status]="Actif"),ROW(Tableau6[prochaine visite rpa])-MIN(ROW(Employé!$AP$4))+1,""),ROWS(E$5:E13))),"")</f>
        <v/>
      </c>
      <c r="F13" s="2" t="str">
        <f t="array" aca="1" ref="F13" ca="1">IFERROR(INDEX(Tableau6[prochaine visite rpa],SMALL(IF((Tableau6[prochaine visite rpa]&gt;TODAY()+365)*(Tableau6[Status]="Actif"),ROW(Tableau6[prochaine visite rpa])-MIN(ROW(Employé!$AP$4))+1,""),ROWS(F$5:F13))),"")</f>
        <v/>
      </c>
      <c r="G13" s="26" t="str">
        <f t="array" aca="1" ref="G13" ca="1">IFERROR(INDEX(Tableau6[Nom abrégé],SMALL(IF((Tableau6[prochaine visite rpa]&gt;TODAY()+365)*(Tableau6[Status]="Actif"),ROW(Tableau6[prochaine visite rpa])-MIN(ROW(Employé!$AP$4))+1,""),ROWS(G$5:G13))),"")</f>
        <v/>
      </c>
      <c r="I13" s="2">
        <f t="array" aca="1" ref="I13" ca="1">IFERROR(INDEX(Tableau6[prochaine visite pis],SMALL(IF((Tableau6[prochaine visite pis]&lt;TODAY())*(Tableau6[Status]="Actif"),ROW(Tableau6[prochaine visite pis])-MIN(ROW(Employé!$BB$4))+1,""),ROWS(I$5:I13))),"")</f>
        <v>1096</v>
      </c>
      <c r="J13" s="10" t="str">
        <f t="array" aca="1" ref="J13" ca="1">IFERROR(INDEX(Tableau6[Nom abrégé],SMALL(IF((Tableau6[prochaine visite pis]&lt;TODAY())*(Tableau6[Status]="Actif"),ROW(Tableau6[prochaine visite pis])-MIN(ROW(Employé!$BB$4))+1,""),ROWS(J$5:J13))),"")</f>
        <v>LEROY Fr</v>
      </c>
      <c r="K13" s="11" t="str">
        <f t="array" aca="1" ref="K13" ca="1">IFERROR(INDEX(Tableau6[prochaine visite pis],SMALL(IF((Tableau6[prochaine visite pis]&gt;=TODAY())*(Tableau6[prochaine visite pis]&lt;=TODAY()+365)*(Tableau6[Status]="Actif"),ROW(Tableau6[prochaine visite pis])-MIN(ROW(Employé!$BB$4))+1,""),ROWS(K$5:K13))),"")</f>
        <v/>
      </c>
      <c r="L13" s="12" t="str">
        <f t="array" aca="1" ref="L13" ca="1">IFERROR(INDEX(Tableau6[Nom abrégé],SMALL(IF((Tableau6[prochaine visite pis]&gt;=TODAY())*(Tableau6[prochaine visite pis]&lt;=TODAY()+365)*(Tableau6[Status]="Actif"),ROW(Tableau6[prochaine visite pis])-MIN(ROW(Employé!$BB$4))+1,""),ROWS(L$5:L13))),"")</f>
        <v/>
      </c>
      <c r="M13" s="2" t="str">
        <f t="array" aca="1" ref="M13" ca="1">IFERROR(INDEX(Tableau6[prochaine visite pis],SMALL(IF((Tableau6[prochaine visite pis]&gt;TODAY()+365)*(Tableau6[Status]="Actif"),ROW(Tableau6[prochaine visite pis])-MIN(ROW(Employé!$BB$4))+1,""),ROWS(M$5:M13))),"")</f>
        <v/>
      </c>
      <c r="N13" s="8" t="str">
        <f t="array" aca="1" ref="N13" ca="1">IFERROR(INDEX(Tableau6[Nom abrégé],SMALL(IF((Tableau6[prochaine visite pis]&gt;TODAY()+365)*(Tableau6[Status]="Actif"),ROW(Tableau6[prochaine visite pis])-MIN(ROW(Employé!$BB$4))+1,""),ROWS(N$5:N13))),"")</f>
        <v/>
      </c>
    </row>
    <row r="14" spans="1:14" x14ac:dyDescent="0.2">
      <c r="A14" s="9"/>
      <c r="B14" s="2">
        <f t="array" aca="1" ref="B14" ca="1">IFERROR(INDEX(Tableau6[prochaine visite rpa],SMALL(IF((Tableau6[prochaine visite rpa]&lt;TODAY())*(Tableau6[Status]="Actif"),ROW(Tableau6[prochaine visite rpa])-MIN(ROW(Employé!$AP$4))+1,""),ROWS(B$5:B14))),"")</f>
        <v>1096</v>
      </c>
      <c r="C14" s="8" t="str">
        <f t="array" aca="1" ref="C14" ca="1">IFERROR(INDEX(Tableau6[Nom abrégé],SMALL(IF((Tableau6[prochaine visite rpa]&lt;TODAY())*(Tableau6[Status]="Actif"),ROW(Tableau6[prochaine visite rpa])-MIN(ROW(Employé!$AP$4))+1,""),ROWS(C$5:C14))),"")</f>
        <v>LEROY Je</v>
      </c>
      <c r="D14" s="2" t="str">
        <f t="array" aca="1" ref="D14" ca="1">IFERROR(INDEX(Tableau6[prochaine visite rpa],SMALL(IF((Tableau6[prochaine visite rpa]&gt;=TODAY())*(Tableau6[prochaine visite rpa]&lt;=TODAY()+365)*(Tableau6[Status]="Actif"),ROW(Tableau6[prochaine visite rpa])-MIN(ROW(Employé!$AP$4))+1,""),ROWS(D$5:D14))),"")</f>
        <v/>
      </c>
      <c r="E14" s="8" t="str">
        <f t="array" aca="1" ref="E14" ca="1">IFERROR(INDEX(Tableau6[Nom abrégé],SMALL(IF((Tableau6[prochaine visite rpa]&gt;=TODAY())*(Tableau6[prochaine visite rpa]&lt;=TODAY()+365)*(Tableau6[Status]="Actif"),ROW(Tableau6[prochaine visite rpa])-MIN(ROW(Employé!$AP$4))+1,""),ROWS(E$5:E14))),"")</f>
        <v/>
      </c>
      <c r="F14" s="2" t="str">
        <f t="array" aca="1" ref="F14" ca="1">IFERROR(INDEX(Tableau6[prochaine visite rpa],SMALL(IF((Tableau6[prochaine visite rpa]&gt;TODAY()+365)*(Tableau6[Status]="Actif"),ROW(Tableau6[prochaine visite rpa])-MIN(ROW(Employé!$AP$4))+1,""),ROWS(F$5:F14))),"")</f>
        <v/>
      </c>
      <c r="G14" s="26" t="str">
        <f t="array" aca="1" ref="G14" ca="1">IFERROR(INDEX(Tableau6[Nom abrégé],SMALL(IF((Tableau6[prochaine visite rpa]&gt;TODAY()+365)*(Tableau6[Status]="Actif"),ROW(Tableau6[prochaine visite rpa])-MIN(ROW(Employé!$AP$4))+1,""),ROWS(G$5:G14))),"")</f>
        <v/>
      </c>
      <c r="I14" s="2">
        <f t="array" aca="1" ref="I14" ca="1">IFERROR(INDEX(Tableau6[prochaine visite pis],SMALL(IF((Tableau6[prochaine visite pis]&lt;TODAY())*(Tableau6[Status]="Actif"),ROW(Tableau6[prochaine visite pis])-MIN(ROW(Employé!$BB$4))+1,""),ROWS(I$5:I14))),"")</f>
        <v>1096</v>
      </c>
      <c r="J14" s="10" t="str">
        <f t="array" aca="1" ref="J14" ca="1">IFERROR(INDEX(Tableau6[Nom abrégé],SMALL(IF((Tableau6[prochaine visite pis]&lt;TODAY())*(Tableau6[Status]="Actif"),ROW(Tableau6[prochaine visite pis])-MIN(ROW(Employé!$BB$4))+1,""),ROWS(J$5:J14))),"")</f>
        <v>LEROY Je</v>
      </c>
      <c r="K14" s="11" t="str">
        <f t="array" aca="1" ref="K14" ca="1">IFERROR(INDEX(Tableau6[prochaine visite pis],SMALL(IF((Tableau6[prochaine visite pis]&gt;=TODAY())*(Tableau6[prochaine visite pis]&lt;=TODAY()+365)*(Tableau6[Status]="Actif"),ROW(Tableau6[prochaine visite pis])-MIN(ROW(Employé!$BB$4))+1,""),ROWS(K$5:K14))),"")</f>
        <v/>
      </c>
      <c r="L14" s="12" t="str">
        <f t="array" aca="1" ref="L14" ca="1">IFERROR(INDEX(Tableau6[Nom abrégé],SMALL(IF((Tableau6[prochaine visite pis]&gt;=TODAY())*(Tableau6[prochaine visite pis]&lt;=TODAY()+365)*(Tableau6[Status]="Actif"),ROW(Tableau6[prochaine visite pis])-MIN(ROW(Employé!$BB$4))+1,""),ROWS(L$5:L14))),"")</f>
        <v/>
      </c>
      <c r="M14" s="2" t="str">
        <f t="array" aca="1" ref="M14" ca="1">IFERROR(INDEX(Tableau6[prochaine visite pis],SMALL(IF((Tableau6[prochaine visite pis]&gt;TODAY()+365)*(Tableau6[Status]="Actif"),ROW(Tableau6[prochaine visite pis])-MIN(ROW(Employé!$BB$4))+1,""),ROWS(M$5:M14))),"")</f>
        <v/>
      </c>
      <c r="N14" s="8" t="str">
        <f t="array" aca="1" ref="N14" ca="1">IFERROR(INDEX(Tableau6[Nom abrégé],SMALL(IF((Tableau6[prochaine visite pis]&gt;TODAY()+365)*(Tableau6[Status]="Actif"),ROW(Tableau6[prochaine visite pis])-MIN(ROW(Employé!$BB$4))+1,""),ROWS(N$5:N14))),"")</f>
        <v/>
      </c>
    </row>
    <row r="15" spans="1:14" x14ac:dyDescent="0.2">
      <c r="A15" s="9"/>
      <c r="B15" s="2">
        <f t="array" aca="1" ref="B15" ca="1">IFERROR(INDEX(Tableau6[prochaine visite rpa],SMALL(IF((Tableau6[prochaine visite rpa]&lt;TODAY())*(Tableau6[Status]="Actif"),ROW(Tableau6[prochaine visite rpa])-MIN(ROW(Employé!$AP$4))+1,""),ROWS(B$5:B15))),"")</f>
        <v>1096</v>
      </c>
      <c r="C15" s="8" t="str">
        <f t="array" aca="1" ref="C15" ca="1">IFERROR(INDEX(Tableau6[Nom abrégé],SMALL(IF((Tableau6[prochaine visite rpa]&lt;TODAY())*(Tableau6[Status]="Actif"),ROW(Tableau6[prochaine visite rpa])-MIN(ROW(Employé!$AP$4))+1,""),ROWS(C$5:C15))),"")</f>
        <v>FERRARA Ju</v>
      </c>
      <c r="D15" s="2" t="str">
        <f t="array" aca="1" ref="D15" ca="1">IFERROR(INDEX(Tableau6[prochaine visite rpa],SMALL(IF((Tableau6[prochaine visite rpa]&gt;=TODAY())*(Tableau6[prochaine visite rpa]&lt;=TODAY()+365)*(Tableau6[Status]="Actif"),ROW(Tableau6[prochaine visite rpa])-MIN(ROW(Employé!$AP$4))+1,""),ROWS(D$5:D15))),"")</f>
        <v/>
      </c>
      <c r="E15" s="8" t="str">
        <f t="array" aca="1" ref="E15" ca="1">IFERROR(INDEX(Tableau6[Nom abrégé],SMALL(IF((Tableau6[prochaine visite rpa]&gt;=TODAY())*(Tableau6[prochaine visite rpa]&lt;=TODAY()+365)*(Tableau6[Status]="Actif"),ROW(Tableau6[prochaine visite rpa])-MIN(ROW(Employé!$AP$4))+1,""),ROWS(E$5:E15))),"")</f>
        <v/>
      </c>
      <c r="F15" s="2" t="str">
        <f t="array" aca="1" ref="F15" ca="1">IFERROR(INDEX(Tableau6[prochaine visite rpa],SMALL(IF((Tableau6[prochaine visite rpa]&gt;TODAY()+365)*(Tableau6[Status]="Actif"),ROW(Tableau6[prochaine visite rpa])-MIN(ROW(Employé!$AP$4))+1,""),ROWS(F$5:F15))),"")</f>
        <v/>
      </c>
      <c r="G15" s="26" t="str">
        <f t="array" aca="1" ref="G15" ca="1">IFERROR(INDEX(Tableau6[Nom abrégé],SMALL(IF((Tableau6[prochaine visite rpa]&gt;TODAY()+365)*(Tableau6[Status]="Actif"),ROW(Tableau6[prochaine visite rpa])-MIN(ROW(Employé!$AP$4))+1,""),ROWS(G$5:G15))),"")</f>
        <v/>
      </c>
      <c r="I15" s="2">
        <f t="array" aca="1" ref="I15" ca="1">IFERROR(INDEX(Tableau6[prochaine visite pis],SMALL(IF((Tableau6[prochaine visite pis]&lt;TODAY())*(Tableau6[Status]="Actif"),ROW(Tableau6[prochaine visite pis])-MIN(ROW(Employé!$BB$4))+1,""),ROWS(I$5:I15))),"")</f>
        <v>1096</v>
      </c>
      <c r="J15" s="10" t="str">
        <f t="array" aca="1" ref="J15" ca="1">IFERROR(INDEX(Tableau6[Nom abrégé],SMALL(IF((Tableau6[prochaine visite pis]&lt;TODAY())*(Tableau6[Status]="Actif"),ROW(Tableau6[prochaine visite pis])-MIN(ROW(Employé!$BB$4))+1,""),ROWS(J$5:J15))),"")</f>
        <v>FERRARA Ju</v>
      </c>
      <c r="K15" s="11" t="str">
        <f t="array" aca="1" ref="K15" ca="1">IFERROR(INDEX(Tableau6[prochaine visite pis],SMALL(IF((Tableau6[prochaine visite pis]&gt;=TODAY())*(Tableau6[prochaine visite pis]&lt;=TODAY()+365)*(Tableau6[Status]="Actif"),ROW(Tableau6[prochaine visite pis])-MIN(ROW(Employé!$BB$4))+1,""),ROWS(K$5:K15))),"")</f>
        <v/>
      </c>
      <c r="L15" s="12" t="str">
        <f t="array" aca="1" ref="L15" ca="1">IFERROR(INDEX(Tableau6[Nom abrégé],SMALL(IF((Tableau6[prochaine visite pis]&gt;=TODAY())*(Tableau6[prochaine visite pis]&lt;=TODAY()+365)*(Tableau6[Status]="Actif"),ROW(Tableau6[prochaine visite pis])-MIN(ROW(Employé!$BB$4))+1,""),ROWS(L$5:L15))),"")</f>
        <v/>
      </c>
      <c r="M15" s="2" t="str">
        <f t="array" aca="1" ref="M15" ca="1">IFERROR(INDEX(Tableau6[prochaine visite pis],SMALL(IF((Tableau6[prochaine visite pis]&gt;TODAY()+365)*(Tableau6[Status]="Actif"),ROW(Tableau6[prochaine visite pis])-MIN(ROW(Employé!$BB$4))+1,""),ROWS(M$5:M15))),"")</f>
        <v/>
      </c>
      <c r="N15" s="8" t="str">
        <f t="array" aca="1" ref="N15" ca="1">IFERROR(INDEX(Tableau6[Nom abrégé],SMALL(IF((Tableau6[prochaine visite pis]&gt;TODAY()+365)*(Tableau6[Status]="Actif"),ROW(Tableau6[prochaine visite pis])-MIN(ROW(Employé!$BB$4))+1,""),ROWS(N$5:N15))),"")</f>
        <v/>
      </c>
    </row>
    <row r="16" spans="1:14" x14ac:dyDescent="0.2">
      <c r="A16" s="9"/>
      <c r="B16" s="2">
        <f t="array" aca="1" ref="B16" ca="1">IFERROR(INDEX(Tableau6[prochaine visite rpa],SMALL(IF((Tableau6[prochaine visite rpa]&lt;TODAY())*(Tableau6[Status]="Actif"),ROW(Tableau6[prochaine visite rpa])-MIN(ROW(Employé!$AP$4))+1,""),ROWS(B$5:B16))),"")</f>
        <v>1096</v>
      </c>
      <c r="C16" s="8" t="str">
        <f t="array" aca="1" ref="C16" ca="1">IFERROR(INDEX(Tableau6[Nom abrégé],SMALL(IF((Tableau6[prochaine visite rpa]&lt;TODAY())*(Tableau6[Status]="Actif"),ROW(Tableau6[prochaine visite rpa])-MIN(ROW(Employé!$AP$4))+1,""),ROWS(C$5:C16))),"")</f>
        <v>BALLESTER Xa</v>
      </c>
      <c r="D16" s="2" t="str">
        <f t="array" aca="1" ref="D16" ca="1">IFERROR(INDEX(Tableau6[prochaine visite rpa],SMALL(IF((Tableau6[prochaine visite rpa]&gt;=TODAY())*(Tableau6[prochaine visite rpa]&lt;=TODAY()+365)*(Tableau6[Status]="Actif"),ROW(Tableau6[prochaine visite rpa])-MIN(ROW(Employé!$AP$4))+1,""),ROWS(D$5:D16))),"")</f>
        <v/>
      </c>
      <c r="E16" s="8" t="str">
        <f t="array" aca="1" ref="E16" ca="1">IFERROR(INDEX(Tableau6[Nom abrégé],SMALL(IF((Tableau6[prochaine visite rpa]&gt;=TODAY())*(Tableau6[prochaine visite rpa]&lt;=TODAY()+365)*(Tableau6[Status]="Actif"),ROW(Tableau6[prochaine visite rpa])-MIN(ROW(Employé!$AP$4))+1,""),ROWS(E$5:E16))),"")</f>
        <v/>
      </c>
      <c r="F16" s="2" t="str">
        <f t="array" aca="1" ref="F16" ca="1">IFERROR(INDEX(Tableau6[prochaine visite rpa],SMALL(IF((Tableau6[prochaine visite rpa]&gt;TODAY()+365)*(Tableau6[Status]="Actif"),ROW(Tableau6[prochaine visite rpa])-MIN(ROW(Employé!$AP$4))+1,""),ROWS(F$5:F16))),"")</f>
        <v/>
      </c>
      <c r="G16" s="26" t="str">
        <f t="array" aca="1" ref="G16" ca="1">IFERROR(INDEX(Tableau6[Nom abrégé],SMALL(IF((Tableau6[prochaine visite rpa]&gt;TODAY()+365)*(Tableau6[Status]="Actif"),ROW(Tableau6[prochaine visite rpa])-MIN(ROW(Employé!$AP$4))+1,""),ROWS(G$5:G16))),"")</f>
        <v/>
      </c>
      <c r="I16" s="2">
        <f t="array" aca="1" ref="I16" ca="1">IFERROR(INDEX(Tableau6[prochaine visite pis],SMALL(IF((Tableau6[prochaine visite pis]&lt;TODAY())*(Tableau6[Status]="Actif"),ROW(Tableau6[prochaine visite pis])-MIN(ROW(Employé!$BB$4))+1,""),ROWS(I$5:I16))),"")</f>
        <v>1096</v>
      </c>
      <c r="J16" s="10" t="str">
        <f t="array" aca="1" ref="J16" ca="1">IFERROR(INDEX(Tableau6[Nom abrégé],SMALL(IF((Tableau6[prochaine visite pis]&lt;TODAY())*(Tableau6[Status]="Actif"),ROW(Tableau6[prochaine visite pis])-MIN(ROW(Employé!$BB$4))+1,""),ROWS(J$5:J16))),"")</f>
        <v>BALLESTER Xa</v>
      </c>
      <c r="K16" s="11" t="str">
        <f t="array" aca="1" ref="K16" ca="1">IFERROR(INDEX(Tableau6[prochaine visite pis],SMALL(IF((Tableau6[prochaine visite pis]&gt;=TODAY())*(Tableau6[prochaine visite pis]&lt;=TODAY()+365)*(Tableau6[Status]="Actif"),ROW(Tableau6[prochaine visite pis])-MIN(ROW(Employé!$BB$4))+1,""),ROWS(K$5:K16))),"")</f>
        <v/>
      </c>
      <c r="L16" s="12" t="str">
        <f t="array" aca="1" ref="L16" ca="1">IFERROR(INDEX(Tableau6[Nom abrégé],SMALL(IF((Tableau6[prochaine visite pis]&gt;=TODAY())*(Tableau6[prochaine visite pis]&lt;=TODAY()+365)*(Tableau6[Status]="Actif"),ROW(Tableau6[prochaine visite pis])-MIN(ROW(Employé!$BB$4))+1,""),ROWS(L$5:L16))),"")</f>
        <v/>
      </c>
      <c r="M16" s="2" t="str">
        <f t="array" aca="1" ref="M16" ca="1">IFERROR(INDEX(Tableau6[prochaine visite pis],SMALL(IF((Tableau6[prochaine visite pis]&gt;TODAY()+365)*(Tableau6[Status]="Actif"),ROW(Tableau6[prochaine visite pis])-MIN(ROW(Employé!$BB$4))+1,""),ROWS(M$5:M16))),"")</f>
        <v/>
      </c>
      <c r="N16" s="8" t="str">
        <f t="array" aca="1" ref="N16" ca="1">IFERROR(INDEX(Tableau6[Nom abrégé],SMALL(IF((Tableau6[prochaine visite pis]&gt;TODAY()+365)*(Tableau6[Status]="Actif"),ROW(Tableau6[prochaine visite pis])-MIN(ROW(Employé!$BB$4))+1,""),ROWS(N$5:N16))),"")</f>
        <v/>
      </c>
    </row>
    <row r="17" spans="1:14" x14ac:dyDescent="0.2">
      <c r="A17" s="9"/>
      <c r="B17" s="2">
        <f t="array" aca="1" ref="B17" ca="1">IFERROR(INDEX(Tableau6[prochaine visite rpa],SMALL(IF((Tableau6[prochaine visite rpa]&lt;TODAY())*(Tableau6[Status]="Actif"),ROW(Tableau6[prochaine visite rpa])-MIN(ROW(Employé!$AP$4))+1,""),ROWS(B$5:B17))),"")</f>
        <v>1096</v>
      </c>
      <c r="C17" s="8" t="str">
        <f t="array" aca="1" ref="C17" ca="1">IFERROR(INDEX(Tableau6[Nom abrégé],SMALL(IF((Tableau6[prochaine visite rpa]&lt;TODAY())*(Tableau6[Status]="Actif"),ROW(Tableau6[prochaine visite rpa])-MIN(ROW(Employé!$AP$4))+1,""),ROWS(C$5:C17))),"")</f>
        <v>DESMYTER Da</v>
      </c>
      <c r="D17" s="2" t="str">
        <f t="array" aca="1" ref="D17" ca="1">IFERROR(INDEX(Tableau6[prochaine visite rpa],SMALL(IF((Tableau6[prochaine visite rpa]&gt;=TODAY())*(Tableau6[prochaine visite rpa]&lt;=TODAY()+365)*(Tableau6[Status]="Actif"),ROW(Tableau6[prochaine visite rpa])-MIN(ROW(Employé!$AP$4))+1,""),ROWS(D$5:D17))),"")</f>
        <v/>
      </c>
      <c r="E17" s="8" t="str">
        <f t="array" aca="1" ref="E17" ca="1">IFERROR(INDEX(Tableau6[Nom abrégé],SMALL(IF((Tableau6[prochaine visite rpa]&gt;=TODAY())*(Tableau6[prochaine visite rpa]&lt;=TODAY()+365)*(Tableau6[Status]="Actif"),ROW(Tableau6[prochaine visite rpa])-MIN(ROW(Employé!$AP$4))+1,""),ROWS(E$5:E17))),"")</f>
        <v/>
      </c>
      <c r="F17" s="2" t="str">
        <f t="array" aca="1" ref="F17" ca="1">IFERROR(INDEX(Tableau6[prochaine visite rpa],SMALL(IF((Tableau6[prochaine visite rpa]&gt;TODAY()+365)*(Tableau6[Status]="Actif"),ROW(Tableau6[prochaine visite rpa])-MIN(ROW(Employé!$AP$4))+1,""),ROWS(F$5:F17))),"")</f>
        <v/>
      </c>
      <c r="G17" s="26" t="str">
        <f t="array" aca="1" ref="G17" ca="1">IFERROR(INDEX(Tableau6[Nom abrégé],SMALL(IF((Tableau6[prochaine visite rpa]&gt;TODAY()+365)*(Tableau6[Status]="Actif"),ROW(Tableau6[prochaine visite rpa])-MIN(ROW(Employé!$AP$4))+1,""),ROWS(G$5:G17))),"")</f>
        <v/>
      </c>
      <c r="I17" s="2">
        <f t="array" aca="1" ref="I17" ca="1">IFERROR(INDEX(Tableau6[prochaine visite pis],SMALL(IF((Tableau6[prochaine visite pis]&lt;TODAY())*(Tableau6[Status]="Actif"),ROW(Tableau6[prochaine visite pis])-MIN(ROW(Employé!$BB$4))+1,""),ROWS(I$5:I17))),"")</f>
        <v>1096</v>
      </c>
      <c r="J17" s="10" t="str">
        <f t="array" aca="1" ref="J17" ca="1">IFERROR(INDEX(Tableau6[Nom abrégé],SMALL(IF((Tableau6[prochaine visite pis]&lt;TODAY())*(Tableau6[Status]="Actif"),ROW(Tableau6[prochaine visite pis])-MIN(ROW(Employé!$BB$4))+1,""),ROWS(J$5:J17))),"")</f>
        <v>DESMYTER Da</v>
      </c>
      <c r="K17" s="11" t="str">
        <f t="array" aca="1" ref="K17" ca="1">IFERROR(INDEX(Tableau6[prochaine visite pis],SMALL(IF((Tableau6[prochaine visite pis]&gt;=TODAY())*(Tableau6[prochaine visite pis]&lt;=TODAY()+365)*(Tableau6[Status]="Actif"),ROW(Tableau6[prochaine visite pis])-MIN(ROW(Employé!$BB$4))+1,""),ROWS(K$5:K17))),"")</f>
        <v/>
      </c>
      <c r="L17" s="12" t="str">
        <f t="array" aca="1" ref="L17" ca="1">IFERROR(INDEX(Tableau6[Nom abrégé],SMALL(IF((Tableau6[prochaine visite pis]&gt;=TODAY())*(Tableau6[prochaine visite pis]&lt;=TODAY()+365)*(Tableau6[Status]="Actif"),ROW(Tableau6[prochaine visite pis])-MIN(ROW(Employé!$BB$4))+1,""),ROWS(L$5:L17))),"")</f>
        <v/>
      </c>
      <c r="M17" s="2" t="str">
        <f t="array" aca="1" ref="M17" ca="1">IFERROR(INDEX(Tableau6[prochaine visite pis],SMALL(IF((Tableau6[prochaine visite pis]&gt;TODAY()+365)*(Tableau6[Status]="Actif"),ROW(Tableau6[prochaine visite pis])-MIN(ROW(Employé!$BB$4))+1,""),ROWS(M$5:M17))),"")</f>
        <v/>
      </c>
      <c r="N17" s="8" t="str">
        <f t="array" aca="1" ref="N17" ca="1">IFERROR(INDEX(Tableau6[Nom abrégé],SMALL(IF((Tableau6[prochaine visite pis]&gt;TODAY()+365)*(Tableau6[Status]="Actif"),ROW(Tableau6[prochaine visite pis])-MIN(ROW(Employé!$BB$4))+1,""),ROWS(N$5:N17))),"")</f>
        <v/>
      </c>
    </row>
    <row r="18" spans="1:14" x14ac:dyDescent="0.2">
      <c r="A18" s="9"/>
      <c r="B18" s="2">
        <f t="array" aca="1" ref="B18" ca="1">IFERROR(INDEX(Tableau6[prochaine visite rpa],SMALL(IF((Tableau6[prochaine visite rpa]&lt;TODAY())*(Tableau6[Status]="Actif"),ROW(Tableau6[prochaine visite rpa])-MIN(ROW(Employé!$AP$4))+1,""),ROWS(B$5:B18))),"")</f>
        <v>1096</v>
      </c>
      <c r="C18" s="8" t="str">
        <f t="array" aca="1" ref="C18" ca="1">IFERROR(INDEX(Tableau6[Nom abrégé],SMALL(IF((Tableau6[prochaine visite rpa]&lt;TODAY())*(Tableau6[Status]="Actif"),ROW(Tableau6[prochaine visite rpa])-MIN(ROW(Employé!$AP$4))+1,""),ROWS(C$5:C18))),"")</f>
        <v>NAJJARI Mo</v>
      </c>
      <c r="D18" s="2" t="str">
        <f t="array" aca="1" ref="D18" ca="1">IFERROR(INDEX(Tableau6[prochaine visite rpa],SMALL(IF((Tableau6[prochaine visite rpa]&gt;=TODAY())*(Tableau6[prochaine visite rpa]&lt;=TODAY()+365)*(Tableau6[Status]="Actif"),ROW(Tableau6[prochaine visite rpa])-MIN(ROW(Employé!$AP$4))+1,""),ROWS(D$5:D18))),"")</f>
        <v/>
      </c>
      <c r="E18" s="8" t="str">
        <f t="array" aca="1" ref="E18" ca="1">IFERROR(INDEX(Tableau6[Nom abrégé],SMALL(IF((Tableau6[prochaine visite rpa]&gt;=TODAY())*(Tableau6[prochaine visite rpa]&lt;=TODAY()+365)*(Tableau6[Status]="Actif"),ROW(Tableau6[prochaine visite rpa])-MIN(ROW(Employé!$AP$4))+1,""),ROWS(E$5:E18))),"")</f>
        <v/>
      </c>
      <c r="F18" s="2" t="str">
        <f t="array" aca="1" ref="F18" ca="1">IFERROR(INDEX(Tableau6[prochaine visite rpa],SMALL(IF((Tableau6[prochaine visite rpa]&gt;TODAY()+365)*(Tableau6[Status]="Actif"),ROW(Tableau6[prochaine visite rpa])-MIN(ROW(Employé!$AP$4))+1,""),ROWS(F$5:F18))),"")</f>
        <v/>
      </c>
      <c r="G18" s="26" t="str">
        <f t="array" aca="1" ref="G18" ca="1">IFERROR(INDEX(Tableau6[Nom abrégé],SMALL(IF((Tableau6[prochaine visite rpa]&gt;TODAY()+365)*(Tableau6[Status]="Actif"),ROW(Tableau6[prochaine visite rpa])-MIN(ROW(Employé!$AP$4))+1,""),ROWS(G$5:G18))),"")</f>
        <v/>
      </c>
      <c r="I18" s="2">
        <f t="array" aca="1" ref="I18" ca="1">IFERROR(INDEX(Tableau6[prochaine visite pis],SMALL(IF((Tableau6[prochaine visite pis]&lt;TODAY())*(Tableau6[Status]="Actif"),ROW(Tableau6[prochaine visite pis])-MIN(ROW(Employé!$BB$4))+1,""),ROWS(I$5:I18))),"")</f>
        <v>1096</v>
      </c>
      <c r="J18" s="10" t="str">
        <f t="array" aca="1" ref="J18" ca="1">IFERROR(INDEX(Tableau6[Nom abrégé],SMALL(IF((Tableau6[prochaine visite pis]&lt;TODAY())*(Tableau6[Status]="Actif"),ROW(Tableau6[prochaine visite pis])-MIN(ROW(Employé!$BB$4))+1,""),ROWS(J$5:J18))),"")</f>
        <v>NAJJARI Mo</v>
      </c>
      <c r="K18" s="11" t="str">
        <f t="array" aca="1" ref="K18" ca="1">IFERROR(INDEX(Tableau6[prochaine visite pis],SMALL(IF((Tableau6[prochaine visite pis]&gt;=TODAY())*(Tableau6[prochaine visite pis]&lt;=TODAY()+365)*(Tableau6[Status]="Actif"),ROW(Tableau6[prochaine visite pis])-MIN(ROW(Employé!$BB$4))+1,""),ROWS(K$5:K18))),"")</f>
        <v/>
      </c>
      <c r="L18" s="12" t="str">
        <f t="array" aca="1" ref="L18" ca="1">IFERROR(INDEX(Tableau6[Nom abrégé],SMALL(IF((Tableau6[prochaine visite pis]&gt;=TODAY())*(Tableau6[prochaine visite pis]&lt;=TODAY()+365)*(Tableau6[Status]="Actif"),ROW(Tableau6[prochaine visite pis])-MIN(ROW(Employé!$BB$4))+1,""),ROWS(L$5:L18))),"")</f>
        <v/>
      </c>
      <c r="M18" s="2" t="str">
        <f t="array" aca="1" ref="M18" ca="1">IFERROR(INDEX(Tableau6[prochaine visite pis],SMALL(IF((Tableau6[prochaine visite pis]&gt;TODAY()+365)*(Tableau6[Status]="Actif"),ROW(Tableau6[prochaine visite pis])-MIN(ROW(Employé!$BB$4))+1,""),ROWS(M$5:M18))),"")</f>
        <v/>
      </c>
      <c r="N18" s="8" t="str">
        <f t="array" aca="1" ref="N18" ca="1">IFERROR(INDEX(Tableau6[Nom abrégé],SMALL(IF((Tableau6[prochaine visite pis]&gt;TODAY()+365)*(Tableau6[Status]="Actif"),ROW(Tableau6[prochaine visite pis])-MIN(ROW(Employé!$BB$4))+1,""),ROWS(N$5:N18))),"")</f>
        <v/>
      </c>
    </row>
    <row r="19" spans="1:14" ht="13.5" thickBot="1" x14ac:dyDescent="0.25">
      <c r="A19" s="9"/>
      <c r="B19" s="2" t="str">
        <f t="array" aca="1" ref="B19" ca="1">IFERROR(INDEX(Tableau6[prochaine visite rpa],SMALL(IF((Tableau6[prochaine visite rpa]&lt;TODAY())*(Tableau6[Status]="Actif"),ROW(Tableau6[prochaine visite rpa])-MIN(ROW(Employé!$AP$4))+1,""),ROWS(B$5:B19))),"")</f>
        <v/>
      </c>
      <c r="C19" s="8" t="str">
        <f t="array" aca="1" ref="C19" ca="1">IFERROR(INDEX(Tableau6[Nom abrégé],SMALL(IF((Tableau6[prochaine visite rpa]&lt;TODAY())*(Tableau6[Status]="Actif"),ROW(Tableau6[prochaine visite rpa])-MIN(ROW(Employé!$AP$4))+1,""),ROWS(C$5:C19))),"")</f>
        <v/>
      </c>
      <c r="D19" s="2" t="str">
        <f t="array" aca="1" ref="D19" ca="1">IFERROR(INDEX(Tableau6[prochaine visite rpa],SMALL(IF((Tableau6[prochaine visite rpa]&gt;=TODAY())*(Tableau6[prochaine visite rpa]&lt;=TODAY()+365)*(Tableau6[Status]="Actif"),ROW(Tableau6[prochaine visite rpa])-MIN(ROW(Employé!$AP$4))+1,""),ROWS(D$5:D19))),"")</f>
        <v/>
      </c>
      <c r="E19" s="8" t="str">
        <f t="array" aca="1" ref="E19" ca="1">IFERROR(INDEX(Tableau6[Nom abrégé],SMALL(IF((Tableau6[prochaine visite rpa]&gt;=TODAY())*(Tableau6[prochaine visite rpa]&lt;=TODAY()+365)*(Tableau6[Status]="Actif"),ROW(Tableau6[prochaine visite rpa])-MIN(ROW(Employé!$AP$4))+1,""),ROWS(E$5:E19))),"")</f>
        <v/>
      </c>
      <c r="F19" s="2" t="str">
        <f t="array" aca="1" ref="F19" ca="1">IFERROR(INDEX(Tableau6[prochaine visite rpa],SMALL(IF((Tableau6[prochaine visite rpa]&gt;TODAY()+365)*(Tableau6[Status]="Actif"),ROW(Tableau6[prochaine visite rpa])-MIN(ROW(Employé!$AP$4))+1,""),ROWS(F$5:F19))),"")</f>
        <v/>
      </c>
      <c r="G19" s="26" t="str">
        <f t="array" aca="1" ref="G19" ca="1">IFERROR(INDEX(Tableau6[Nom abrégé],SMALL(IF((Tableau6[prochaine visite rpa]&gt;TODAY()+365)*(Tableau6[Status]="Actif"),ROW(Tableau6[prochaine visite rpa])-MIN(ROW(Employé!$AP$4))+1,""),ROWS(G$5:G19))),"")</f>
        <v/>
      </c>
      <c r="I19" s="2" t="str">
        <f t="array" aca="1" ref="I19" ca="1">IFERROR(INDEX(Tableau6[prochaine visite pis],SMALL(IF((Tableau6[prochaine visite pis]&lt;TODAY())*(Tableau6[Status]="Actif"),ROW(Tableau6[prochaine visite pis])-MIN(ROW(Employé!$BB$4))+1,""),ROWS(I$5:I19))),"")</f>
        <v/>
      </c>
      <c r="J19" s="10" t="str">
        <f t="array" aca="1" ref="J19" ca="1">IFERROR(INDEX(Tableau6[Nom abrégé],SMALL(IF((Tableau6[prochaine visite pis]&lt;TODAY())*(Tableau6[Status]="Actif"),ROW(Tableau6[prochaine visite pis])-MIN(ROW(Employé!$BB$4))+1,""),ROWS(J$5:J19))),"")</f>
        <v/>
      </c>
      <c r="K19" s="11" t="str">
        <f t="array" aca="1" ref="K19" ca="1">IFERROR(INDEX(Tableau6[prochaine visite pis],SMALL(IF((Tableau6[prochaine visite pis]&gt;=TODAY())*(Tableau6[prochaine visite pis]&lt;=TODAY()+365)*(Tableau6[Status]="Actif"),ROW(Tableau6[prochaine visite pis])-MIN(ROW(Employé!$BB$4))+1,""),ROWS(K$5:K19))),"")</f>
        <v/>
      </c>
      <c r="L19" s="12" t="str">
        <f t="array" aca="1" ref="L19" ca="1">IFERROR(INDEX(Tableau6[Nom abrégé],SMALL(IF((Tableau6[prochaine visite pis]&gt;=TODAY())*(Tableau6[prochaine visite pis]&lt;=TODAY()+365)*(Tableau6[Status]="Actif"),ROW(Tableau6[prochaine visite pis])-MIN(ROW(Employé!$BB$4))+1,""),ROWS(L$5:L19))),"")</f>
        <v/>
      </c>
      <c r="M19" s="2" t="str">
        <f t="array" aca="1" ref="M19" ca="1">IFERROR(INDEX(Tableau6[prochaine visite pis],SMALL(IF((Tableau6[prochaine visite pis]&gt;TODAY()+365)*(Tableau6[Status]="Actif"),ROW(Tableau6[prochaine visite pis])-MIN(ROW(Employé!$BB$4))+1,""),ROWS(M$5:M19))),"")</f>
        <v/>
      </c>
      <c r="N19" s="8" t="str">
        <f t="array" aca="1" ref="N19" ca="1">IFERROR(INDEX(Tableau6[Nom abrégé],SMALL(IF((Tableau6[prochaine visite pis]&gt;TODAY()+365)*(Tableau6[Status]="Actif"),ROW(Tableau6[prochaine visite pis])-MIN(ROW(Employé!$BB$4))+1,""),ROWS(N$5:N19))),"")</f>
        <v/>
      </c>
    </row>
    <row r="20" spans="1:14" ht="13.5" thickTop="1" x14ac:dyDescent="0.2">
      <c r="A20" s="9"/>
      <c r="B20" s="21"/>
      <c r="C20" s="22"/>
      <c r="D20" s="22"/>
      <c r="E20" s="22"/>
      <c r="F20" s="22"/>
      <c r="G20" s="22"/>
      <c r="I20" s="21"/>
      <c r="J20" s="22"/>
      <c r="K20" s="22"/>
      <c r="L20" s="22"/>
      <c r="M20" s="22"/>
      <c r="N20" s="22"/>
    </row>
    <row r="21" spans="1:14" x14ac:dyDescent="0.2">
      <c r="B21" s="25" t="s">
        <v>126</v>
      </c>
      <c r="I21" s="25" t="s">
        <v>126</v>
      </c>
    </row>
    <row r="22" spans="1:14" ht="15.75" x14ac:dyDescent="0.2">
      <c r="B22" s="81" t="s">
        <v>123</v>
      </c>
      <c r="C22" s="82"/>
      <c r="D22" s="82"/>
      <c r="E22" s="82"/>
      <c r="F22" s="82"/>
      <c r="G22" s="83"/>
      <c r="I22" s="81" t="s">
        <v>124</v>
      </c>
      <c r="J22" s="82"/>
      <c r="K22" s="82"/>
      <c r="L22" s="82"/>
      <c r="M22" s="82"/>
      <c r="N22" s="83"/>
    </row>
    <row r="23" spans="1:14" x14ac:dyDescent="0.2">
      <c r="B23" s="84" t="s">
        <v>24</v>
      </c>
      <c r="C23" s="84"/>
      <c r="D23" s="85" t="str">
        <f ca="1">TEXT(TODAY(),"jj/mm/aaaa")&amp;" --&gt; "&amp;TEXT(TODAY()+365,"jj/mm/aaaa")</f>
        <v>10/10/2018 --&gt; 10/10/2019</v>
      </c>
      <c r="E23" s="85"/>
      <c r="F23" s="86" t="str">
        <f ca="1">"&gt; "&amp;TEXT(TODAY()+365,"jj/mm/aaaa")</f>
        <v>&gt; 10/10/2019</v>
      </c>
      <c r="G23" s="86"/>
      <c r="I23" s="84" t="s">
        <v>24</v>
      </c>
      <c r="J23" s="84"/>
      <c r="K23" s="85" t="str">
        <f ca="1">TEXT(TODAY(),"jj/mm/aaaa")&amp;" --&gt; "&amp;TEXT(TODAY()+365,"jj/mm/aaaa")</f>
        <v>10/10/2018 --&gt; 10/10/2019</v>
      </c>
      <c r="L23" s="85"/>
      <c r="M23" s="86" t="str">
        <f ca="1">"&gt; "&amp;TEXT(TODAY()+365,"jj/mm/aaaa")</f>
        <v>&gt; 10/10/2019</v>
      </c>
      <c r="N23" s="86"/>
    </row>
    <row r="24" spans="1:14" x14ac:dyDescent="0.2">
      <c r="B24" s="15" t="s">
        <v>25</v>
      </c>
      <c r="C24" s="15" t="s">
        <v>26</v>
      </c>
      <c r="D24" s="15" t="s">
        <v>25</v>
      </c>
      <c r="E24" s="15" t="s">
        <v>26</v>
      </c>
      <c r="F24" s="15" t="s">
        <v>25</v>
      </c>
      <c r="G24" s="15" t="s">
        <v>26</v>
      </c>
      <c r="I24" s="15" t="s">
        <v>25</v>
      </c>
      <c r="J24" s="15" t="s">
        <v>26</v>
      </c>
      <c r="K24" s="15" t="s">
        <v>25</v>
      </c>
      <c r="L24" s="15" t="s">
        <v>26</v>
      </c>
      <c r="M24" s="15" t="s">
        <v>25</v>
      </c>
      <c r="N24" s="15" t="s">
        <v>26</v>
      </c>
    </row>
    <row r="25" spans="1:14" x14ac:dyDescent="0.2">
      <c r="B25" s="2">
        <f t="array" aca="1" ref="B25" ca="1">IFERROR(INDEX(Tableau6[prochaine visite sur],SMALL(IF((Tableau6[prochaine visite sur]&lt;TODAY())*(Tableau6[Status]="Actif"),ROW(Tableau6[prochaine visite sur])-MIN(ROW(Employé!$AY$4))+1,""),ROWS(B$25:B25))),"")</f>
        <v>1096</v>
      </c>
      <c r="C25" s="8" t="str">
        <f t="array" aca="1" ref="C25" ca="1">IFERROR(INDEX(Tableau6[Nom abrégé],SMALL(IF((Tableau6[prochaine visite sur]&lt;TODAY())*(Tableau6[Status]="Actif"),ROW(Tableau6[prochaine visite sur])-MIN(ROW(Employé!$AY$4))+1,""),ROWS(C$25:C25))),"")</f>
        <v>BENAZET Je</v>
      </c>
      <c r="D25" s="2" t="str">
        <f t="array" aca="1" ref="D25" ca="1">IFERROR(INDEX(Tableau6[prochaine visite sur],SMALL(IF((Tableau6[prochaine visite sur]&gt;=TODAY())*(Tableau6[prochaine visite sur]&lt;=TODAY()+365)*(Tableau6[Status]="Actif"),ROW(Tableau6[prochaine visite sur])-MIN(ROW(Employé!$AY$4))+1,""),ROWS(D$25:D25))),"")</f>
        <v/>
      </c>
      <c r="E25" s="8" t="str">
        <f t="array" aca="1" ref="E25" ca="1">IFERROR(INDEX(Tableau6[Nom abrégé],SMALL(IF((Tableau6[prochaine visite sur]&gt;=TODAY())*(Tableau6[prochaine visite sur]&lt;=TODAY()+365)*(Tableau6[Status]="Actif"),ROW(Tableau6[prochaine visite sur])-MIN(ROW(Employé!$AY$4))+1,""),ROWS(E$25:E25))),"")</f>
        <v/>
      </c>
      <c r="F25" s="2" t="str">
        <f t="array" aca="1" ref="F25" ca="1">IFERROR(INDEX(Tableau6[prochaine visite sur],SMALL(IF((Tableau6[prochaine visite sur]&gt;TODAY()+365)*(Tableau6[Status]="Actif"),ROW(Tableau6[prochaine visite sur])-MIN(ROW(Employé!$AY$4))+1,""),ROWS(F$25:F25))),"")</f>
        <v/>
      </c>
      <c r="G25" s="8" t="str">
        <f t="array" aca="1" ref="G25" ca="1">IFERROR(INDEX(Tableau6[Nom abrégé],SMALL(IF((Tableau6[prochaine visite sur]&gt;TODAY()+365)*(Tableau6[Status]="Actif"),ROW(Tableau6[prochaine visite sur])-MIN(ROW(Employé!$AY$4))+1,""),ROWS(G$25:G25))),"")</f>
        <v/>
      </c>
      <c r="I25" s="2">
        <f t="array" aca="1" ref="I25" ca="1">IFERROR(INDEX(Tableau6[prochaine visite bad],SMALL(IF((Tableau6[prochaine visite bad]&lt;TODAY())*(Tableau6[Status]="Actif"),ROW(Tableau6[prochaine visite bad])-MIN(ROW(Employé!$AV$4))+1,""),ROWS(I$25:I25))),"")</f>
        <v>1096</v>
      </c>
      <c r="J25" s="8" t="str">
        <f t="array" aca="1" ref="J25" ca="1">IFERROR(INDEX(Tableau6[Nom abrégé],SMALL(IF((Tableau6[prochaine visite bad]&lt;TODAY())*(Tableau6[Status]="Actif"),ROW(Tableau6[prochaine visite bad])-MIN(ROW(Employé!$AV$4))+1,""),ROWS(J$25:J25))),"")</f>
        <v>BENAZET Je</v>
      </c>
      <c r="K25" s="2" t="str">
        <f t="array" aca="1" ref="K25" ca="1">IFERROR(INDEX(Tableau6[prochaine visite bad],SMALL(IF((Tableau6[prochaine visite bad]&gt;=TODAY())*(Tableau6[prochaine visite bad]&lt;=TODAY()+365)*(Tableau6[Status]="Actif"),ROW(Tableau6[prochaine visite bad])-MIN(ROW(Employé!$AV$4))+1,""),ROWS(K$25:K25))),"")</f>
        <v/>
      </c>
      <c r="L25" s="8" t="str">
        <f t="array" aca="1" ref="L25" ca="1">IFERROR(INDEX(Tableau6[Nom abrégé],SMALL(IF((Tableau6[prochaine visite bad]&gt;=TODAY())*(Tableau6[prochaine visite bad]&lt;=TODAY()+365)*(Tableau6[Status]="Actif"),ROW(Tableau6[prochaine visite bad])-MIN(ROW(Employé!$AV$4))+1,""),ROWS(L$25:L25))),"")</f>
        <v/>
      </c>
      <c r="M25" s="2" t="str">
        <f t="array" aca="1" ref="M25" ca="1">IFERROR(INDEX(Tableau6[prochaine visite bad],SMALL(IF((Tableau6[prochaine visite bad]&gt;TODAY()+365)*(Tableau6[Status]="Actif"),ROW(Tableau6[prochaine visite bad])-MIN(ROW(Employé!$AV$4))+1,""),ROWS(M$25:M25))),"")</f>
        <v/>
      </c>
      <c r="N25" s="8" t="str">
        <f t="array" aca="1" ref="N25" ca="1">IFERROR(INDEX(Tableau6[Nom abrégé],SMALL(IF((Tableau6[prochaine visite bad]&gt;TODAY()+365)*(Tableau6[Status]="Actif"),ROW(Tableau6[prochaine visite bad])-MIN(ROW(Employé!$AV$4))+1,""),ROWS(N$25:N25))),"")</f>
        <v/>
      </c>
    </row>
    <row r="26" spans="1:14" x14ac:dyDescent="0.2">
      <c r="B26" s="2">
        <f t="array" aca="1" ref="B26" ca="1">IFERROR(INDEX(Tableau6[prochaine visite sur],SMALL(IF((Tableau6[prochaine visite sur]&lt;TODAY())*(Tableau6[Status]="Actif"),ROW(Tableau6[prochaine visite sur])-MIN(ROW(Employé!$AY$4))+1,""),ROWS(B$25:B26))),"")</f>
        <v>1096</v>
      </c>
      <c r="C26" s="8" t="str">
        <f t="array" aca="1" ref="C26" ca="1">IFERROR(INDEX(Tableau6[Nom abrégé],SMALL(IF((Tableau6[prochaine visite sur]&lt;TODAY())*(Tableau6[Status]="Actif"),ROW(Tableau6[prochaine visite sur])-MIN(ROW(Employé!$AY$4))+1,""),ROWS(C$25:C26))),"")</f>
        <v>ZARAGOZA Di</v>
      </c>
      <c r="D26" s="2" t="str">
        <f t="array" aca="1" ref="D26" ca="1">IFERROR(INDEX(Tableau6[prochaine visite sur],SMALL(IF((Tableau6[prochaine visite sur]&gt;=TODAY())*(Tableau6[prochaine visite sur]&lt;=TODAY()+365)*(Tableau6[Status]="Actif"),ROW(Tableau6[prochaine visite sur])-MIN(ROW(Employé!$AY$4))+1,""),ROWS(D$25:D26))),"")</f>
        <v/>
      </c>
      <c r="E26" s="8" t="str">
        <f t="array" aca="1" ref="E26" ca="1">IFERROR(INDEX(Tableau6[Nom abrégé],SMALL(IF((Tableau6[prochaine visite sur]&gt;=TODAY())*(Tableau6[prochaine visite sur]&lt;=TODAY()+365)*(Tableau6[Status]="Actif"),ROW(Tableau6[prochaine visite sur])-MIN(ROW(Employé!$AY$4))+1,""),ROWS(E$25:E26))),"")</f>
        <v/>
      </c>
      <c r="F26" s="2" t="str">
        <f t="array" aca="1" ref="F26" ca="1">IFERROR(INDEX(Tableau6[prochaine visite sur],SMALL(IF((Tableau6[prochaine visite sur]&gt;TODAY()+365)*(Tableau6[Status]="Actif"),ROW(Tableau6[prochaine visite sur])-MIN(ROW(Employé!$AY$4))+1,""),ROWS(F$25:F26))),"")</f>
        <v/>
      </c>
      <c r="G26" s="8" t="str">
        <f t="array" aca="1" ref="G26" ca="1">IFERROR(INDEX(Tableau6[Nom abrégé],SMALL(IF((Tableau6[prochaine visite sur]&gt;TODAY()+365)*(Tableau6[Status]="Actif"),ROW(Tableau6[prochaine visite sur])-MIN(ROW(Employé!$AY$4))+1,""),ROWS(G$25:G26))),"")</f>
        <v/>
      </c>
      <c r="I26" s="2">
        <f t="array" aca="1" ref="I26" ca="1">IFERROR(INDEX(Tableau6[prochaine visite bad],SMALL(IF((Tableau6[prochaine visite bad]&lt;TODAY())*(Tableau6[Status]="Actif"),ROW(Tableau6[prochaine visite bad])-MIN(ROW(Employé!$AV$4))+1,""),ROWS(I$25:I26))),"")</f>
        <v>1096</v>
      </c>
      <c r="J26" s="8" t="str">
        <f t="array" aca="1" ref="J26" ca="1">IFERROR(INDEX(Tableau6[Nom abrégé],SMALL(IF((Tableau6[prochaine visite bad]&lt;TODAY())*(Tableau6[Status]="Actif"),ROW(Tableau6[prochaine visite bad])-MIN(ROW(Employé!$AV$4))+1,""),ROWS(J$25:J26))),"")</f>
        <v>ZARAGOZA Di</v>
      </c>
      <c r="K26" s="2" t="str">
        <f t="array" aca="1" ref="K26" ca="1">IFERROR(INDEX(Tableau6[prochaine visite bad],SMALL(IF((Tableau6[prochaine visite bad]&gt;=TODAY())*(Tableau6[prochaine visite bad]&lt;=TODAY()+365)*(Tableau6[Status]="Actif"),ROW(Tableau6[prochaine visite bad])-MIN(ROW(Employé!$AV$4))+1,""),ROWS(K$25:K26))),"")</f>
        <v/>
      </c>
      <c r="L26" s="8" t="str">
        <f t="array" aca="1" ref="L26" ca="1">IFERROR(INDEX(Tableau6[Nom abrégé],SMALL(IF((Tableau6[prochaine visite bad]&gt;=TODAY())*(Tableau6[prochaine visite bad]&lt;=TODAY()+365)*(Tableau6[Status]="Actif"),ROW(Tableau6[prochaine visite bad])-MIN(ROW(Employé!$AV$4))+1,""),ROWS(L$25:L26))),"")</f>
        <v/>
      </c>
      <c r="M26" s="2" t="str">
        <f t="array" aca="1" ref="M26" ca="1">IFERROR(INDEX(Tableau6[prochaine visite bad],SMALL(IF((Tableau6[prochaine visite bad]&gt;TODAY()+365)*(Tableau6[Status]="Actif"),ROW(Tableau6[prochaine visite bad])-MIN(ROW(Employé!$AV$4))+1,""),ROWS(M$25:M26))),"")</f>
        <v/>
      </c>
      <c r="N26" s="8" t="str">
        <f t="array" aca="1" ref="N26" ca="1">IFERROR(INDEX(Tableau6[Nom abrégé],SMALL(IF((Tableau6[prochaine visite bad]&gt;TODAY()+365)*(Tableau6[Status]="Actif"),ROW(Tableau6[prochaine visite bad])-MIN(ROW(Employé!$AV$4))+1,""),ROWS(N$25:N26))),"")</f>
        <v/>
      </c>
    </row>
    <row r="27" spans="1:14" x14ac:dyDescent="0.2">
      <c r="B27" s="2">
        <f t="array" aca="1" ref="B27" ca="1">IFERROR(INDEX(Tableau6[prochaine visite sur],SMALL(IF((Tableau6[prochaine visite sur]&lt;TODAY())*(Tableau6[Status]="Actif"),ROW(Tableau6[prochaine visite sur])-MIN(ROW(Employé!$AY$4))+1,""),ROWS(B$25:B27))),"")</f>
        <v>1096</v>
      </c>
      <c r="C27" s="8" t="str">
        <f t="array" aca="1" ref="C27" ca="1">IFERROR(INDEX(Tableau6[Nom abrégé],SMALL(IF((Tableau6[prochaine visite sur]&lt;TODAY())*(Tableau6[Status]="Actif"),ROW(Tableau6[prochaine visite sur])-MIN(ROW(Employé!$AY$4))+1,""),ROWS(C$25:C27))),"")</f>
        <v>SANTOS Je</v>
      </c>
      <c r="D27" s="2" t="str">
        <f t="array" aca="1" ref="D27" ca="1">IFERROR(INDEX(Tableau6[prochaine visite sur],SMALL(IF((Tableau6[prochaine visite sur]&gt;=TODAY())*(Tableau6[prochaine visite sur]&lt;=TODAY()+365)*(Tableau6[Status]="Actif"),ROW(Tableau6[prochaine visite sur])-MIN(ROW(Employé!$AY$4))+1,""),ROWS(D$25:D27))),"")</f>
        <v/>
      </c>
      <c r="E27" s="8" t="str">
        <f t="array" aca="1" ref="E27" ca="1">IFERROR(INDEX(Tableau6[Nom abrégé],SMALL(IF((Tableau6[prochaine visite sur]&gt;=TODAY())*(Tableau6[prochaine visite sur]&lt;=TODAY()+365)*(Tableau6[Status]="Actif"),ROW(Tableau6[prochaine visite sur])-MIN(ROW(Employé!$AY$4))+1,""),ROWS(E$25:E27))),"")</f>
        <v/>
      </c>
      <c r="F27" s="2" t="str">
        <f t="array" aca="1" ref="F27" ca="1">IFERROR(INDEX(Tableau6[prochaine visite sur],SMALL(IF((Tableau6[prochaine visite sur]&gt;TODAY()+365)*(Tableau6[Status]="Actif"),ROW(Tableau6[prochaine visite sur])-MIN(ROW(Employé!$AY$4))+1,""),ROWS(F$25:F27))),"")</f>
        <v/>
      </c>
      <c r="G27" s="8" t="str">
        <f t="array" aca="1" ref="G27" ca="1">IFERROR(INDEX(Tableau6[Nom abrégé],SMALL(IF((Tableau6[prochaine visite sur]&gt;TODAY()+365)*(Tableau6[Status]="Actif"),ROW(Tableau6[prochaine visite sur])-MIN(ROW(Employé!$AY$4))+1,""),ROWS(G$25:G27))),"")</f>
        <v/>
      </c>
      <c r="I27" s="2">
        <f t="array" aca="1" ref="I27" ca="1">IFERROR(INDEX(Tableau6[prochaine visite bad],SMALL(IF((Tableau6[prochaine visite bad]&lt;TODAY())*(Tableau6[Status]="Actif"),ROW(Tableau6[prochaine visite bad])-MIN(ROW(Employé!$AV$4))+1,""),ROWS(I$25:I27))),"")</f>
        <v>1096</v>
      </c>
      <c r="J27" s="8" t="str">
        <f t="array" aca="1" ref="J27" ca="1">IFERROR(INDEX(Tableau6[Nom abrégé],SMALL(IF((Tableau6[prochaine visite bad]&lt;TODAY())*(Tableau6[Status]="Actif"),ROW(Tableau6[prochaine visite bad])-MIN(ROW(Employé!$AV$4))+1,""),ROWS(J$25:J27))),"")</f>
        <v>SANTOS Je</v>
      </c>
      <c r="K27" s="2" t="str">
        <f t="array" aca="1" ref="K27" ca="1">IFERROR(INDEX(Tableau6[prochaine visite bad],SMALL(IF((Tableau6[prochaine visite bad]&gt;=TODAY())*(Tableau6[prochaine visite bad]&lt;=TODAY()+365)*(Tableau6[Status]="Actif"),ROW(Tableau6[prochaine visite bad])-MIN(ROW(Employé!$AV$4))+1,""),ROWS(K$25:K27))),"")</f>
        <v/>
      </c>
      <c r="L27" s="8" t="str">
        <f t="array" aca="1" ref="L27" ca="1">IFERROR(INDEX(Tableau6[Nom abrégé],SMALL(IF((Tableau6[prochaine visite bad]&gt;=TODAY())*(Tableau6[prochaine visite bad]&lt;=TODAY()+365)*(Tableau6[Status]="Actif"),ROW(Tableau6[prochaine visite bad])-MIN(ROW(Employé!$AV$4))+1,""),ROWS(L$25:L27))),"")</f>
        <v/>
      </c>
      <c r="M27" s="2" t="str">
        <f t="array" aca="1" ref="M27" ca="1">IFERROR(INDEX(Tableau6[prochaine visite bad],SMALL(IF((Tableau6[prochaine visite bad]&gt;TODAY()+365)*(Tableau6[Status]="Actif"),ROW(Tableau6[prochaine visite bad])-MIN(ROW(Employé!$AV$4))+1,""),ROWS(M$25:M27))),"")</f>
        <v/>
      </c>
      <c r="N27" s="8" t="str">
        <f t="array" aca="1" ref="N27" ca="1">IFERROR(INDEX(Tableau6[Nom abrégé],SMALL(IF((Tableau6[prochaine visite bad]&gt;TODAY()+365)*(Tableau6[Status]="Actif"),ROW(Tableau6[prochaine visite bad])-MIN(ROW(Employé!$AV$4))+1,""),ROWS(N$25:N27))),"")</f>
        <v/>
      </c>
    </row>
    <row r="28" spans="1:14" x14ac:dyDescent="0.2">
      <c r="B28" s="2">
        <f t="array" aca="1" ref="B28" ca="1">IFERROR(INDEX(Tableau6[prochaine visite sur],SMALL(IF((Tableau6[prochaine visite sur]&lt;TODAY())*(Tableau6[Status]="Actif"),ROW(Tableau6[prochaine visite sur])-MIN(ROW(Employé!$AY$4))+1,""),ROWS(B$25:B28))),"")</f>
        <v>1096</v>
      </c>
      <c r="C28" s="8" t="str">
        <f t="array" aca="1" ref="C28" ca="1">IFERROR(INDEX(Tableau6[Nom abrégé],SMALL(IF((Tableau6[prochaine visite sur]&lt;TODAY())*(Tableau6[Status]="Actif"),ROW(Tableau6[prochaine visite sur])-MIN(ROW(Employé!$AY$4))+1,""),ROWS(C$25:C28))),"")</f>
        <v>NAVARRO Ch</v>
      </c>
      <c r="D28" s="2" t="str">
        <f t="array" aca="1" ref="D28" ca="1">IFERROR(INDEX(Tableau6[prochaine visite sur],SMALL(IF((Tableau6[prochaine visite sur]&gt;=TODAY())*(Tableau6[prochaine visite sur]&lt;=TODAY()+365)*(Tableau6[Status]="Actif"),ROW(Tableau6[prochaine visite sur])-MIN(ROW(Employé!$AY$4))+1,""),ROWS(D$25:D28))),"")</f>
        <v/>
      </c>
      <c r="E28" s="8" t="str">
        <f t="array" aca="1" ref="E28" ca="1">IFERROR(INDEX(Tableau6[Nom abrégé],SMALL(IF((Tableau6[prochaine visite sur]&gt;=TODAY())*(Tableau6[prochaine visite sur]&lt;=TODAY()+365)*(Tableau6[Status]="Actif"),ROW(Tableau6[prochaine visite sur])-MIN(ROW(Employé!$AY$4))+1,""),ROWS(E$25:E28))),"")</f>
        <v/>
      </c>
      <c r="F28" s="2" t="str">
        <f t="array" aca="1" ref="F28" ca="1">IFERROR(INDEX(Tableau6[prochaine visite sur],SMALL(IF((Tableau6[prochaine visite sur]&gt;TODAY()+365)*(Tableau6[Status]="Actif"),ROW(Tableau6[prochaine visite sur])-MIN(ROW(Employé!$AY$4))+1,""),ROWS(F$25:F28))),"")</f>
        <v/>
      </c>
      <c r="G28" s="8" t="str">
        <f t="array" aca="1" ref="G28" ca="1">IFERROR(INDEX(Tableau6[Nom abrégé],SMALL(IF((Tableau6[prochaine visite sur]&gt;TODAY()+365)*(Tableau6[Status]="Actif"),ROW(Tableau6[prochaine visite sur])-MIN(ROW(Employé!$AY$4))+1,""),ROWS(G$25:G28))),"")</f>
        <v/>
      </c>
      <c r="I28" s="2">
        <f t="array" aca="1" ref="I28" ca="1">IFERROR(INDEX(Tableau6[prochaine visite bad],SMALL(IF((Tableau6[prochaine visite bad]&lt;TODAY())*(Tableau6[Status]="Actif"),ROW(Tableau6[prochaine visite bad])-MIN(ROW(Employé!$AV$4))+1,""),ROWS(I$25:I28))),"")</f>
        <v>1096</v>
      </c>
      <c r="J28" s="8" t="str">
        <f t="array" aca="1" ref="J28" ca="1">IFERROR(INDEX(Tableau6[Nom abrégé],SMALL(IF((Tableau6[prochaine visite bad]&lt;TODAY())*(Tableau6[Status]="Actif"),ROW(Tableau6[prochaine visite bad])-MIN(ROW(Employé!$AV$4))+1,""),ROWS(J$25:J28))),"")</f>
        <v>NAVARRO Ch</v>
      </c>
      <c r="K28" s="2" t="str">
        <f t="array" aca="1" ref="K28" ca="1">IFERROR(INDEX(Tableau6[prochaine visite bad],SMALL(IF((Tableau6[prochaine visite bad]&gt;=TODAY())*(Tableau6[prochaine visite bad]&lt;=TODAY()+365)*(Tableau6[Status]="Actif"),ROW(Tableau6[prochaine visite bad])-MIN(ROW(Employé!$AV$4))+1,""),ROWS(K$25:K28))),"")</f>
        <v/>
      </c>
      <c r="L28" s="8" t="str">
        <f t="array" aca="1" ref="L28" ca="1">IFERROR(INDEX(Tableau6[Nom abrégé],SMALL(IF((Tableau6[prochaine visite bad]&gt;=TODAY())*(Tableau6[prochaine visite bad]&lt;=TODAY()+365)*(Tableau6[Status]="Actif"),ROW(Tableau6[prochaine visite bad])-MIN(ROW(Employé!$AV$4))+1,""),ROWS(L$25:L28))),"")</f>
        <v/>
      </c>
      <c r="M28" s="2" t="str">
        <f t="array" aca="1" ref="M28" ca="1">IFERROR(INDEX(Tableau6[prochaine visite bad],SMALL(IF((Tableau6[prochaine visite bad]&gt;TODAY()+365)*(Tableau6[Status]="Actif"),ROW(Tableau6[prochaine visite bad])-MIN(ROW(Employé!$AV$4))+1,""),ROWS(M$25:M28))),"")</f>
        <v/>
      </c>
      <c r="N28" s="8" t="str">
        <f t="array" aca="1" ref="N28" ca="1">IFERROR(INDEX(Tableau6[Nom abrégé],SMALL(IF((Tableau6[prochaine visite bad]&gt;TODAY()+365)*(Tableau6[Status]="Actif"),ROW(Tableau6[prochaine visite bad])-MIN(ROW(Employé!$AV$4))+1,""),ROWS(N$25:N28))),"")</f>
        <v/>
      </c>
    </row>
    <row r="29" spans="1:14" x14ac:dyDescent="0.2">
      <c r="B29" s="2">
        <f t="array" aca="1" ref="B29" ca="1">IFERROR(INDEX(Tableau6[prochaine visite sur],SMALL(IF((Tableau6[prochaine visite sur]&lt;TODAY())*(Tableau6[Status]="Actif"),ROW(Tableau6[prochaine visite sur])-MIN(ROW(Employé!$AY$4))+1,""),ROWS(B$25:B29))),"")</f>
        <v>1096</v>
      </c>
      <c r="C29" s="8" t="str">
        <f t="array" aca="1" ref="C29" ca="1">IFERROR(INDEX(Tableau6[Nom abrégé],SMALL(IF((Tableau6[prochaine visite sur]&lt;TODAY())*(Tableau6[Status]="Actif"),ROW(Tableau6[prochaine visite sur])-MIN(ROW(Employé!$AY$4))+1,""),ROWS(C$25:C29))),"")</f>
        <v>AUDIE An</v>
      </c>
      <c r="D29" s="2" t="str">
        <f t="array" aca="1" ref="D29" ca="1">IFERROR(INDEX(Tableau6[prochaine visite sur],SMALL(IF((Tableau6[prochaine visite sur]&gt;=TODAY())*(Tableau6[prochaine visite sur]&lt;=TODAY()+365)*(Tableau6[Status]="Actif"),ROW(Tableau6[prochaine visite sur])-MIN(ROW(Employé!$AY$4))+1,""),ROWS(D$25:D29))),"")</f>
        <v/>
      </c>
      <c r="E29" s="8" t="str">
        <f t="array" aca="1" ref="E29" ca="1">IFERROR(INDEX(Tableau6[Nom abrégé],SMALL(IF((Tableau6[prochaine visite sur]&gt;=TODAY())*(Tableau6[prochaine visite sur]&lt;=TODAY()+365)*(Tableau6[Status]="Actif"),ROW(Tableau6[prochaine visite sur])-MIN(ROW(Employé!$AY$4))+1,""),ROWS(E$25:E29))),"")</f>
        <v/>
      </c>
      <c r="F29" s="2" t="str">
        <f t="array" aca="1" ref="F29" ca="1">IFERROR(INDEX(Tableau6[prochaine visite sur],SMALL(IF((Tableau6[prochaine visite sur]&gt;TODAY()+365)*(Tableau6[Status]="Actif"),ROW(Tableau6[prochaine visite sur])-MIN(ROW(Employé!$AY$4))+1,""),ROWS(F$25:F29))),"")</f>
        <v/>
      </c>
      <c r="G29" s="8" t="str">
        <f t="array" aca="1" ref="G29" ca="1">IFERROR(INDEX(Tableau6[Nom abrégé],SMALL(IF((Tableau6[prochaine visite sur]&gt;TODAY()+365)*(Tableau6[Status]="Actif"),ROW(Tableau6[prochaine visite sur])-MIN(ROW(Employé!$AY$4))+1,""),ROWS(G$25:G29))),"")</f>
        <v/>
      </c>
      <c r="I29" s="2">
        <f t="array" aca="1" ref="I29" ca="1">IFERROR(INDEX(Tableau6[prochaine visite bad],SMALL(IF((Tableau6[prochaine visite bad]&lt;TODAY())*(Tableau6[Status]="Actif"),ROW(Tableau6[prochaine visite bad])-MIN(ROW(Employé!$AV$4))+1,""),ROWS(I$25:I29))),"")</f>
        <v>1096</v>
      </c>
      <c r="J29" s="8" t="str">
        <f t="array" aca="1" ref="J29" ca="1">IFERROR(INDEX(Tableau6[Nom abrégé],SMALL(IF((Tableau6[prochaine visite bad]&lt;TODAY())*(Tableau6[Status]="Actif"),ROW(Tableau6[prochaine visite bad])-MIN(ROW(Employé!$AV$4))+1,""),ROWS(J$25:J29))),"")</f>
        <v>AUDIE An</v>
      </c>
      <c r="K29" s="2" t="str">
        <f t="array" aca="1" ref="K29" ca="1">IFERROR(INDEX(Tableau6[prochaine visite bad],SMALL(IF((Tableau6[prochaine visite bad]&gt;=TODAY())*(Tableau6[prochaine visite bad]&lt;=TODAY()+365)*(Tableau6[Status]="Actif"),ROW(Tableau6[prochaine visite bad])-MIN(ROW(Employé!$AV$4))+1,""),ROWS(K$25:K29))),"")</f>
        <v/>
      </c>
      <c r="L29" s="8" t="str">
        <f t="array" aca="1" ref="L29" ca="1">IFERROR(INDEX(Tableau6[Nom abrégé],SMALL(IF((Tableau6[prochaine visite bad]&gt;=TODAY())*(Tableau6[prochaine visite bad]&lt;=TODAY()+365)*(Tableau6[Status]="Actif"),ROW(Tableau6[prochaine visite bad])-MIN(ROW(Employé!$AV$4))+1,""),ROWS(L$25:L29))),"")</f>
        <v/>
      </c>
      <c r="M29" s="2" t="str">
        <f t="array" aca="1" ref="M29" ca="1">IFERROR(INDEX(Tableau6[prochaine visite bad],SMALL(IF((Tableau6[prochaine visite bad]&gt;TODAY()+365)*(Tableau6[Status]="Actif"),ROW(Tableau6[prochaine visite bad])-MIN(ROW(Employé!$AV$4))+1,""),ROWS(M$25:M29))),"")</f>
        <v/>
      </c>
      <c r="N29" s="8" t="str">
        <f t="array" aca="1" ref="N29" ca="1">IFERROR(INDEX(Tableau6[Nom abrégé],SMALL(IF((Tableau6[prochaine visite bad]&gt;TODAY()+365)*(Tableau6[Status]="Actif"),ROW(Tableau6[prochaine visite bad])-MIN(ROW(Employé!$AV$4))+1,""),ROWS(N$25:N29))),"")</f>
        <v/>
      </c>
    </row>
    <row r="30" spans="1:14" x14ac:dyDescent="0.2">
      <c r="B30" s="2">
        <f t="array" aca="1" ref="B30" ca="1">IFERROR(INDEX(Tableau6[prochaine visite sur],SMALL(IF((Tableau6[prochaine visite sur]&lt;TODAY())*(Tableau6[Status]="Actif"),ROW(Tableau6[prochaine visite sur])-MIN(ROW(Employé!$AY$4))+1,""),ROWS(B$25:B30))),"")</f>
        <v>1096</v>
      </c>
      <c r="C30" s="8" t="str">
        <f t="array" aca="1" ref="C30" ca="1">IFERROR(INDEX(Tableau6[Nom abrégé],SMALL(IF((Tableau6[prochaine visite sur]&lt;TODAY())*(Tableau6[Status]="Actif"),ROW(Tableau6[prochaine visite sur])-MIN(ROW(Employé!$AY$4))+1,""),ROWS(C$25:C30))),"")</f>
        <v>DISTEFANO Al</v>
      </c>
      <c r="D30" s="2" t="str">
        <f t="array" aca="1" ref="D30" ca="1">IFERROR(INDEX(Tableau6[prochaine visite sur],SMALL(IF((Tableau6[prochaine visite sur]&gt;=TODAY())*(Tableau6[prochaine visite sur]&lt;=TODAY()+365)*(Tableau6[Status]="Actif"),ROW(Tableau6[prochaine visite sur])-MIN(ROW(Employé!$AY$4))+1,""),ROWS(D$25:D30))),"")</f>
        <v/>
      </c>
      <c r="E30" s="8" t="str">
        <f t="array" aca="1" ref="E30" ca="1">IFERROR(INDEX(Tableau6[Nom abrégé],SMALL(IF((Tableau6[prochaine visite sur]&gt;=TODAY())*(Tableau6[prochaine visite sur]&lt;=TODAY()+365)*(Tableau6[Status]="Actif"),ROW(Tableau6[prochaine visite sur])-MIN(ROW(Employé!$AY$4))+1,""),ROWS(E$25:E30))),"")</f>
        <v/>
      </c>
      <c r="F30" s="2" t="str">
        <f t="array" aca="1" ref="F30" ca="1">IFERROR(INDEX(Tableau6[prochaine visite sur],SMALL(IF((Tableau6[prochaine visite sur]&gt;TODAY()+365)*(Tableau6[Status]="Actif"),ROW(Tableau6[prochaine visite sur])-MIN(ROW(Employé!$AY$4))+1,""),ROWS(F$25:F30))),"")</f>
        <v/>
      </c>
      <c r="G30" s="8" t="str">
        <f t="array" aca="1" ref="G30" ca="1">IFERROR(INDEX(Tableau6[Nom abrégé],SMALL(IF((Tableau6[prochaine visite sur]&gt;TODAY()+365)*(Tableau6[Status]="Actif"),ROW(Tableau6[prochaine visite sur])-MIN(ROW(Employé!$AY$4))+1,""),ROWS(G$25:G30))),"")</f>
        <v/>
      </c>
      <c r="I30" s="2">
        <f t="array" aca="1" ref="I30" ca="1">IFERROR(INDEX(Tableau6[prochaine visite bad],SMALL(IF((Tableau6[prochaine visite bad]&lt;TODAY())*(Tableau6[Status]="Actif"),ROW(Tableau6[prochaine visite bad])-MIN(ROW(Employé!$AV$4))+1,""),ROWS(I$25:I30))),"")</f>
        <v>1096</v>
      </c>
      <c r="J30" s="8" t="str">
        <f t="array" aca="1" ref="J30" ca="1">IFERROR(INDEX(Tableau6[Nom abrégé],SMALL(IF((Tableau6[prochaine visite bad]&lt;TODAY())*(Tableau6[Status]="Actif"),ROW(Tableau6[prochaine visite bad])-MIN(ROW(Employé!$AV$4))+1,""),ROWS(J$25:J30))),"")</f>
        <v>DISTEFANO Al</v>
      </c>
      <c r="K30" s="2" t="str">
        <f t="array" aca="1" ref="K30" ca="1">IFERROR(INDEX(Tableau6[prochaine visite bad],SMALL(IF((Tableau6[prochaine visite bad]&gt;=TODAY())*(Tableau6[prochaine visite bad]&lt;=TODAY()+365)*(Tableau6[Status]="Actif"),ROW(Tableau6[prochaine visite bad])-MIN(ROW(Employé!$AV$4))+1,""),ROWS(K$25:K30))),"")</f>
        <v/>
      </c>
      <c r="L30" s="8" t="str">
        <f t="array" aca="1" ref="L30" ca="1">IFERROR(INDEX(Tableau6[Nom abrégé],SMALL(IF((Tableau6[prochaine visite bad]&gt;=TODAY())*(Tableau6[prochaine visite bad]&lt;=TODAY()+365)*(Tableau6[Status]="Actif"),ROW(Tableau6[prochaine visite bad])-MIN(ROW(Employé!$AV$4))+1,""),ROWS(L$25:L30))),"")</f>
        <v/>
      </c>
      <c r="M30" s="2" t="str">
        <f t="array" aca="1" ref="M30" ca="1">IFERROR(INDEX(Tableau6[prochaine visite bad],SMALL(IF((Tableau6[prochaine visite bad]&gt;TODAY()+365)*(Tableau6[Status]="Actif"),ROW(Tableau6[prochaine visite bad])-MIN(ROW(Employé!$AV$4))+1,""),ROWS(M$25:M30))),"")</f>
        <v/>
      </c>
      <c r="N30" s="8" t="str">
        <f t="array" aca="1" ref="N30" ca="1">IFERROR(INDEX(Tableau6[Nom abrégé],SMALL(IF((Tableau6[prochaine visite bad]&gt;TODAY()+365)*(Tableau6[Status]="Actif"),ROW(Tableau6[prochaine visite bad])-MIN(ROW(Employé!$AV$4))+1,""),ROWS(N$25:N30))),"")</f>
        <v/>
      </c>
    </row>
    <row r="31" spans="1:14" x14ac:dyDescent="0.2">
      <c r="B31" s="2">
        <f t="array" aca="1" ref="B31" ca="1">IFERROR(INDEX(Tableau6[prochaine visite sur],SMALL(IF((Tableau6[prochaine visite sur]&lt;TODAY())*(Tableau6[Status]="Actif"),ROW(Tableau6[prochaine visite sur])-MIN(ROW(Employé!$AY$4))+1,""),ROWS(B$25:B31))),"")</f>
        <v>1096</v>
      </c>
      <c r="C31" s="8" t="str">
        <f t="array" aca="1" ref="C31" ca="1">IFERROR(INDEX(Tableau6[Nom abrégé],SMALL(IF((Tableau6[prochaine visite sur]&lt;TODAY())*(Tableau6[Status]="Actif"),ROW(Tableau6[prochaine visite sur])-MIN(ROW(Employé!$AY$4))+1,""),ROWS(C$25:C31))),"")</f>
        <v>SCHWEITZER Je</v>
      </c>
      <c r="D31" s="2" t="str">
        <f t="array" aca="1" ref="D31" ca="1">IFERROR(INDEX(Tableau6[prochaine visite sur],SMALL(IF((Tableau6[prochaine visite sur]&gt;=TODAY())*(Tableau6[prochaine visite sur]&lt;=TODAY()+365)*(Tableau6[Status]="Actif"),ROW(Tableau6[prochaine visite sur])-MIN(ROW(Employé!$AY$4))+1,""),ROWS(D$25:D31))),"")</f>
        <v/>
      </c>
      <c r="E31" s="8" t="str">
        <f t="array" aca="1" ref="E31" ca="1">IFERROR(INDEX(Tableau6[Nom abrégé],SMALL(IF((Tableau6[prochaine visite sur]&gt;=TODAY())*(Tableau6[prochaine visite sur]&lt;=TODAY()+365)*(Tableau6[Status]="Actif"),ROW(Tableau6[prochaine visite sur])-MIN(ROW(Employé!$AY$4))+1,""),ROWS(E$25:E31))),"")</f>
        <v/>
      </c>
      <c r="F31" s="2" t="str">
        <f t="array" aca="1" ref="F31" ca="1">IFERROR(INDEX(Tableau6[prochaine visite sur],SMALL(IF((Tableau6[prochaine visite sur]&gt;TODAY()+365)*(Tableau6[Status]="Actif"),ROW(Tableau6[prochaine visite sur])-MIN(ROW(Employé!$AY$4))+1,""),ROWS(F$25:F31))),"")</f>
        <v/>
      </c>
      <c r="G31" s="8" t="str">
        <f t="array" aca="1" ref="G31" ca="1">IFERROR(INDEX(Tableau6[Nom abrégé],SMALL(IF((Tableau6[prochaine visite sur]&gt;TODAY()+365)*(Tableau6[Status]="Actif"),ROW(Tableau6[prochaine visite sur])-MIN(ROW(Employé!$AY$4))+1,""),ROWS(G$25:G31))),"")</f>
        <v/>
      </c>
      <c r="I31" s="2">
        <f t="array" aca="1" ref="I31" ca="1">IFERROR(INDEX(Tableau6[prochaine visite bad],SMALL(IF((Tableau6[prochaine visite bad]&lt;TODAY())*(Tableau6[Status]="Actif"),ROW(Tableau6[prochaine visite bad])-MIN(ROW(Employé!$AV$4))+1,""),ROWS(I$25:I31))),"")</f>
        <v>1096</v>
      </c>
      <c r="J31" s="8" t="str">
        <f t="array" aca="1" ref="J31" ca="1">IFERROR(INDEX(Tableau6[Nom abrégé],SMALL(IF((Tableau6[prochaine visite bad]&lt;TODAY())*(Tableau6[Status]="Actif"),ROW(Tableau6[prochaine visite bad])-MIN(ROW(Employé!$AV$4))+1,""),ROWS(J$25:J31))),"")</f>
        <v>SCHWEITZER Je</v>
      </c>
      <c r="K31" s="2" t="str">
        <f t="array" aca="1" ref="K31" ca="1">IFERROR(INDEX(Tableau6[prochaine visite bad],SMALL(IF((Tableau6[prochaine visite bad]&gt;=TODAY())*(Tableau6[prochaine visite bad]&lt;=TODAY()+365)*(Tableau6[Status]="Actif"),ROW(Tableau6[prochaine visite bad])-MIN(ROW(Employé!$AV$4))+1,""),ROWS(K$25:K31))),"")</f>
        <v/>
      </c>
      <c r="L31" s="8" t="str">
        <f t="array" aca="1" ref="L31" ca="1">IFERROR(INDEX(Tableau6[Nom abrégé],SMALL(IF((Tableau6[prochaine visite bad]&gt;=TODAY())*(Tableau6[prochaine visite bad]&lt;=TODAY()+365)*(Tableau6[Status]="Actif"),ROW(Tableau6[prochaine visite bad])-MIN(ROW(Employé!$AV$4))+1,""),ROWS(L$25:L31))),"")</f>
        <v/>
      </c>
      <c r="M31" s="2" t="str">
        <f t="array" aca="1" ref="M31" ca="1">IFERROR(INDEX(Tableau6[prochaine visite bad],SMALL(IF((Tableau6[prochaine visite bad]&gt;TODAY()+365)*(Tableau6[Status]="Actif"),ROW(Tableau6[prochaine visite bad])-MIN(ROW(Employé!$AV$4))+1,""),ROWS(M$25:M31))),"")</f>
        <v/>
      </c>
      <c r="N31" s="8" t="str">
        <f t="array" aca="1" ref="N31" ca="1">IFERROR(INDEX(Tableau6[Nom abrégé],SMALL(IF((Tableau6[prochaine visite bad]&gt;TODAY()+365)*(Tableau6[Status]="Actif"),ROW(Tableau6[prochaine visite bad])-MIN(ROW(Employé!$AV$4))+1,""),ROWS(N$25:N31))),"")</f>
        <v/>
      </c>
    </row>
    <row r="32" spans="1:14" x14ac:dyDescent="0.2">
      <c r="B32" s="2">
        <f t="array" aca="1" ref="B32" ca="1">IFERROR(INDEX(Tableau6[prochaine visite sur],SMALL(IF((Tableau6[prochaine visite sur]&lt;TODAY())*(Tableau6[Status]="Actif"),ROW(Tableau6[prochaine visite sur])-MIN(ROW(Employé!$AY$4))+1,""),ROWS(B$25:B32))),"")</f>
        <v>1096</v>
      </c>
      <c r="C32" s="8" t="str">
        <f t="array" aca="1" ref="C32" ca="1">IFERROR(INDEX(Tableau6[Nom abrégé],SMALL(IF((Tableau6[prochaine visite sur]&lt;TODAY())*(Tableau6[Status]="Actif"),ROW(Tableau6[prochaine visite sur])-MIN(ROW(Employé!$AY$4))+1,""),ROWS(C$25:C32))),"")</f>
        <v>AFONSO Ju</v>
      </c>
      <c r="D32" s="2" t="str">
        <f t="array" aca="1" ref="D32" ca="1">IFERROR(INDEX(Tableau6[prochaine visite sur],SMALL(IF((Tableau6[prochaine visite sur]&gt;=TODAY())*(Tableau6[prochaine visite sur]&lt;=TODAY()+365)*(Tableau6[Status]="Actif"),ROW(Tableau6[prochaine visite sur])-MIN(ROW(Employé!$AY$4))+1,""),ROWS(D$25:D32))),"")</f>
        <v/>
      </c>
      <c r="E32" s="8" t="str">
        <f t="array" aca="1" ref="E32" ca="1">IFERROR(INDEX(Tableau6[Nom abrégé],SMALL(IF((Tableau6[prochaine visite sur]&gt;=TODAY())*(Tableau6[prochaine visite sur]&lt;=TODAY()+365)*(Tableau6[Status]="Actif"),ROW(Tableau6[prochaine visite sur])-MIN(ROW(Employé!$AY$4))+1,""),ROWS(E$25:E32))),"")</f>
        <v/>
      </c>
      <c r="F32" s="2" t="str">
        <f t="array" aca="1" ref="F32" ca="1">IFERROR(INDEX(Tableau6[prochaine visite sur],SMALL(IF((Tableau6[prochaine visite sur]&gt;TODAY()+365)*(Tableau6[Status]="Actif"),ROW(Tableau6[prochaine visite sur])-MIN(ROW(Employé!$AY$4))+1,""),ROWS(F$25:F32))),"")</f>
        <v/>
      </c>
      <c r="G32" s="8" t="str">
        <f t="array" aca="1" ref="G32" ca="1">IFERROR(INDEX(Tableau6[Nom abrégé],SMALL(IF((Tableau6[prochaine visite sur]&gt;TODAY()+365)*(Tableau6[Status]="Actif"),ROW(Tableau6[prochaine visite sur])-MIN(ROW(Employé!$AY$4))+1,""),ROWS(G$25:G32))),"")</f>
        <v/>
      </c>
      <c r="I32" s="2">
        <f t="array" aca="1" ref="I32" ca="1">IFERROR(INDEX(Tableau6[prochaine visite bad],SMALL(IF((Tableau6[prochaine visite bad]&lt;TODAY())*(Tableau6[Status]="Actif"),ROW(Tableau6[prochaine visite bad])-MIN(ROW(Employé!$AV$4))+1,""),ROWS(I$25:I32))),"")</f>
        <v>1096</v>
      </c>
      <c r="J32" s="8" t="str">
        <f t="array" aca="1" ref="J32" ca="1">IFERROR(INDEX(Tableau6[Nom abrégé],SMALL(IF((Tableau6[prochaine visite bad]&lt;TODAY())*(Tableau6[Status]="Actif"),ROW(Tableau6[prochaine visite bad])-MIN(ROW(Employé!$AV$4))+1,""),ROWS(J$25:J32))),"")</f>
        <v>AFONSO Ju</v>
      </c>
      <c r="K32" s="2" t="str">
        <f t="array" aca="1" ref="K32" ca="1">IFERROR(INDEX(Tableau6[prochaine visite bad],SMALL(IF((Tableau6[prochaine visite bad]&gt;=TODAY())*(Tableau6[prochaine visite bad]&lt;=TODAY()+365)*(Tableau6[Status]="Actif"),ROW(Tableau6[prochaine visite bad])-MIN(ROW(Employé!$AV$4))+1,""),ROWS(K$25:K32))),"")</f>
        <v/>
      </c>
      <c r="L32" s="8" t="str">
        <f t="array" aca="1" ref="L32" ca="1">IFERROR(INDEX(Tableau6[Nom abrégé],SMALL(IF((Tableau6[prochaine visite bad]&gt;=TODAY())*(Tableau6[prochaine visite bad]&lt;=TODAY()+365)*(Tableau6[Status]="Actif"),ROW(Tableau6[prochaine visite bad])-MIN(ROW(Employé!$AV$4))+1,""),ROWS(L$25:L32))),"")</f>
        <v/>
      </c>
      <c r="M32" s="2" t="str">
        <f t="array" aca="1" ref="M32" ca="1">IFERROR(INDEX(Tableau6[prochaine visite bad],SMALL(IF((Tableau6[prochaine visite bad]&gt;TODAY()+365)*(Tableau6[Status]="Actif"),ROW(Tableau6[prochaine visite bad])-MIN(ROW(Employé!$AV$4))+1,""),ROWS(M$25:M32))),"")</f>
        <v/>
      </c>
      <c r="N32" s="8" t="str">
        <f t="array" aca="1" ref="N32" ca="1">IFERROR(INDEX(Tableau6[Nom abrégé],SMALL(IF((Tableau6[prochaine visite bad]&gt;TODAY()+365)*(Tableau6[Status]="Actif"),ROW(Tableau6[prochaine visite bad])-MIN(ROW(Employé!$AV$4))+1,""),ROWS(N$25:N32))),"")</f>
        <v/>
      </c>
    </row>
    <row r="33" spans="2:14" x14ac:dyDescent="0.2">
      <c r="B33" s="2">
        <f t="array" aca="1" ref="B33" ca="1">IFERROR(INDEX(Tableau6[prochaine visite sur],SMALL(IF((Tableau6[prochaine visite sur]&lt;TODAY())*(Tableau6[Status]="Actif"),ROW(Tableau6[prochaine visite sur])-MIN(ROW(Employé!$AY$4))+1,""),ROWS(B$25:B33))),"")</f>
        <v>1096</v>
      </c>
      <c r="C33" s="8" t="str">
        <f t="array" aca="1" ref="C33" ca="1">IFERROR(INDEX(Tableau6[Nom abrégé],SMALL(IF((Tableau6[prochaine visite sur]&lt;TODAY())*(Tableau6[Status]="Actif"),ROW(Tableau6[prochaine visite sur])-MIN(ROW(Employé!$AY$4))+1,""),ROWS(C$25:C33))),"")</f>
        <v>LEROY Fr</v>
      </c>
      <c r="D33" s="2" t="str">
        <f t="array" aca="1" ref="D33" ca="1">IFERROR(INDEX(Tableau6[prochaine visite sur],SMALL(IF((Tableau6[prochaine visite sur]&gt;=TODAY())*(Tableau6[prochaine visite sur]&lt;=TODAY()+365)*(Tableau6[Status]="Actif"),ROW(Tableau6[prochaine visite sur])-MIN(ROW(Employé!$AY$4))+1,""),ROWS(D$25:D33))),"")</f>
        <v/>
      </c>
      <c r="E33" s="8" t="str">
        <f t="array" aca="1" ref="E33" ca="1">IFERROR(INDEX(Tableau6[Nom abrégé],SMALL(IF((Tableau6[prochaine visite sur]&gt;=TODAY())*(Tableau6[prochaine visite sur]&lt;=TODAY()+365)*(Tableau6[Status]="Actif"),ROW(Tableau6[prochaine visite sur])-MIN(ROW(Employé!$AY$4))+1,""),ROWS(E$25:E33))),"")</f>
        <v/>
      </c>
      <c r="F33" s="2" t="str">
        <f t="array" aca="1" ref="F33" ca="1">IFERROR(INDEX(Tableau6[prochaine visite sur],SMALL(IF((Tableau6[prochaine visite sur]&gt;TODAY()+365)*(Tableau6[Status]="Actif"),ROW(Tableau6[prochaine visite sur])-MIN(ROW(Employé!$AY$4))+1,""),ROWS(F$25:F33))),"")</f>
        <v/>
      </c>
      <c r="G33" s="8" t="str">
        <f t="array" aca="1" ref="G33" ca="1">IFERROR(INDEX(Tableau6[Nom abrégé],SMALL(IF((Tableau6[prochaine visite sur]&gt;TODAY()+365)*(Tableau6[Status]="Actif"),ROW(Tableau6[prochaine visite sur])-MIN(ROW(Employé!$AY$4))+1,""),ROWS(G$25:G33))),"")</f>
        <v/>
      </c>
      <c r="I33" s="2">
        <f t="array" aca="1" ref="I33" ca="1">IFERROR(INDEX(Tableau6[prochaine visite bad],SMALL(IF((Tableau6[prochaine visite bad]&lt;TODAY())*(Tableau6[Status]="Actif"),ROW(Tableau6[prochaine visite bad])-MIN(ROW(Employé!$AV$4))+1,""),ROWS(I$25:I33))),"")</f>
        <v>39579</v>
      </c>
      <c r="J33" s="8" t="str">
        <f t="array" aca="1" ref="J33" ca="1">IFERROR(INDEX(Tableau6[Nom abrégé],SMALL(IF((Tableau6[prochaine visite bad]&lt;TODAY())*(Tableau6[Status]="Actif"),ROW(Tableau6[prochaine visite bad])-MIN(ROW(Employé!$AV$4))+1,""),ROWS(J$25:J33))),"")</f>
        <v>LEROY Fr</v>
      </c>
      <c r="K33" s="2" t="str">
        <f t="array" aca="1" ref="K33" ca="1">IFERROR(INDEX(Tableau6[prochaine visite bad],SMALL(IF((Tableau6[prochaine visite bad]&gt;=TODAY())*(Tableau6[prochaine visite bad]&lt;=TODAY()+365)*(Tableau6[Status]="Actif"),ROW(Tableau6[prochaine visite bad])-MIN(ROW(Employé!$AV$4))+1,""),ROWS(K$25:K33))),"")</f>
        <v/>
      </c>
      <c r="L33" s="8" t="str">
        <f t="array" aca="1" ref="L33" ca="1">IFERROR(INDEX(Tableau6[Nom abrégé],SMALL(IF((Tableau6[prochaine visite bad]&gt;=TODAY())*(Tableau6[prochaine visite bad]&lt;=TODAY()+365)*(Tableau6[Status]="Actif"),ROW(Tableau6[prochaine visite bad])-MIN(ROW(Employé!$AV$4))+1,""),ROWS(L$25:L33))),"")</f>
        <v/>
      </c>
      <c r="M33" s="2" t="str">
        <f t="array" aca="1" ref="M33" ca="1">IFERROR(INDEX(Tableau6[prochaine visite bad],SMALL(IF((Tableau6[prochaine visite bad]&gt;TODAY()+365)*(Tableau6[Status]="Actif"),ROW(Tableau6[prochaine visite bad])-MIN(ROW(Employé!$AV$4))+1,""),ROWS(M$25:M33))),"")</f>
        <v/>
      </c>
      <c r="N33" s="8" t="str">
        <f t="array" aca="1" ref="N33" ca="1">IFERROR(INDEX(Tableau6[Nom abrégé],SMALL(IF((Tableau6[prochaine visite bad]&gt;TODAY()+365)*(Tableau6[Status]="Actif"),ROW(Tableau6[prochaine visite bad])-MIN(ROW(Employé!$AV$4))+1,""),ROWS(N$25:N33))),"")</f>
        <v/>
      </c>
    </row>
    <row r="34" spans="2:14" x14ac:dyDescent="0.2">
      <c r="B34" s="2">
        <f t="array" aca="1" ref="B34" ca="1">IFERROR(INDEX(Tableau6[prochaine visite sur],SMALL(IF((Tableau6[prochaine visite sur]&lt;TODAY())*(Tableau6[Status]="Actif"),ROW(Tableau6[prochaine visite sur])-MIN(ROW(Employé!$AY$4))+1,""),ROWS(B$25:B34))),"")</f>
        <v>1096</v>
      </c>
      <c r="C34" s="8" t="str">
        <f t="array" aca="1" ref="C34" ca="1">IFERROR(INDEX(Tableau6[Nom abrégé],SMALL(IF((Tableau6[prochaine visite sur]&lt;TODAY())*(Tableau6[Status]="Actif"),ROW(Tableau6[prochaine visite sur])-MIN(ROW(Employé!$AY$4))+1,""),ROWS(C$25:C34))),"")</f>
        <v>LEROY Je</v>
      </c>
      <c r="D34" s="2" t="str">
        <f t="array" aca="1" ref="D34" ca="1">IFERROR(INDEX(Tableau6[prochaine visite sur],SMALL(IF((Tableau6[prochaine visite sur]&gt;=TODAY())*(Tableau6[prochaine visite sur]&lt;=TODAY()+365)*(Tableau6[Status]="Actif"),ROW(Tableau6[prochaine visite sur])-MIN(ROW(Employé!$AY$4))+1,""),ROWS(D$25:D34))),"")</f>
        <v/>
      </c>
      <c r="E34" s="8" t="str">
        <f t="array" aca="1" ref="E34" ca="1">IFERROR(INDEX(Tableau6[Nom abrégé],SMALL(IF((Tableau6[prochaine visite sur]&gt;=TODAY())*(Tableau6[prochaine visite sur]&lt;=TODAY()+365)*(Tableau6[Status]="Actif"),ROW(Tableau6[prochaine visite sur])-MIN(ROW(Employé!$AY$4))+1,""),ROWS(E$25:E34))),"")</f>
        <v/>
      </c>
      <c r="F34" s="2" t="str">
        <f t="array" aca="1" ref="F34" ca="1">IFERROR(INDEX(Tableau6[prochaine visite sur],SMALL(IF((Tableau6[prochaine visite sur]&gt;TODAY()+365)*(Tableau6[Status]="Actif"),ROW(Tableau6[prochaine visite sur])-MIN(ROW(Employé!$AY$4))+1,""),ROWS(F$25:F34))),"")</f>
        <v/>
      </c>
      <c r="G34" s="8" t="str">
        <f t="array" aca="1" ref="G34" ca="1">IFERROR(INDEX(Tableau6[Nom abrégé],SMALL(IF((Tableau6[prochaine visite sur]&gt;TODAY()+365)*(Tableau6[Status]="Actif"),ROW(Tableau6[prochaine visite sur])-MIN(ROW(Employé!$AY$4))+1,""),ROWS(G$25:G34))),"")</f>
        <v/>
      </c>
      <c r="I34" s="2">
        <f t="array" aca="1" ref="I34" ca="1">IFERROR(INDEX(Tableau6[prochaine visite bad],SMALL(IF((Tableau6[prochaine visite bad]&lt;TODAY())*(Tableau6[Status]="Actif"),ROW(Tableau6[prochaine visite bad])-MIN(ROW(Employé!$AV$4))+1,""),ROWS(I$25:I34))),"")</f>
        <v>1096</v>
      </c>
      <c r="J34" s="8" t="str">
        <f t="array" aca="1" ref="J34" ca="1">IFERROR(INDEX(Tableau6[Nom abrégé],SMALL(IF((Tableau6[prochaine visite bad]&lt;TODAY())*(Tableau6[Status]="Actif"),ROW(Tableau6[prochaine visite bad])-MIN(ROW(Employé!$AV$4))+1,""),ROWS(J$25:J34))),"")</f>
        <v>LEROY Je</v>
      </c>
      <c r="K34" s="2" t="str">
        <f t="array" aca="1" ref="K34" ca="1">IFERROR(INDEX(Tableau6[prochaine visite bad],SMALL(IF((Tableau6[prochaine visite bad]&gt;=TODAY())*(Tableau6[prochaine visite bad]&lt;=TODAY()+365)*(Tableau6[Status]="Actif"),ROW(Tableau6[prochaine visite bad])-MIN(ROW(Employé!$AV$4))+1,""),ROWS(K$25:K34))),"")</f>
        <v/>
      </c>
      <c r="L34" s="8" t="str">
        <f t="array" aca="1" ref="L34" ca="1">IFERROR(INDEX(Tableau6[Nom abrégé],SMALL(IF((Tableau6[prochaine visite bad]&gt;=TODAY())*(Tableau6[prochaine visite bad]&lt;=TODAY()+365)*(Tableau6[Status]="Actif"),ROW(Tableau6[prochaine visite bad])-MIN(ROW(Employé!$AV$4))+1,""),ROWS(L$25:L34))),"")</f>
        <v/>
      </c>
      <c r="M34" s="2" t="str">
        <f t="array" aca="1" ref="M34" ca="1">IFERROR(INDEX(Tableau6[prochaine visite bad],SMALL(IF((Tableau6[prochaine visite bad]&gt;TODAY()+365)*(Tableau6[Status]="Actif"),ROW(Tableau6[prochaine visite bad])-MIN(ROW(Employé!$AV$4))+1,""),ROWS(M$25:M34))),"")</f>
        <v/>
      </c>
      <c r="N34" s="8" t="str">
        <f t="array" aca="1" ref="N34" ca="1">IFERROR(INDEX(Tableau6[Nom abrégé],SMALL(IF((Tableau6[prochaine visite bad]&gt;TODAY()+365)*(Tableau6[Status]="Actif"),ROW(Tableau6[prochaine visite bad])-MIN(ROW(Employé!$AV$4))+1,""),ROWS(N$25:N34))),"")</f>
        <v/>
      </c>
    </row>
    <row r="35" spans="2:14" x14ac:dyDescent="0.2">
      <c r="B35" s="2">
        <f t="array" aca="1" ref="B35" ca="1">IFERROR(INDEX(Tableau6[prochaine visite sur],SMALL(IF((Tableau6[prochaine visite sur]&lt;TODAY())*(Tableau6[Status]="Actif"),ROW(Tableau6[prochaine visite sur])-MIN(ROW(Employé!$AY$4))+1,""),ROWS(B$25:B35))),"")</f>
        <v>1096</v>
      </c>
      <c r="C35" s="8" t="str">
        <f t="array" aca="1" ref="C35" ca="1">IFERROR(INDEX(Tableau6[Nom abrégé],SMALL(IF((Tableau6[prochaine visite sur]&lt;TODAY())*(Tableau6[Status]="Actif"),ROW(Tableau6[prochaine visite sur])-MIN(ROW(Employé!$AY$4))+1,""),ROWS(C$25:C35))),"")</f>
        <v>FERRARA Ju</v>
      </c>
      <c r="D35" s="2" t="str">
        <f t="array" aca="1" ref="D35" ca="1">IFERROR(INDEX(Tableau6[prochaine visite sur],SMALL(IF((Tableau6[prochaine visite sur]&gt;=TODAY())*(Tableau6[prochaine visite sur]&lt;=TODAY()+365)*(Tableau6[Status]="Actif"),ROW(Tableau6[prochaine visite sur])-MIN(ROW(Employé!$AY$4))+1,""),ROWS(D$25:D35))),"")</f>
        <v/>
      </c>
      <c r="E35" s="8" t="str">
        <f t="array" aca="1" ref="E35" ca="1">IFERROR(INDEX(Tableau6[Nom abrégé],SMALL(IF((Tableau6[prochaine visite sur]&gt;=TODAY())*(Tableau6[prochaine visite sur]&lt;=TODAY()+365)*(Tableau6[Status]="Actif"),ROW(Tableau6[prochaine visite sur])-MIN(ROW(Employé!$AY$4))+1,""),ROWS(E$25:E35))),"")</f>
        <v/>
      </c>
      <c r="F35" s="2" t="str">
        <f t="array" aca="1" ref="F35" ca="1">IFERROR(INDEX(Tableau6[prochaine visite sur],SMALL(IF((Tableau6[prochaine visite sur]&gt;TODAY()+365)*(Tableau6[Status]="Actif"),ROW(Tableau6[prochaine visite sur])-MIN(ROW(Employé!$AY$4))+1,""),ROWS(F$25:F35))),"")</f>
        <v/>
      </c>
      <c r="G35" s="8" t="str">
        <f t="array" aca="1" ref="G35" ca="1">IFERROR(INDEX(Tableau6[Nom abrégé],SMALL(IF((Tableau6[prochaine visite sur]&gt;TODAY()+365)*(Tableau6[Status]="Actif"),ROW(Tableau6[prochaine visite sur])-MIN(ROW(Employé!$AY$4))+1,""),ROWS(G$25:G35))),"")</f>
        <v/>
      </c>
      <c r="I35" s="2">
        <f t="array" aca="1" ref="I35" ca="1">IFERROR(INDEX(Tableau6[prochaine visite bad],SMALL(IF((Tableau6[prochaine visite bad]&lt;TODAY())*(Tableau6[Status]="Actif"),ROW(Tableau6[prochaine visite bad])-MIN(ROW(Employé!$AV$4))+1,""),ROWS(I$25:I35))),"")</f>
        <v>1096</v>
      </c>
      <c r="J35" s="8" t="str">
        <f t="array" aca="1" ref="J35" ca="1">IFERROR(INDEX(Tableau6[Nom abrégé],SMALL(IF((Tableau6[prochaine visite bad]&lt;TODAY())*(Tableau6[Status]="Actif"),ROW(Tableau6[prochaine visite bad])-MIN(ROW(Employé!$AV$4))+1,""),ROWS(J$25:J35))),"")</f>
        <v>FERRARA Ju</v>
      </c>
      <c r="K35" s="2" t="str">
        <f t="array" aca="1" ref="K35" ca="1">IFERROR(INDEX(Tableau6[prochaine visite bad],SMALL(IF((Tableau6[prochaine visite bad]&gt;=TODAY())*(Tableau6[prochaine visite bad]&lt;=TODAY()+365)*(Tableau6[Status]="Actif"),ROW(Tableau6[prochaine visite bad])-MIN(ROW(Employé!$AV$4))+1,""),ROWS(K$25:K35))),"")</f>
        <v/>
      </c>
      <c r="L35" s="8" t="str">
        <f t="array" aca="1" ref="L35" ca="1">IFERROR(INDEX(Tableau6[Nom abrégé],SMALL(IF((Tableau6[prochaine visite bad]&gt;=TODAY())*(Tableau6[prochaine visite bad]&lt;=TODAY()+365)*(Tableau6[Status]="Actif"),ROW(Tableau6[prochaine visite bad])-MIN(ROW(Employé!$AV$4))+1,""),ROWS(L$25:L35))),"")</f>
        <v/>
      </c>
      <c r="M35" s="2" t="str">
        <f t="array" aca="1" ref="M35" ca="1">IFERROR(INDEX(Tableau6[prochaine visite bad],SMALL(IF((Tableau6[prochaine visite bad]&gt;TODAY()+365)*(Tableau6[Status]="Actif"),ROW(Tableau6[prochaine visite bad])-MIN(ROW(Employé!$AV$4))+1,""),ROWS(M$25:M35))),"")</f>
        <v/>
      </c>
      <c r="N35" s="8" t="str">
        <f t="array" aca="1" ref="N35" ca="1">IFERROR(INDEX(Tableau6[Nom abrégé],SMALL(IF((Tableau6[prochaine visite bad]&gt;TODAY()+365)*(Tableau6[Status]="Actif"),ROW(Tableau6[prochaine visite bad])-MIN(ROW(Employé!$AV$4))+1,""),ROWS(N$25:N35))),"")</f>
        <v/>
      </c>
    </row>
    <row r="36" spans="2:14" x14ac:dyDescent="0.2">
      <c r="B36" s="2">
        <f t="array" aca="1" ref="B36" ca="1">IFERROR(INDEX(Tableau6[prochaine visite sur],SMALL(IF((Tableau6[prochaine visite sur]&lt;TODAY())*(Tableau6[Status]="Actif"),ROW(Tableau6[prochaine visite sur])-MIN(ROW(Employé!$AY$4))+1,""),ROWS(B$25:B36))),"")</f>
        <v>1096</v>
      </c>
      <c r="C36" s="8" t="str">
        <f t="array" aca="1" ref="C36" ca="1">IFERROR(INDEX(Tableau6[Nom abrégé],SMALL(IF((Tableau6[prochaine visite sur]&lt;TODAY())*(Tableau6[Status]="Actif"),ROW(Tableau6[prochaine visite sur])-MIN(ROW(Employé!$AY$4))+1,""),ROWS(C$25:C36))),"")</f>
        <v>BALLESTER Xa</v>
      </c>
      <c r="D36" s="2" t="str">
        <f t="array" aca="1" ref="D36" ca="1">IFERROR(INDEX(Tableau6[prochaine visite sur],SMALL(IF((Tableau6[prochaine visite sur]&gt;=TODAY())*(Tableau6[prochaine visite sur]&lt;=TODAY()+365)*(Tableau6[Status]="Actif"),ROW(Tableau6[prochaine visite sur])-MIN(ROW(Employé!$AY$4))+1,""),ROWS(D$25:D36))),"")</f>
        <v/>
      </c>
      <c r="E36" s="8" t="str">
        <f t="array" aca="1" ref="E36" ca="1">IFERROR(INDEX(Tableau6[Nom abrégé],SMALL(IF((Tableau6[prochaine visite sur]&gt;=TODAY())*(Tableau6[prochaine visite sur]&lt;=TODAY()+365)*(Tableau6[Status]="Actif"),ROW(Tableau6[prochaine visite sur])-MIN(ROW(Employé!$AY$4))+1,""),ROWS(E$25:E36))),"")</f>
        <v/>
      </c>
      <c r="F36" s="2" t="str">
        <f t="array" aca="1" ref="F36" ca="1">IFERROR(INDEX(Tableau6[prochaine visite sur],SMALL(IF((Tableau6[prochaine visite sur]&gt;TODAY()+365)*(Tableau6[Status]="Actif"),ROW(Tableau6[prochaine visite sur])-MIN(ROW(Employé!$AY$4))+1,""),ROWS(F$25:F36))),"")</f>
        <v/>
      </c>
      <c r="G36" s="8" t="str">
        <f t="array" aca="1" ref="G36" ca="1">IFERROR(INDEX(Tableau6[Nom abrégé],SMALL(IF((Tableau6[prochaine visite sur]&gt;TODAY()+365)*(Tableau6[Status]="Actif"),ROW(Tableau6[prochaine visite sur])-MIN(ROW(Employé!$AY$4))+1,""),ROWS(G$25:G36))),"")</f>
        <v/>
      </c>
      <c r="I36" s="2">
        <f t="array" aca="1" ref="I36" ca="1">IFERROR(INDEX(Tableau6[prochaine visite bad],SMALL(IF((Tableau6[prochaine visite bad]&lt;TODAY())*(Tableau6[Status]="Actif"),ROW(Tableau6[prochaine visite bad])-MIN(ROW(Employé!$AV$4))+1,""),ROWS(I$25:I36))),"")</f>
        <v>1096</v>
      </c>
      <c r="J36" s="8" t="str">
        <f t="array" aca="1" ref="J36" ca="1">IFERROR(INDEX(Tableau6[Nom abrégé],SMALL(IF((Tableau6[prochaine visite bad]&lt;TODAY())*(Tableau6[Status]="Actif"),ROW(Tableau6[prochaine visite bad])-MIN(ROW(Employé!$AV$4))+1,""),ROWS(J$25:J36))),"")</f>
        <v>BALLESTER Xa</v>
      </c>
      <c r="K36" s="2" t="str">
        <f t="array" aca="1" ref="K36" ca="1">IFERROR(INDEX(Tableau6[prochaine visite bad],SMALL(IF((Tableau6[prochaine visite bad]&gt;=TODAY())*(Tableau6[prochaine visite bad]&lt;=TODAY()+365)*(Tableau6[Status]="Actif"),ROW(Tableau6[prochaine visite bad])-MIN(ROW(Employé!$AV$4))+1,""),ROWS(K$25:K36))),"")</f>
        <v/>
      </c>
      <c r="L36" s="8" t="str">
        <f t="array" aca="1" ref="L36" ca="1">IFERROR(INDEX(Tableau6[Nom abrégé],SMALL(IF((Tableau6[prochaine visite bad]&gt;=TODAY())*(Tableau6[prochaine visite bad]&lt;=TODAY()+365)*(Tableau6[Status]="Actif"),ROW(Tableau6[prochaine visite bad])-MIN(ROW(Employé!$AV$4))+1,""),ROWS(L$25:L36))),"")</f>
        <v/>
      </c>
      <c r="M36" s="2" t="str">
        <f t="array" aca="1" ref="M36" ca="1">IFERROR(INDEX(Tableau6[prochaine visite bad],SMALL(IF((Tableau6[prochaine visite bad]&gt;TODAY()+365)*(Tableau6[Status]="Actif"),ROW(Tableau6[prochaine visite bad])-MIN(ROW(Employé!$AV$4))+1,""),ROWS(M$25:M36))),"")</f>
        <v/>
      </c>
      <c r="N36" s="8" t="str">
        <f t="array" aca="1" ref="N36" ca="1">IFERROR(INDEX(Tableau6[Nom abrégé],SMALL(IF((Tableau6[prochaine visite bad]&gt;TODAY()+365)*(Tableau6[Status]="Actif"),ROW(Tableau6[prochaine visite bad])-MIN(ROW(Employé!$AV$4))+1,""),ROWS(N$25:N36))),"")</f>
        <v/>
      </c>
    </row>
    <row r="37" spans="2:14" x14ac:dyDescent="0.2">
      <c r="B37" s="2">
        <f t="array" aca="1" ref="B37" ca="1">IFERROR(INDEX(Tableau6[prochaine visite sur],SMALL(IF((Tableau6[prochaine visite sur]&lt;TODAY())*(Tableau6[Status]="Actif"),ROW(Tableau6[prochaine visite sur])-MIN(ROW(Employé!$AY$4))+1,""),ROWS(B$25:B37))),"")</f>
        <v>1096</v>
      </c>
      <c r="C37" s="8" t="str">
        <f t="array" aca="1" ref="C37" ca="1">IFERROR(INDEX(Tableau6[Nom abrégé],SMALL(IF((Tableau6[prochaine visite sur]&lt;TODAY())*(Tableau6[Status]="Actif"),ROW(Tableau6[prochaine visite sur])-MIN(ROW(Employé!$AY$4))+1,""),ROWS(C$25:C37))),"")</f>
        <v>DESMYTER Da</v>
      </c>
      <c r="D37" s="2" t="str">
        <f t="array" aca="1" ref="D37" ca="1">IFERROR(INDEX(Tableau6[prochaine visite sur],SMALL(IF((Tableau6[prochaine visite sur]&gt;=TODAY())*(Tableau6[prochaine visite sur]&lt;=TODAY()+365)*(Tableau6[Status]="Actif"),ROW(Tableau6[prochaine visite sur])-MIN(ROW(Employé!$AY$4))+1,""),ROWS(D$25:D37))),"")</f>
        <v/>
      </c>
      <c r="E37" s="8" t="str">
        <f t="array" aca="1" ref="E37" ca="1">IFERROR(INDEX(Tableau6[Nom abrégé],SMALL(IF((Tableau6[prochaine visite sur]&gt;=TODAY())*(Tableau6[prochaine visite sur]&lt;=TODAY()+365)*(Tableau6[Status]="Actif"),ROW(Tableau6[prochaine visite sur])-MIN(ROW(Employé!$AY$4))+1,""),ROWS(E$25:E37))),"")</f>
        <v/>
      </c>
      <c r="F37" s="2" t="str">
        <f t="array" aca="1" ref="F37" ca="1">IFERROR(INDEX(Tableau6[prochaine visite sur],SMALL(IF((Tableau6[prochaine visite sur]&gt;TODAY()+365)*(Tableau6[Status]="Actif"),ROW(Tableau6[prochaine visite sur])-MIN(ROW(Employé!$AY$4))+1,""),ROWS(F$25:F37))),"")</f>
        <v/>
      </c>
      <c r="G37" s="8" t="str">
        <f t="array" aca="1" ref="G37" ca="1">IFERROR(INDEX(Tableau6[Nom abrégé],SMALL(IF((Tableau6[prochaine visite sur]&gt;TODAY()+365)*(Tableau6[Status]="Actif"),ROW(Tableau6[prochaine visite sur])-MIN(ROW(Employé!$AY$4))+1,""),ROWS(G$25:G37))),"")</f>
        <v/>
      </c>
      <c r="I37" s="2">
        <f t="array" aca="1" ref="I37" ca="1">IFERROR(INDEX(Tableau6[prochaine visite bad],SMALL(IF((Tableau6[prochaine visite bad]&lt;TODAY())*(Tableau6[Status]="Actif"),ROW(Tableau6[prochaine visite bad])-MIN(ROW(Employé!$AV$4))+1,""),ROWS(I$25:I37))),"")</f>
        <v>1096</v>
      </c>
      <c r="J37" s="8" t="str">
        <f t="array" aca="1" ref="J37" ca="1">IFERROR(INDEX(Tableau6[Nom abrégé],SMALL(IF((Tableau6[prochaine visite bad]&lt;TODAY())*(Tableau6[Status]="Actif"),ROW(Tableau6[prochaine visite bad])-MIN(ROW(Employé!$AV$4))+1,""),ROWS(J$25:J37))),"")</f>
        <v>DESMYTER Da</v>
      </c>
      <c r="K37" s="2" t="str">
        <f t="array" aca="1" ref="K37" ca="1">IFERROR(INDEX(Tableau6[prochaine visite bad],SMALL(IF((Tableau6[prochaine visite bad]&gt;=TODAY())*(Tableau6[prochaine visite bad]&lt;=TODAY()+365)*(Tableau6[Status]="Actif"),ROW(Tableau6[prochaine visite bad])-MIN(ROW(Employé!$AV$4))+1,""),ROWS(K$25:K37))),"")</f>
        <v/>
      </c>
      <c r="L37" s="8" t="str">
        <f t="array" aca="1" ref="L37" ca="1">IFERROR(INDEX(Tableau6[Nom abrégé],SMALL(IF((Tableau6[prochaine visite bad]&gt;=TODAY())*(Tableau6[prochaine visite bad]&lt;=TODAY()+365)*(Tableau6[Status]="Actif"),ROW(Tableau6[prochaine visite bad])-MIN(ROW(Employé!$AV$4))+1,""),ROWS(L$25:L37))),"")</f>
        <v/>
      </c>
      <c r="M37" s="2" t="str">
        <f t="array" aca="1" ref="M37" ca="1">IFERROR(INDEX(Tableau6[prochaine visite bad],SMALL(IF((Tableau6[prochaine visite bad]&gt;TODAY()+365)*(Tableau6[Status]="Actif"),ROW(Tableau6[prochaine visite bad])-MIN(ROW(Employé!$AV$4))+1,""),ROWS(M$25:M37))),"")</f>
        <v/>
      </c>
      <c r="N37" s="8" t="str">
        <f t="array" aca="1" ref="N37" ca="1">IFERROR(INDEX(Tableau6[Nom abrégé],SMALL(IF((Tableau6[prochaine visite bad]&gt;TODAY()+365)*(Tableau6[Status]="Actif"),ROW(Tableau6[prochaine visite bad])-MIN(ROW(Employé!$AV$4))+1,""),ROWS(N$25:N37))),"")</f>
        <v/>
      </c>
    </row>
    <row r="38" spans="2:14" x14ac:dyDescent="0.2">
      <c r="B38" s="2">
        <f t="array" aca="1" ref="B38" ca="1">IFERROR(INDEX(Tableau6[prochaine visite sur],SMALL(IF((Tableau6[prochaine visite sur]&lt;TODAY())*(Tableau6[Status]="Actif"),ROW(Tableau6[prochaine visite sur])-MIN(ROW(Employé!$AY$4))+1,""),ROWS(B$25:B38))),"")</f>
        <v>1096</v>
      </c>
      <c r="C38" s="8" t="str">
        <f t="array" aca="1" ref="C38" ca="1">IFERROR(INDEX(Tableau6[Nom abrégé],SMALL(IF((Tableau6[prochaine visite sur]&lt;TODAY())*(Tableau6[Status]="Actif"),ROW(Tableau6[prochaine visite sur])-MIN(ROW(Employé!$AY$4))+1,""),ROWS(C$25:C38))),"")</f>
        <v>NAJJARI Mo</v>
      </c>
      <c r="D38" s="2" t="str">
        <f t="array" aca="1" ref="D38" ca="1">IFERROR(INDEX(Tableau6[prochaine visite sur],SMALL(IF((Tableau6[prochaine visite sur]&gt;=TODAY())*(Tableau6[prochaine visite sur]&lt;=TODAY()+365)*(Tableau6[Status]="Actif"),ROW(Tableau6[prochaine visite sur])-MIN(ROW(Employé!$AY$4))+1,""),ROWS(D$25:D38))),"")</f>
        <v/>
      </c>
      <c r="E38" s="8" t="str">
        <f t="array" aca="1" ref="E38" ca="1">IFERROR(INDEX(Tableau6[Nom abrégé],SMALL(IF((Tableau6[prochaine visite sur]&gt;=TODAY())*(Tableau6[prochaine visite sur]&lt;=TODAY()+365)*(Tableau6[Status]="Actif"),ROW(Tableau6[prochaine visite sur])-MIN(ROW(Employé!$AY$4))+1,""),ROWS(E$25:E38))),"")</f>
        <v/>
      </c>
      <c r="F38" s="2" t="str">
        <f t="array" aca="1" ref="F38" ca="1">IFERROR(INDEX(Tableau6[prochaine visite sur],SMALL(IF((Tableau6[prochaine visite sur]&gt;TODAY()+365)*(Tableau6[Status]="Actif"),ROW(Tableau6[prochaine visite sur])-MIN(ROW(Employé!$AY$4))+1,""),ROWS(F$25:F38))),"")</f>
        <v/>
      </c>
      <c r="G38" s="8" t="str">
        <f t="array" aca="1" ref="G38" ca="1">IFERROR(INDEX(Tableau6[Nom abrégé],SMALL(IF((Tableau6[prochaine visite sur]&gt;TODAY()+365)*(Tableau6[Status]="Actif"),ROW(Tableau6[prochaine visite sur])-MIN(ROW(Employé!$AY$4))+1,""),ROWS(G$25:G38))),"")</f>
        <v/>
      </c>
      <c r="I38" s="2">
        <f t="array" aca="1" ref="I38" ca="1">IFERROR(INDEX(Tableau6[prochaine visite bad],SMALL(IF((Tableau6[prochaine visite bad]&lt;TODAY())*(Tableau6[Status]="Actif"),ROW(Tableau6[prochaine visite bad])-MIN(ROW(Employé!$AV$4))+1,""),ROWS(I$25:I38))),"")</f>
        <v>1096</v>
      </c>
      <c r="J38" s="8" t="str">
        <f t="array" aca="1" ref="J38" ca="1">IFERROR(INDEX(Tableau6[Nom abrégé],SMALL(IF((Tableau6[prochaine visite bad]&lt;TODAY())*(Tableau6[Status]="Actif"),ROW(Tableau6[prochaine visite bad])-MIN(ROW(Employé!$AV$4))+1,""),ROWS(J$25:J38))),"")</f>
        <v>NAJJARI Mo</v>
      </c>
      <c r="K38" s="2" t="str">
        <f t="array" aca="1" ref="K38" ca="1">IFERROR(INDEX(Tableau6[prochaine visite bad],SMALL(IF((Tableau6[prochaine visite bad]&gt;=TODAY())*(Tableau6[prochaine visite bad]&lt;=TODAY()+365)*(Tableau6[Status]="Actif"),ROW(Tableau6[prochaine visite bad])-MIN(ROW(Employé!$AV$4))+1,""),ROWS(K$25:K38))),"")</f>
        <v/>
      </c>
      <c r="L38" s="8" t="str">
        <f t="array" aca="1" ref="L38" ca="1">IFERROR(INDEX(Tableau6[Nom abrégé],SMALL(IF((Tableau6[prochaine visite bad]&gt;=TODAY())*(Tableau6[prochaine visite bad]&lt;=TODAY()+365)*(Tableau6[Status]="Actif"),ROW(Tableau6[prochaine visite bad])-MIN(ROW(Employé!$AV$4))+1,""),ROWS(L$25:L38))),"")</f>
        <v/>
      </c>
      <c r="M38" s="2" t="str">
        <f t="array" aca="1" ref="M38" ca="1">IFERROR(INDEX(Tableau6[prochaine visite bad],SMALL(IF((Tableau6[prochaine visite bad]&gt;TODAY()+365)*(Tableau6[Status]="Actif"),ROW(Tableau6[prochaine visite bad])-MIN(ROW(Employé!$AV$4))+1,""),ROWS(M$25:M38))),"")</f>
        <v/>
      </c>
      <c r="N38" s="8" t="str">
        <f t="array" aca="1" ref="N38" ca="1">IFERROR(INDEX(Tableau6[Nom abrégé],SMALL(IF((Tableau6[prochaine visite bad]&gt;TODAY()+365)*(Tableau6[Status]="Actif"),ROW(Tableau6[prochaine visite bad])-MIN(ROW(Employé!$AV$4))+1,""),ROWS(N$25:N38))),"")</f>
        <v/>
      </c>
    </row>
    <row r="39" spans="2:14" ht="13.5" thickBot="1" x14ac:dyDescent="0.25">
      <c r="B39" s="2" t="str">
        <f t="array" aca="1" ref="B39" ca="1">IFERROR(INDEX(Tableau6[prochaine visite sur],SMALL(IF((Tableau6[prochaine visite sur]&lt;TODAY())*(Tableau6[Status]="Actif"),ROW(Tableau6[prochaine visite sur])-MIN(ROW(Employé!$AY$4))+1,""),ROWS(B$25:B39))),"")</f>
        <v/>
      </c>
      <c r="C39" s="8" t="str">
        <f t="array" aca="1" ref="C39" ca="1">IFERROR(INDEX(Tableau6[Nom abrégé],SMALL(IF((Tableau6[prochaine visite sur]&lt;TODAY())*(Tableau6[Status]="Actif"),ROW(Tableau6[prochaine visite sur])-MIN(ROW(Employé!$AY$4))+1,""),ROWS(C$25:C39))),"")</f>
        <v/>
      </c>
      <c r="D39" s="2" t="str">
        <f t="array" aca="1" ref="D39" ca="1">IFERROR(INDEX(Tableau6[prochaine visite sur],SMALL(IF((Tableau6[prochaine visite sur]&gt;=TODAY())*(Tableau6[prochaine visite sur]&lt;=TODAY()+365)*(Tableau6[Status]="Actif"),ROW(Tableau6[prochaine visite sur])-MIN(ROW(Employé!$AY$4))+1,""),ROWS(D$25:D39))),"")</f>
        <v/>
      </c>
      <c r="E39" s="8" t="str">
        <f t="array" aca="1" ref="E39" ca="1">IFERROR(INDEX(Tableau6[Nom abrégé],SMALL(IF((Tableau6[prochaine visite sur]&gt;=TODAY())*(Tableau6[prochaine visite sur]&lt;=TODAY()+365)*(Tableau6[Status]="Actif"),ROW(Tableau6[prochaine visite sur])-MIN(ROW(Employé!$AY$4))+1,""),ROWS(E$25:E39))),"")</f>
        <v/>
      </c>
      <c r="F39" s="2" t="str">
        <f t="array" aca="1" ref="F39" ca="1">IFERROR(INDEX(Tableau6[prochaine visite sur],SMALL(IF((Tableau6[prochaine visite sur]&gt;TODAY()+365)*(Tableau6[Status]="Actif"),ROW(Tableau6[prochaine visite sur])-MIN(ROW(Employé!$AY$4))+1,""),ROWS(F$25:F39))),"")</f>
        <v/>
      </c>
      <c r="G39" s="8" t="str">
        <f t="array" aca="1" ref="G39" ca="1">IFERROR(INDEX(Tableau6[Nom abrégé],SMALL(IF((Tableau6[prochaine visite sur]&gt;TODAY()+365)*(Tableau6[Status]="Actif"),ROW(Tableau6[prochaine visite sur])-MIN(ROW(Employé!$AY$4))+1,""),ROWS(G$25:G39))),"")</f>
        <v/>
      </c>
      <c r="I39" s="2" t="str">
        <f t="array" aca="1" ref="I39" ca="1">IFERROR(INDEX(Tableau6[prochaine visite bad],SMALL(IF((Tableau6[prochaine visite bad]&lt;TODAY())*(Tableau6[Status]="Actif"),ROW(Tableau6[prochaine visite bad])-MIN(ROW(Employé!$AV$4))+1,""),ROWS(I$25:I39))),"")</f>
        <v/>
      </c>
      <c r="J39" s="8" t="str">
        <f t="array" aca="1" ref="J39" ca="1">IFERROR(INDEX(Tableau6[Nom abrégé],SMALL(IF((Tableau6[prochaine visite bad]&lt;TODAY())*(Tableau6[Status]="Actif"),ROW(Tableau6[prochaine visite bad])-MIN(ROW(Employé!$AV$4))+1,""),ROWS(J$25:J39))),"")</f>
        <v/>
      </c>
      <c r="K39" s="2" t="str">
        <f t="array" aca="1" ref="K39" ca="1">IFERROR(INDEX(Tableau6[prochaine visite bad],SMALL(IF((Tableau6[prochaine visite bad]&gt;=TODAY())*(Tableau6[prochaine visite bad]&lt;=TODAY()+365)*(Tableau6[Status]="Actif"),ROW(Tableau6[prochaine visite bad])-MIN(ROW(Employé!$AV$4))+1,""),ROWS(K$25:K39))),"")</f>
        <v/>
      </c>
      <c r="L39" s="8" t="str">
        <f t="array" aca="1" ref="L39" ca="1">IFERROR(INDEX(Tableau6[Nom abrégé],SMALL(IF((Tableau6[prochaine visite bad]&gt;=TODAY())*(Tableau6[prochaine visite bad]&lt;=TODAY()+365)*(Tableau6[Status]="Actif"),ROW(Tableau6[prochaine visite bad])-MIN(ROW(Employé!$AV$4))+1,""),ROWS(L$25:L39))),"")</f>
        <v/>
      </c>
      <c r="M39" s="2" t="str">
        <f t="array" aca="1" ref="M39" ca="1">IFERROR(INDEX(Tableau6[prochaine visite bad],SMALL(IF((Tableau6[prochaine visite bad]&gt;TODAY()+365)*(Tableau6[Status]="Actif"),ROW(Tableau6[prochaine visite bad])-MIN(ROW(Employé!$AV$4))+1,""),ROWS(M$25:M39))),"")</f>
        <v/>
      </c>
      <c r="N39" s="8" t="str">
        <f t="array" aca="1" ref="N39" ca="1">IFERROR(INDEX(Tableau6[Nom abrégé],SMALL(IF((Tableau6[prochaine visite bad]&gt;TODAY()+365)*(Tableau6[Status]="Actif"),ROW(Tableau6[prochaine visite bad])-MIN(ROW(Employé!$AV$4))+1,""),ROWS(N$25:N39))),"")</f>
        <v/>
      </c>
    </row>
    <row r="40" spans="2:14" ht="13.5" thickTop="1" x14ac:dyDescent="0.2">
      <c r="B40" s="21"/>
      <c r="C40" s="22"/>
      <c r="D40" s="22"/>
      <c r="E40" s="22"/>
      <c r="F40" s="22"/>
      <c r="G40" s="22"/>
      <c r="I40" s="21"/>
      <c r="J40" s="22"/>
      <c r="K40" s="22"/>
      <c r="L40" s="22"/>
      <c r="M40" s="22"/>
      <c r="N40" s="22"/>
    </row>
  </sheetData>
  <sheetProtection algorithmName="SHA-512" hashValue="pWuJeoG+1LpGm3208pCsHjHeNscUyD2/OOZXaHcXTFsVA1LAi4LuBXv8wIFAKKbs66y05pjmlEMmImMnbLvoqg==" saltValue="gAievdX8OkB+NNOOtFXrvg==" spinCount="100000" sheet="1" objects="1" scenarios="1"/>
  <mergeCells count="16">
    <mergeCell ref="M23:N23"/>
    <mergeCell ref="B2:G2"/>
    <mergeCell ref="B3:C3"/>
    <mergeCell ref="D3:E3"/>
    <mergeCell ref="F3:G3"/>
    <mergeCell ref="B23:C23"/>
    <mergeCell ref="D23:E23"/>
    <mergeCell ref="F23:G23"/>
    <mergeCell ref="I23:J23"/>
    <mergeCell ref="K23:L23"/>
    <mergeCell ref="I2:N2"/>
    <mergeCell ref="I3:J3"/>
    <mergeCell ref="K3:L3"/>
    <mergeCell ref="M3:N3"/>
    <mergeCell ref="B22:G22"/>
    <mergeCell ref="I22:N22"/>
  </mergeCells>
  <conditionalFormatting sqref="M5:N19 M25:N39">
    <cfRule type="expression" dxfId="13" priority="1">
      <formula>$M5&lt;&gt;""</formula>
    </cfRule>
  </conditionalFormatting>
  <conditionalFormatting sqref="B5:C19 B25:C39">
    <cfRule type="expression" dxfId="12" priority="19">
      <formula>$B5&lt;&gt;""</formula>
    </cfRule>
  </conditionalFormatting>
  <conditionalFormatting sqref="C5:C19 C25:C39">
    <cfRule type="expression" dxfId="11" priority="20">
      <formula>OR($C5&lt;&gt;"",$D5&lt;&gt;"")</formula>
    </cfRule>
  </conditionalFormatting>
  <conditionalFormatting sqref="E25:E39 E5:E19">
    <cfRule type="expression" dxfId="10" priority="18">
      <formula>OR($E5&lt;&gt;"",$F5&lt;&gt;"")</formula>
    </cfRule>
  </conditionalFormatting>
  <conditionalFormatting sqref="D25:E39 D5:E19">
    <cfRule type="expression" dxfId="9" priority="17">
      <formula>$D5&lt;&gt;""</formula>
    </cfRule>
  </conditionalFormatting>
  <conditionalFormatting sqref="F25:G39 F5:G19">
    <cfRule type="expression" dxfId="8" priority="16">
      <formula>$F5&lt;&gt;""</formula>
    </cfRule>
  </conditionalFormatting>
  <conditionalFormatting sqref="J5:J19">
    <cfRule type="expression" dxfId="7" priority="10">
      <formula>OR($J5&lt;&gt;"",$K5&lt;&gt;"")</formula>
    </cfRule>
  </conditionalFormatting>
  <conditionalFormatting sqref="L5:L19">
    <cfRule type="expression" dxfId="6" priority="9">
      <formula>OR($L5&lt;&gt;"",$M5&lt;&gt;"")</formula>
    </cfRule>
  </conditionalFormatting>
  <conditionalFormatting sqref="K5:L19">
    <cfRule type="expression" dxfId="5" priority="7">
      <formula>$K5&lt;&gt;""</formula>
    </cfRule>
  </conditionalFormatting>
  <conditionalFormatting sqref="J25:J39">
    <cfRule type="expression" dxfId="4" priority="5">
      <formula>OR($J25&lt;&gt;"",$K25&lt;&gt;"")</formula>
    </cfRule>
  </conditionalFormatting>
  <conditionalFormatting sqref="L25:L39">
    <cfRule type="expression" dxfId="3" priority="4">
      <formula>OR($L25&lt;&gt;"",$M25&lt;&gt;"")</formula>
    </cfRule>
  </conditionalFormatting>
  <conditionalFormatting sqref="I25:J39">
    <cfRule type="expression" dxfId="2" priority="3">
      <formula>$I25&lt;&gt;""</formula>
    </cfRule>
  </conditionalFormatting>
  <conditionalFormatting sqref="K25:L39">
    <cfRule type="expression" dxfId="1" priority="2">
      <formula>$K25&lt;&gt;""</formula>
    </cfRule>
  </conditionalFormatting>
  <conditionalFormatting sqref="I5:J19">
    <cfRule type="expression" dxfId="0" priority="37">
      <formula>$I5&lt;&gt;""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B1:AJ23"/>
  <sheetViews>
    <sheetView showGridLines="0" workbookViewId="0"/>
  </sheetViews>
  <sheetFormatPr baseColWidth="10" defaultRowHeight="12" x14ac:dyDescent="0.2"/>
  <cols>
    <col min="1" max="1" width="1.7109375" style="23" customWidth="1"/>
    <col min="2" max="2" width="20.85546875" style="23" bestFit="1" customWidth="1"/>
    <col min="3" max="24" width="8.7109375" style="23" customWidth="1"/>
    <col min="25" max="26" width="8.7109375" style="23" hidden="1" customWidth="1"/>
    <col min="27" max="36" width="8.7109375" style="23" customWidth="1"/>
    <col min="37" max="16384" width="11.42578125" style="23"/>
  </cols>
  <sheetData>
    <row r="1" spans="2:36" ht="15" customHeight="1" x14ac:dyDescent="0.2"/>
    <row r="2" spans="2:36" s="55" customFormat="1" ht="15" customHeight="1" x14ac:dyDescent="0.25">
      <c r="C2" s="56" t="s">
        <v>120</v>
      </c>
      <c r="D2" s="57"/>
      <c r="E2" s="57"/>
      <c r="F2" s="58"/>
      <c r="G2" s="59" t="s">
        <v>121</v>
      </c>
      <c r="H2" s="60"/>
      <c r="I2" s="56" t="s">
        <v>118</v>
      </c>
      <c r="J2" s="57"/>
      <c r="K2" s="57"/>
      <c r="L2" s="57"/>
      <c r="M2" s="57"/>
      <c r="N2" s="58"/>
      <c r="O2" s="59" t="s">
        <v>117</v>
      </c>
      <c r="P2" s="61"/>
      <c r="Q2" s="61"/>
      <c r="R2" s="61"/>
      <c r="S2" s="61"/>
      <c r="T2" s="61"/>
      <c r="U2" s="61"/>
      <c r="V2" s="60"/>
      <c r="W2" s="56" t="s">
        <v>126</v>
      </c>
      <c r="X2" s="57"/>
      <c r="Y2" s="57"/>
      <c r="Z2" s="57"/>
      <c r="AA2" s="57"/>
      <c r="AB2" s="57"/>
      <c r="AC2" s="57"/>
      <c r="AD2" s="57"/>
      <c r="AE2" s="57"/>
      <c r="AF2" s="58"/>
      <c r="AG2" s="59" t="s">
        <v>119</v>
      </c>
      <c r="AH2" s="61"/>
      <c r="AI2" s="61"/>
      <c r="AJ2" s="60"/>
    </row>
    <row r="3" spans="2:36" s="54" customFormat="1" ht="39.950000000000003" customHeight="1" x14ac:dyDescent="0.25">
      <c r="B3" s="53" t="s">
        <v>101</v>
      </c>
      <c r="C3" s="88" t="s">
        <v>48</v>
      </c>
      <c r="D3" s="88"/>
      <c r="E3" s="88" t="s">
        <v>158</v>
      </c>
      <c r="F3" s="88"/>
      <c r="G3" s="87" t="s">
        <v>193</v>
      </c>
      <c r="H3" s="87"/>
      <c r="I3" s="88" t="s">
        <v>154</v>
      </c>
      <c r="J3" s="88"/>
      <c r="K3" s="88" t="s">
        <v>92</v>
      </c>
      <c r="L3" s="88"/>
      <c r="M3" s="88" t="s">
        <v>194</v>
      </c>
      <c r="N3" s="88"/>
      <c r="O3" s="87" t="s">
        <v>195</v>
      </c>
      <c r="P3" s="87"/>
      <c r="Q3" s="87" t="s">
        <v>196</v>
      </c>
      <c r="R3" s="87"/>
      <c r="S3" s="87" t="s">
        <v>66</v>
      </c>
      <c r="T3" s="87"/>
      <c r="U3" s="87" t="s">
        <v>63</v>
      </c>
      <c r="V3" s="87"/>
      <c r="W3" s="88" t="s">
        <v>197</v>
      </c>
      <c r="X3" s="88"/>
      <c r="Y3" s="88" t="s">
        <v>198</v>
      </c>
      <c r="Z3" s="88"/>
      <c r="AA3" s="88" t="s">
        <v>72</v>
      </c>
      <c r="AB3" s="88"/>
      <c r="AC3" s="88" t="s">
        <v>73</v>
      </c>
      <c r="AD3" s="88"/>
      <c r="AE3" s="88" t="s">
        <v>74</v>
      </c>
      <c r="AF3" s="88"/>
      <c r="AG3" s="87" t="s">
        <v>68</v>
      </c>
      <c r="AH3" s="87"/>
      <c r="AI3" s="87" t="s">
        <v>60</v>
      </c>
      <c r="AJ3" s="87"/>
    </row>
    <row r="4" spans="2:36" s="45" customFormat="1" ht="30" customHeight="1" x14ac:dyDescent="0.25">
      <c r="B4" s="52" t="str">
        <f t="array" ref="B4">IFERROR(INDEX(Tableau6[Nom affiche],SMALL(IF((Tableau6[Nom affiche]&lt;&gt;"")*(Tableau6[Status]="Actif"),ROW(Tableau6[Nom affiche])-MIN(ROW(Employé!$B$4))+1,""),ROWS(B$4:B4))),"")</f>
        <v>BENAZET Jean-René</v>
      </c>
      <c r="C4" s="48">
        <f t="array" ref="C4">IFERROR(INDEX(Tableau6[dernière visite mvt],MATCH($B4,Tableau6[Nom affiche],0)),"")</f>
        <v>0</v>
      </c>
      <c r="D4" s="49">
        <f t="array" ref="D4">IFERROR(INDEX(Tableau6[prochaine visite mvt],MATCH($B4,Tableau6[Nom affiche],0)),"")</f>
        <v>15</v>
      </c>
      <c r="E4" s="48">
        <f t="array" ref="E4">IFERROR(INDEX(Tableau6[dernière visite véh],MATCH($B4,Tableau6[Nom affiche],0)),"")</f>
        <v>0</v>
      </c>
      <c r="F4" s="49">
        <f t="array" ref="F4">IFERROR(INDEX(Tableau6[prochaine visite véh],MATCH($B4,Tableau6[Nom affiche],0)),"")</f>
        <v>15</v>
      </c>
      <c r="G4" s="48">
        <f t="array" ref="G4">IFERROR(INDEX(Tableau6[dernière visite za],MATCH($B4,Tableau6[Nom affiche],0)),"")</f>
        <v>0</v>
      </c>
      <c r="H4" s="49">
        <f t="array" ref="H4">IFERROR(INDEX(Tableau6[prochaine visite za],MATCH($B4,Tableau6[Nom affiche],0)),"")</f>
        <v>31</v>
      </c>
      <c r="I4" s="48">
        <f t="array" ref="I4">IFERROR(INDEX(Tableau6[dernière visite epi],MATCH($B4,Tableau6[Nom affiche],0)),"")</f>
        <v>0</v>
      </c>
      <c r="J4" s="49">
        <f t="array" ref="J4">IFERROR(INDEX(Tableau6[prochaine visite epi],MATCH($B4,Tableau6[Nom affiche],0)),"")</f>
        <v>91</v>
      </c>
      <c r="K4" s="48">
        <f t="array" ref="K4">IFERROR(INDEX(Tableau6[dernière visite ari],MATCH($B4,Tableau6[Nom affiche],0)),"")</f>
        <v>0</v>
      </c>
      <c r="L4" s="49">
        <f t="array" ref="L4">IFERROR(INDEX(Tableau6[prochaine visite ari],MATCH($B4,Tableau6[Nom affiche],0)),"")</f>
        <v>91</v>
      </c>
      <c r="M4" s="48">
        <f t="array" ref="M4">IFERROR(INDEX(Tableau6[dernière visite zva],MATCH($B4,Tableau6[Nom affiche],0)),"")</f>
        <v>0</v>
      </c>
      <c r="N4" s="49">
        <f t="array" ref="N4">IFERROR(INDEX(Tableau6[prochaine visite zva],MATCH($B4,Tableau6[Nom affiche],0)),"")</f>
        <v>91</v>
      </c>
      <c r="O4" s="48">
        <f t="array" ref="O4">IFERROR(INDEX(Tableau6[dernière visite trv],MATCH($B4,Tableau6[Nom affiche],0)),"")</f>
        <v>0</v>
      </c>
      <c r="P4" s="49">
        <f t="array" aca="1" ref="P4" ca="1">IFERROR(INDEX(Tableau6[prochaine visite trv],MATCH($B4,Tableau6[Nom affiche],0)),"")</f>
        <v>366</v>
      </c>
      <c r="Q4" s="48">
        <f t="array" ref="Q4">IFERROR(INDEX(Tableau6[dernière visite méd],MATCH($B4,Tableau6[Nom affiche],0)),"")</f>
        <v>0</v>
      </c>
      <c r="R4" s="49">
        <f t="array" ref="R4">IFERROR(INDEX(Tableau6[prochaine visite méd],MATCH($B4,Tableau6[Nom affiche],0)),"")</f>
        <v>366</v>
      </c>
      <c r="S4" s="48">
        <f t="array" ref="S4">IFERROR(INDEX(Tableau6[dernière visite pou],MATCH($B4,Tableau6[Nom affiche],0)),"")</f>
        <v>0</v>
      </c>
      <c r="T4" s="49">
        <f t="array" ref="T4">IFERROR(INDEX(Tableau6[prochaine visite pou],MATCH($B4,Tableau6[Nom affiche],0)),"")</f>
        <v>366</v>
      </c>
      <c r="U4" s="48">
        <f t="array" ref="U4">IFERROR(INDEX(Tableau6[dernière visite co²],MATCH($B4,Tableau6[Nom affiche],0)),"")</f>
        <v>0</v>
      </c>
      <c r="V4" s="49">
        <f t="array" ref="V4">IFERROR(INDEX(Tableau6[prochaine visite co²],MATCH($B4,Tableau6[Nom affiche],0)),"")</f>
        <v>366</v>
      </c>
      <c r="W4" s="48">
        <f t="array" ref="W4">IFERROR(INDEX(Tableau6[dernière visite rpa],MATCH($B4,Tableau6[Nom affiche],0)),"")</f>
        <v>0</v>
      </c>
      <c r="X4" s="49">
        <f t="array" ref="X4">IFERROR(INDEX(Tableau6[prochaine visite rpa],MATCH($B4,Tableau6[Nom affiche],0)),"")</f>
        <v>1096</v>
      </c>
      <c r="Y4" s="46" t="e">
        <f t="array" ref="Y4">INDEX(Tableau6[dernière visite ! !],MATCH($B4,Tableau6[Nom affiche],0))</f>
        <v>#VALUE!</v>
      </c>
      <c r="Z4" s="46" t="e">
        <f t="array" ref="Z4">INDEX(Tableau6[prochaine visite ! !],MATCH($B4,Tableau6[Nom affiche],0))</f>
        <v>#VALUE!</v>
      </c>
      <c r="AA4" s="48">
        <f t="array" ref="AA4">IFERROR(INDEX(Tableau6[dernière visite bad],MATCH($B4,Tableau6[Nom affiche],0)),"")</f>
        <v>0</v>
      </c>
      <c r="AB4" s="49">
        <f t="array" ref="AB4">IFERROR(INDEX(Tableau6[prochaine visite bad],MATCH($B4,Tableau6[Nom affiche],0)),"")</f>
        <v>1096</v>
      </c>
      <c r="AC4" s="48">
        <f t="array" ref="AC4">IFERROR(INDEX(Tableau6[dernière visite sur],MATCH($B4,Tableau6[Nom affiche],0)),"")</f>
        <v>0</v>
      </c>
      <c r="AD4" s="49">
        <f t="array" ref="AD4">IFERROR(INDEX(Tableau6[prochaine visite sur],MATCH($B4,Tableau6[Nom affiche],0)),"")</f>
        <v>1096</v>
      </c>
      <c r="AE4" s="48">
        <f t="array" ref="AE4">IFERROR(INDEX(Tableau6[dernière visite pis],MATCH($B4,Tableau6[Nom affiche],0)),"")</f>
        <v>0</v>
      </c>
      <c r="AF4" s="49">
        <f t="array" ref="AF4">IFERROR(INDEX(Tableau6[prochaine visite pis],MATCH($B4,Tableau6[Nom affiche],0)),"")</f>
        <v>1096</v>
      </c>
      <c r="AG4" s="48">
        <f t="array" ref="AG4">IFERROR(INDEX(Tableau6[dernière visite per],MATCH($B4,Tableau6[Nom affiche],0)),"")</f>
        <v>0</v>
      </c>
      <c r="AH4" s="49">
        <f t="array" ref="AH4">IFERROR(INDEX(Tableau6[prochaine visite per],MATCH($B4,Tableau6[Nom affiche],0)),"")</f>
        <v>1827</v>
      </c>
      <c r="AI4" s="48">
        <f t="array" ref="AI4">IFERROR(INDEX(Tableau6[dernière visite méd],MATCH($B4,Tableau6[Nom affiche],0)),"")</f>
        <v>0</v>
      </c>
      <c r="AJ4" s="49">
        <f t="array" ref="AJ4">IFERROR(INDEX(Tableau6[prochaine visite mét],MATCH($B4,Tableau6[Nom affiche],0)),"")</f>
        <v>1827</v>
      </c>
    </row>
    <row r="5" spans="2:36" s="45" customFormat="1" ht="30" customHeight="1" x14ac:dyDescent="0.25">
      <c r="B5" s="52" t="str">
        <f t="array" ref="B5">IFERROR(INDEX(Tableau6[Nom affiche],SMALL(IF((Tableau6[Nom affiche]&lt;&gt;"")*(Tableau6[Status]="Actif"),ROW(Tableau6[Nom affiche])-MIN(ROW(Employé!$B$4))+1,""),ROWS(B$4:B5))),"")</f>
        <v>ZARAGOZA Didier</v>
      </c>
      <c r="C5" s="48">
        <f t="array" ref="C5">IFERROR(INDEX(Tableau6[dernière visite mvt],MATCH($B5,Tableau6[Nom affiche],0)),"")</f>
        <v>0</v>
      </c>
      <c r="D5" s="49">
        <f t="array" ref="D5">IFERROR(INDEX(Tableau6[prochaine visite mvt],MATCH($B5,Tableau6[Nom affiche],0)),"")</f>
        <v>15</v>
      </c>
      <c r="E5" s="48">
        <f t="array" ref="E5">IFERROR(INDEX(Tableau6[dernière visite véh],MATCH($B5,Tableau6[Nom affiche],0)),"")</f>
        <v>0</v>
      </c>
      <c r="F5" s="49">
        <f t="array" ref="F5">IFERROR(INDEX(Tableau6[prochaine visite véh],MATCH($B5,Tableau6[Nom affiche],0)),"")</f>
        <v>15</v>
      </c>
      <c r="G5" s="48">
        <f t="array" ref="G5">IFERROR(INDEX(Tableau6[dernière visite za],MATCH($B5,Tableau6[Nom affiche],0)),"")</f>
        <v>0</v>
      </c>
      <c r="H5" s="49">
        <f t="array" ref="H5">IFERROR(INDEX(Tableau6[prochaine visite za],MATCH($B5,Tableau6[Nom affiche],0)),"")</f>
        <v>31</v>
      </c>
      <c r="I5" s="48">
        <f t="array" ref="I5">IFERROR(INDEX(Tableau6[dernière visite epi],MATCH($B5,Tableau6[Nom affiche],0)),"")</f>
        <v>0</v>
      </c>
      <c r="J5" s="49">
        <f t="array" ref="J5">IFERROR(INDEX(Tableau6[prochaine visite epi],MATCH($B5,Tableau6[Nom affiche],0)),"")</f>
        <v>91</v>
      </c>
      <c r="K5" s="48">
        <f t="array" ref="K5">IFERROR(INDEX(Tableau6[dernière visite ari],MATCH($B5,Tableau6[Nom affiche],0)),"")</f>
        <v>0</v>
      </c>
      <c r="L5" s="49">
        <f t="array" ref="L5">IFERROR(INDEX(Tableau6[prochaine visite ari],MATCH($B5,Tableau6[Nom affiche],0)),"")</f>
        <v>91</v>
      </c>
      <c r="M5" s="48">
        <f t="array" ref="M5">IFERROR(INDEX(Tableau6[dernière visite zva],MATCH($B5,Tableau6[Nom affiche],0)),"")</f>
        <v>0</v>
      </c>
      <c r="N5" s="49">
        <f t="array" ref="N5">IFERROR(INDEX(Tableau6[prochaine visite zva],MATCH($B5,Tableau6[Nom affiche],0)),"")</f>
        <v>91</v>
      </c>
      <c r="O5" s="48">
        <f t="array" ref="O5">IFERROR(INDEX(Tableau6[dernière visite trv],MATCH($B5,Tableau6[Nom affiche],0)),"")</f>
        <v>0</v>
      </c>
      <c r="P5" s="49">
        <f t="array" aca="1" ref="P5" ca="1">IFERROR(INDEX(Tableau6[prochaine visite trv],MATCH($B5,Tableau6[Nom affiche],0)),"")</f>
        <v>366</v>
      </c>
      <c r="Q5" s="48">
        <f t="array" ref="Q5">IFERROR(INDEX(Tableau6[dernière visite méd],MATCH($B5,Tableau6[Nom affiche],0)),"")</f>
        <v>0</v>
      </c>
      <c r="R5" s="49">
        <f t="array" ref="R5">IFERROR(INDEX(Tableau6[prochaine visite méd],MATCH($B5,Tableau6[Nom affiche],0)),"")</f>
        <v>366</v>
      </c>
      <c r="S5" s="48">
        <f t="array" ref="S5">IFERROR(INDEX(Tableau6[dernière visite pou],MATCH($B5,Tableau6[Nom affiche],0)),"")</f>
        <v>0</v>
      </c>
      <c r="T5" s="49">
        <f t="array" ref="T5">IFERROR(INDEX(Tableau6[prochaine visite pou],MATCH($B5,Tableau6[Nom affiche],0)),"")</f>
        <v>366</v>
      </c>
      <c r="U5" s="48">
        <f t="array" ref="U5">IFERROR(INDEX(Tableau6[dernière visite co²],MATCH($B5,Tableau6[Nom affiche],0)),"")</f>
        <v>0</v>
      </c>
      <c r="V5" s="49">
        <f t="array" ref="V5">IFERROR(INDEX(Tableau6[prochaine visite co²],MATCH($B5,Tableau6[Nom affiche],0)),"")</f>
        <v>366</v>
      </c>
      <c r="W5" s="48">
        <f t="array" ref="W5">IFERROR(INDEX(Tableau6[dernière visite rpa],MATCH($B5,Tableau6[Nom affiche],0)),"")</f>
        <v>0</v>
      </c>
      <c r="X5" s="49">
        <f t="array" ref="X5">IFERROR(INDEX(Tableau6[prochaine visite rpa],MATCH($B5,Tableau6[Nom affiche],0)),"")</f>
        <v>1096</v>
      </c>
      <c r="Y5" s="46" t="e">
        <f t="array" ref="Y5">INDEX(Tableau6[dernière visite ! !],MATCH($B5,Tableau6[Nom affiche],0))</f>
        <v>#VALUE!</v>
      </c>
      <c r="Z5" s="46" t="e">
        <f t="array" ref="Z5">INDEX(Tableau6[prochaine visite ! !],MATCH($B5,Tableau6[Nom affiche],0))</f>
        <v>#VALUE!</v>
      </c>
      <c r="AA5" s="48">
        <f t="array" ref="AA5">IFERROR(INDEX(Tableau6[dernière visite bad],MATCH($B5,Tableau6[Nom affiche],0)),"")</f>
        <v>0</v>
      </c>
      <c r="AB5" s="49">
        <f t="array" ref="AB5">IFERROR(INDEX(Tableau6[prochaine visite bad],MATCH($B5,Tableau6[Nom affiche],0)),"")</f>
        <v>1096</v>
      </c>
      <c r="AC5" s="48">
        <f t="array" ref="AC5">IFERROR(INDEX(Tableau6[dernière visite sur],MATCH($B5,Tableau6[Nom affiche],0)),"")</f>
        <v>0</v>
      </c>
      <c r="AD5" s="49">
        <f t="array" ref="AD5">IFERROR(INDEX(Tableau6[prochaine visite sur],MATCH($B5,Tableau6[Nom affiche],0)),"")</f>
        <v>1096</v>
      </c>
      <c r="AE5" s="48">
        <f t="array" ref="AE5">IFERROR(INDEX(Tableau6[dernière visite pis],MATCH($B5,Tableau6[Nom affiche],0)),"")</f>
        <v>0</v>
      </c>
      <c r="AF5" s="49">
        <f t="array" ref="AF5">IFERROR(INDEX(Tableau6[prochaine visite pis],MATCH($B5,Tableau6[Nom affiche],0)),"")</f>
        <v>1096</v>
      </c>
      <c r="AG5" s="48">
        <f t="array" ref="AG5">IFERROR(INDEX(Tableau6[dernière visite per],MATCH($B5,Tableau6[Nom affiche],0)),"")</f>
        <v>0</v>
      </c>
      <c r="AH5" s="49">
        <f t="array" ref="AH5">IFERROR(INDEX(Tableau6[prochaine visite per],MATCH($B5,Tableau6[Nom affiche],0)),"")</f>
        <v>1827</v>
      </c>
      <c r="AI5" s="48">
        <f t="array" ref="AI5">IFERROR(INDEX(Tableau6[dernière visite méd],MATCH($B5,Tableau6[Nom affiche],0)),"")</f>
        <v>0</v>
      </c>
      <c r="AJ5" s="49">
        <f t="array" ref="AJ5">IFERROR(INDEX(Tableau6[prochaine visite mét],MATCH($B5,Tableau6[Nom affiche],0)),"")</f>
        <v>1827</v>
      </c>
    </row>
    <row r="6" spans="2:36" ht="30" customHeight="1" x14ac:dyDescent="0.2">
      <c r="B6" s="52" t="str">
        <f t="array" ref="B6">IFERROR(INDEX(Tableau6[Nom affiche],SMALL(IF((Tableau6[Nom affiche]&lt;&gt;"")*(Tableau6[Status]="Actif"),ROW(Tableau6[Nom affiche])-MIN(ROW(Employé!$B$4))+1,""),ROWS(B$4:B6))),"")</f>
        <v>SANTOS Jean-François</v>
      </c>
      <c r="C6" s="48">
        <f t="array" ref="C6">IFERROR(INDEX(Tableau6[dernière visite mvt],MATCH($B6,Tableau6[Nom affiche],0)),"")</f>
        <v>0</v>
      </c>
      <c r="D6" s="49">
        <f t="array" ref="D6">IFERROR(INDEX(Tableau6[prochaine visite mvt],MATCH($B6,Tableau6[Nom affiche],0)),"")</f>
        <v>15</v>
      </c>
      <c r="E6" s="48">
        <f t="array" ref="E6">IFERROR(INDEX(Tableau6[dernière visite véh],MATCH($B6,Tableau6[Nom affiche],0)),"")</f>
        <v>0</v>
      </c>
      <c r="F6" s="49">
        <f t="array" ref="F6">IFERROR(INDEX(Tableau6[prochaine visite véh],MATCH($B6,Tableau6[Nom affiche],0)),"")</f>
        <v>15</v>
      </c>
      <c r="G6" s="48">
        <f t="array" ref="G6">IFERROR(INDEX(Tableau6[dernière visite za],MATCH($B6,Tableau6[Nom affiche],0)),"")</f>
        <v>43383</v>
      </c>
      <c r="H6" s="49">
        <f t="array" ref="H6">IFERROR(INDEX(Tableau6[prochaine visite za],MATCH($B6,Tableau6[Nom affiche],0)),"")</f>
        <v>43414</v>
      </c>
      <c r="I6" s="48">
        <f t="array" ref="I6">IFERROR(INDEX(Tableau6[dernière visite epi],MATCH($B6,Tableau6[Nom affiche],0)),"")</f>
        <v>0</v>
      </c>
      <c r="J6" s="49">
        <f t="array" ref="J6">IFERROR(INDEX(Tableau6[prochaine visite epi],MATCH($B6,Tableau6[Nom affiche],0)),"")</f>
        <v>91</v>
      </c>
      <c r="K6" s="48">
        <f t="array" ref="K6">IFERROR(INDEX(Tableau6[dernière visite ari],MATCH($B6,Tableau6[Nom affiche],0)),"")</f>
        <v>0</v>
      </c>
      <c r="L6" s="49">
        <f t="array" ref="L6">IFERROR(INDEX(Tableau6[prochaine visite ari],MATCH($B6,Tableau6[Nom affiche],0)),"")</f>
        <v>91</v>
      </c>
      <c r="M6" s="48">
        <f t="array" ref="M6">IFERROR(INDEX(Tableau6[dernière visite zva],MATCH($B6,Tableau6[Nom affiche],0)),"")</f>
        <v>0</v>
      </c>
      <c r="N6" s="49">
        <f t="array" ref="N6">IFERROR(INDEX(Tableau6[prochaine visite zva],MATCH($B6,Tableau6[Nom affiche],0)),"")</f>
        <v>91</v>
      </c>
      <c r="O6" s="48">
        <f t="array" ref="O6">IFERROR(INDEX(Tableau6[dernière visite trv],MATCH($B6,Tableau6[Nom affiche],0)),"")</f>
        <v>0</v>
      </c>
      <c r="P6" s="49">
        <f t="array" aca="1" ref="P6" ca="1">IFERROR(INDEX(Tableau6[prochaine visite trv],MATCH($B6,Tableau6[Nom affiche],0)),"")</f>
        <v>366</v>
      </c>
      <c r="Q6" s="48">
        <f t="array" ref="Q6">IFERROR(INDEX(Tableau6[dernière visite méd],MATCH($B6,Tableau6[Nom affiche],0)),"")</f>
        <v>0</v>
      </c>
      <c r="R6" s="49">
        <f t="array" ref="R6">IFERROR(INDEX(Tableau6[prochaine visite méd],MATCH($B6,Tableau6[Nom affiche],0)),"")</f>
        <v>366</v>
      </c>
      <c r="S6" s="48">
        <f t="array" ref="S6">IFERROR(INDEX(Tableau6[dernière visite pou],MATCH($B6,Tableau6[Nom affiche],0)),"")</f>
        <v>0</v>
      </c>
      <c r="T6" s="49">
        <f t="array" ref="T6">IFERROR(INDEX(Tableau6[prochaine visite pou],MATCH($B6,Tableau6[Nom affiche],0)),"")</f>
        <v>366</v>
      </c>
      <c r="U6" s="48">
        <f t="array" ref="U6">IFERROR(INDEX(Tableau6[dernière visite co²],MATCH($B6,Tableau6[Nom affiche],0)),"")</f>
        <v>0</v>
      </c>
      <c r="V6" s="49">
        <f t="array" ref="V6">IFERROR(INDEX(Tableau6[prochaine visite co²],MATCH($B6,Tableau6[Nom affiche],0)),"")</f>
        <v>366</v>
      </c>
      <c r="W6" s="48">
        <f t="array" ref="W6">IFERROR(INDEX(Tableau6[dernière visite rpa],MATCH($B6,Tableau6[Nom affiche],0)),"")</f>
        <v>0</v>
      </c>
      <c r="X6" s="49">
        <f t="array" ref="X6">IFERROR(INDEX(Tableau6[prochaine visite rpa],MATCH($B6,Tableau6[Nom affiche],0)),"")</f>
        <v>1096</v>
      </c>
      <c r="Y6" s="46" t="e">
        <f t="array" ref="Y6">INDEX(Tableau6[dernière visite ! !],MATCH($B6,Tableau6[Nom affiche],0))</f>
        <v>#VALUE!</v>
      </c>
      <c r="Z6" s="46" t="e">
        <f t="array" ref="Z6">INDEX(Tableau6[prochaine visite ! !],MATCH($B6,Tableau6[Nom affiche],0))</f>
        <v>#VALUE!</v>
      </c>
      <c r="AA6" s="48">
        <f t="array" ref="AA6">IFERROR(INDEX(Tableau6[dernière visite bad],MATCH($B6,Tableau6[Nom affiche],0)),"")</f>
        <v>0</v>
      </c>
      <c r="AB6" s="49">
        <f t="array" ref="AB6">IFERROR(INDEX(Tableau6[prochaine visite bad],MATCH($B6,Tableau6[Nom affiche],0)),"")</f>
        <v>1096</v>
      </c>
      <c r="AC6" s="48">
        <f t="array" ref="AC6">IFERROR(INDEX(Tableau6[dernière visite sur],MATCH($B6,Tableau6[Nom affiche],0)),"")</f>
        <v>0</v>
      </c>
      <c r="AD6" s="49">
        <f t="array" ref="AD6">IFERROR(INDEX(Tableau6[prochaine visite sur],MATCH($B6,Tableau6[Nom affiche],0)),"")</f>
        <v>1096</v>
      </c>
      <c r="AE6" s="48">
        <f t="array" ref="AE6">IFERROR(INDEX(Tableau6[dernière visite pis],MATCH($B6,Tableau6[Nom affiche],0)),"")</f>
        <v>0</v>
      </c>
      <c r="AF6" s="49">
        <f t="array" ref="AF6">IFERROR(INDEX(Tableau6[prochaine visite pis],MATCH($B6,Tableau6[Nom affiche],0)),"")</f>
        <v>1096</v>
      </c>
      <c r="AG6" s="48">
        <f t="array" ref="AG6">IFERROR(INDEX(Tableau6[dernière visite per],MATCH($B6,Tableau6[Nom affiche],0)),"")</f>
        <v>0</v>
      </c>
      <c r="AH6" s="49">
        <f t="array" ref="AH6">IFERROR(INDEX(Tableau6[prochaine visite per],MATCH($B6,Tableau6[Nom affiche],0)),"")</f>
        <v>1827</v>
      </c>
      <c r="AI6" s="48">
        <f t="array" ref="AI6">IFERROR(INDEX(Tableau6[dernière visite méd],MATCH($B6,Tableau6[Nom affiche],0)),"")</f>
        <v>0</v>
      </c>
      <c r="AJ6" s="49">
        <f t="array" ref="AJ6">IFERROR(INDEX(Tableau6[prochaine visite mét],MATCH($B6,Tableau6[Nom affiche],0)),"")</f>
        <v>1827</v>
      </c>
    </row>
    <row r="7" spans="2:36" ht="30" customHeight="1" x14ac:dyDescent="0.2">
      <c r="B7" s="52" t="str">
        <f t="array" ref="B7">IFERROR(INDEX(Tableau6[Nom affiche],SMALL(IF((Tableau6[Nom affiche]&lt;&gt;"")*(Tableau6[Status]="Actif"),ROW(Tableau6[Nom affiche])-MIN(ROW(Employé!$B$4))+1,""),ROWS(B$4:B7))),"")</f>
        <v>NAVARRO Christophe</v>
      </c>
      <c r="C7" s="48">
        <f t="array" ref="C7">IFERROR(INDEX(Tableau6[dernière visite mvt],MATCH($B7,Tableau6[Nom affiche],0)),"")</f>
        <v>0</v>
      </c>
      <c r="D7" s="49">
        <f t="array" ref="D7">IFERROR(INDEX(Tableau6[prochaine visite mvt],MATCH($B7,Tableau6[Nom affiche],0)),"")</f>
        <v>15</v>
      </c>
      <c r="E7" s="48">
        <f t="array" ref="E7">IFERROR(INDEX(Tableau6[dernière visite véh],MATCH($B7,Tableau6[Nom affiche],0)),"")</f>
        <v>0</v>
      </c>
      <c r="F7" s="49">
        <f t="array" ref="F7">IFERROR(INDEX(Tableau6[prochaine visite véh],MATCH($B7,Tableau6[Nom affiche],0)),"")</f>
        <v>15</v>
      </c>
      <c r="G7" s="48">
        <f t="array" ref="G7">IFERROR(INDEX(Tableau6[dernière visite za],MATCH($B7,Tableau6[Nom affiche],0)),"")</f>
        <v>0</v>
      </c>
      <c r="H7" s="49">
        <f t="array" ref="H7">IFERROR(INDEX(Tableau6[prochaine visite za],MATCH($B7,Tableau6[Nom affiche],0)),"")</f>
        <v>31</v>
      </c>
      <c r="I7" s="48">
        <f t="array" ref="I7">IFERROR(INDEX(Tableau6[dernière visite epi],MATCH($B7,Tableau6[Nom affiche],0)),"")</f>
        <v>0</v>
      </c>
      <c r="J7" s="49">
        <f t="array" ref="J7">IFERROR(INDEX(Tableau6[prochaine visite epi],MATCH($B7,Tableau6[Nom affiche],0)),"")</f>
        <v>91</v>
      </c>
      <c r="K7" s="48">
        <f t="array" ref="K7">IFERROR(INDEX(Tableau6[dernière visite ari],MATCH($B7,Tableau6[Nom affiche],0)),"")</f>
        <v>0</v>
      </c>
      <c r="L7" s="49">
        <f t="array" ref="L7">IFERROR(INDEX(Tableau6[prochaine visite ari],MATCH($B7,Tableau6[Nom affiche],0)),"")</f>
        <v>91</v>
      </c>
      <c r="M7" s="48">
        <f t="array" ref="M7">IFERROR(INDEX(Tableau6[dernière visite zva],MATCH($B7,Tableau6[Nom affiche],0)),"")</f>
        <v>0</v>
      </c>
      <c r="N7" s="49">
        <f t="array" ref="N7">IFERROR(INDEX(Tableau6[prochaine visite zva],MATCH($B7,Tableau6[Nom affiche],0)),"")</f>
        <v>91</v>
      </c>
      <c r="O7" s="48">
        <f t="array" ref="O7">IFERROR(INDEX(Tableau6[dernière visite trv],MATCH($B7,Tableau6[Nom affiche],0)),"")</f>
        <v>0</v>
      </c>
      <c r="P7" s="49">
        <f t="array" aca="1" ref="P7" ca="1">IFERROR(INDEX(Tableau6[prochaine visite trv],MATCH($B7,Tableau6[Nom affiche],0)),"")</f>
        <v>366</v>
      </c>
      <c r="Q7" s="48">
        <f t="array" ref="Q7">IFERROR(INDEX(Tableau6[dernière visite méd],MATCH($B7,Tableau6[Nom affiche],0)),"")</f>
        <v>0</v>
      </c>
      <c r="R7" s="49">
        <f t="array" ref="R7">IFERROR(INDEX(Tableau6[prochaine visite méd],MATCH($B7,Tableau6[Nom affiche],0)),"")</f>
        <v>366</v>
      </c>
      <c r="S7" s="48">
        <f t="array" ref="S7">IFERROR(INDEX(Tableau6[dernière visite pou],MATCH($B7,Tableau6[Nom affiche],0)),"")</f>
        <v>0</v>
      </c>
      <c r="T7" s="49">
        <f t="array" ref="T7">IFERROR(INDEX(Tableau6[prochaine visite pou],MATCH($B7,Tableau6[Nom affiche],0)),"")</f>
        <v>366</v>
      </c>
      <c r="U7" s="48">
        <f t="array" ref="U7">IFERROR(INDEX(Tableau6[dernière visite co²],MATCH($B7,Tableau6[Nom affiche],0)),"")</f>
        <v>0</v>
      </c>
      <c r="V7" s="49">
        <f t="array" ref="V7">IFERROR(INDEX(Tableau6[prochaine visite co²],MATCH($B7,Tableau6[Nom affiche],0)),"")</f>
        <v>366</v>
      </c>
      <c r="W7" s="48">
        <f t="array" ref="W7">IFERROR(INDEX(Tableau6[dernière visite rpa],MATCH($B7,Tableau6[Nom affiche],0)),"")</f>
        <v>0</v>
      </c>
      <c r="X7" s="49">
        <f t="array" ref="X7">IFERROR(INDEX(Tableau6[prochaine visite rpa],MATCH($B7,Tableau6[Nom affiche],0)),"")</f>
        <v>1096</v>
      </c>
      <c r="Y7" s="46" t="e">
        <f t="array" ref="Y7">INDEX(Tableau6[dernière visite ! !],MATCH($B7,Tableau6[Nom affiche],0))</f>
        <v>#VALUE!</v>
      </c>
      <c r="Z7" s="46" t="e">
        <f t="array" ref="Z7">INDEX(Tableau6[prochaine visite ! !],MATCH($B7,Tableau6[Nom affiche],0))</f>
        <v>#VALUE!</v>
      </c>
      <c r="AA7" s="48">
        <f t="array" ref="AA7">IFERROR(INDEX(Tableau6[dernière visite bad],MATCH($B7,Tableau6[Nom affiche],0)),"")</f>
        <v>0</v>
      </c>
      <c r="AB7" s="49">
        <f t="array" ref="AB7">IFERROR(INDEX(Tableau6[prochaine visite bad],MATCH($B7,Tableau6[Nom affiche],0)),"")</f>
        <v>1096</v>
      </c>
      <c r="AC7" s="48">
        <f t="array" ref="AC7">IFERROR(INDEX(Tableau6[dernière visite sur],MATCH($B7,Tableau6[Nom affiche],0)),"")</f>
        <v>0</v>
      </c>
      <c r="AD7" s="49">
        <f t="array" ref="AD7">IFERROR(INDEX(Tableau6[prochaine visite sur],MATCH($B7,Tableau6[Nom affiche],0)),"")</f>
        <v>1096</v>
      </c>
      <c r="AE7" s="48">
        <f t="array" ref="AE7">IFERROR(INDEX(Tableau6[dernière visite pis],MATCH($B7,Tableau6[Nom affiche],0)),"")</f>
        <v>0</v>
      </c>
      <c r="AF7" s="49">
        <f t="array" ref="AF7">IFERROR(INDEX(Tableau6[prochaine visite pis],MATCH($B7,Tableau6[Nom affiche],0)),"")</f>
        <v>1096</v>
      </c>
      <c r="AG7" s="48">
        <f t="array" ref="AG7">IFERROR(INDEX(Tableau6[dernière visite per],MATCH($B7,Tableau6[Nom affiche],0)),"")</f>
        <v>0</v>
      </c>
      <c r="AH7" s="49">
        <f t="array" ref="AH7">IFERROR(INDEX(Tableau6[prochaine visite per],MATCH($B7,Tableau6[Nom affiche],0)),"")</f>
        <v>1827</v>
      </c>
      <c r="AI7" s="48">
        <f t="array" ref="AI7">IFERROR(INDEX(Tableau6[dernière visite méd],MATCH($B7,Tableau6[Nom affiche],0)),"")</f>
        <v>0</v>
      </c>
      <c r="AJ7" s="49">
        <f t="array" ref="AJ7">IFERROR(INDEX(Tableau6[prochaine visite mét],MATCH($B7,Tableau6[Nom affiche],0)),"")</f>
        <v>1827</v>
      </c>
    </row>
    <row r="8" spans="2:36" ht="30" customHeight="1" x14ac:dyDescent="0.2">
      <c r="B8" s="52" t="str">
        <f t="array" ref="B8">IFERROR(INDEX(Tableau6[Nom affiche],SMALL(IF((Tableau6[Nom affiche]&lt;&gt;"")*(Tableau6[Status]="Actif"),ROW(Tableau6[Nom affiche])-MIN(ROW(Employé!$B$4))+1,""),ROWS(B$4:B8))),"")</f>
        <v>AUDIE Anthony</v>
      </c>
      <c r="C8" s="48">
        <f t="array" ref="C8">IFERROR(INDEX(Tableau6[dernière visite mvt],MATCH($B8,Tableau6[Nom affiche],0)),"")</f>
        <v>0</v>
      </c>
      <c r="D8" s="49">
        <f t="array" ref="D8">IFERROR(INDEX(Tableau6[prochaine visite mvt],MATCH($B8,Tableau6[Nom affiche],0)),"")</f>
        <v>15</v>
      </c>
      <c r="E8" s="48">
        <f t="array" ref="E8">IFERROR(INDEX(Tableau6[dernière visite véh],MATCH($B8,Tableau6[Nom affiche],0)),"")</f>
        <v>0</v>
      </c>
      <c r="F8" s="49">
        <f t="array" ref="F8">IFERROR(INDEX(Tableau6[prochaine visite véh],MATCH($B8,Tableau6[Nom affiche],0)),"")</f>
        <v>15</v>
      </c>
      <c r="G8" s="48">
        <f t="array" ref="G8">IFERROR(INDEX(Tableau6[dernière visite za],MATCH($B8,Tableau6[Nom affiche],0)),"")</f>
        <v>0</v>
      </c>
      <c r="H8" s="49">
        <f t="array" ref="H8">IFERROR(INDEX(Tableau6[prochaine visite za],MATCH($B8,Tableau6[Nom affiche],0)),"")</f>
        <v>31</v>
      </c>
      <c r="I8" s="48">
        <f t="array" ref="I8">IFERROR(INDEX(Tableau6[dernière visite epi],MATCH($B8,Tableau6[Nom affiche],0)),"")</f>
        <v>0</v>
      </c>
      <c r="J8" s="49">
        <f t="array" ref="J8">IFERROR(INDEX(Tableau6[prochaine visite epi],MATCH($B8,Tableau6[Nom affiche],0)),"")</f>
        <v>91</v>
      </c>
      <c r="K8" s="48">
        <f t="array" ref="K8">IFERROR(INDEX(Tableau6[dernière visite ari],MATCH($B8,Tableau6[Nom affiche],0)),"")</f>
        <v>0</v>
      </c>
      <c r="L8" s="49">
        <f t="array" ref="L8">IFERROR(INDEX(Tableau6[prochaine visite ari],MATCH($B8,Tableau6[Nom affiche],0)),"")</f>
        <v>91</v>
      </c>
      <c r="M8" s="48">
        <f t="array" ref="M8">IFERROR(INDEX(Tableau6[dernière visite zva],MATCH($B8,Tableau6[Nom affiche],0)),"")</f>
        <v>0</v>
      </c>
      <c r="N8" s="49">
        <f t="array" ref="N8">IFERROR(INDEX(Tableau6[prochaine visite zva],MATCH($B8,Tableau6[Nom affiche],0)),"")</f>
        <v>91</v>
      </c>
      <c r="O8" s="48">
        <f t="array" ref="O8">IFERROR(INDEX(Tableau6[dernière visite trv],MATCH($B8,Tableau6[Nom affiche],0)),"")</f>
        <v>0</v>
      </c>
      <c r="P8" s="49">
        <f t="array" aca="1" ref="P8" ca="1">IFERROR(INDEX(Tableau6[prochaine visite trv],MATCH($B8,Tableau6[Nom affiche],0)),"")</f>
        <v>366</v>
      </c>
      <c r="Q8" s="48">
        <f t="array" ref="Q8">IFERROR(INDEX(Tableau6[dernière visite méd],MATCH($B8,Tableau6[Nom affiche],0)),"")</f>
        <v>0</v>
      </c>
      <c r="R8" s="49">
        <f t="array" ref="R8">IFERROR(INDEX(Tableau6[prochaine visite méd],MATCH($B8,Tableau6[Nom affiche],0)),"")</f>
        <v>366</v>
      </c>
      <c r="S8" s="48">
        <f t="array" ref="S8">IFERROR(INDEX(Tableau6[dernière visite pou],MATCH($B8,Tableau6[Nom affiche],0)),"")</f>
        <v>0</v>
      </c>
      <c r="T8" s="49">
        <f t="array" ref="T8">IFERROR(INDEX(Tableau6[prochaine visite pou],MATCH($B8,Tableau6[Nom affiche],0)),"")</f>
        <v>366</v>
      </c>
      <c r="U8" s="48">
        <f t="array" ref="U8">IFERROR(INDEX(Tableau6[dernière visite co²],MATCH($B8,Tableau6[Nom affiche],0)),"")</f>
        <v>0</v>
      </c>
      <c r="V8" s="49">
        <f t="array" ref="V8">IFERROR(INDEX(Tableau6[prochaine visite co²],MATCH($B8,Tableau6[Nom affiche],0)),"")</f>
        <v>366</v>
      </c>
      <c r="W8" s="48">
        <f t="array" ref="W8">IFERROR(INDEX(Tableau6[dernière visite rpa],MATCH($B8,Tableau6[Nom affiche],0)),"")</f>
        <v>0</v>
      </c>
      <c r="X8" s="49">
        <f t="array" ref="X8">IFERROR(INDEX(Tableau6[prochaine visite rpa],MATCH($B8,Tableau6[Nom affiche],0)),"")</f>
        <v>1096</v>
      </c>
      <c r="Y8" s="46" t="e">
        <f t="array" ref="Y8">INDEX(Tableau6[dernière visite ! !],MATCH($B8,Tableau6[Nom affiche],0))</f>
        <v>#VALUE!</v>
      </c>
      <c r="Z8" s="46" t="e">
        <f t="array" ref="Z8">INDEX(Tableau6[prochaine visite ! !],MATCH($B8,Tableau6[Nom affiche],0))</f>
        <v>#VALUE!</v>
      </c>
      <c r="AA8" s="48">
        <f t="array" ref="AA8">IFERROR(INDEX(Tableau6[dernière visite bad],MATCH($B8,Tableau6[Nom affiche],0)),"")</f>
        <v>0</v>
      </c>
      <c r="AB8" s="49">
        <f t="array" ref="AB8">IFERROR(INDEX(Tableau6[prochaine visite bad],MATCH($B8,Tableau6[Nom affiche],0)),"")</f>
        <v>1096</v>
      </c>
      <c r="AC8" s="48">
        <f t="array" ref="AC8">IFERROR(INDEX(Tableau6[dernière visite sur],MATCH($B8,Tableau6[Nom affiche],0)),"")</f>
        <v>0</v>
      </c>
      <c r="AD8" s="49">
        <f t="array" ref="AD8">IFERROR(INDEX(Tableau6[prochaine visite sur],MATCH($B8,Tableau6[Nom affiche],0)),"")</f>
        <v>1096</v>
      </c>
      <c r="AE8" s="48">
        <f t="array" ref="AE8">IFERROR(INDEX(Tableau6[dernière visite pis],MATCH($B8,Tableau6[Nom affiche],0)),"")</f>
        <v>0</v>
      </c>
      <c r="AF8" s="49">
        <f t="array" ref="AF8">IFERROR(INDEX(Tableau6[prochaine visite pis],MATCH($B8,Tableau6[Nom affiche],0)),"")</f>
        <v>1096</v>
      </c>
      <c r="AG8" s="48">
        <f t="array" ref="AG8">IFERROR(INDEX(Tableau6[dernière visite per],MATCH($B8,Tableau6[Nom affiche],0)),"")</f>
        <v>0</v>
      </c>
      <c r="AH8" s="49">
        <f t="array" ref="AH8">IFERROR(INDEX(Tableau6[prochaine visite per],MATCH($B8,Tableau6[Nom affiche],0)),"")</f>
        <v>1827</v>
      </c>
      <c r="AI8" s="48">
        <f t="array" ref="AI8">IFERROR(INDEX(Tableau6[dernière visite méd],MATCH($B8,Tableau6[Nom affiche],0)),"")</f>
        <v>0</v>
      </c>
      <c r="AJ8" s="49">
        <f t="array" ref="AJ8">IFERROR(INDEX(Tableau6[prochaine visite mét],MATCH($B8,Tableau6[Nom affiche],0)),"")</f>
        <v>1827</v>
      </c>
    </row>
    <row r="9" spans="2:36" ht="30" customHeight="1" x14ac:dyDescent="0.2">
      <c r="B9" s="52" t="str">
        <f t="array" ref="B9">IFERROR(INDEX(Tableau6[Nom affiche],SMALL(IF((Tableau6[Nom affiche]&lt;&gt;"")*(Tableau6[Status]="Actif"),ROW(Tableau6[Nom affiche])-MIN(ROW(Employé!$B$4))+1,""),ROWS(B$4:B9))),"")</f>
        <v>DISTEFANO Alexis</v>
      </c>
      <c r="C9" s="48">
        <f t="array" ref="C9">IFERROR(INDEX(Tableau6[dernière visite mvt],MATCH($B9,Tableau6[Nom affiche],0)),"")</f>
        <v>0</v>
      </c>
      <c r="D9" s="49">
        <f t="array" ref="D9">IFERROR(INDEX(Tableau6[prochaine visite mvt],MATCH($B9,Tableau6[Nom affiche],0)),"")</f>
        <v>15</v>
      </c>
      <c r="E9" s="48">
        <f t="array" ref="E9">IFERROR(INDEX(Tableau6[dernière visite véh],MATCH($B9,Tableau6[Nom affiche],0)),"")</f>
        <v>0</v>
      </c>
      <c r="F9" s="49">
        <f t="array" ref="F9">IFERROR(INDEX(Tableau6[prochaine visite véh],MATCH($B9,Tableau6[Nom affiche],0)),"")</f>
        <v>15</v>
      </c>
      <c r="G9" s="48">
        <f t="array" ref="G9">IFERROR(INDEX(Tableau6[dernière visite za],MATCH($B9,Tableau6[Nom affiche],0)),"")</f>
        <v>0</v>
      </c>
      <c r="H9" s="49">
        <f t="array" ref="H9">IFERROR(INDEX(Tableau6[prochaine visite za],MATCH($B9,Tableau6[Nom affiche],0)),"")</f>
        <v>31</v>
      </c>
      <c r="I9" s="48">
        <f t="array" ref="I9">IFERROR(INDEX(Tableau6[dernière visite epi],MATCH($B9,Tableau6[Nom affiche],0)),"")</f>
        <v>0</v>
      </c>
      <c r="J9" s="49">
        <f t="array" ref="J9">IFERROR(INDEX(Tableau6[prochaine visite epi],MATCH($B9,Tableau6[Nom affiche],0)),"")</f>
        <v>91</v>
      </c>
      <c r="K9" s="48">
        <f t="array" ref="K9">IFERROR(INDEX(Tableau6[dernière visite ari],MATCH($B9,Tableau6[Nom affiche],0)),"")</f>
        <v>0</v>
      </c>
      <c r="L9" s="49">
        <f t="array" ref="L9">IFERROR(INDEX(Tableau6[prochaine visite ari],MATCH($B9,Tableau6[Nom affiche],0)),"")</f>
        <v>91</v>
      </c>
      <c r="M9" s="48">
        <f t="array" ref="M9">IFERROR(INDEX(Tableau6[dernière visite zva],MATCH($B9,Tableau6[Nom affiche],0)),"")</f>
        <v>0</v>
      </c>
      <c r="N9" s="49">
        <f t="array" ref="N9">IFERROR(INDEX(Tableau6[prochaine visite zva],MATCH($B9,Tableau6[Nom affiche],0)),"")</f>
        <v>91</v>
      </c>
      <c r="O9" s="48">
        <f t="array" ref="O9">IFERROR(INDEX(Tableau6[dernière visite trv],MATCH($B9,Tableau6[Nom affiche],0)),"")</f>
        <v>0</v>
      </c>
      <c r="P9" s="49">
        <f t="array" aca="1" ref="P9" ca="1">IFERROR(INDEX(Tableau6[prochaine visite trv],MATCH($B9,Tableau6[Nom affiche],0)),"")</f>
        <v>366</v>
      </c>
      <c r="Q9" s="48">
        <f t="array" ref="Q9">IFERROR(INDEX(Tableau6[dernière visite méd],MATCH($B9,Tableau6[Nom affiche],0)),"")</f>
        <v>0</v>
      </c>
      <c r="R9" s="49">
        <f t="array" ref="R9">IFERROR(INDEX(Tableau6[prochaine visite méd],MATCH($B9,Tableau6[Nom affiche],0)),"")</f>
        <v>366</v>
      </c>
      <c r="S9" s="48">
        <f t="array" ref="S9">IFERROR(INDEX(Tableau6[dernière visite pou],MATCH($B9,Tableau6[Nom affiche],0)),"")</f>
        <v>0</v>
      </c>
      <c r="T9" s="49">
        <f t="array" ref="T9">IFERROR(INDEX(Tableau6[prochaine visite pou],MATCH($B9,Tableau6[Nom affiche],0)),"")</f>
        <v>366</v>
      </c>
      <c r="U9" s="48">
        <f t="array" ref="U9">IFERROR(INDEX(Tableau6[dernière visite co²],MATCH($B9,Tableau6[Nom affiche],0)),"")</f>
        <v>0</v>
      </c>
      <c r="V9" s="49">
        <f t="array" ref="V9">IFERROR(INDEX(Tableau6[prochaine visite co²],MATCH($B9,Tableau6[Nom affiche],0)),"")</f>
        <v>366</v>
      </c>
      <c r="W9" s="48">
        <f t="array" ref="W9">IFERROR(INDEX(Tableau6[dernière visite rpa],MATCH($B9,Tableau6[Nom affiche],0)),"")</f>
        <v>0</v>
      </c>
      <c r="X9" s="49">
        <f t="array" ref="X9">IFERROR(INDEX(Tableau6[prochaine visite rpa],MATCH($B9,Tableau6[Nom affiche],0)),"")</f>
        <v>1096</v>
      </c>
      <c r="Y9" s="46" t="e">
        <f t="array" ref="Y9">INDEX(Tableau6[dernière visite ! !],MATCH($B9,Tableau6[Nom affiche],0))</f>
        <v>#VALUE!</v>
      </c>
      <c r="Z9" s="46" t="e">
        <f t="array" ref="Z9">INDEX(Tableau6[prochaine visite ! !],MATCH($B9,Tableau6[Nom affiche],0))</f>
        <v>#VALUE!</v>
      </c>
      <c r="AA9" s="48">
        <f t="array" ref="AA9">IFERROR(INDEX(Tableau6[dernière visite bad],MATCH($B9,Tableau6[Nom affiche],0)),"")</f>
        <v>0</v>
      </c>
      <c r="AB9" s="49">
        <f t="array" ref="AB9">IFERROR(INDEX(Tableau6[prochaine visite bad],MATCH($B9,Tableau6[Nom affiche],0)),"")</f>
        <v>1096</v>
      </c>
      <c r="AC9" s="48">
        <f t="array" ref="AC9">IFERROR(INDEX(Tableau6[dernière visite sur],MATCH($B9,Tableau6[Nom affiche],0)),"")</f>
        <v>0</v>
      </c>
      <c r="AD9" s="49">
        <f t="array" ref="AD9">IFERROR(INDEX(Tableau6[prochaine visite sur],MATCH($B9,Tableau6[Nom affiche],0)),"")</f>
        <v>1096</v>
      </c>
      <c r="AE9" s="48">
        <f t="array" ref="AE9">IFERROR(INDEX(Tableau6[dernière visite pis],MATCH($B9,Tableau6[Nom affiche],0)),"")</f>
        <v>0</v>
      </c>
      <c r="AF9" s="49">
        <f t="array" ref="AF9">IFERROR(INDEX(Tableau6[prochaine visite pis],MATCH($B9,Tableau6[Nom affiche],0)),"")</f>
        <v>1096</v>
      </c>
      <c r="AG9" s="48">
        <f t="array" ref="AG9">IFERROR(INDEX(Tableau6[dernière visite per],MATCH($B9,Tableau6[Nom affiche],0)),"")</f>
        <v>0</v>
      </c>
      <c r="AH9" s="49">
        <f t="array" ref="AH9">IFERROR(INDEX(Tableau6[prochaine visite per],MATCH($B9,Tableau6[Nom affiche],0)),"")</f>
        <v>1827</v>
      </c>
      <c r="AI9" s="48">
        <f t="array" ref="AI9">IFERROR(INDEX(Tableau6[dernière visite méd],MATCH($B9,Tableau6[Nom affiche],0)),"")</f>
        <v>0</v>
      </c>
      <c r="AJ9" s="49">
        <f t="array" ref="AJ9">IFERROR(INDEX(Tableau6[prochaine visite mét],MATCH($B9,Tableau6[Nom affiche],0)),"")</f>
        <v>1827</v>
      </c>
    </row>
    <row r="10" spans="2:36" ht="30" customHeight="1" x14ac:dyDescent="0.2">
      <c r="B10" s="52" t="str">
        <f t="array" ref="B10">IFERROR(INDEX(Tableau6[Nom affiche],SMALL(IF((Tableau6[Nom affiche]&lt;&gt;"")*(Tableau6[Status]="Actif"),ROW(Tableau6[Nom affiche])-MIN(ROW(Employé!$B$4))+1,""),ROWS(B$4:B10))),"")</f>
        <v>SCHWEITZER Jean-Michel</v>
      </c>
      <c r="C10" s="48">
        <f t="array" ref="C10">IFERROR(INDEX(Tableau6[dernière visite mvt],MATCH($B10,Tableau6[Nom affiche],0)),"")</f>
        <v>0</v>
      </c>
      <c r="D10" s="49">
        <f t="array" ref="D10">IFERROR(INDEX(Tableau6[prochaine visite mvt],MATCH($B10,Tableau6[Nom affiche],0)),"")</f>
        <v>15</v>
      </c>
      <c r="E10" s="48">
        <f t="array" ref="E10">IFERROR(INDEX(Tableau6[dernière visite véh],MATCH($B10,Tableau6[Nom affiche],0)),"")</f>
        <v>0</v>
      </c>
      <c r="F10" s="49">
        <f t="array" ref="F10">IFERROR(INDEX(Tableau6[prochaine visite véh],MATCH($B10,Tableau6[Nom affiche],0)),"")</f>
        <v>15</v>
      </c>
      <c r="G10" s="48">
        <f t="array" ref="G10">IFERROR(INDEX(Tableau6[dernière visite za],MATCH($B10,Tableau6[Nom affiche],0)),"")</f>
        <v>43383</v>
      </c>
      <c r="H10" s="49">
        <f t="array" ref="H10">IFERROR(INDEX(Tableau6[prochaine visite za],MATCH($B10,Tableau6[Nom affiche],0)),"")</f>
        <v>43414</v>
      </c>
      <c r="I10" s="48">
        <f t="array" ref="I10">IFERROR(INDEX(Tableau6[dernière visite epi],MATCH($B10,Tableau6[Nom affiche],0)),"")</f>
        <v>0</v>
      </c>
      <c r="J10" s="49">
        <f t="array" ref="J10">IFERROR(INDEX(Tableau6[prochaine visite epi],MATCH($B10,Tableau6[Nom affiche],0)),"")</f>
        <v>91</v>
      </c>
      <c r="K10" s="48">
        <f t="array" ref="K10">IFERROR(INDEX(Tableau6[dernière visite ari],MATCH($B10,Tableau6[Nom affiche],0)),"")</f>
        <v>0</v>
      </c>
      <c r="L10" s="49">
        <f t="array" ref="L10">IFERROR(INDEX(Tableau6[prochaine visite ari],MATCH($B10,Tableau6[Nom affiche],0)),"")</f>
        <v>91</v>
      </c>
      <c r="M10" s="48">
        <f t="array" ref="M10">IFERROR(INDEX(Tableau6[dernière visite zva],MATCH($B10,Tableau6[Nom affiche],0)),"")</f>
        <v>0</v>
      </c>
      <c r="N10" s="49">
        <f t="array" ref="N10">IFERROR(INDEX(Tableau6[prochaine visite zva],MATCH($B10,Tableau6[Nom affiche],0)),"")</f>
        <v>91</v>
      </c>
      <c r="O10" s="48">
        <f t="array" ref="O10">IFERROR(INDEX(Tableau6[dernière visite trv],MATCH($B10,Tableau6[Nom affiche],0)),"")</f>
        <v>0</v>
      </c>
      <c r="P10" s="49">
        <f t="array" aca="1" ref="P10" ca="1">IFERROR(INDEX(Tableau6[prochaine visite trv],MATCH($B10,Tableau6[Nom affiche],0)),"")</f>
        <v>366</v>
      </c>
      <c r="Q10" s="48">
        <f t="array" ref="Q10">IFERROR(INDEX(Tableau6[dernière visite méd],MATCH($B10,Tableau6[Nom affiche],0)),"")</f>
        <v>0</v>
      </c>
      <c r="R10" s="49">
        <f t="array" ref="R10">IFERROR(INDEX(Tableau6[prochaine visite méd],MATCH($B10,Tableau6[Nom affiche],0)),"")</f>
        <v>366</v>
      </c>
      <c r="S10" s="48">
        <f t="array" ref="S10">IFERROR(INDEX(Tableau6[dernière visite pou],MATCH($B10,Tableau6[Nom affiche],0)),"")</f>
        <v>0</v>
      </c>
      <c r="T10" s="49">
        <f t="array" ref="T10">IFERROR(INDEX(Tableau6[prochaine visite pou],MATCH($B10,Tableau6[Nom affiche],0)),"")</f>
        <v>366</v>
      </c>
      <c r="U10" s="48">
        <f t="array" ref="U10">IFERROR(INDEX(Tableau6[dernière visite co²],MATCH($B10,Tableau6[Nom affiche],0)),"")</f>
        <v>0</v>
      </c>
      <c r="V10" s="49">
        <f t="array" ref="V10">IFERROR(INDEX(Tableau6[prochaine visite co²],MATCH($B10,Tableau6[Nom affiche],0)),"")</f>
        <v>366</v>
      </c>
      <c r="W10" s="48">
        <f t="array" ref="W10">IFERROR(INDEX(Tableau6[dernière visite rpa],MATCH($B10,Tableau6[Nom affiche],0)),"")</f>
        <v>0</v>
      </c>
      <c r="X10" s="49">
        <f t="array" ref="X10">IFERROR(INDEX(Tableau6[prochaine visite rpa],MATCH($B10,Tableau6[Nom affiche],0)),"")</f>
        <v>1096</v>
      </c>
      <c r="Y10" s="46" t="e">
        <f t="array" ref="Y10">INDEX(Tableau6[dernière visite ! !],MATCH($B10,Tableau6[Nom affiche],0))</f>
        <v>#VALUE!</v>
      </c>
      <c r="Z10" s="46" t="e">
        <f t="array" ref="Z10">INDEX(Tableau6[prochaine visite ! !],MATCH($B10,Tableau6[Nom affiche],0))</f>
        <v>#VALUE!</v>
      </c>
      <c r="AA10" s="48">
        <f t="array" ref="AA10">IFERROR(INDEX(Tableau6[dernière visite bad],MATCH($B10,Tableau6[Nom affiche],0)),"")</f>
        <v>0</v>
      </c>
      <c r="AB10" s="49">
        <f t="array" ref="AB10">IFERROR(INDEX(Tableau6[prochaine visite bad],MATCH($B10,Tableau6[Nom affiche],0)),"")</f>
        <v>1096</v>
      </c>
      <c r="AC10" s="48">
        <f t="array" ref="AC10">IFERROR(INDEX(Tableau6[dernière visite sur],MATCH($B10,Tableau6[Nom affiche],0)),"")</f>
        <v>0</v>
      </c>
      <c r="AD10" s="49">
        <f t="array" ref="AD10">IFERROR(INDEX(Tableau6[prochaine visite sur],MATCH($B10,Tableau6[Nom affiche],0)),"")</f>
        <v>1096</v>
      </c>
      <c r="AE10" s="48">
        <f t="array" ref="AE10">IFERROR(INDEX(Tableau6[dernière visite pis],MATCH($B10,Tableau6[Nom affiche],0)),"")</f>
        <v>0</v>
      </c>
      <c r="AF10" s="49">
        <f t="array" ref="AF10">IFERROR(INDEX(Tableau6[prochaine visite pis],MATCH($B10,Tableau6[Nom affiche],0)),"")</f>
        <v>1096</v>
      </c>
      <c r="AG10" s="48">
        <f t="array" ref="AG10">IFERROR(INDEX(Tableau6[dernière visite per],MATCH($B10,Tableau6[Nom affiche],0)),"")</f>
        <v>0</v>
      </c>
      <c r="AH10" s="49">
        <f t="array" ref="AH10">IFERROR(INDEX(Tableau6[prochaine visite per],MATCH($B10,Tableau6[Nom affiche],0)),"")</f>
        <v>1827</v>
      </c>
      <c r="AI10" s="48">
        <f t="array" ref="AI10">IFERROR(INDEX(Tableau6[dernière visite méd],MATCH($B10,Tableau6[Nom affiche],0)),"")</f>
        <v>0</v>
      </c>
      <c r="AJ10" s="49">
        <f t="array" ref="AJ10">IFERROR(INDEX(Tableau6[prochaine visite mét],MATCH($B10,Tableau6[Nom affiche],0)),"")</f>
        <v>1827</v>
      </c>
    </row>
    <row r="11" spans="2:36" ht="30" customHeight="1" x14ac:dyDescent="0.2">
      <c r="B11" s="52" t="str">
        <f t="array" ref="B11">IFERROR(INDEX(Tableau6[Nom affiche],SMALL(IF((Tableau6[Nom affiche]&lt;&gt;"")*(Tableau6[Status]="Actif"),ROW(Tableau6[Nom affiche])-MIN(ROW(Employé!$B$4))+1,""),ROWS(B$4:B11))),"")</f>
        <v>AFONSO Julien</v>
      </c>
      <c r="C11" s="48">
        <f t="array" ref="C11">IFERROR(INDEX(Tableau6[dernière visite mvt],MATCH($B11,Tableau6[Nom affiche],0)),"")</f>
        <v>0</v>
      </c>
      <c r="D11" s="49">
        <f t="array" ref="D11">IFERROR(INDEX(Tableau6[prochaine visite mvt],MATCH($B11,Tableau6[Nom affiche],0)),"")</f>
        <v>15</v>
      </c>
      <c r="E11" s="48">
        <f t="array" ref="E11">IFERROR(INDEX(Tableau6[dernière visite véh],MATCH($B11,Tableau6[Nom affiche],0)),"")</f>
        <v>0</v>
      </c>
      <c r="F11" s="49">
        <f t="array" ref="F11">IFERROR(INDEX(Tableau6[prochaine visite véh],MATCH($B11,Tableau6[Nom affiche],0)),"")</f>
        <v>15</v>
      </c>
      <c r="G11" s="48">
        <f t="array" ref="G11">IFERROR(INDEX(Tableau6[dernière visite za],MATCH($B11,Tableau6[Nom affiche],0)),"")</f>
        <v>0</v>
      </c>
      <c r="H11" s="49">
        <f t="array" ref="H11">IFERROR(INDEX(Tableau6[prochaine visite za],MATCH($B11,Tableau6[Nom affiche],0)),"")</f>
        <v>31</v>
      </c>
      <c r="I11" s="48">
        <f t="array" ref="I11">IFERROR(INDEX(Tableau6[dernière visite epi],MATCH($B11,Tableau6[Nom affiche],0)),"")</f>
        <v>0</v>
      </c>
      <c r="J11" s="49">
        <f t="array" ref="J11">IFERROR(INDEX(Tableau6[prochaine visite epi],MATCH($B11,Tableau6[Nom affiche],0)),"")</f>
        <v>91</v>
      </c>
      <c r="K11" s="48">
        <f t="array" ref="K11">IFERROR(INDEX(Tableau6[dernière visite ari],MATCH($B11,Tableau6[Nom affiche],0)),"")</f>
        <v>0</v>
      </c>
      <c r="L11" s="49">
        <f t="array" ref="L11">IFERROR(INDEX(Tableau6[prochaine visite ari],MATCH($B11,Tableau6[Nom affiche],0)),"")</f>
        <v>91</v>
      </c>
      <c r="M11" s="48">
        <f t="array" ref="M11">IFERROR(INDEX(Tableau6[dernière visite zva],MATCH($B11,Tableau6[Nom affiche],0)),"")</f>
        <v>0</v>
      </c>
      <c r="N11" s="49">
        <f t="array" ref="N11">IFERROR(INDEX(Tableau6[prochaine visite zva],MATCH($B11,Tableau6[Nom affiche],0)),"")</f>
        <v>91</v>
      </c>
      <c r="O11" s="48">
        <f t="array" ref="O11">IFERROR(INDEX(Tableau6[dernière visite trv],MATCH($B11,Tableau6[Nom affiche],0)),"")</f>
        <v>0</v>
      </c>
      <c r="P11" s="49">
        <f t="array" aca="1" ref="P11" ca="1">IFERROR(INDEX(Tableau6[prochaine visite trv],MATCH($B11,Tableau6[Nom affiche],0)),"")</f>
        <v>366</v>
      </c>
      <c r="Q11" s="48">
        <f t="array" ref="Q11">IFERROR(INDEX(Tableau6[dernière visite méd],MATCH($B11,Tableau6[Nom affiche],0)),"")</f>
        <v>0</v>
      </c>
      <c r="R11" s="49">
        <f t="array" ref="R11">IFERROR(INDEX(Tableau6[prochaine visite méd],MATCH($B11,Tableau6[Nom affiche],0)),"")</f>
        <v>366</v>
      </c>
      <c r="S11" s="48">
        <f t="array" ref="S11">IFERROR(INDEX(Tableau6[dernière visite pou],MATCH($B11,Tableau6[Nom affiche],0)),"")</f>
        <v>0</v>
      </c>
      <c r="T11" s="49">
        <f t="array" ref="T11">IFERROR(INDEX(Tableau6[prochaine visite pou],MATCH($B11,Tableau6[Nom affiche],0)),"")</f>
        <v>366</v>
      </c>
      <c r="U11" s="48">
        <f t="array" ref="U11">IFERROR(INDEX(Tableau6[dernière visite co²],MATCH($B11,Tableau6[Nom affiche],0)),"")</f>
        <v>0</v>
      </c>
      <c r="V11" s="49">
        <f t="array" ref="V11">IFERROR(INDEX(Tableau6[prochaine visite co²],MATCH($B11,Tableau6[Nom affiche],0)),"")</f>
        <v>366</v>
      </c>
      <c r="W11" s="48">
        <f t="array" ref="W11">IFERROR(INDEX(Tableau6[dernière visite rpa],MATCH($B11,Tableau6[Nom affiche],0)),"")</f>
        <v>0</v>
      </c>
      <c r="X11" s="49">
        <f t="array" ref="X11">IFERROR(INDEX(Tableau6[prochaine visite rpa],MATCH($B11,Tableau6[Nom affiche],0)),"")</f>
        <v>1096</v>
      </c>
      <c r="Y11" s="46" t="e">
        <f t="array" ref="Y11">INDEX(Tableau6[dernière visite ! !],MATCH($B11,Tableau6[Nom affiche],0))</f>
        <v>#VALUE!</v>
      </c>
      <c r="Z11" s="46" t="e">
        <f t="array" ref="Z11">INDEX(Tableau6[prochaine visite ! !],MATCH($B11,Tableau6[Nom affiche],0))</f>
        <v>#VALUE!</v>
      </c>
      <c r="AA11" s="48">
        <f t="array" ref="AA11">IFERROR(INDEX(Tableau6[dernière visite bad],MATCH($B11,Tableau6[Nom affiche],0)),"")</f>
        <v>0</v>
      </c>
      <c r="AB11" s="49">
        <f t="array" ref="AB11">IFERROR(INDEX(Tableau6[prochaine visite bad],MATCH($B11,Tableau6[Nom affiche],0)),"")</f>
        <v>1096</v>
      </c>
      <c r="AC11" s="48">
        <f t="array" ref="AC11">IFERROR(INDEX(Tableau6[dernière visite sur],MATCH($B11,Tableau6[Nom affiche],0)),"")</f>
        <v>0</v>
      </c>
      <c r="AD11" s="49">
        <f t="array" ref="AD11">IFERROR(INDEX(Tableau6[prochaine visite sur],MATCH($B11,Tableau6[Nom affiche],0)),"")</f>
        <v>1096</v>
      </c>
      <c r="AE11" s="48">
        <f t="array" ref="AE11">IFERROR(INDEX(Tableau6[dernière visite pis],MATCH($B11,Tableau6[Nom affiche],0)),"")</f>
        <v>0</v>
      </c>
      <c r="AF11" s="49">
        <f t="array" ref="AF11">IFERROR(INDEX(Tableau6[prochaine visite pis],MATCH($B11,Tableau6[Nom affiche],0)),"")</f>
        <v>1096</v>
      </c>
      <c r="AG11" s="48">
        <f t="array" ref="AG11">IFERROR(INDEX(Tableau6[dernière visite per],MATCH($B11,Tableau6[Nom affiche],0)),"")</f>
        <v>0</v>
      </c>
      <c r="AH11" s="49">
        <f t="array" ref="AH11">IFERROR(INDEX(Tableau6[prochaine visite per],MATCH($B11,Tableau6[Nom affiche],0)),"")</f>
        <v>1827</v>
      </c>
      <c r="AI11" s="48">
        <f t="array" ref="AI11">IFERROR(INDEX(Tableau6[dernière visite méd],MATCH($B11,Tableau6[Nom affiche],0)),"")</f>
        <v>0</v>
      </c>
      <c r="AJ11" s="49">
        <f t="array" ref="AJ11">IFERROR(INDEX(Tableau6[prochaine visite mét],MATCH($B11,Tableau6[Nom affiche],0)),"")</f>
        <v>1827</v>
      </c>
    </row>
    <row r="12" spans="2:36" ht="30" customHeight="1" x14ac:dyDescent="0.2">
      <c r="B12" s="52" t="str">
        <f t="array" ref="B12">IFERROR(INDEX(Tableau6[Nom affiche],SMALL(IF((Tableau6[Nom affiche]&lt;&gt;"")*(Tableau6[Status]="Actif"),ROW(Tableau6[Nom affiche])-MIN(ROW(Employé!$B$4))+1,""),ROWS(B$4:B12))),"")</f>
        <v>LEROY France</v>
      </c>
      <c r="C12" s="48">
        <f t="array" ref="C12">IFERROR(INDEX(Tableau6[dernière visite mvt],MATCH($B12,Tableau6[Nom affiche],0)),"")</f>
        <v>0</v>
      </c>
      <c r="D12" s="49">
        <f t="array" ref="D12">IFERROR(INDEX(Tableau6[prochaine visite mvt],MATCH($B12,Tableau6[Nom affiche],0)),"")</f>
        <v>15</v>
      </c>
      <c r="E12" s="48">
        <f t="array" ref="E12">IFERROR(INDEX(Tableau6[dernière visite véh],MATCH($B12,Tableau6[Nom affiche],0)),"")</f>
        <v>0</v>
      </c>
      <c r="F12" s="49">
        <f t="array" ref="F12">IFERROR(INDEX(Tableau6[prochaine visite véh],MATCH($B12,Tableau6[Nom affiche],0)),"")</f>
        <v>15</v>
      </c>
      <c r="G12" s="48">
        <f t="array" ref="G12">IFERROR(INDEX(Tableau6[dernière visite za],MATCH($B12,Tableau6[Nom affiche],0)),"")</f>
        <v>43383</v>
      </c>
      <c r="H12" s="49">
        <f t="array" ref="H12">IFERROR(INDEX(Tableau6[prochaine visite za],MATCH($B12,Tableau6[Nom affiche],0)),"")</f>
        <v>43414</v>
      </c>
      <c r="I12" s="48">
        <f t="array" ref="I12">IFERROR(INDEX(Tableau6[dernière visite epi],MATCH($B12,Tableau6[Nom affiche],0)),"")</f>
        <v>0</v>
      </c>
      <c r="J12" s="49">
        <f t="array" ref="J12">IFERROR(INDEX(Tableau6[prochaine visite epi],MATCH($B12,Tableau6[Nom affiche],0)),"")</f>
        <v>91</v>
      </c>
      <c r="K12" s="48">
        <f t="array" ref="K12">IFERROR(INDEX(Tableau6[dernière visite ari],MATCH($B12,Tableau6[Nom affiche],0)),"")</f>
        <v>0</v>
      </c>
      <c r="L12" s="49">
        <f t="array" ref="L12">IFERROR(INDEX(Tableau6[prochaine visite ari],MATCH($B12,Tableau6[Nom affiche],0)),"")</f>
        <v>91</v>
      </c>
      <c r="M12" s="48">
        <f t="array" ref="M12">IFERROR(INDEX(Tableau6[dernière visite zva],MATCH($B12,Tableau6[Nom affiche],0)),"")</f>
        <v>0</v>
      </c>
      <c r="N12" s="49">
        <f t="array" ref="N12">IFERROR(INDEX(Tableau6[prochaine visite zva],MATCH($B12,Tableau6[Nom affiche],0)),"")</f>
        <v>91</v>
      </c>
      <c r="O12" s="48">
        <f t="array" ref="O12">IFERROR(INDEX(Tableau6[dernière visite trv],MATCH($B12,Tableau6[Nom affiche],0)),"")</f>
        <v>0</v>
      </c>
      <c r="P12" s="49">
        <f t="array" aca="1" ref="P12" ca="1">IFERROR(INDEX(Tableau6[prochaine visite trv],MATCH($B12,Tableau6[Nom affiche],0)),"")</f>
        <v>366</v>
      </c>
      <c r="Q12" s="48">
        <f t="array" ref="Q12">IFERROR(INDEX(Tableau6[dernière visite méd],MATCH($B12,Tableau6[Nom affiche],0)),"")</f>
        <v>38482</v>
      </c>
      <c r="R12" s="49">
        <f t="array" ref="R12">IFERROR(INDEX(Tableau6[prochaine visite méd],MATCH($B12,Tableau6[Nom affiche],0)),"")</f>
        <v>38847</v>
      </c>
      <c r="S12" s="48">
        <f t="array" ref="S12">IFERROR(INDEX(Tableau6[dernière visite pou],MATCH($B12,Tableau6[Nom affiche],0)),"")</f>
        <v>0</v>
      </c>
      <c r="T12" s="49">
        <f t="array" ref="T12">IFERROR(INDEX(Tableau6[prochaine visite pou],MATCH($B12,Tableau6[Nom affiche],0)),"")</f>
        <v>366</v>
      </c>
      <c r="U12" s="48">
        <f t="array" ref="U12">IFERROR(INDEX(Tableau6[dernière visite co²],MATCH($B12,Tableau6[Nom affiche],0)),"")</f>
        <v>0</v>
      </c>
      <c r="V12" s="49">
        <f t="array" ref="V12">IFERROR(INDEX(Tableau6[prochaine visite co²],MATCH($B12,Tableau6[Nom affiche],0)),"")</f>
        <v>366</v>
      </c>
      <c r="W12" s="48">
        <f t="array" ref="W12">IFERROR(INDEX(Tableau6[dernière visite rpa],MATCH($B12,Tableau6[Nom affiche],0)),"")</f>
        <v>0</v>
      </c>
      <c r="X12" s="49">
        <f t="array" ref="X12">IFERROR(INDEX(Tableau6[prochaine visite rpa],MATCH($B12,Tableau6[Nom affiche],0)),"")</f>
        <v>1096</v>
      </c>
      <c r="Y12" s="46" t="e">
        <f t="array" ref="Y12">INDEX(Tableau6[dernière visite ! !],MATCH($B12,Tableau6[Nom affiche],0))</f>
        <v>#VALUE!</v>
      </c>
      <c r="Z12" s="46" t="e">
        <f t="array" ref="Z12">INDEX(Tableau6[prochaine visite ! !],MATCH($B12,Tableau6[Nom affiche],0))</f>
        <v>#VALUE!</v>
      </c>
      <c r="AA12" s="48">
        <f t="array" ref="AA12">IFERROR(INDEX(Tableau6[dernière visite bad],MATCH($B12,Tableau6[Nom affiche],0)),"")</f>
        <v>38483</v>
      </c>
      <c r="AB12" s="49">
        <f t="array" ref="AB12">IFERROR(INDEX(Tableau6[prochaine visite bad],MATCH($B12,Tableau6[Nom affiche],0)),"")</f>
        <v>39579</v>
      </c>
      <c r="AC12" s="48">
        <f t="array" ref="AC12">IFERROR(INDEX(Tableau6[dernière visite sur],MATCH($B12,Tableau6[Nom affiche],0)),"")</f>
        <v>0</v>
      </c>
      <c r="AD12" s="49">
        <f t="array" ref="AD12">IFERROR(INDEX(Tableau6[prochaine visite sur],MATCH($B12,Tableau6[Nom affiche],0)),"")</f>
        <v>1096</v>
      </c>
      <c r="AE12" s="48">
        <f t="array" ref="AE12">IFERROR(INDEX(Tableau6[dernière visite pis],MATCH($B12,Tableau6[Nom affiche],0)),"")</f>
        <v>0</v>
      </c>
      <c r="AF12" s="49">
        <f t="array" ref="AF12">IFERROR(INDEX(Tableau6[prochaine visite pis],MATCH($B12,Tableau6[Nom affiche],0)),"")</f>
        <v>1096</v>
      </c>
      <c r="AG12" s="48">
        <f t="array" ref="AG12">IFERROR(INDEX(Tableau6[dernière visite per],MATCH($B12,Tableau6[Nom affiche],0)),"")</f>
        <v>0</v>
      </c>
      <c r="AH12" s="49">
        <f t="array" ref="AH12">IFERROR(INDEX(Tableau6[prochaine visite per],MATCH($B12,Tableau6[Nom affiche],0)),"")</f>
        <v>1827</v>
      </c>
      <c r="AI12" s="48">
        <f t="array" ref="AI12">IFERROR(INDEX(Tableau6[dernière visite méd],MATCH($B12,Tableau6[Nom affiche],0)),"")</f>
        <v>38482</v>
      </c>
      <c r="AJ12" s="49">
        <f t="array" ref="AJ12">IFERROR(INDEX(Tableau6[prochaine visite mét],MATCH($B12,Tableau6[Nom affiche],0)),"")</f>
        <v>1827</v>
      </c>
    </row>
    <row r="13" spans="2:36" ht="30" customHeight="1" x14ac:dyDescent="0.2">
      <c r="B13" s="52" t="str">
        <f t="array" ref="B13">IFERROR(INDEX(Tableau6[Nom affiche],SMALL(IF((Tableau6[Nom affiche]&lt;&gt;"")*(Tableau6[Status]="Actif"),ROW(Tableau6[Nom affiche])-MIN(ROW(Employé!$B$4))+1,""),ROWS(B$4:B13))),"")</f>
        <v>LEROY Jean-Sébastien</v>
      </c>
      <c r="C13" s="48">
        <f t="array" ref="C13">IFERROR(INDEX(Tableau6[dernière visite mvt],MATCH($B13,Tableau6[Nom affiche],0)),"")</f>
        <v>0</v>
      </c>
      <c r="D13" s="49">
        <f t="array" ref="D13">IFERROR(INDEX(Tableau6[prochaine visite mvt],MATCH($B13,Tableau6[Nom affiche],0)),"")</f>
        <v>15</v>
      </c>
      <c r="E13" s="48">
        <f t="array" ref="E13">IFERROR(INDEX(Tableau6[dernière visite véh],MATCH($B13,Tableau6[Nom affiche],0)),"")</f>
        <v>0</v>
      </c>
      <c r="F13" s="49">
        <f t="array" ref="F13">IFERROR(INDEX(Tableau6[prochaine visite véh],MATCH($B13,Tableau6[Nom affiche],0)),"")</f>
        <v>15</v>
      </c>
      <c r="G13" s="48">
        <f t="array" ref="G13">IFERROR(INDEX(Tableau6[dernière visite za],MATCH($B13,Tableau6[Nom affiche],0)),"")</f>
        <v>0</v>
      </c>
      <c r="H13" s="49">
        <f t="array" ref="H13">IFERROR(INDEX(Tableau6[prochaine visite za],MATCH($B13,Tableau6[Nom affiche],0)),"")</f>
        <v>31</v>
      </c>
      <c r="I13" s="48">
        <f t="array" ref="I13">IFERROR(INDEX(Tableau6[dernière visite epi],MATCH($B13,Tableau6[Nom affiche],0)),"")</f>
        <v>0</v>
      </c>
      <c r="J13" s="49">
        <f t="array" ref="J13">IFERROR(INDEX(Tableau6[prochaine visite epi],MATCH($B13,Tableau6[Nom affiche],0)),"")</f>
        <v>91</v>
      </c>
      <c r="K13" s="48">
        <f t="array" ref="K13">IFERROR(INDEX(Tableau6[dernière visite ari],MATCH($B13,Tableau6[Nom affiche],0)),"")</f>
        <v>0</v>
      </c>
      <c r="L13" s="49">
        <f t="array" ref="L13">IFERROR(INDEX(Tableau6[prochaine visite ari],MATCH($B13,Tableau6[Nom affiche],0)),"")</f>
        <v>91</v>
      </c>
      <c r="M13" s="48">
        <f t="array" ref="M13">IFERROR(INDEX(Tableau6[dernière visite zva],MATCH($B13,Tableau6[Nom affiche],0)),"")</f>
        <v>0</v>
      </c>
      <c r="N13" s="49">
        <f t="array" ref="N13">IFERROR(INDEX(Tableau6[prochaine visite zva],MATCH($B13,Tableau6[Nom affiche],0)),"")</f>
        <v>91</v>
      </c>
      <c r="O13" s="48">
        <f t="array" ref="O13">IFERROR(INDEX(Tableau6[dernière visite trv],MATCH($B13,Tableau6[Nom affiche],0)),"")</f>
        <v>0</v>
      </c>
      <c r="P13" s="49">
        <f t="array" aca="1" ref="P13" ca="1">IFERROR(INDEX(Tableau6[prochaine visite trv],MATCH($B13,Tableau6[Nom affiche],0)),"")</f>
        <v>366</v>
      </c>
      <c r="Q13" s="48">
        <f t="array" ref="Q13">IFERROR(INDEX(Tableau6[dernière visite méd],MATCH($B13,Tableau6[Nom affiche],0)),"")</f>
        <v>0</v>
      </c>
      <c r="R13" s="49">
        <f t="array" ref="R13">IFERROR(INDEX(Tableau6[prochaine visite méd],MATCH($B13,Tableau6[Nom affiche],0)),"")</f>
        <v>366</v>
      </c>
      <c r="S13" s="48">
        <f t="array" ref="S13">IFERROR(INDEX(Tableau6[dernière visite pou],MATCH($B13,Tableau6[Nom affiche],0)),"")</f>
        <v>0</v>
      </c>
      <c r="T13" s="49">
        <f t="array" ref="T13">IFERROR(INDEX(Tableau6[prochaine visite pou],MATCH($B13,Tableau6[Nom affiche],0)),"")</f>
        <v>366</v>
      </c>
      <c r="U13" s="48">
        <f t="array" ref="U13">IFERROR(INDEX(Tableau6[dernière visite co²],MATCH($B13,Tableau6[Nom affiche],0)),"")</f>
        <v>0</v>
      </c>
      <c r="V13" s="49">
        <f t="array" ref="V13">IFERROR(INDEX(Tableau6[prochaine visite co²],MATCH($B13,Tableau6[Nom affiche],0)),"")</f>
        <v>366</v>
      </c>
      <c r="W13" s="48">
        <f t="array" ref="W13">IFERROR(INDEX(Tableau6[dernière visite rpa],MATCH($B13,Tableau6[Nom affiche],0)),"")</f>
        <v>0</v>
      </c>
      <c r="X13" s="49">
        <f t="array" ref="X13">IFERROR(INDEX(Tableau6[prochaine visite rpa],MATCH($B13,Tableau6[Nom affiche],0)),"")</f>
        <v>1096</v>
      </c>
      <c r="Y13" s="46" t="e">
        <f t="array" ref="Y13">INDEX(Tableau6[dernière visite ! !],MATCH($B13,Tableau6[Nom affiche],0))</f>
        <v>#VALUE!</v>
      </c>
      <c r="Z13" s="46" t="e">
        <f t="array" ref="Z13">INDEX(Tableau6[prochaine visite ! !],MATCH($B13,Tableau6[Nom affiche],0))</f>
        <v>#VALUE!</v>
      </c>
      <c r="AA13" s="48">
        <f t="array" ref="AA13">IFERROR(INDEX(Tableau6[dernière visite bad],MATCH($B13,Tableau6[Nom affiche],0)),"")</f>
        <v>0</v>
      </c>
      <c r="AB13" s="49">
        <f t="array" ref="AB13">IFERROR(INDEX(Tableau6[prochaine visite bad],MATCH($B13,Tableau6[Nom affiche],0)),"")</f>
        <v>1096</v>
      </c>
      <c r="AC13" s="48">
        <f t="array" ref="AC13">IFERROR(INDEX(Tableau6[dernière visite sur],MATCH($B13,Tableau6[Nom affiche],0)),"")</f>
        <v>0</v>
      </c>
      <c r="AD13" s="49">
        <f t="array" ref="AD13">IFERROR(INDEX(Tableau6[prochaine visite sur],MATCH($B13,Tableau6[Nom affiche],0)),"")</f>
        <v>1096</v>
      </c>
      <c r="AE13" s="48">
        <f t="array" ref="AE13">IFERROR(INDEX(Tableau6[dernière visite pis],MATCH($B13,Tableau6[Nom affiche],0)),"")</f>
        <v>0</v>
      </c>
      <c r="AF13" s="49">
        <f t="array" ref="AF13">IFERROR(INDEX(Tableau6[prochaine visite pis],MATCH($B13,Tableau6[Nom affiche],0)),"")</f>
        <v>1096</v>
      </c>
      <c r="AG13" s="48">
        <f t="array" ref="AG13">IFERROR(INDEX(Tableau6[dernière visite per],MATCH($B13,Tableau6[Nom affiche],0)),"")</f>
        <v>0</v>
      </c>
      <c r="AH13" s="49">
        <f t="array" ref="AH13">IFERROR(INDEX(Tableau6[prochaine visite per],MATCH($B13,Tableau6[Nom affiche],0)),"")</f>
        <v>1827</v>
      </c>
      <c r="AI13" s="48">
        <f t="array" ref="AI13">IFERROR(INDEX(Tableau6[dernière visite méd],MATCH($B13,Tableau6[Nom affiche],0)),"")</f>
        <v>0</v>
      </c>
      <c r="AJ13" s="49">
        <f t="array" ref="AJ13">IFERROR(INDEX(Tableau6[prochaine visite mét],MATCH($B13,Tableau6[Nom affiche],0)),"")</f>
        <v>1827</v>
      </c>
    </row>
    <row r="14" spans="2:36" ht="30" customHeight="1" x14ac:dyDescent="0.2">
      <c r="B14" s="52" t="str">
        <f t="array" ref="B14">IFERROR(INDEX(Tableau6[Nom affiche],SMALL(IF((Tableau6[Nom affiche]&lt;&gt;"")*(Tableau6[Status]="Actif"),ROW(Tableau6[Nom affiche])-MIN(ROW(Employé!$B$4))+1,""),ROWS(B$4:B14))),"")</f>
        <v>FERRARA Julien</v>
      </c>
      <c r="C14" s="48">
        <f t="array" ref="C14">IFERROR(INDEX(Tableau6[dernière visite mvt],MATCH($B14,Tableau6[Nom affiche],0)),"")</f>
        <v>0</v>
      </c>
      <c r="D14" s="49">
        <f t="array" ref="D14">IFERROR(INDEX(Tableau6[prochaine visite mvt],MATCH($B14,Tableau6[Nom affiche],0)),"")</f>
        <v>15</v>
      </c>
      <c r="E14" s="48">
        <f t="array" ref="E14">IFERROR(INDEX(Tableau6[dernière visite véh],MATCH($B14,Tableau6[Nom affiche],0)),"")</f>
        <v>0</v>
      </c>
      <c r="F14" s="49">
        <f t="array" ref="F14">IFERROR(INDEX(Tableau6[prochaine visite véh],MATCH($B14,Tableau6[Nom affiche],0)),"")</f>
        <v>15</v>
      </c>
      <c r="G14" s="48">
        <f t="array" ref="G14">IFERROR(INDEX(Tableau6[dernière visite za],MATCH($B14,Tableau6[Nom affiche],0)),"")</f>
        <v>0</v>
      </c>
      <c r="H14" s="49">
        <f t="array" ref="H14">IFERROR(INDEX(Tableau6[prochaine visite za],MATCH($B14,Tableau6[Nom affiche],0)),"")</f>
        <v>31</v>
      </c>
      <c r="I14" s="48">
        <f t="array" ref="I14">IFERROR(INDEX(Tableau6[dernière visite epi],MATCH($B14,Tableau6[Nom affiche],0)),"")</f>
        <v>0</v>
      </c>
      <c r="J14" s="49">
        <f t="array" ref="J14">IFERROR(INDEX(Tableau6[prochaine visite epi],MATCH($B14,Tableau6[Nom affiche],0)),"")</f>
        <v>91</v>
      </c>
      <c r="K14" s="48">
        <f t="array" ref="K14">IFERROR(INDEX(Tableau6[dernière visite ari],MATCH($B14,Tableau6[Nom affiche],0)),"")</f>
        <v>0</v>
      </c>
      <c r="L14" s="49">
        <f t="array" ref="L14">IFERROR(INDEX(Tableau6[prochaine visite ari],MATCH($B14,Tableau6[Nom affiche],0)),"")</f>
        <v>91</v>
      </c>
      <c r="M14" s="48">
        <f t="array" ref="M14">IFERROR(INDEX(Tableau6[dernière visite zva],MATCH($B14,Tableau6[Nom affiche],0)),"")</f>
        <v>0</v>
      </c>
      <c r="N14" s="49">
        <f t="array" ref="N14">IFERROR(INDEX(Tableau6[prochaine visite zva],MATCH($B14,Tableau6[Nom affiche],0)),"")</f>
        <v>91</v>
      </c>
      <c r="O14" s="48">
        <f t="array" ref="O14">IFERROR(INDEX(Tableau6[dernière visite trv],MATCH($B14,Tableau6[Nom affiche],0)),"")</f>
        <v>0</v>
      </c>
      <c r="P14" s="49">
        <f t="array" aca="1" ref="P14" ca="1">IFERROR(INDEX(Tableau6[prochaine visite trv],MATCH($B14,Tableau6[Nom affiche],0)),"")</f>
        <v>366</v>
      </c>
      <c r="Q14" s="48">
        <f t="array" ref="Q14">IFERROR(INDEX(Tableau6[dernière visite méd],MATCH($B14,Tableau6[Nom affiche],0)),"")</f>
        <v>0</v>
      </c>
      <c r="R14" s="49">
        <f t="array" ref="R14">IFERROR(INDEX(Tableau6[prochaine visite méd],MATCH($B14,Tableau6[Nom affiche],0)),"")</f>
        <v>366</v>
      </c>
      <c r="S14" s="48">
        <f t="array" ref="S14">IFERROR(INDEX(Tableau6[dernière visite pou],MATCH($B14,Tableau6[Nom affiche],0)),"")</f>
        <v>0</v>
      </c>
      <c r="T14" s="49">
        <f t="array" ref="T14">IFERROR(INDEX(Tableau6[prochaine visite pou],MATCH($B14,Tableau6[Nom affiche],0)),"")</f>
        <v>366</v>
      </c>
      <c r="U14" s="48">
        <f t="array" ref="U14">IFERROR(INDEX(Tableau6[dernière visite co²],MATCH($B14,Tableau6[Nom affiche],0)),"")</f>
        <v>0</v>
      </c>
      <c r="V14" s="49">
        <f t="array" ref="V14">IFERROR(INDEX(Tableau6[prochaine visite co²],MATCH($B14,Tableau6[Nom affiche],0)),"")</f>
        <v>366</v>
      </c>
      <c r="W14" s="48">
        <f t="array" ref="W14">IFERROR(INDEX(Tableau6[dernière visite rpa],MATCH($B14,Tableau6[Nom affiche],0)),"")</f>
        <v>0</v>
      </c>
      <c r="X14" s="49">
        <f t="array" ref="X14">IFERROR(INDEX(Tableau6[prochaine visite rpa],MATCH($B14,Tableau6[Nom affiche],0)),"")</f>
        <v>1096</v>
      </c>
      <c r="Y14" s="46" t="e">
        <f t="array" ref="Y14">INDEX(Tableau6[dernière visite ! !],MATCH($B14,Tableau6[Nom affiche],0))</f>
        <v>#VALUE!</v>
      </c>
      <c r="Z14" s="46" t="e">
        <f t="array" ref="Z14">INDEX(Tableau6[prochaine visite ! !],MATCH($B14,Tableau6[Nom affiche],0))</f>
        <v>#VALUE!</v>
      </c>
      <c r="AA14" s="48">
        <f t="array" ref="AA14">IFERROR(INDEX(Tableau6[dernière visite bad],MATCH($B14,Tableau6[Nom affiche],0)),"")</f>
        <v>0</v>
      </c>
      <c r="AB14" s="49">
        <f t="array" ref="AB14">IFERROR(INDEX(Tableau6[prochaine visite bad],MATCH($B14,Tableau6[Nom affiche],0)),"")</f>
        <v>1096</v>
      </c>
      <c r="AC14" s="48">
        <f t="array" ref="AC14">IFERROR(INDEX(Tableau6[dernière visite sur],MATCH($B14,Tableau6[Nom affiche],0)),"")</f>
        <v>0</v>
      </c>
      <c r="AD14" s="49">
        <f t="array" ref="AD14">IFERROR(INDEX(Tableau6[prochaine visite sur],MATCH($B14,Tableau6[Nom affiche],0)),"")</f>
        <v>1096</v>
      </c>
      <c r="AE14" s="48">
        <f t="array" ref="AE14">IFERROR(INDEX(Tableau6[dernière visite pis],MATCH($B14,Tableau6[Nom affiche],0)),"")</f>
        <v>0</v>
      </c>
      <c r="AF14" s="49">
        <f t="array" ref="AF14">IFERROR(INDEX(Tableau6[prochaine visite pis],MATCH($B14,Tableau6[Nom affiche],0)),"")</f>
        <v>1096</v>
      </c>
      <c r="AG14" s="48">
        <f t="array" ref="AG14">IFERROR(INDEX(Tableau6[dernière visite per],MATCH($B14,Tableau6[Nom affiche],0)),"")</f>
        <v>0</v>
      </c>
      <c r="AH14" s="49">
        <f t="array" ref="AH14">IFERROR(INDEX(Tableau6[prochaine visite per],MATCH($B14,Tableau6[Nom affiche],0)),"")</f>
        <v>1827</v>
      </c>
      <c r="AI14" s="48">
        <f t="array" ref="AI14">IFERROR(INDEX(Tableau6[dernière visite méd],MATCH($B14,Tableau6[Nom affiche],0)),"")</f>
        <v>0</v>
      </c>
      <c r="AJ14" s="49">
        <f t="array" ref="AJ14">IFERROR(INDEX(Tableau6[prochaine visite mét],MATCH($B14,Tableau6[Nom affiche],0)),"")</f>
        <v>1827</v>
      </c>
    </row>
    <row r="15" spans="2:36" ht="30" customHeight="1" x14ac:dyDescent="0.2">
      <c r="B15" s="52" t="str">
        <f t="array" ref="B15">IFERROR(INDEX(Tableau6[Nom affiche],SMALL(IF((Tableau6[Nom affiche]&lt;&gt;"")*(Tableau6[Status]="Actif"),ROW(Tableau6[Nom affiche])-MIN(ROW(Employé!$B$4))+1,""),ROWS(B$4:B15))),"")</f>
        <v>BALLESTER Xavier</v>
      </c>
      <c r="C15" s="48">
        <f t="array" ref="C15">IFERROR(INDEX(Tableau6[dernière visite mvt],MATCH($B15,Tableau6[Nom affiche],0)),"")</f>
        <v>0</v>
      </c>
      <c r="D15" s="49">
        <f t="array" ref="D15">IFERROR(INDEX(Tableau6[prochaine visite mvt],MATCH($B15,Tableau6[Nom affiche],0)),"")</f>
        <v>15</v>
      </c>
      <c r="E15" s="48">
        <f t="array" ref="E15">IFERROR(INDEX(Tableau6[dernière visite véh],MATCH($B15,Tableau6[Nom affiche],0)),"")</f>
        <v>0</v>
      </c>
      <c r="F15" s="49">
        <f t="array" ref="F15">IFERROR(INDEX(Tableau6[prochaine visite véh],MATCH($B15,Tableau6[Nom affiche],0)),"")</f>
        <v>15</v>
      </c>
      <c r="G15" s="48">
        <f t="array" ref="G15">IFERROR(INDEX(Tableau6[dernière visite za],MATCH($B15,Tableau6[Nom affiche],0)),"")</f>
        <v>0</v>
      </c>
      <c r="H15" s="49">
        <f t="array" ref="H15">IFERROR(INDEX(Tableau6[prochaine visite za],MATCH($B15,Tableau6[Nom affiche],0)),"")</f>
        <v>31</v>
      </c>
      <c r="I15" s="48">
        <f t="array" ref="I15">IFERROR(INDEX(Tableau6[dernière visite epi],MATCH($B15,Tableau6[Nom affiche],0)),"")</f>
        <v>0</v>
      </c>
      <c r="J15" s="49">
        <f t="array" ref="J15">IFERROR(INDEX(Tableau6[prochaine visite epi],MATCH($B15,Tableau6[Nom affiche],0)),"")</f>
        <v>91</v>
      </c>
      <c r="K15" s="48">
        <f t="array" ref="K15">IFERROR(INDEX(Tableau6[dernière visite ari],MATCH($B15,Tableau6[Nom affiche],0)),"")</f>
        <v>0</v>
      </c>
      <c r="L15" s="49">
        <f t="array" ref="L15">IFERROR(INDEX(Tableau6[prochaine visite ari],MATCH($B15,Tableau6[Nom affiche],0)),"")</f>
        <v>91</v>
      </c>
      <c r="M15" s="48">
        <f t="array" ref="M15">IFERROR(INDEX(Tableau6[dernière visite zva],MATCH($B15,Tableau6[Nom affiche],0)),"")</f>
        <v>0</v>
      </c>
      <c r="N15" s="49">
        <f t="array" ref="N15">IFERROR(INDEX(Tableau6[prochaine visite zva],MATCH($B15,Tableau6[Nom affiche],0)),"")</f>
        <v>91</v>
      </c>
      <c r="O15" s="48">
        <f t="array" ref="O15">IFERROR(INDEX(Tableau6[dernière visite trv],MATCH($B15,Tableau6[Nom affiche],0)),"")</f>
        <v>0</v>
      </c>
      <c r="P15" s="49">
        <f t="array" aca="1" ref="P15" ca="1">IFERROR(INDEX(Tableau6[prochaine visite trv],MATCH($B15,Tableau6[Nom affiche],0)),"")</f>
        <v>366</v>
      </c>
      <c r="Q15" s="48">
        <f t="array" ref="Q15">IFERROR(INDEX(Tableau6[dernière visite méd],MATCH($B15,Tableau6[Nom affiche],0)),"")</f>
        <v>0</v>
      </c>
      <c r="R15" s="49">
        <f t="array" ref="R15">IFERROR(INDEX(Tableau6[prochaine visite méd],MATCH($B15,Tableau6[Nom affiche],0)),"")</f>
        <v>366</v>
      </c>
      <c r="S15" s="48">
        <f t="array" ref="S15">IFERROR(INDEX(Tableau6[dernière visite pou],MATCH($B15,Tableau6[Nom affiche],0)),"")</f>
        <v>0</v>
      </c>
      <c r="T15" s="49">
        <f t="array" ref="T15">IFERROR(INDEX(Tableau6[prochaine visite pou],MATCH($B15,Tableau6[Nom affiche],0)),"")</f>
        <v>366</v>
      </c>
      <c r="U15" s="48">
        <f t="array" ref="U15">IFERROR(INDEX(Tableau6[dernière visite co²],MATCH($B15,Tableau6[Nom affiche],0)),"")</f>
        <v>0</v>
      </c>
      <c r="V15" s="49">
        <f t="array" ref="V15">IFERROR(INDEX(Tableau6[prochaine visite co²],MATCH($B15,Tableau6[Nom affiche],0)),"")</f>
        <v>366</v>
      </c>
      <c r="W15" s="48">
        <f t="array" ref="W15">IFERROR(INDEX(Tableau6[dernière visite rpa],MATCH($B15,Tableau6[Nom affiche],0)),"")</f>
        <v>0</v>
      </c>
      <c r="X15" s="49">
        <f t="array" ref="X15">IFERROR(INDEX(Tableau6[prochaine visite rpa],MATCH($B15,Tableau6[Nom affiche],0)),"")</f>
        <v>1096</v>
      </c>
      <c r="Y15" s="46" t="e">
        <f t="array" ref="Y15">INDEX(Tableau6[dernière visite ! !],MATCH($B15,Tableau6[Nom affiche],0))</f>
        <v>#VALUE!</v>
      </c>
      <c r="Z15" s="46" t="e">
        <f t="array" ref="Z15">INDEX(Tableau6[prochaine visite ! !],MATCH($B15,Tableau6[Nom affiche],0))</f>
        <v>#VALUE!</v>
      </c>
      <c r="AA15" s="48">
        <f t="array" ref="AA15">IFERROR(INDEX(Tableau6[dernière visite bad],MATCH($B15,Tableau6[Nom affiche],0)),"")</f>
        <v>0</v>
      </c>
      <c r="AB15" s="49">
        <f t="array" ref="AB15">IFERROR(INDEX(Tableau6[prochaine visite bad],MATCH($B15,Tableau6[Nom affiche],0)),"")</f>
        <v>1096</v>
      </c>
      <c r="AC15" s="48">
        <f t="array" ref="AC15">IFERROR(INDEX(Tableau6[dernière visite sur],MATCH($B15,Tableau6[Nom affiche],0)),"")</f>
        <v>0</v>
      </c>
      <c r="AD15" s="49">
        <f t="array" ref="AD15">IFERROR(INDEX(Tableau6[prochaine visite sur],MATCH($B15,Tableau6[Nom affiche],0)),"")</f>
        <v>1096</v>
      </c>
      <c r="AE15" s="48">
        <f t="array" ref="AE15">IFERROR(INDEX(Tableau6[dernière visite pis],MATCH($B15,Tableau6[Nom affiche],0)),"")</f>
        <v>0</v>
      </c>
      <c r="AF15" s="49">
        <f t="array" ref="AF15">IFERROR(INDEX(Tableau6[prochaine visite pis],MATCH($B15,Tableau6[Nom affiche],0)),"")</f>
        <v>1096</v>
      </c>
      <c r="AG15" s="48">
        <f t="array" ref="AG15">IFERROR(INDEX(Tableau6[dernière visite per],MATCH($B15,Tableau6[Nom affiche],0)),"")</f>
        <v>0</v>
      </c>
      <c r="AH15" s="49">
        <f t="array" ref="AH15">IFERROR(INDEX(Tableau6[prochaine visite per],MATCH($B15,Tableau6[Nom affiche],0)),"")</f>
        <v>1827</v>
      </c>
      <c r="AI15" s="48">
        <f t="array" ref="AI15">IFERROR(INDEX(Tableau6[dernière visite méd],MATCH($B15,Tableau6[Nom affiche],0)),"")</f>
        <v>0</v>
      </c>
      <c r="AJ15" s="49">
        <f t="array" ref="AJ15">IFERROR(INDEX(Tableau6[prochaine visite mét],MATCH($B15,Tableau6[Nom affiche],0)),"")</f>
        <v>1827</v>
      </c>
    </row>
    <row r="16" spans="2:36" ht="30" customHeight="1" x14ac:dyDescent="0.2">
      <c r="B16" s="52" t="str">
        <f t="array" ref="B16">IFERROR(INDEX(Tableau6[Nom affiche],SMALL(IF((Tableau6[Nom affiche]&lt;&gt;"")*(Tableau6[Status]="Actif"),ROW(Tableau6[Nom affiche])-MIN(ROW(Employé!$B$4))+1,""),ROWS(B$4:B16))),"")</f>
        <v>DESMYTER Damien</v>
      </c>
      <c r="C16" s="48">
        <f t="array" ref="C16">IFERROR(INDEX(Tableau6[dernière visite mvt],MATCH($B16,Tableau6[Nom affiche],0)),"")</f>
        <v>0</v>
      </c>
      <c r="D16" s="49">
        <f t="array" ref="D16">IFERROR(INDEX(Tableau6[prochaine visite mvt],MATCH($B16,Tableau6[Nom affiche],0)),"")</f>
        <v>15</v>
      </c>
      <c r="E16" s="48">
        <f t="array" ref="E16">IFERROR(INDEX(Tableau6[dernière visite véh],MATCH($B16,Tableau6[Nom affiche],0)),"")</f>
        <v>0</v>
      </c>
      <c r="F16" s="49">
        <f t="array" ref="F16">IFERROR(INDEX(Tableau6[prochaine visite véh],MATCH($B16,Tableau6[Nom affiche],0)),"")</f>
        <v>15</v>
      </c>
      <c r="G16" s="48">
        <f t="array" ref="G16">IFERROR(INDEX(Tableau6[dernière visite za],MATCH($B16,Tableau6[Nom affiche],0)),"")</f>
        <v>0</v>
      </c>
      <c r="H16" s="49">
        <f t="array" ref="H16">IFERROR(INDEX(Tableau6[prochaine visite za],MATCH($B16,Tableau6[Nom affiche],0)),"")</f>
        <v>31</v>
      </c>
      <c r="I16" s="48">
        <f t="array" ref="I16">IFERROR(INDEX(Tableau6[dernière visite epi],MATCH($B16,Tableau6[Nom affiche],0)),"")</f>
        <v>0</v>
      </c>
      <c r="J16" s="49">
        <f t="array" ref="J16">IFERROR(INDEX(Tableau6[prochaine visite epi],MATCH($B16,Tableau6[Nom affiche],0)),"")</f>
        <v>91</v>
      </c>
      <c r="K16" s="48">
        <f t="array" ref="K16">IFERROR(INDEX(Tableau6[dernière visite ari],MATCH($B16,Tableau6[Nom affiche],0)),"")</f>
        <v>0</v>
      </c>
      <c r="L16" s="49">
        <f t="array" ref="L16">IFERROR(INDEX(Tableau6[prochaine visite ari],MATCH($B16,Tableau6[Nom affiche],0)),"")</f>
        <v>91</v>
      </c>
      <c r="M16" s="48">
        <f t="array" ref="M16">IFERROR(INDEX(Tableau6[dernière visite zva],MATCH($B16,Tableau6[Nom affiche],0)),"")</f>
        <v>0</v>
      </c>
      <c r="N16" s="49">
        <f t="array" ref="N16">IFERROR(INDEX(Tableau6[prochaine visite zva],MATCH($B16,Tableau6[Nom affiche],0)),"")</f>
        <v>91</v>
      </c>
      <c r="O16" s="48">
        <f t="array" ref="O16">IFERROR(INDEX(Tableau6[dernière visite trv],MATCH($B16,Tableau6[Nom affiche],0)),"")</f>
        <v>0</v>
      </c>
      <c r="P16" s="49">
        <f t="array" aca="1" ref="P16" ca="1">IFERROR(INDEX(Tableau6[prochaine visite trv],MATCH($B16,Tableau6[Nom affiche],0)),"")</f>
        <v>366</v>
      </c>
      <c r="Q16" s="48">
        <f t="array" ref="Q16">IFERROR(INDEX(Tableau6[dernière visite méd],MATCH($B16,Tableau6[Nom affiche],0)),"")</f>
        <v>0</v>
      </c>
      <c r="R16" s="49">
        <f t="array" ref="R16">IFERROR(INDEX(Tableau6[prochaine visite méd],MATCH($B16,Tableau6[Nom affiche],0)),"")</f>
        <v>366</v>
      </c>
      <c r="S16" s="48">
        <f t="array" ref="S16">IFERROR(INDEX(Tableau6[dernière visite pou],MATCH($B16,Tableau6[Nom affiche],0)),"")</f>
        <v>0</v>
      </c>
      <c r="T16" s="49">
        <f t="array" ref="T16">IFERROR(INDEX(Tableau6[prochaine visite pou],MATCH($B16,Tableau6[Nom affiche],0)),"")</f>
        <v>366</v>
      </c>
      <c r="U16" s="48">
        <f t="array" ref="U16">IFERROR(INDEX(Tableau6[dernière visite co²],MATCH($B16,Tableau6[Nom affiche],0)),"")</f>
        <v>0</v>
      </c>
      <c r="V16" s="49">
        <f t="array" ref="V16">IFERROR(INDEX(Tableau6[prochaine visite co²],MATCH($B16,Tableau6[Nom affiche],0)),"")</f>
        <v>366</v>
      </c>
      <c r="W16" s="48">
        <f t="array" ref="W16">IFERROR(INDEX(Tableau6[dernière visite rpa],MATCH($B16,Tableau6[Nom affiche],0)),"")</f>
        <v>0</v>
      </c>
      <c r="X16" s="49">
        <f t="array" ref="X16">IFERROR(INDEX(Tableau6[prochaine visite rpa],MATCH($B16,Tableau6[Nom affiche],0)),"")</f>
        <v>1096</v>
      </c>
      <c r="Y16" s="46" t="e">
        <f t="array" ref="Y16">INDEX(Tableau6[dernière visite ! !],MATCH($B16,Tableau6[Nom affiche],0))</f>
        <v>#VALUE!</v>
      </c>
      <c r="Z16" s="46" t="e">
        <f t="array" ref="Z16">INDEX(Tableau6[prochaine visite ! !],MATCH($B16,Tableau6[Nom affiche],0))</f>
        <v>#VALUE!</v>
      </c>
      <c r="AA16" s="48">
        <f t="array" ref="AA16">IFERROR(INDEX(Tableau6[dernière visite bad],MATCH($B16,Tableau6[Nom affiche],0)),"")</f>
        <v>0</v>
      </c>
      <c r="AB16" s="49">
        <f t="array" ref="AB16">IFERROR(INDEX(Tableau6[prochaine visite bad],MATCH($B16,Tableau6[Nom affiche],0)),"")</f>
        <v>1096</v>
      </c>
      <c r="AC16" s="48">
        <f t="array" ref="AC16">IFERROR(INDEX(Tableau6[dernière visite sur],MATCH($B16,Tableau6[Nom affiche],0)),"")</f>
        <v>0</v>
      </c>
      <c r="AD16" s="49">
        <f t="array" ref="AD16">IFERROR(INDEX(Tableau6[prochaine visite sur],MATCH($B16,Tableau6[Nom affiche],0)),"")</f>
        <v>1096</v>
      </c>
      <c r="AE16" s="48">
        <f t="array" ref="AE16">IFERROR(INDEX(Tableau6[dernière visite pis],MATCH($B16,Tableau6[Nom affiche],0)),"")</f>
        <v>0</v>
      </c>
      <c r="AF16" s="49">
        <f t="array" ref="AF16">IFERROR(INDEX(Tableau6[prochaine visite pis],MATCH($B16,Tableau6[Nom affiche],0)),"")</f>
        <v>1096</v>
      </c>
      <c r="AG16" s="48">
        <f t="array" ref="AG16">IFERROR(INDEX(Tableau6[dernière visite per],MATCH($B16,Tableau6[Nom affiche],0)),"")</f>
        <v>0</v>
      </c>
      <c r="AH16" s="49">
        <f t="array" ref="AH16">IFERROR(INDEX(Tableau6[prochaine visite per],MATCH($B16,Tableau6[Nom affiche],0)),"")</f>
        <v>1827</v>
      </c>
      <c r="AI16" s="48">
        <f t="array" ref="AI16">IFERROR(INDEX(Tableau6[dernière visite méd],MATCH($B16,Tableau6[Nom affiche],0)),"")</f>
        <v>0</v>
      </c>
      <c r="AJ16" s="49">
        <f t="array" ref="AJ16">IFERROR(INDEX(Tableau6[prochaine visite mét],MATCH($B16,Tableau6[Nom affiche],0)),"")</f>
        <v>1827</v>
      </c>
    </row>
    <row r="17" spans="2:36" ht="30" customHeight="1" x14ac:dyDescent="0.2">
      <c r="B17" s="52" t="str">
        <f t="array" ref="B17">IFERROR(INDEX(Tableau6[Nom affiche],SMALL(IF((Tableau6[Nom affiche]&lt;&gt;"")*(Tableau6[Status]="Actif"),ROW(Tableau6[Nom affiche])-MIN(ROW(Employé!$B$4))+1,""),ROWS(B$4:B17))),"")</f>
        <v>NAJJARI Mohamed</v>
      </c>
      <c r="C17" s="48">
        <f t="array" ref="C17">IFERROR(INDEX(Tableau6[dernière visite mvt],MATCH($B17,Tableau6[Nom affiche],0)),"")</f>
        <v>0</v>
      </c>
      <c r="D17" s="49">
        <f t="array" ref="D17">IFERROR(INDEX(Tableau6[prochaine visite mvt],MATCH($B17,Tableau6[Nom affiche],0)),"")</f>
        <v>15</v>
      </c>
      <c r="E17" s="48">
        <f t="array" ref="E17">IFERROR(INDEX(Tableau6[dernière visite véh],MATCH($B17,Tableau6[Nom affiche],0)),"")</f>
        <v>0</v>
      </c>
      <c r="F17" s="49">
        <f t="array" ref="F17">IFERROR(INDEX(Tableau6[prochaine visite véh],MATCH($B17,Tableau6[Nom affiche],0)),"")</f>
        <v>15</v>
      </c>
      <c r="G17" s="48">
        <f t="array" ref="G17">IFERROR(INDEX(Tableau6[dernière visite za],MATCH($B17,Tableau6[Nom affiche],0)),"")</f>
        <v>0</v>
      </c>
      <c r="H17" s="49">
        <f t="array" ref="H17">IFERROR(INDEX(Tableau6[prochaine visite za],MATCH($B17,Tableau6[Nom affiche],0)),"")</f>
        <v>31</v>
      </c>
      <c r="I17" s="48">
        <f t="array" ref="I17">IFERROR(INDEX(Tableau6[dernière visite epi],MATCH($B17,Tableau6[Nom affiche],0)),"")</f>
        <v>0</v>
      </c>
      <c r="J17" s="49">
        <f t="array" ref="J17">IFERROR(INDEX(Tableau6[prochaine visite epi],MATCH($B17,Tableau6[Nom affiche],0)),"")</f>
        <v>91</v>
      </c>
      <c r="K17" s="48">
        <f t="array" ref="K17">IFERROR(INDEX(Tableau6[dernière visite ari],MATCH($B17,Tableau6[Nom affiche],0)),"")</f>
        <v>0</v>
      </c>
      <c r="L17" s="49">
        <f t="array" ref="L17">IFERROR(INDEX(Tableau6[prochaine visite ari],MATCH($B17,Tableau6[Nom affiche],0)),"")</f>
        <v>91</v>
      </c>
      <c r="M17" s="48">
        <f t="array" ref="M17">IFERROR(INDEX(Tableau6[dernière visite zva],MATCH($B17,Tableau6[Nom affiche],0)),"")</f>
        <v>0</v>
      </c>
      <c r="N17" s="49">
        <f t="array" ref="N17">IFERROR(INDEX(Tableau6[prochaine visite zva],MATCH($B17,Tableau6[Nom affiche],0)),"")</f>
        <v>91</v>
      </c>
      <c r="O17" s="48">
        <f t="array" ref="O17">IFERROR(INDEX(Tableau6[dernière visite trv],MATCH($B17,Tableau6[Nom affiche],0)),"")</f>
        <v>0</v>
      </c>
      <c r="P17" s="49">
        <f t="array" aca="1" ref="P17" ca="1">IFERROR(INDEX(Tableau6[prochaine visite trv],MATCH($B17,Tableau6[Nom affiche],0)),"")</f>
        <v>366</v>
      </c>
      <c r="Q17" s="48">
        <f t="array" ref="Q17">IFERROR(INDEX(Tableau6[dernière visite méd],MATCH($B17,Tableau6[Nom affiche],0)),"")</f>
        <v>0</v>
      </c>
      <c r="R17" s="49">
        <f t="array" ref="R17">IFERROR(INDEX(Tableau6[prochaine visite méd],MATCH($B17,Tableau6[Nom affiche],0)),"")</f>
        <v>366</v>
      </c>
      <c r="S17" s="48">
        <f t="array" ref="S17">IFERROR(INDEX(Tableau6[dernière visite pou],MATCH($B17,Tableau6[Nom affiche],0)),"")</f>
        <v>0</v>
      </c>
      <c r="T17" s="49">
        <f t="array" ref="T17">IFERROR(INDEX(Tableau6[prochaine visite pou],MATCH($B17,Tableau6[Nom affiche],0)),"")</f>
        <v>366</v>
      </c>
      <c r="U17" s="48">
        <f t="array" ref="U17">IFERROR(INDEX(Tableau6[dernière visite co²],MATCH($B17,Tableau6[Nom affiche],0)),"")</f>
        <v>0</v>
      </c>
      <c r="V17" s="49">
        <f t="array" ref="V17">IFERROR(INDEX(Tableau6[prochaine visite co²],MATCH($B17,Tableau6[Nom affiche],0)),"")</f>
        <v>366</v>
      </c>
      <c r="W17" s="48">
        <f t="array" ref="W17">IFERROR(INDEX(Tableau6[dernière visite rpa],MATCH($B17,Tableau6[Nom affiche],0)),"")</f>
        <v>0</v>
      </c>
      <c r="X17" s="49">
        <f t="array" ref="X17">IFERROR(INDEX(Tableau6[prochaine visite rpa],MATCH($B17,Tableau6[Nom affiche],0)),"")</f>
        <v>1096</v>
      </c>
      <c r="Y17" s="46" t="e">
        <f t="array" ref="Y17">INDEX(Tableau6[dernière visite ! !],MATCH($B17,Tableau6[Nom affiche],0))</f>
        <v>#VALUE!</v>
      </c>
      <c r="Z17" s="46" t="e">
        <f t="array" ref="Z17">INDEX(Tableau6[prochaine visite ! !],MATCH($B17,Tableau6[Nom affiche],0))</f>
        <v>#VALUE!</v>
      </c>
      <c r="AA17" s="48">
        <f t="array" ref="AA17">IFERROR(INDEX(Tableau6[dernière visite bad],MATCH($B17,Tableau6[Nom affiche],0)),"")</f>
        <v>0</v>
      </c>
      <c r="AB17" s="49">
        <f t="array" ref="AB17">IFERROR(INDEX(Tableau6[prochaine visite bad],MATCH($B17,Tableau6[Nom affiche],0)),"")</f>
        <v>1096</v>
      </c>
      <c r="AC17" s="48">
        <f t="array" ref="AC17">IFERROR(INDEX(Tableau6[dernière visite sur],MATCH($B17,Tableau6[Nom affiche],0)),"")</f>
        <v>0</v>
      </c>
      <c r="AD17" s="49">
        <f t="array" ref="AD17">IFERROR(INDEX(Tableau6[prochaine visite sur],MATCH($B17,Tableau6[Nom affiche],0)),"")</f>
        <v>1096</v>
      </c>
      <c r="AE17" s="48">
        <f t="array" ref="AE17">IFERROR(INDEX(Tableau6[dernière visite pis],MATCH($B17,Tableau6[Nom affiche],0)),"")</f>
        <v>0</v>
      </c>
      <c r="AF17" s="49">
        <f t="array" ref="AF17">IFERROR(INDEX(Tableau6[prochaine visite pis],MATCH($B17,Tableau6[Nom affiche],0)),"")</f>
        <v>1096</v>
      </c>
      <c r="AG17" s="48">
        <f t="array" ref="AG17">IFERROR(INDEX(Tableau6[dernière visite per],MATCH($B17,Tableau6[Nom affiche],0)),"")</f>
        <v>0</v>
      </c>
      <c r="AH17" s="49">
        <f t="array" ref="AH17">IFERROR(INDEX(Tableau6[prochaine visite per],MATCH($B17,Tableau6[Nom affiche],0)),"")</f>
        <v>1827</v>
      </c>
      <c r="AI17" s="48">
        <f t="array" ref="AI17">IFERROR(INDEX(Tableau6[dernière visite méd],MATCH($B17,Tableau6[Nom affiche],0)),"")</f>
        <v>0</v>
      </c>
      <c r="AJ17" s="49">
        <f t="array" ref="AJ17">IFERROR(INDEX(Tableau6[prochaine visite mét],MATCH($B17,Tableau6[Nom affiche],0)),"")</f>
        <v>1827</v>
      </c>
    </row>
    <row r="18" spans="2:36" ht="30" customHeight="1" x14ac:dyDescent="0.2">
      <c r="B18" s="52" t="str">
        <f t="array" ref="B18">IFERROR(INDEX(Tableau6[Nom affiche],SMALL(IF((Tableau6[Nom affiche]&lt;&gt;"")*(Tableau6[Status]="Actif"),ROW(Tableau6[Nom affiche])-MIN(ROW(Employé!$B$4))+1,""),ROWS(B$4:B18))),"")</f>
        <v/>
      </c>
      <c r="C18" s="48" t="str">
        <f t="array" ref="C18">IFERROR(INDEX(Tableau6[dernière visite mvt],MATCH($B18,Tableau6[Nom affiche],0)),"")</f>
        <v/>
      </c>
      <c r="D18" s="49" t="str">
        <f t="array" ref="D18">IFERROR(INDEX(Tableau6[prochaine visite mvt],MATCH($B18,Tableau6[Nom affiche],0)),"")</f>
        <v/>
      </c>
      <c r="E18" s="48" t="str">
        <f t="array" ref="E18">IFERROR(INDEX(Tableau6[dernière visite véh],MATCH($B18,Tableau6[Nom affiche],0)),"")</f>
        <v/>
      </c>
      <c r="F18" s="49" t="str">
        <f t="array" ref="F18">IFERROR(INDEX(Tableau6[prochaine visite véh],MATCH($B18,Tableau6[Nom affiche],0)),"")</f>
        <v/>
      </c>
      <c r="G18" s="48" t="str">
        <f t="array" ref="G18">IFERROR(INDEX(Tableau6[dernière visite za],MATCH($B18,Tableau6[Nom affiche],0)),"")</f>
        <v/>
      </c>
      <c r="H18" s="49" t="str">
        <f t="array" ref="H18">IFERROR(INDEX(Tableau6[prochaine visite za],MATCH($B18,Tableau6[Nom affiche],0)),"")</f>
        <v/>
      </c>
      <c r="I18" s="48" t="str">
        <f t="array" ref="I18">IFERROR(INDEX(Tableau6[dernière visite epi],MATCH($B18,Tableau6[Nom affiche],0)),"")</f>
        <v/>
      </c>
      <c r="J18" s="49" t="str">
        <f t="array" ref="J18">IFERROR(INDEX(Tableau6[prochaine visite epi],MATCH($B18,Tableau6[Nom affiche],0)),"")</f>
        <v/>
      </c>
      <c r="K18" s="48" t="str">
        <f t="array" ref="K18">IFERROR(INDEX(Tableau6[dernière visite ari],MATCH($B18,Tableau6[Nom affiche],0)),"")</f>
        <v/>
      </c>
      <c r="L18" s="49" t="str">
        <f t="array" ref="L18">IFERROR(INDEX(Tableau6[prochaine visite ari],MATCH($B18,Tableau6[Nom affiche],0)),"")</f>
        <v/>
      </c>
      <c r="M18" s="48" t="str">
        <f t="array" ref="M18">IFERROR(INDEX(Tableau6[dernière visite zva],MATCH($B18,Tableau6[Nom affiche],0)),"")</f>
        <v/>
      </c>
      <c r="N18" s="49" t="str">
        <f t="array" ref="N18">IFERROR(INDEX(Tableau6[prochaine visite zva],MATCH($B18,Tableau6[Nom affiche],0)),"")</f>
        <v/>
      </c>
      <c r="O18" s="48" t="str">
        <f t="array" ref="O18">IFERROR(INDEX(Tableau6[dernière visite trv],MATCH($B18,Tableau6[Nom affiche],0)),"")</f>
        <v/>
      </c>
      <c r="P18" s="49" t="str">
        <f t="array" ref="P18">IFERROR(INDEX(Tableau6[prochaine visite trv],MATCH($B18,Tableau6[Nom affiche],0)),"")</f>
        <v/>
      </c>
      <c r="Q18" s="48" t="str">
        <f t="array" ref="Q18">IFERROR(INDEX(Tableau6[dernière visite méd],MATCH($B18,Tableau6[Nom affiche],0)),"")</f>
        <v/>
      </c>
      <c r="R18" s="49" t="str">
        <f t="array" ref="R18">IFERROR(INDEX(Tableau6[prochaine visite méd],MATCH($B18,Tableau6[Nom affiche],0)),"")</f>
        <v/>
      </c>
      <c r="S18" s="48" t="str">
        <f t="array" ref="S18">IFERROR(INDEX(Tableau6[dernière visite pou],MATCH($B18,Tableau6[Nom affiche],0)),"")</f>
        <v/>
      </c>
      <c r="T18" s="49" t="str">
        <f t="array" ref="T18">IFERROR(INDEX(Tableau6[prochaine visite pou],MATCH($B18,Tableau6[Nom affiche],0)),"")</f>
        <v/>
      </c>
      <c r="U18" s="48" t="str">
        <f t="array" ref="U18">IFERROR(INDEX(Tableau6[dernière visite co²],MATCH($B18,Tableau6[Nom affiche],0)),"")</f>
        <v/>
      </c>
      <c r="V18" s="49" t="str">
        <f t="array" ref="V18">IFERROR(INDEX(Tableau6[prochaine visite co²],MATCH($B18,Tableau6[Nom affiche],0)),"")</f>
        <v/>
      </c>
      <c r="W18" s="48" t="str">
        <f t="array" ref="W18">IFERROR(INDEX(Tableau6[dernière visite rpa],MATCH($B18,Tableau6[Nom affiche],0)),"")</f>
        <v/>
      </c>
      <c r="X18" s="49" t="str">
        <f t="array" ref="X18">IFERROR(INDEX(Tableau6[prochaine visite rpa],MATCH($B18,Tableau6[Nom affiche],0)),"")</f>
        <v/>
      </c>
      <c r="Y18" s="46" t="e">
        <f t="array" ref="Y18">INDEX(Tableau6[dernière visite ! !],MATCH($B18,Tableau6[Nom affiche],0))</f>
        <v>#N/A</v>
      </c>
      <c r="Z18" s="46" t="e">
        <f t="array" ref="Z18">INDEX(Tableau6[prochaine visite ! !],MATCH($B18,Tableau6[Nom affiche],0))</f>
        <v>#N/A</v>
      </c>
      <c r="AA18" s="48" t="str">
        <f t="array" ref="AA18">IFERROR(INDEX(Tableau6[dernière visite bad],MATCH($B18,Tableau6[Nom affiche],0)),"")</f>
        <v/>
      </c>
      <c r="AB18" s="49" t="str">
        <f t="array" ref="AB18">IFERROR(INDEX(Tableau6[prochaine visite bad],MATCH($B18,Tableau6[Nom affiche],0)),"")</f>
        <v/>
      </c>
      <c r="AC18" s="48" t="str">
        <f t="array" ref="AC18">IFERROR(INDEX(Tableau6[dernière visite sur],MATCH($B18,Tableau6[Nom affiche],0)),"")</f>
        <v/>
      </c>
      <c r="AD18" s="49" t="str">
        <f t="array" ref="AD18">IFERROR(INDEX(Tableau6[prochaine visite sur],MATCH($B18,Tableau6[Nom affiche],0)),"")</f>
        <v/>
      </c>
      <c r="AE18" s="48" t="str">
        <f t="array" ref="AE18">IFERROR(INDEX(Tableau6[dernière visite pis],MATCH($B18,Tableau6[Nom affiche],0)),"")</f>
        <v/>
      </c>
      <c r="AF18" s="49" t="str">
        <f t="array" ref="AF18">IFERROR(INDEX(Tableau6[prochaine visite pis],MATCH($B18,Tableau6[Nom affiche],0)),"")</f>
        <v/>
      </c>
      <c r="AG18" s="48" t="str">
        <f t="array" ref="AG18">IFERROR(INDEX(Tableau6[dernière visite per],MATCH($B18,Tableau6[Nom affiche],0)),"")</f>
        <v/>
      </c>
      <c r="AH18" s="49" t="str">
        <f t="array" ref="AH18">IFERROR(INDEX(Tableau6[prochaine visite per],MATCH($B18,Tableau6[Nom affiche],0)),"")</f>
        <v/>
      </c>
      <c r="AI18" s="48" t="str">
        <f t="array" ref="AI18">IFERROR(INDEX(Tableau6[dernière visite méd],MATCH($B18,Tableau6[Nom affiche],0)),"")</f>
        <v/>
      </c>
      <c r="AJ18" s="49" t="str">
        <f t="array" ref="AJ18">IFERROR(INDEX(Tableau6[prochaine visite mét],MATCH($B18,Tableau6[Nom affiche],0)),"")</f>
        <v/>
      </c>
    </row>
    <row r="19" spans="2:36" ht="30" customHeight="1" x14ac:dyDescent="0.2">
      <c r="B19" s="52" t="str">
        <f t="array" ref="B19">IFERROR(INDEX(Tableau6[Nom affiche],SMALL(IF((Tableau6[Nom affiche]&lt;&gt;"")*(Tableau6[Status]="Actif"),ROW(Tableau6[Nom affiche])-MIN(ROW(Employé!$B$4))+1,""),ROWS(B$4:B19))),"")</f>
        <v/>
      </c>
      <c r="C19" s="48" t="str">
        <f t="array" ref="C19">IFERROR(INDEX(Tableau6[dernière visite mvt],MATCH($B19,Tableau6[Nom affiche],0)),"")</f>
        <v/>
      </c>
      <c r="D19" s="49" t="str">
        <f t="array" ref="D19">IFERROR(INDEX(Tableau6[prochaine visite mvt],MATCH($B19,Tableau6[Nom affiche],0)),"")</f>
        <v/>
      </c>
      <c r="E19" s="48" t="str">
        <f t="array" ref="E19">IFERROR(INDEX(Tableau6[dernière visite véh],MATCH($B19,Tableau6[Nom affiche],0)),"")</f>
        <v/>
      </c>
      <c r="F19" s="49" t="str">
        <f t="array" ref="F19">IFERROR(INDEX(Tableau6[prochaine visite véh],MATCH($B19,Tableau6[Nom affiche],0)),"")</f>
        <v/>
      </c>
      <c r="G19" s="48" t="str">
        <f t="array" ref="G19">IFERROR(INDEX(Tableau6[dernière visite za],MATCH($B19,Tableau6[Nom affiche],0)),"")</f>
        <v/>
      </c>
      <c r="H19" s="49" t="str">
        <f t="array" ref="H19">IFERROR(INDEX(Tableau6[prochaine visite za],MATCH($B19,Tableau6[Nom affiche],0)),"")</f>
        <v/>
      </c>
      <c r="I19" s="48" t="str">
        <f t="array" ref="I19">IFERROR(INDEX(Tableau6[dernière visite epi],MATCH($B19,Tableau6[Nom affiche],0)),"")</f>
        <v/>
      </c>
      <c r="J19" s="49" t="str">
        <f t="array" ref="J19">IFERROR(INDEX(Tableau6[prochaine visite epi],MATCH($B19,Tableau6[Nom affiche],0)),"")</f>
        <v/>
      </c>
      <c r="K19" s="48" t="str">
        <f t="array" ref="K19">IFERROR(INDEX(Tableau6[dernière visite ari],MATCH($B19,Tableau6[Nom affiche],0)),"")</f>
        <v/>
      </c>
      <c r="L19" s="49" t="str">
        <f t="array" ref="L19">IFERROR(INDEX(Tableau6[prochaine visite ari],MATCH($B19,Tableau6[Nom affiche],0)),"")</f>
        <v/>
      </c>
      <c r="M19" s="48" t="str">
        <f t="array" ref="M19">IFERROR(INDEX(Tableau6[dernière visite zva],MATCH($B19,Tableau6[Nom affiche],0)),"")</f>
        <v/>
      </c>
      <c r="N19" s="49" t="str">
        <f t="array" ref="N19">IFERROR(INDEX(Tableau6[prochaine visite zva],MATCH($B19,Tableau6[Nom affiche],0)),"")</f>
        <v/>
      </c>
      <c r="O19" s="48" t="str">
        <f t="array" ref="O19">IFERROR(INDEX(Tableau6[dernière visite trv],MATCH($B19,Tableau6[Nom affiche],0)),"")</f>
        <v/>
      </c>
      <c r="P19" s="49" t="str">
        <f t="array" ref="P19">IFERROR(INDEX(Tableau6[prochaine visite trv],MATCH($B19,Tableau6[Nom affiche],0)),"")</f>
        <v/>
      </c>
      <c r="Q19" s="48" t="str">
        <f t="array" ref="Q19">IFERROR(INDEX(Tableau6[dernière visite méd],MATCH($B19,Tableau6[Nom affiche],0)),"")</f>
        <v/>
      </c>
      <c r="R19" s="49" t="str">
        <f t="array" ref="R19">IFERROR(INDEX(Tableau6[prochaine visite méd],MATCH($B19,Tableau6[Nom affiche],0)),"")</f>
        <v/>
      </c>
      <c r="S19" s="48" t="str">
        <f t="array" ref="S19">IFERROR(INDEX(Tableau6[dernière visite pou],MATCH($B19,Tableau6[Nom affiche],0)),"")</f>
        <v/>
      </c>
      <c r="T19" s="49" t="str">
        <f t="array" ref="T19">IFERROR(INDEX(Tableau6[prochaine visite pou],MATCH($B19,Tableau6[Nom affiche],0)),"")</f>
        <v/>
      </c>
      <c r="U19" s="48" t="str">
        <f t="array" ref="U19">IFERROR(INDEX(Tableau6[dernière visite co²],MATCH($B19,Tableau6[Nom affiche],0)),"")</f>
        <v/>
      </c>
      <c r="V19" s="49" t="str">
        <f t="array" ref="V19">IFERROR(INDEX(Tableau6[prochaine visite co²],MATCH($B19,Tableau6[Nom affiche],0)),"")</f>
        <v/>
      </c>
      <c r="W19" s="48" t="str">
        <f t="array" ref="W19">IFERROR(INDEX(Tableau6[dernière visite rpa],MATCH($B19,Tableau6[Nom affiche],0)),"")</f>
        <v/>
      </c>
      <c r="X19" s="49" t="str">
        <f t="array" ref="X19">IFERROR(INDEX(Tableau6[prochaine visite rpa],MATCH($B19,Tableau6[Nom affiche],0)),"")</f>
        <v/>
      </c>
      <c r="Y19" s="46" t="e">
        <f t="array" ref="Y19">INDEX(Tableau6[dernière visite ! !],MATCH($B19,Tableau6[Nom affiche],0))</f>
        <v>#N/A</v>
      </c>
      <c r="Z19" s="46" t="e">
        <f t="array" ref="Z19">INDEX(Tableau6[prochaine visite ! !],MATCH($B19,Tableau6[Nom affiche],0))</f>
        <v>#N/A</v>
      </c>
      <c r="AA19" s="48" t="str">
        <f t="array" ref="AA19">IFERROR(INDEX(Tableau6[dernière visite bad],MATCH($B19,Tableau6[Nom affiche],0)),"")</f>
        <v/>
      </c>
      <c r="AB19" s="49" t="str">
        <f t="array" ref="AB19">IFERROR(INDEX(Tableau6[prochaine visite bad],MATCH($B19,Tableau6[Nom affiche],0)),"")</f>
        <v/>
      </c>
      <c r="AC19" s="48" t="str">
        <f t="array" ref="AC19">IFERROR(INDEX(Tableau6[dernière visite sur],MATCH($B19,Tableau6[Nom affiche],0)),"")</f>
        <v/>
      </c>
      <c r="AD19" s="49" t="str">
        <f t="array" ref="AD19">IFERROR(INDEX(Tableau6[prochaine visite sur],MATCH($B19,Tableau6[Nom affiche],0)),"")</f>
        <v/>
      </c>
      <c r="AE19" s="48" t="str">
        <f t="array" ref="AE19">IFERROR(INDEX(Tableau6[dernière visite pis],MATCH($B19,Tableau6[Nom affiche],0)),"")</f>
        <v/>
      </c>
      <c r="AF19" s="49" t="str">
        <f t="array" ref="AF19">IFERROR(INDEX(Tableau6[prochaine visite pis],MATCH($B19,Tableau6[Nom affiche],0)),"")</f>
        <v/>
      </c>
      <c r="AG19" s="48" t="str">
        <f t="array" ref="AG19">IFERROR(INDEX(Tableau6[dernière visite per],MATCH($B19,Tableau6[Nom affiche],0)),"")</f>
        <v/>
      </c>
      <c r="AH19" s="49" t="str">
        <f t="array" ref="AH19">IFERROR(INDEX(Tableau6[prochaine visite per],MATCH($B19,Tableau6[Nom affiche],0)),"")</f>
        <v/>
      </c>
      <c r="AI19" s="48" t="str">
        <f t="array" ref="AI19">IFERROR(INDEX(Tableau6[dernière visite méd],MATCH($B19,Tableau6[Nom affiche],0)),"")</f>
        <v/>
      </c>
      <c r="AJ19" s="49" t="str">
        <f t="array" ref="AJ19">IFERROR(INDEX(Tableau6[prochaine visite mét],MATCH($B19,Tableau6[Nom affiche],0)),"")</f>
        <v/>
      </c>
    </row>
    <row r="20" spans="2:36" ht="30" customHeight="1" x14ac:dyDescent="0.2">
      <c r="B20" s="52" t="str">
        <f t="array" ref="B20">IFERROR(INDEX(Tableau6[Nom affiche],SMALL(IF((Tableau6[Nom affiche]&lt;&gt;"")*(Tableau6[Status]="Actif"),ROW(Tableau6[Nom affiche])-MIN(ROW(Employé!$B$4))+1,""),ROWS(B$4:B20))),"")</f>
        <v/>
      </c>
      <c r="C20" s="48" t="str">
        <f t="array" ref="C20">IFERROR(INDEX(Tableau6[dernière visite mvt],MATCH($B20,Tableau6[Nom affiche],0)),"")</f>
        <v/>
      </c>
      <c r="D20" s="49" t="str">
        <f t="array" ref="D20">IFERROR(INDEX(Tableau6[prochaine visite mvt],MATCH($B20,Tableau6[Nom affiche],0)),"")</f>
        <v/>
      </c>
      <c r="E20" s="48" t="str">
        <f t="array" ref="E20">IFERROR(INDEX(Tableau6[dernière visite véh],MATCH($B20,Tableau6[Nom affiche],0)),"")</f>
        <v/>
      </c>
      <c r="F20" s="49" t="str">
        <f t="array" ref="F20">IFERROR(INDEX(Tableau6[prochaine visite véh],MATCH($B20,Tableau6[Nom affiche],0)),"")</f>
        <v/>
      </c>
      <c r="G20" s="48" t="str">
        <f t="array" ref="G20">IFERROR(INDEX(Tableau6[dernière visite za],MATCH($B20,Tableau6[Nom affiche],0)),"")</f>
        <v/>
      </c>
      <c r="H20" s="49" t="str">
        <f t="array" ref="H20">IFERROR(INDEX(Tableau6[prochaine visite za],MATCH($B20,Tableau6[Nom affiche],0)),"")</f>
        <v/>
      </c>
      <c r="I20" s="48" t="str">
        <f t="array" ref="I20">IFERROR(INDEX(Tableau6[dernière visite epi],MATCH($B20,Tableau6[Nom affiche],0)),"")</f>
        <v/>
      </c>
      <c r="J20" s="49" t="str">
        <f t="array" ref="J20">IFERROR(INDEX(Tableau6[prochaine visite epi],MATCH($B20,Tableau6[Nom affiche],0)),"")</f>
        <v/>
      </c>
      <c r="K20" s="48" t="str">
        <f t="array" ref="K20">IFERROR(INDEX(Tableau6[dernière visite ari],MATCH($B20,Tableau6[Nom affiche],0)),"")</f>
        <v/>
      </c>
      <c r="L20" s="49" t="str">
        <f t="array" ref="L20">IFERROR(INDEX(Tableau6[prochaine visite ari],MATCH($B20,Tableau6[Nom affiche],0)),"")</f>
        <v/>
      </c>
      <c r="M20" s="48" t="str">
        <f t="array" ref="M20">IFERROR(INDEX(Tableau6[dernière visite zva],MATCH($B20,Tableau6[Nom affiche],0)),"")</f>
        <v/>
      </c>
      <c r="N20" s="49" t="str">
        <f t="array" ref="N20">IFERROR(INDEX(Tableau6[prochaine visite zva],MATCH($B20,Tableau6[Nom affiche],0)),"")</f>
        <v/>
      </c>
      <c r="O20" s="48" t="str">
        <f t="array" ref="O20">IFERROR(INDEX(Tableau6[dernière visite trv],MATCH($B20,Tableau6[Nom affiche],0)),"")</f>
        <v/>
      </c>
      <c r="P20" s="49" t="str">
        <f t="array" ref="P20">IFERROR(INDEX(Tableau6[prochaine visite trv],MATCH($B20,Tableau6[Nom affiche],0)),"")</f>
        <v/>
      </c>
      <c r="Q20" s="48" t="str">
        <f t="array" ref="Q20">IFERROR(INDEX(Tableau6[dernière visite méd],MATCH($B20,Tableau6[Nom affiche],0)),"")</f>
        <v/>
      </c>
      <c r="R20" s="49" t="str">
        <f t="array" ref="R20">IFERROR(INDEX(Tableau6[prochaine visite méd],MATCH($B20,Tableau6[Nom affiche],0)),"")</f>
        <v/>
      </c>
      <c r="S20" s="48" t="str">
        <f t="array" ref="S20">IFERROR(INDEX(Tableau6[dernière visite pou],MATCH($B20,Tableau6[Nom affiche],0)),"")</f>
        <v/>
      </c>
      <c r="T20" s="49" t="str">
        <f t="array" ref="T20">IFERROR(INDEX(Tableau6[prochaine visite pou],MATCH($B20,Tableau6[Nom affiche],0)),"")</f>
        <v/>
      </c>
      <c r="U20" s="48" t="str">
        <f t="array" ref="U20">IFERROR(INDEX(Tableau6[dernière visite co²],MATCH($B20,Tableau6[Nom affiche],0)),"")</f>
        <v/>
      </c>
      <c r="V20" s="49" t="str">
        <f t="array" ref="V20">IFERROR(INDEX(Tableau6[prochaine visite co²],MATCH($B20,Tableau6[Nom affiche],0)),"")</f>
        <v/>
      </c>
      <c r="W20" s="48" t="str">
        <f t="array" ref="W20">IFERROR(INDEX(Tableau6[dernière visite rpa],MATCH($B20,Tableau6[Nom affiche],0)),"")</f>
        <v/>
      </c>
      <c r="X20" s="49" t="str">
        <f t="array" ref="X20">IFERROR(INDEX(Tableau6[prochaine visite rpa],MATCH($B20,Tableau6[Nom affiche],0)),"")</f>
        <v/>
      </c>
      <c r="Y20" s="46" t="e">
        <f t="array" ref="Y20">INDEX(Tableau6[dernière visite ! !],MATCH($B20,Tableau6[Nom affiche],0))</f>
        <v>#N/A</v>
      </c>
      <c r="Z20" s="46" t="e">
        <f t="array" ref="Z20">INDEX(Tableau6[prochaine visite ! !],MATCH($B20,Tableau6[Nom affiche],0))</f>
        <v>#N/A</v>
      </c>
      <c r="AA20" s="48" t="str">
        <f t="array" ref="AA20">IFERROR(INDEX(Tableau6[dernière visite bad],MATCH($B20,Tableau6[Nom affiche],0)),"")</f>
        <v/>
      </c>
      <c r="AB20" s="49" t="str">
        <f t="array" ref="AB20">IFERROR(INDEX(Tableau6[prochaine visite bad],MATCH($B20,Tableau6[Nom affiche],0)),"")</f>
        <v/>
      </c>
      <c r="AC20" s="48" t="str">
        <f t="array" ref="AC20">IFERROR(INDEX(Tableau6[dernière visite sur],MATCH($B20,Tableau6[Nom affiche],0)),"")</f>
        <v/>
      </c>
      <c r="AD20" s="49" t="str">
        <f t="array" ref="AD20">IFERROR(INDEX(Tableau6[prochaine visite sur],MATCH($B20,Tableau6[Nom affiche],0)),"")</f>
        <v/>
      </c>
      <c r="AE20" s="48" t="str">
        <f t="array" ref="AE20">IFERROR(INDEX(Tableau6[dernière visite pis],MATCH($B20,Tableau6[Nom affiche],0)),"")</f>
        <v/>
      </c>
      <c r="AF20" s="49" t="str">
        <f t="array" ref="AF20">IFERROR(INDEX(Tableau6[prochaine visite pis],MATCH($B20,Tableau6[Nom affiche],0)),"")</f>
        <v/>
      </c>
      <c r="AG20" s="48" t="str">
        <f t="array" ref="AG20">IFERROR(INDEX(Tableau6[dernière visite per],MATCH($B20,Tableau6[Nom affiche],0)),"")</f>
        <v/>
      </c>
      <c r="AH20" s="49" t="str">
        <f t="array" ref="AH20">IFERROR(INDEX(Tableau6[prochaine visite per],MATCH($B20,Tableau6[Nom affiche],0)),"")</f>
        <v/>
      </c>
      <c r="AI20" s="48" t="str">
        <f t="array" ref="AI20">IFERROR(INDEX(Tableau6[dernière visite méd],MATCH($B20,Tableau6[Nom affiche],0)),"")</f>
        <v/>
      </c>
      <c r="AJ20" s="49" t="str">
        <f t="array" ref="AJ20">IFERROR(INDEX(Tableau6[prochaine visite mét],MATCH($B20,Tableau6[Nom affiche],0)),"")</f>
        <v/>
      </c>
    </row>
    <row r="21" spans="2:36" ht="30" customHeight="1" x14ac:dyDescent="0.2">
      <c r="B21" s="52" t="str">
        <f t="array" ref="B21">IFERROR(INDEX(Tableau6[Nom affiche],SMALL(IF((Tableau6[Nom affiche]&lt;&gt;"")*(Tableau6[Status]="Actif"),ROW(Tableau6[Nom affiche])-MIN(ROW(Employé!$B$4))+1,""),ROWS(B$4:B21))),"")</f>
        <v/>
      </c>
      <c r="C21" s="48" t="str">
        <f t="array" ref="C21">IFERROR(INDEX(Tableau6[dernière visite mvt],MATCH($B21,Tableau6[Nom affiche],0)),"")</f>
        <v/>
      </c>
      <c r="D21" s="49" t="str">
        <f t="array" ref="D21">IFERROR(INDEX(Tableau6[prochaine visite mvt],MATCH($B21,Tableau6[Nom affiche],0)),"")</f>
        <v/>
      </c>
      <c r="E21" s="48" t="str">
        <f t="array" ref="E21">IFERROR(INDEX(Tableau6[dernière visite véh],MATCH($B21,Tableau6[Nom affiche],0)),"")</f>
        <v/>
      </c>
      <c r="F21" s="49" t="str">
        <f t="array" ref="F21">IFERROR(INDEX(Tableau6[prochaine visite véh],MATCH($B21,Tableau6[Nom affiche],0)),"")</f>
        <v/>
      </c>
      <c r="G21" s="48" t="str">
        <f t="array" ref="G21">IFERROR(INDEX(Tableau6[dernière visite za],MATCH($B21,Tableau6[Nom affiche],0)),"")</f>
        <v/>
      </c>
      <c r="H21" s="49" t="str">
        <f t="array" ref="H21">IFERROR(INDEX(Tableau6[prochaine visite za],MATCH($B21,Tableau6[Nom affiche],0)),"")</f>
        <v/>
      </c>
      <c r="I21" s="48" t="str">
        <f t="array" ref="I21">IFERROR(INDEX(Tableau6[dernière visite epi],MATCH($B21,Tableau6[Nom affiche],0)),"")</f>
        <v/>
      </c>
      <c r="J21" s="49" t="str">
        <f t="array" ref="J21">IFERROR(INDEX(Tableau6[prochaine visite epi],MATCH($B21,Tableau6[Nom affiche],0)),"")</f>
        <v/>
      </c>
      <c r="K21" s="48" t="str">
        <f t="array" ref="K21">IFERROR(INDEX(Tableau6[dernière visite ari],MATCH($B21,Tableau6[Nom affiche],0)),"")</f>
        <v/>
      </c>
      <c r="L21" s="49" t="str">
        <f t="array" ref="L21">IFERROR(INDEX(Tableau6[prochaine visite ari],MATCH($B21,Tableau6[Nom affiche],0)),"")</f>
        <v/>
      </c>
      <c r="M21" s="48" t="str">
        <f t="array" ref="M21">IFERROR(INDEX(Tableau6[dernière visite zva],MATCH($B21,Tableau6[Nom affiche],0)),"")</f>
        <v/>
      </c>
      <c r="N21" s="49" t="str">
        <f t="array" ref="N21">IFERROR(INDEX(Tableau6[prochaine visite zva],MATCH($B21,Tableau6[Nom affiche],0)),"")</f>
        <v/>
      </c>
      <c r="O21" s="48" t="str">
        <f t="array" ref="O21">IFERROR(INDEX(Tableau6[dernière visite trv],MATCH($B21,Tableau6[Nom affiche],0)),"")</f>
        <v/>
      </c>
      <c r="P21" s="49" t="str">
        <f t="array" ref="P21">IFERROR(INDEX(Tableau6[prochaine visite trv],MATCH($B21,Tableau6[Nom affiche],0)),"")</f>
        <v/>
      </c>
      <c r="Q21" s="48" t="str">
        <f t="array" ref="Q21">IFERROR(INDEX(Tableau6[dernière visite méd],MATCH($B21,Tableau6[Nom affiche],0)),"")</f>
        <v/>
      </c>
      <c r="R21" s="49" t="str">
        <f t="array" ref="R21">IFERROR(INDEX(Tableau6[prochaine visite méd],MATCH($B21,Tableau6[Nom affiche],0)),"")</f>
        <v/>
      </c>
      <c r="S21" s="48" t="str">
        <f t="array" ref="S21">IFERROR(INDEX(Tableau6[dernière visite pou],MATCH($B21,Tableau6[Nom affiche],0)),"")</f>
        <v/>
      </c>
      <c r="T21" s="49" t="str">
        <f t="array" ref="T21">IFERROR(INDEX(Tableau6[prochaine visite pou],MATCH($B21,Tableau6[Nom affiche],0)),"")</f>
        <v/>
      </c>
      <c r="U21" s="48" t="str">
        <f t="array" ref="U21">IFERROR(INDEX(Tableau6[dernière visite co²],MATCH($B21,Tableau6[Nom affiche],0)),"")</f>
        <v/>
      </c>
      <c r="V21" s="49" t="str">
        <f t="array" ref="V21">IFERROR(INDEX(Tableau6[prochaine visite co²],MATCH($B21,Tableau6[Nom affiche],0)),"")</f>
        <v/>
      </c>
      <c r="W21" s="48" t="str">
        <f t="array" ref="W21">IFERROR(INDEX(Tableau6[dernière visite rpa],MATCH($B21,Tableau6[Nom affiche],0)),"")</f>
        <v/>
      </c>
      <c r="X21" s="49" t="str">
        <f t="array" ref="X21">IFERROR(INDEX(Tableau6[prochaine visite rpa],MATCH($B21,Tableau6[Nom affiche],0)),"")</f>
        <v/>
      </c>
      <c r="Y21" s="46" t="e">
        <f t="array" ref="Y21">INDEX(Tableau6[dernière visite ! !],MATCH($B21,Tableau6[Nom affiche],0))</f>
        <v>#N/A</v>
      </c>
      <c r="Z21" s="46" t="e">
        <f t="array" ref="Z21">INDEX(Tableau6[prochaine visite ! !],MATCH($B21,Tableau6[Nom affiche],0))</f>
        <v>#N/A</v>
      </c>
      <c r="AA21" s="48" t="str">
        <f t="array" ref="AA21">IFERROR(INDEX(Tableau6[dernière visite bad],MATCH($B21,Tableau6[Nom affiche],0)),"")</f>
        <v/>
      </c>
      <c r="AB21" s="49" t="str">
        <f t="array" ref="AB21">IFERROR(INDEX(Tableau6[prochaine visite bad],MATCH($B21,Tableau6[Nom affiche],0)),"")</f>
        <v/>
      </c>
      <c r="AC21" s="48" t="str">
        <f t="array" ref="AC21">IFERROR(INDEX(Tableau6[dernière visite sur],MATCH($B21,Tableau6[Nom affiche],0)),"")</f>
        <v/>
      </c>
      <c r="AD21" s="49" t="str">
        <f t="array" ref="AD21">IFERROR(INDEX(Tableau6[prochaine visite sur],MATCH($B21,Tableau6[Nom affiche],0)),"")</f>
        <v/>
      </c>
      <c r="AE21" s="48" t="str">
        <f t="array" ref="AE21">IFERROR(INDEX(Tableau6[dernière visite pis],MATCH($B21,Tableau6[Nom affiche],0)),"")</f>
        <v/>
      </c>
      <c r="AF21" s="49" t="str">
        <f t="array" ref="AF21">IFERROR(INDEX(Tableau6[prochaine visite pis],MATCH($B21,Tableau6[Nom affiche],0)),"")</f>
        <v/>
      </c>
      <c r="AG21" s="48" t="str">
        <f t="array" ref="AG21">IFERROR(INDEX(Tableau6[dernière visite per],MATCH($B21,Tableau6[Nom affiche],0)),"")</f>
        <v/>
      </c>
      <c r="AH21" s="49" t="str">
        <f t="array" ref="AH21">IFERROR(INDEX(Tableau6[prochaine visite per],MATCH($B21,Tableau6[Nom affiche],0)),"")</f>
        <v/>
      </c>
      <c r="AI21" s="48" t="str">
        <f t="array" ref="AI21">IFERROR(INDEX(Tableau6[dernière visite méd],MATCH($B21,Tableau6[Nom affiche],0)),"")</f>
        <v/>
      </c>
      <c r="AJ21" s="49" t="str">
        <f t="array" ref="AJ21">IFERROR(INDEX(Tableau6[prochaine visite mét],MATCH($B21,Tableau6[Nom affiche],0)),"")</f>
        <v/>
      </c>
    </row>
    <row r="22" spans="2:36" ht="30" customHeight="1" x14ac:dyDescent="0.2">
      <c r="B22" s="52" t="str">
        <f t="array" ref="B22">IFERROR(INDEX(Tableau6[Nom affiche],SMALL(IF((Tableau6[Nom affiche]&lt;&gt;"")*(Tableau6[Status]="Actif"),ROW(Tableau6[Nom affiche])-MIN(ROW(Employé!$B$4))+1,""),ROWS(B$4:B22))),"")</f>
        <v/>
      </c>
      <c r="C22" s="48" t="str">
        <f t="array" ref="C22">IFERROR(INDEX(Tableau6[dernière visite mvt],MATCH($B22,Tableau6[Nom affiche],0)),"")</f>
        <v/>
      </c>
      <c r="D22" s="49" t="str">
        <f t="array" ref="D22">IFERROR(INDEX(Tableau6[prochaine visite mvt],MATCH($B22,Tableau6[Nom affiche],0)),"")</f>
        <v/>
      </c>
      <c r="E22" s="48" t="str">
        <f t="array" ref="E22">IFERROR(INDEX(Tableau6[dernière visite véh],MATCH($B22,Tableau6[Nom affiche],0)),"")</f>
        <v/>
      </c>
      <c r="F22" s="49" t="str">
        <f t="array" ref="F22">IFERROR(INDEX(Tableau6[prochaine visite véh],MATCH($B22,Tableau6[Nom affiche],0)),"")</f>
        <v/>
      </c>
      <c r="G22" s="48" t="str">
        <f t="array" ref="G22">IFERROR(INDEX(Tableau6[dernière visite za],MATCH($B22,Tableau6[Nom affiche],0)),"")</f>
        <v/>
      </c>
      <c r="H22" s="49" t="str">
        <f t="array" ref="H22">IFERROR(INDEX(Tableau6[prochaine visite za],MATCH($B22,Tableau6[Nom affiche],0)),"")</f>
        <v/>
      </c>
      <c r="I22" s="48" t="str">
        <f t="array" ref="I22">IFERROR(INDEX(Tableau6[dernière visite epi],MATCH($B22,Tableau6[Nom affiche],0)),"")</f>
        <v/>
      </c>
      <c r="J22" s="49" t="str">
        <f t="array" ref="J22">IFERROR(INDEX(Tableau6[prochaine visite epi],MATCH($B22,Tableau6[Nom affiche],0)),"")</f>
        <v/>
      </c>
      <c r="K22" s="48" t="str">
        <f t="array" ref="K22">IFERROR(INDEX(Tableau6[dernière visite ari],MATCH($B22,Tableau6[Nom affiche],0)),"")</f>
        <v/>
      </c>
      <c r="L22" s="49" t="str">
        <f t="array" ref="L22">IFERROR(INDEX(Tableau6[prochaine visite ari],MATCH($B22,Tableau6[Nom affiche],0)),"")</f>
        <v/>
      </c>
      <c r="M22" s="48" t="str">
        <f t="array" ref="M22">IFERROR(INDEX(Tableau6[dernière visite zva],MATCH($B22,Tableau6[Nom affiche],0)),"")</f>
        <v/>
      </c>
      <c r="N22" s="49" t="str">
        <f t="array" ref="N22">IFERROR(INDEX(Tableau6[prochaine visite zva],MATCH($B22,Tableau6[Nom affiche],0)),"")</f>
        <v/>
      </c>
      <c r="O22" s="48" t="str">
        <f t="array" ref="O22">IFERROR(INDEX(Tableau6[dernière visite trv],MATCH($B22,Tableau6[Nom affiche],0)),"")</f>
        <v/>
      </c>
      <c r="P22" s="49" t="str">
        <f t="array" ref="P22">IFERROR(INDEX(Tableau6[prochaine visite trv],MATCH($B22,Tableau6[Nom affiche],0)),"")</f>
        <v/>
      </c>
      <c r="Q22" s="48" t="str">
        <f t="array" ref="Q22">IFERROR(INDEX(Tableau6[dernière visite méd],MATCH($B22,Tableau6[Nom affiche],0)),"")</f>
        <v/>
      </c>
      <c r="R22" s="49" t="str">
        <f t="array" ref="R22">IFERROR(INDEX(Tableau6[prochaine visite méd],MATCH($B22,Tableau6[Nom affiche],0)),"")</f>
        <v/>
      </c>
      <c r="S22" s="48" t="str">
        <f t="array" ref="S22">IFERROR(INDEX(Tableau6[dernière visite pou],MATCH($B22,Tableau6[Nom affiche],0)),"")</f>
        <v/>
      </c>
      <c r="T22" s="49" t="str">
        <f t="array" ref="T22">IFERROR(INDEX(Tableau6[prochaine visite pou],MATCH($B22,Tableau6[Nom affiche],0)),"")</f>
        <v/>
      </c>
      <c r="U22" s="48" t="str">
        <f t="array" ref="U22">IFERROR(INDEX(Tableau6[dernière visite co²],MATCH($B22,Tableau6[Nom affiche],0)),"")</f>
        <v/>
      </c>
      <c r="V22" s="49" t="str">
        <f t="array" ref="V22">IFERROR(INDEX(Tableau6[prochaine visite co²],MATCH($B22,Tableau6[Nom affiche],0)),"")</f>
        <v/>
      </c>
      <c r="W22" s="48" t="str">
        <f t="array" ref="W22">IFERROR(INDEX(Tableau6[dernière visite rpa],MATCH($B22,Tableau6[Nom affiche],0)),"")</f>
        <v/>
      </c>
      <c r="X22" s="49" t="str">
        <f t="array" ref="X22">IFERROR(INDEX(Tableau6[prochaine visite rpa],MATCH($B22,Tableau6[Nom affiche],0)),"")</f>
        <v/>
      </c>
      <c r="Y22" s="46" t="e">
        <f t="array" ref="Y22">INDEX(Tableau6[dernière visite ! !],MATCH($B22,Tableau6[Nom affiche],0))</f>
        <v>#N/A</v>
      </c>
      <c r="Z22" s="46" t="e">
        <f t="array" ref="Z22">INDEX(Tableau6[prochaine visite ! !],MATCH($B22,Tableau6[Nom affiche],0))</f>
        <v>#N/A</v>
      </c>
      <c r="AA22" s="48" t="str">
        <f t="array" ref="AA22">IFERROR(INDEX(Tableau6[dernière visite bad],MATCH($B22,Tableau6[Nom affiche],0)),"")</f>
        <v/>
      </c>
      <c r="AB22" s="49" t="str">
        <f t="array" ref="AB22">IFERROR(INDEX(Tableau6[prochaine visite bad],MATCH($B22,Tableau6[Nom affiche],0)),"")</f>
        <v/>
      </c>
      <c r="AC22" s="48" t="str">
        <f t="array" ref="AC22">IFERROR(INDEX(Tableau6[dernière visite sur],MATCH($B22,Tableau6[Nom affiche],0)),"")</f>
        <v/>
      </c>
      <c r="AD22" s="49" t="str">
        <f t="array" ref="AD22">IFERROR(INDEX(Tableau6[prochaine visite sur],MATCH($B22,Tableau6[Nom affiche],0)),"")</f>
        <v/>
      </c>
      <c r="AE22" s="48" t="str">
        <f t="array" ref="AE22">IFERROR(INDEX(Tableau6[dernière visite pis],MATCH($B22,Tableau6[Nom affiche],0)),"")</f>
        <v/>
      </c>
      <c r="AF22" s="49" t="str">
        <f t="array" ref="AF22">IFERROR(INDEX(Tableau6[prochaine visite pis],MATCH($B22,Tableau6[Nom affiche],0)),"")</f>
        <v/>
      </c>
      <c r="AG22" s="48" t="str">
        <f t="array" ref="AG22">IFERROR(INDEX(Tableau6[dernière visite per],MATCH($B22,Tableau6[Nom affiche],0)),"")</f>
        <v/>
      </c>
      <c r="AH22" s="49" t="str">
        <f t="array" ref="AH22">IFERROR(INDEX(Tableau6[prochaine visite per],MATCH($B22,Tableau6[Nom affiche],0)),"")</f>
        <v/>
      </c>
      <c r="AI22" s="48" t="str">
        <f t="array" ref="AI22">IFERROR(INDEX(Tableau6[dernière visite méd],MATCH($B22,Tableau6[Nom affiche],0)),"")</f>
        <v/>
      </c>
      <c r="AJ22" s="49" t="str">
        <f t="array" ref="AJ22">IFERROR(INDEX(Tableau6[prochaine visite mét],MATCH($B22,Tableau6[Nom affiche],0)),"")</f>
        <v/>
      </c>
    </row>
    <row r="23" spans="2:36" ht="30" customHeight="1" x14ac:dyDescent="0.2">
      <c r="B23" s="52" t="str">
        <f t="array" ref="B23">IFERROR(INDEX(Tableau6[Nom affiche],SMALL(IF((Tableau6[Nom affiche]&lt;&gt;"")*(Tableau6[Status]="Actif"),ROW(Tableau6[Nom affiche])-MIN(ROW(Employé!$B$4))+1,""),ROWS(B$4:B23))),"")</f>
        <v/>
      </c>
      <c r="C23" s="48" t="str">
        <f t="array" ref="C23">IFERROR(INDEX(Tableau6[dernière visite mvt],MATCH($B23,Tableau6[Nom affiche],0)),"")</f>
        <v/>
      </c>
      <c r="D23" s="49" t="str">
        <f t="array" ref="D23">IFERROR(INDEX(Tableau6[prochaine visite mvt],MATCH($B23,Tableau6[Nom affiche],0)),"")</f>
        <v/>
      </c>
      <c r="E23" s="48" t="str">
        <f t="array" ref="E23">IFERROR(INDEX(Tableau6[dernière visite véh],MATCH($B23,Tableau6[Nom affiche],0)),"")</f>
        <v/>
      </c>
      <c r="F23" s="49" t="str">
        <f t="array" ref="F23">IFERROR(INDEX(Tableau6[prochaine visite véh],MATCH($B23,Tableau6[Nom affiche],0)),"")</f>
        <v/>
      </c>
      <c r="G23" s="48" t="str">
        <f t="array" ref="G23">IFERROR(INDEX(Tableau6[dernière visite za],MATCH($B23,Tableau6[Nom affiche],0)),"")</f>
        <v/>
      </c>
      <c r="H23" s="49" t="str">
        <f t="array" ref="H23">IFERROR(INDEX(Tableau6[prochaine visite za],MATCH($B23,Tableau6[Nom affiche],0)),"")</f>
        <v/>
      </c>
      <c r="I23" s="48" t="str">
        <f t="array" ref="I23">IFERROR(INDEX(Tableau6[dernière visite epi],MATCH($B23,Tableau6[Nom affiche],0)),"")</f>
        <v/>
      </c>
      <c r="J23" s="49" t="str">
        <f t="array" ref="J23">IFERROR(INDEX(Tableau6[prochaine visite epi],MATCH($B23,Tableau6[Nom affiche],0)),"")</f>
        <v/>
      </c>
      <c r="K23" s="48" t="str">
        <f t="array" ref="K23">IFERROR(INDEX(Tableau6[dernière visite ari],MATCH($B23,Tableau6[Nom affiche],0)),"")</f>
        <v/>
      </c>
      <c r="L23" s="49" t="str">
        <f t="array" ref="L23">IFERROR(INDEX(Tableau6[prochaine visite ari],MATCH($B23,Tableau6[Nom affiche],0)),"")</f>
        <v/>
      </c>
      <c r="M23" s="48" t="str">
        <f t="array" ref="M23">IFERROR(INDEX(Tableau6[dernière visite zva],MATCH($B23,Tableau6[Nom affiche],0)),"")</f>
        <v/>
      </c>
      <c r="N23" s="49" t="str">
        <f t="array" ref="N23">IFERROR(INDEX(Tableau6[prochaine visite zva],MATCH($B23,Tableau6[Nom affiche],0)),"")</f>
        <v/>
      </c>
      <c r="O23" s="48" t="str">
        <f t="array" ref="O23">IFERROR(INDEX(Tableau6[dernière visite trv],MATCH($B23,Tableau6[Nom affiche],0)),"")</f>
        <v/>
      </c>
      <c r="P23" s="49" t="str">
        <f t="array" ref="P23">IFERROR(INDEX(Tableau6[prochaine visite trv],MATCH($B23,Tableau6[Nom affiche],0)),"")</f>
        <v/>
      </c>
      <c r="Q23" s="48" t="str">
        <f t="array" ref="Q23">IFERROR(INDEX(Tableau6[dernière visite méd],MATCH($B23,Tableau6[Nom affiche],0)),"")</f>
        <v/>
      </c>
      <c r="R23" s="49" t="str">
        <f t="array" ref="R23">IFERROR(INDEX(Tableau6[prochaine visite méd],MATCH($B23,Tableau6[Nom affiche],0)),"")</f>
        <v/>
      </c>
      <c r="S23" s="48" t="str">
        <f t="array" ref="S23">IFERROR(INDEX(Tableau6[dernière visite pou],MATCH($B23,Tableau6[Nom affiche],0)),"")</f>
        <v/>
      </c>
      <c r="T23" s="49" t="str">
        <f t="array" ref="T23">IFERROR(INDEX(Tableau6[prochaine visite pou],MATCH($B23,Tableau6[Nom affiche],0)),"")</f>
        <v/>
      </c>
      <c r="U23" s="48" t="str">
        <f t="array" ref="U23">IFERROR(INDEX(Tableau6[dernière visite co²],MATCH($B23,Tableau6[Nom affiche],0)),"")</f>
        <v/>
      </c>
      <c r="V23" s="49" t="str">
        <f t="array" ref="V23">IFERROR(INDEX(Tableau6[prochaine visite co²],MATCH($B23,Tableau6[Nom affiche],0)),"")</f>
        <v/>
      </c>
      <c r="W23" s="48" t="str">
        <f t="array" ref="W23">IFERROR(INDEX(Tableau6[dernière visite rpa],MATCH($B23,Tableau6[Nom affiche],0)),"")</f>
        <v/>
      </c>
      <c r="X23" s="49" t="str">
        <f t="array" ref="X23">IFERROR(INDEX(Tableau6[prochaine visite rpa],MATCH($B23,Tableau6[Nom affiche],0)),"")</f>
        <v/>
      </c>
      <c r="Y23" s="46" t="e">
        <f t="array" ref="Y23">INDEX(Tableau6[dernière visite ! !],MATCH($B23,Tableau6[Nom affiche],0))</f>
        <v>#N/A</v>
      </c>
      <c r="Z23" s="46" t="e">
        <f t="array" ref="Z23">INDEX(Tableau6[prochaine visite ! !],MATCH($B23,Tableau6[Nom affiche],0))</f>
        <v>#N/A</v>
      </c>
      <c r="AA23" s="48" t="str">
        <f t="array" ref="AA23">IFERROR(INDEX(Tableau6[dernière visite bad],MATCH($B23,Tableau6[Nom affiche],0)),"")</f>
        <v/>
      </c>
      <c r="AB23" s="49" t="str">
        <f t="array" ref="AB23">IFERROR(INDEX(Tableau6[prochaine visite bad],MATCH($B23,Tableau6[Nom affiche],0)),"")</f>
        <v/>
      </c>
      <c r="AC23" s="48" t="str">
        <f t="array" ref="AC23">IFERROR(INDEX(Tableau6[dernière visite sur],MATCH($B23,Tableau6[Nom affiche],0)),"")</f>
        <v/>
      </c>
      <c r="AD23" s="49" t="str">
        <f t="array" ref="AD23">IFERROR(INDEX(Tableau6[prochaine visite sur],MATCH($B23,Tableau6[Nom affiche],0)),"")</f>
        <v/>
      </c>
      <c r="AE23" s="48" t="str">
        <f t="array" ref="AE23">IFERROR(INDEX(Tableau6[dernière visite pis],MATCH($B23,Tableau6[Nom affiche],0)),"")</f>
        <v/>
      </c>
      <c r="AF23" s="49" t="str">
        <f t="array" ref="AF23">IFERROR(INDEX(Tableau6[prochaine visite pis],MATCH($B23,Tableau6[Nom affiche],0)),"")</f>
        <v/>
      </c>
      <c r="AG23" s="48" t="str">
        <f t="array" ref="AG23">IFERROR(INDEX(Tableau6[dernière visite per],MATCH($B23,Tableau6[Nom affiche],0)),"")</f>
        <v/>
      </c>
      <c r="AH23" s="49" t="str">
        <f t="array" ref="AH23">IFERROR(INDEX(Tableau6[prochaine visite per],MATCH($B23,Tableau6[Nom affiche],0)),"")</f>
        <v/>
      </c>
      <c r="AI23" s="48" t="str">
        <f t="array" ref="AI23">IFERROR(INDEX(Tableau6[dernière visite méd],MATCH($B23,Tableau6[Nom affiche],0)),"")</f>
        <v/>
      </c>
      <c r="AJ23" s="49" t="str">
        <f t="array" ref="AJ23">IFERROR(INDEX(Tableau6[prochaine visite mét],MATCH($B23,Tableau6[Nom affiche],0)),"")</f>
        <v/>
      </c>
    </row>
  </sheetData>
  <mergeCells count="17">
    <mergeCell ref="U3:V3"/>
    <mergeCell ref="AI3:AJ3"/>
    <mergeCell ref="S3:T3"/>
    <mergeCell ref="I3:J3"/>
    <mergeCell ref="G3:H3"/>
    <mergeCell ref="C3:D3"/>
    <mergeCell ref="AG3:AH3"/>
    <mergeCell ref="Q3:R3"/>
    <mergeCell ref="O3:P3"/>
    <mergeCell ref="M3:N3"/>
    <mergeCell ref="K3:L3"/>
    <mergeCell ref="E3:F3"/>
    <mergeCell ref="AE3:AF3"/>
    <mergeCell ref="AC3:AD3"/>
    <mergeCell ref="AA3:AB3"/>
    <mergeCell ref="Y3:Z3"/>
    <mergeCell ref="W3:X3"/>
  </mergeCells>
  <printOptions horizontalCentered="1"/>
  <pageMargins left="0.11811023622047245" right="0.11811023622047245" top="0.74803149606299213" bottom="0.35433070866141736" header="0.51181102362204722" footer="0.11811023622047245"/>
  <pageSetup paperSize="9" scale="47" orientation="landscape" r:id="rId1"/>
  <headerFooter>
    <oddHeader>&amp;C&amp;"Times New Roman,Gras"&amp;12RECAPITULATIF FORMATION AGENTS SSLIA</oddHeader>
    <oddFooter xml:space="preserve">&amp;L&amp;"Times New Roman,Normal"&amp;8&amp;K01+034          Aéroport Béziers Cap-d'Agde
          Service sslia - Entraînement&amp;C&amp;"Times New Roman,Normal"&amp;8&amp;K01+034page &amp;P/&amp;N&amp;R&amp;"Times New Roman,Normal"&amp;8&amp;K01+034&amp;D          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B1:V23"/>
  <sheetViews>
    <sheetView showGridLines="0" workbookViewId="0"/>
  </sheetViews>
  <sheetFormatPr baseColWidth="10" defaultRowHeight="12" x14ac:dyDescent="0.2"/>
  <cols>
    <col min="1" max="1" width="1.7109375" style="23" customWidth="1"/>
    <col min="2" max="2" width="20.85546875" style="23" bestFit="1" customWidth="1"/>
    <col min="3" max="22" width="9.7109375" style="23" customWidth="1"/>
    <col min="23" max="16384" width="11.42578125" style="23"/>
  </cols>
  <sheetData>
    <row r="1" spans="2:22" ht="15" customHeight="1" x14ac:dyDescent="0.2"/>
    <row r="2" spans="2:22" s="55" customFormat="1" ht="15" customHeight="1" x14ac:dyDescent="0.25">
      <c r="C2" s="56" t="s">
        <v>120</v>
      </c>
      <c r="D2" s="57"/>
      <c r="E2" s="57"/>
      <c r="F2" s="58"/>
      <c r="G2" s="59" t="s">
        <v>121</v>
      </c>
      <c r="H2" s="60"/>
      <c r="I2" s="56" t="s">
        <v>118</v>
      </c>
      <c r="J2" s="57"/>
      <c r="K2" s="57"/>
      <c r="L2" s="57"/>
      <c r="M2" s="57"/>
      <c r="N2" s="58"/>
      <c r="O2" s="59" t="s">
        <v>117</v>
      </c>
      <c r="P2" s="61"/>
      <c r="Q2" s="61"/>
      <c r="R2" s="61"/>
      <c r="S2" s="61"/>
      <c r="T2" s="61"/>
      <c r="U2" s="61"/>
      <c r="V2" s="60"/>
    </row>
    <row r="3" spans="2:22" s="54" customFormat="1" ht="39.950000000000003" customHeight="1" x14ac:dyDescent="0.25">
      <c r="B3" s="53" t="s">
        <v>101</v>
      </c>
      <c r="C3" s="88" t="s">
        <v>48</v>
      </c>
      <c r="D3" s="88"/>
      <c r="E3" s="88" t="s">
        <v>158</v>
      </c>
      <c r="F3" s="88"/>
      <c r="G3" s="87" t="s">
        <v>193</v>
      </c>
      <c r="H3" s="87"/>
      <c r="I3" s="88" t="s">
        <v>154</v>
      </c>
      <c r="J3" s="88"/>
      <c r="K3" s="88" t="s">
        <v>92</v>
      </c>
      <c r="L3" s="88"/>
      <c r="M3" s="88" t="s">
        <v>194</v>
      </c>
      <c r="N3" s="88"/>
      <c r="O3" s="87" t="s">
        <v>195</v>
      </c>
      <c r="P3" s="87"/>
      <c r="Q3" s="87" t="s">
        <v>196</v>
      </c>
      <c r="R3" s="87"/>
      <c r="S3" s="87" t="s">
        <v>66</v>
      </c>
      <c r="T3" s="87"/>
      <c r="U3" s="87" t="s">
        <v>63</v>
      </c>
      <c r="V3" s="87"/>
    </row>
    <row r="4" spans="2:22" s="45" customFormat="1" ht="30" customHeight="1" x14ac:dyDescent="0.25">
      <c r="B4" s="52" t="str">
        <f t="array" ref="B4">IFERROR(INDEX(Tableau6[Nom affiche],SMALL(IF((Tableau6[Nom affiche]&lt;&gt;"")*(Tableau6[Status]="Actif"),ROW(Tableau6[Nom affiche])-MIN(ROW(Employé!$B$4))+1,""),ROWS(B$4:B4))),"")</f>
        <v>BENAZET Jean-René</v>
      </c>
      <c r="C4" s="48">
        <f t="array" ref="C4">IFERROR(INDEX(Tableau6[dernière visite mvt],MATCH($B4,Tableau6[Nom affiche],0)),"")</f>
        <v>0</v>
      </c>
      <c r="D4" s="49">
        <f t="array" ref="D4">IFERROR(INDEX(Tableau6[prochaine visite mvt],MATCH($B4,Tableau6[Nom affiche],0)),"")</f>
        <v>15</v>
      </c>
      <c r="E4" s="48">
        <f t="array" ref="E4">IFERROR(INDEX(Tableau6[dernière visite véh],MATCH($B4,Tableau6[Nom affiche],0)),"")</f>
        <v>0</v>
      </c>
      <c r="F4" s="49">
        <f t="array" ref="F4">IFERROR(INDEX(Tableau6[prochaine visite véh],MATCH($B4,Tableau6[Nom affiche],0)),"")</f>
        <v>15</v>
      </c>
      <c r="G4" s="48">
        <f t="array" ref="G4">IFERROR(INDEX(Tableau6[dernière visite za],MATCH($B4,Tableau6[Nom affiche],0)),"")</f>
        <v>0</v>
      </c>
      <c r="H4" s="49">
        <f t="array" ref="H4">IFERROR(INDEX(Tableau6[prochaine visite za],MATCH($B4,Tableau6[Nom affiche],0)),"")</f>
        <v>31</v>
      </c>
      <c r="I4" s="48">
        <f t="array" ref="I4">IFERROR(INDEX(Tableau6[dernière visite epi],MATCH($B4,Tableau6[Nom affiche],0)),"")</f>
        <v>0</v>
      </c>
      <c r="J4" s="49">
        <f t="array" ref="J4">IFERROR(INDEX(Tableau6[prochaine visite epi],MATCH($B4,Tableau6[Nom affiche],0)),"")</f>
        <v>91</v>
      </c>
      <c r="K4" s="48">
        <f t="array" ref="K4">IFERROR(INDEX(Tableau6[dernière visite ari],MATCH($B4,Tableau6[Nom affiche],0)),"")</f>
        <v>0</v>
      </c>
      <c r="L4" s="49">
        <f t="array" ref="L4">IFERROR(INDEX(Tableau6[prochaine visite ari],MATCH($B4,Tableau6[Nom affiche],0)),"")</f>
        <v>91</v>
      </c>
      <c r="M4" s="48">
        <f t="array" ref="M4">IFERROR(INDEX(Tableau6[dernière visite zva],MATCH($B4,Tableau6[Nom affiche],0)),"")</f>
        <v>0</v>
      </c>
      <c r="N4" s="49">
        <f t="array" ref="N4">IFERROR(INDEX(Tableau6[prochaine visite zva],MATCH($B4,Tableau6[Nom affiche],0)),"")</f>
        <v>91</v>
      </c>
      <c r="O4" s="48">
        <f t="array" ref="O4">IFERROR(INDEX(Tableau6[dernière visite trv],MATCH($B4,Tableau6[Nom affiche],0)),"")</f>
        <v>0</v>
      </c>
      <c r="P4" s="49">
        <f t="array" aca="1" ref="P4" ca="1">IFERROR(INDEX(Tableau6[prochaine visite trv],MATCH($B4,Tableau6[Nom affiche],0)),"")</f>
        <v>366</v>
      </c>
      <c r="Q4" s="48">
        <f t="array" ref="Q4">IFERROR(INDEX(Tableau6[dernière visite méd],MATCH($B4,Tableau6[Nom affiche],0)),"")</f>
        <v>0</v>
      </c>
      <c r="R4" s="49">
        <f t="array" ref="R4">IFERROR(INDEX(Tableau6[prochaine visite méd],MATCH($B4,Tableau6[Nom affiche],0)),"")</f>
        <v>366</v>
      </c>
      <c r="S4" s="48">
        <f t="array" ref="S4">IFERROR(INDEX(Tableau6[dernière visite pou],MATCH($B4,Tableau6[Nom affiche],0)),"")</f>
        <v>0</v>
      </c>
      <c r="T4" s="49">
        <f t="array" ref="T4">IFERROR(INDEX(Tableau6[prochaine visite pou],MATCH($B4,Tableau6[Nom affiche],0)),"")</f>
        <v>366</v>
      </c>
      <c r="U4" s="48">
        <f t="array" ref="U4">IFERROR(INDEX(Tableau6[dernière visite co²],MATCH($B4,Tableau6[Nom affiche],0)),"")</f>
        <v>0</v>
      </c>
      <c r="V4" s="49">
        <f t="array" ref="V4">IFERROR(INDEX(Tableau6[prochaine visite co²],MATCH($B4,Tableau6[Nom affiche],0)),"")</f>
        <v>366</v>
      </c>
    </row>
    <row r="5" spans="2:22" s="45" customFormat="1" ht="30" customHeight="1" x14ac:dyDescent="0.25">
      <c r="B5" s="52" t="str">
        <f t="array" ref="B5">IFERROR(INDEX(Tableau6[Nom affiche],SMALL(IF((Tableau6[Nom affiche]&lt;&gt;"")*(Tableau6[Status]="Actif"),ROW(Tableau6[Nom affiche])-MIN(ROW(Employé!$B$4))+1,""),ROWS(B$4:B5))),"")</f>
        <v>ZARAGOZA Didier</v>
      </c>
      <c r="C5" s="48">
        <f t="array" ref="C5">IFERROR(INDEX(Tableau6[dernière visite mvt],MATCH($B5,Tableau6[Nom affiche],0)),"")</f>
        <v>0</v>
      </c>
      <c r="D5" s="49">
        <f t="array" ref="D5">IFERROR(INDEX(Tableau6[prochaine visite mvt],MATCH($B5,Tableau6[Nom affiche],0)),"")</f>
        <v>15</v>
      </c>
      <c r="E5" s="48">
        <f t="array" ref="E5">IFERROR(INDEX(Tableau6[dernière visite véh],MATCH($B5,Tableau6[Nom affiche],0)),"")</f>
        <v>0</v>
      </c>
      <c r="F5" s="49">
        <f t="array" ref="F5">IFERROR(INDEX(Tableau6[prochaine visite véh],MATCH($B5,Tableau6[Nom affiche],0)),"")</f>
        <v>15</v>
      </c>
      <c r="G5" s="48">
        <f t="array" ref="G5">IFERROR(INDEX(Tableau6[dernière visite za],MATCH($B5,Tableau6[Nom affiche],0)),"")</f>
        <v>0</v>
      </c>
      <c r="H5" s="49">
        <f t="array" ref="H5">IFERROR(INDEX(Tableau6[prochaine visite za],MATCH($B5,Tableau6[Nom affiche],0)),"")</f>
        <v>31</v>
      </c>
      <c r="I5" s="48">
        <f t="array" ref="I5">IFERROR(INDEX(Tableau6[dernière visite epi],MATCH($B5,Tableau6[Nom affiche],0)),"")</f>
        <v>0</v>
      </c>
      <c r="J5" s="49">
        <f t="array" ref="J5">IFERROR(INDEX(Tableau6[prochaine visite epi],MATCH($B5,Tableau6[Nom affiche],0)),"")</f>
        <v>91</v>
      </c>
      <c r="K5" s="48">
        <f t="array" ref="K5">IFERROR(INDEX(Tableau6[dernière visite ari],MATCH($B5,Tableau6[Nom affiche],0)),"")</f>
        <v>0</v>
      </c>
      <c r="L5" s="49">
        <f t="array" ref="L5">IFERROR(INDEX(Tableau6[prochaine visite ari],MATCH($B5,Tableau6[Nom affiche],0)),"")</f>
        <v>91</v>
      </c>
      <c r="M5" s="48">
        <f t="array" ref="M5">IFERROR(INDEX(Tableau6[dernière visite zva],MATCH($B5,Tableau6[Nom affiche],0)),"")</f>
        <v>0</v>
      </c>
      <c r="N5" s="49">
        <f t="array" ref="N5">IFERROR(INDEX(Tableau6[prochaine visite zva],MATCH($B5,Tableau6[Nom affiche],0)),"")</f>
        <v>91</v>
      </c>
      <c r="O5" s="48">
        <f t="array" ref="O5">IFERROR(INDEX(Tableau6[dernière visite trv],MATCH($B5,Tableau6[Nom affiche],0)),"")</f>
        <v>0</v>
      </c>
      <c r="P5" s="49">
        <f t="array" aca="1" ref="P5" ca="1">IFERROR(INDEX(Tableau6[prochaine visite trv],MATCH($B5,Tableau6[Nom affiche],0)),"")</f>
        <v>366</v>
      </c>
      <c r="Q5" s="48">
        <f t="array" ref="Q5">IFERROR(INDEX(Tableau6[dernière visite méd],MATCH($B5,Tableau6[Nom affiche],0)),"")</f>
        <v>0</v>
      </c>
      <c r="R5" s="49">
        <f t="array" ref="R5">IFERROR(INDEX(Tableau6[prochaine visite méd],MATCH($B5,Tableau6[Nom affiche],0)),"")</f>
        <v>366</v>
      </c>
      <c r="S5" s="48">
        <f t="array" ref="S5">IFERROR(INDEX(Tableau6[dernière visite pou],MATCH($B5,Tableau6[Nom affiche],0)),"")</f>
        <v>0</v>
      </c>
      <c r="T5" s="49">
        <f t="array" ref="T5">IFERROR(INDEX(Tableau6[prochaine visite pou],MATCH($B5,Tableau6[Nom affiche],0)),"")</f>
        <v>366</v>
      </c>
      <c r="U5" s="48">
        <f t="array" ref="U5">IFERROR(INDEX(Tableau6[dernière visite co²],MATCH($B5,Tableau6[Nom affiche],0)),"")</f>
        <v>0</v>
      </c>
      <c r="V5" s="49">
        <f t="array" ref="V5">IFERROR(INDEX(Tableau6[prochaine visite co²],MATCH($B5,Tableau6[Nom affiche],0)),"")</f>
        <v>366</v>
      </c>
    </row>
    <row r="6" spans="2:22" ht="30" customHeight="1" x14ac:dyDescent="0.2">
      <c r="B6" s="52" t="str">
        <f t="array" ref="B6">IFERROR(INDEX(Tableau6[Nom affiche],SMALL(IF((Tableau6[Nom affiche]&lt;&gt;"")*(Tableau6[Status]="Actif"),ROW(Tableau6[Nom affiche])-MIN(ROW(Employé!$B$4))+1,""),ROWS(B$4:B6))),"")</f>
        <v>SANTOS Jean-François</v>
      </c>
      <c r="C6" s="48">
        <f t="array" ref="C6">IFERROR(INDEX(Tableau6[dernière visite mvt],MATCH($B6,Tableau6[Nom affiche],0)),"")</f>
        <v>0</v>
      </c>
      <c r="D6" s="49">
        <f t="array" ref="D6">IFERROR(INDEX(Tableau6[prochaine visite mvt],MATCH($B6,Tableau6[Nom affiche],0)),"")</f>
        <v>15</v>
      </c>
      <c r="E6" s="48">
        <f t="array" ref="E6">IFERROR(INDEX(Tableau6[dernière visite véh],MATCH($B6,Tableau6[Nom affiche],0)),"")</f>
        <v>0</v>
      </c>
      <c r="F6" s="49">
        <f t="array" ref="F6">IFERROR(INDEX(Tableau6[prochaine visite véh],MATCH($B6,Tableau6[Nom affiche],0)),"")</f>
        <v>15</v>
      </c>
      <c r="G6" s="48">
        <f t="array" ref="G6">IFERROR(INDEX(Tableau6[dernière visite za],MATCH($B6,Tableau6[Nom affiche],0)),"")</f>
        <v>43383</v>
      </c>
      <c r="H6" s="49">
        <f t="array" ref="H6">IFERROR(INDEX(Tableau6[prochaine visite za],MATCH($B6,Tableau6[Nom affiche],0)),"")</f>
        <v>43414</v>
      </c>
      <c r="I6" s="48">
        <f t="array" ref="I6">IFERROR(INDEX(Tableau6[dernière visite epi],MATCH($B6,Tableau6[Nom affiche],0)),"")</f>
        <v>0</v>
      </c>
      <c r="J6" s="49">
        <f t="array" ref="J6">IFERROR(INDEX(Tableau6[prochaine visite epi],MATCH($B6,Tableau6[Nom affiche],0)),"")</f>
        <v>91</v>
      </c>
      <c r="K6" s="48">
        <f t="array" ref="K6">IFERROR(INDEX(Tableau6[dernière visite ari],MATCH($B6,Tableau6[Nom affiche],0)),"")</f>
        <v>0</v>
      </c>
      <c r="L6" s="49">
        <f t="array" ref="L6">IFERROR(INDEX(Tableau6[prochaine visite ari],MATCH($B6,Tableau6[Nom affiche],0)),"")</f>
        <v>91</v>
      </c>
      <c r="M6" s="48">
        <f t="array" ref="M6">IFERROR(INDEX(Tableau6[dernière visite zva],MATCH($B6,Tableau6[Nom affiche],0)),"")</f>
        <v>0</v>
      </c>
      <c r="N6" s="49">
        <f t="array" ref="N6">IFERROR(INDEX(Tableau6[prochaine visite zva],MATCH($B6,Tableau6[Nom affiche],0)),"")</f>
        <v>91</v>
      </c>
      <c r="O6" s="48">
        <f t="array" ref="O6">IFERROR(INDEX(Tableau6[dernière visite trv],MATCH($B6,Tableau6[Nom affiche],0)),"")</f>
        <v>0</v>
      </c>
      <c r="P6" s="49">
        <f t="array" aca="1" ref="P6" ca="1">IFERROR(INDEX(Tableau6[prochaine visite trv],MATCH($B6,Tableau6[Nom affiche],0)),"")</f>
        <v>366</v>
      </c>
      <c r="Q6" s="48">
        <f t="array" ref="Q6">IFERROR(INDEX(Tableau6[dernière visite méd],MATCH($B6,Tableau6[Nom affiche],0)),"")</f>
        <v>0</v>
      </c>
      <c r="R6" s="49">
        <f t="array" ref="R6">IFERROR(INDEX(Tableau6[prochaine visite méd],MATCH($B6,Tableau6[Nom affiche],0)),"")</f>
        <v>366</v>
      </c>
      <c r="S6" s="48">
        <f t="array" ref="S6">IFERROR(INDEX(Tableau6[dernière visite pou],MATCH($B6,Tableau6[Nom affiche],0)),"")</f>
        <v>0</v>
      </c>
      <c r="T6" s="49">
        <f t="array" ref="T6">IFERROR(INDEX(Tableau6[prochaine visite pou],MATCH($B6,Tableau6[Nom affiche],0)),"")</f>
        <v>366</v>
      </c>
      <c r="U6" s="48">
        <f t="array" ref="U6">IFERROR(INDEX(Tableau6[dernière visite co²],MATCH($B6,Tableau6[Nom affiche],0)),"")</f>
        <v>0</v>
      </c>
      <c r="V6" s="49">
        <f t="array" ref="V6">IFERROR(INDEX(Tableau6[prochaine visite co²],MATCH($B6,Tableau6[Nom affiche],0)),"")</f>
        <v>366</v>
      </c>
    </row>
    <row r="7" spans="2:22" ht="30" customHeight="1" x14ac:dyDescent="0.2">
      <c r="B7" s="52" t="str">
        <f t="array" ref="B7">IFERROR(INDEX(Tableau6[Nom affiche],SMALL(IF((Tableau6[Nom affiche]&lt;&gt;"")*(Tableau6[Status]="Actif"),ROW(Tableau6[Nom affiche])-MIN(ROW(Employé!$B$4))+1,""),ROWS(B$4:B7))),"")</f>
        <v>NAVARRO Christophe</v>
      </c>
      <c r="C7" s="48">
        <f t="array" ref="C7">IFERROR(INDEX(Tableau6[dernière visite mvt],MATCH($B7,Tableau6[Nom affiche],0)),"")</f>
        <v>0</v>
      </c>
      <c r="D7" s="49">
        <f t="array" ref="D7">IFERROR(INDEX(Tableau6[prochaine visite mvt],MATCH($B7,Tableau6[Nom affiche],0)),"")</f>
        <v>15</v>
      </c>
      <c r="E7" s="48">
        <f t="array" ref="E7">IFERROR(INDEX(Tableau6[dernière visite véh],MATCH($B7,Tableau6[Nom affiche],0)),"")</f>
        <v>0</v>
      </c>
      <c r="F7" s="49">
        <f t="array" ref="F7">IFERROR(INDEX(Tableau6[prochaine visite véh],MATCH($B7,Tableau6[Nom affiche],0)),"")</f>
        <v>15</v>
      </c>
      <c r="G7" s="48">
        <f t="array" ref="G7">IFERROR(INDEX(Tableau6[dernière visite za],MATCH($B7,Tableau6[Nom affiche],0)),"")</f>
        <v>0</v>
      </c>
      <c r="H7" s="49">
        <f t="array" ref="H7">IFERROR(INDEX(Tableau6[prochaine visite za],MATCH($B7,Tableau6[Nom affiche],0)),"")</f>
        <v>31</v>
      </c>
      <c r="I7" s="48">
        <f t="array" ref="I7">IFERROR(INDEX(Tableau6[dernière visite epi],MATCH($B7,Tableau6[Nom affiche],0)),"")</f>
        <v>0</v>
      </c>
      <c r="J7" s="49">
        <f t="array" ref="J7">IFERROR(INDEX(Tableau6[prochaine visite epi],MATCH($B7,Tableau6[Nom affiche],0)),"")</f>
        <v>91</v>
      </c>
      <c r="K7" s="48">
        <f t="array" ref="K7">IFERROR(INDEX(Tableau6[dernière visite ari],MATCH($B7,Tableau6[Nom affiche],0)),"")</f>
        <v>0</v>
      </c>
      <c r="L7" s="49">
        <f t="array" ref="L7">IFERROR(INDEX(Tableau6[prochaine visite ari],MATCH($B7,Tableau6[Nom affiche],0)),"")</f>
        <v>91</v>
      </c>
      <c r="M7" s="48">
        <f t="array" ref="M7">IFERROR(INDEX(Tableau6[dernière visite zva],MATCH($B7,Tableau6[Nom affiche],0)),"")</f>
        <v>0</v>
      </c>
      <c r="N7" s="49">
        <f t="array" ref="N7">IFERROR(INDEX(Tableau6[prochaine visite zva],MATCH($B7,Tableau6[Nom affiche],0)),"")</f>
        <v>91</v>
      </c>
      <c r="O7" s="48">
        <f t="array" ref="O7">IFERROR(INDEX(Tableau6[dernière visite trv],MATCH($B7,Tableau6[Nom affiche],0)),"")</f>
        <v>0</v>
      </c>
      <c r="P7" s="49">
        <f t="array" aca="1" ref="P7" ca="1">IFERROR(INDEX(Tableau6[prochaine visite trv],MATCH($B7,Tableau6[Nom affiche],0)),"")</f>
        <v>366</v>
      </c>
      <c r="Q7" s="48">
        <f t="array" ref="Q7">IFERROR(INDEX(Tableau6[dernière visite méd],MATCH($B7,Tableau6[Nom affiche],0)),"")</f>
        <v>0</v>
      </c>
      <c r="R7" s="49">
        <f t="array" ref="R7">IFERROR(INDEX(Tableau6[prochaine visite méd],MATCH($B7,Tableau6[Nom affiche],0)),"")</f>
        <v>366</v>
      </c>
      <c r="S7" s="48">
        <f t="array" ref="S7">IFERROR(INDEX(Tableau6[dernière visite pou],MATCH($B7,Tableau6[Nom affiche],0)),"")</f>
        <v>0</v>
      </c>
      <c r="T7" s="49">
        <f t="array" ref="T7">IFERROR(INDEX(Tableau6[prochaine visite pou],MATCH($B7,Tableau6[Nom affiche],0)),"")</f>
        <v>366</v>
      </c>
      <c r="U7" s="48">
        <f t="array" ref="U7">IFERROR(INDEX(Tableau6[dernière visite co²],MATCH($B7,Tableau6[Nom affiche],0)),"")</f>
        <v>0</v>
      </c>
      <c r="V7" s="49">
        <f t="array" ref="V7">IFERROR(INDEX(Tableau6[prochaine visite co²],MATCH($B7,Tableau6[Nom affiche],0)),"")</f>
        <v>366</v>
      </c>
    </row>
    <row r="8" spans="2:22" ht="30" customHeight="1" x14ac:dyDescent="0.2">
      <c r="B8" s="52" t="str">
        <f t="array" ref="B8">IFERROR(INDEX(Tableau6[Nom affiche],SMALL(IF((Tableau6[Nom affiche]&lt;&gt;"")*(Tableau6[Status]="Actif"),ROW(Tableau6[Nom affiche])-MIN(ROW(Employé!$B$4))+1,""),ROWS(B$4:B8))),"")</f>
        <v>AUDIE Anthony</v>
      </c>
      <c r="C8" s="48">
        <f t="array" ref="C8">IFERROR(INDEX(Tableau6[dernière visite mvt],MATCH($B8,Tableau6[Nom affiche],0)),"")</f>
        <v>0</v>
      </c>
      <c r="D8" s="49">
        <f t="array" ref="D8">IFERROR(INDEX(Tableau6[prochaine visite mvt],MATCH($B8,Tableau6[Nom affiche],0)),"")</f>
        <v>15</v>
      </c>
      <c r="E8" s="48">
        <f t="array" ref="E8">IFERROR(INDEX(Tableau6[dernière visite véh],MATCH($B8,Tableau6[Nom affiche],0)),"")</f>
        <v>0</v>
      </c>
      <c r="F8" s="49">
        <f t="array" ref="F8">IFERROR(INDEX(Tableau6[prochaine visite véh],MATCH($B8,Tableau6[Nom affiche],0)),"")</f>
        <v>15</v>
      </c>
      <c r="G8" s="48">
        <f t="array" ref="G8">IFERROR(INDEX(Tableau6[dernière visite za],MATCH($B8,Tableau6[Nom affiche],0)),"")</f>
        <v>0</v>
      </c>
      <c r="H8" s="49">
        <f t="array" ref="H8">IFERROR(INDEX(Tableau6[prochaine visite za],MATCH($B8,Tableau6[Nom affiche],0)),"")</f>
        <v>31</v>
      </c>
      <c r="I8" s="48">
        <f t="array" ref="I8">IFERROR(INDEX(Tableau6[dernière visite epi],MATCH($B8,Tableau6[Nom affiche],0)),"")</f>
        <v>0</v>
      </c>
      <c r="J8" s="49">
        <f t="array" ref="J8">IFERROR(INDEX(Tableau6[prochaine visite epi],MATCH($B8,Tableau6[Nom affiche],0)),"")</f>
        <v>91</v>
      </c>
      <c r="K8" s="48">
        <f t="array" ref="K8">IFERROR(INDEX(Tableau6[dernière visite ari],MATCH($B8,Tableau6[Nom affiche],0)),"")</f>
        <v>0</v>
      </c>
      <c r="L8" s="49">
        <f t="array" ref="L8">IFERROR(INDEX(Tableau6[prochaine visite ari],MATCH($B8,Tableau6[Nom affiche],0)),"")</f>
        <v>91</v>
      </c>
      <c r="M8" s="48">
        <f t="array" ref="M8">IFERROR(INDEX(Tableau6[dernière visite zva],MATCH($B8,Tableau6[Nom affiche],0)),"")</f>
        <v>0</v>
      </c>
      <c r="N8" s="49">
        <f t="array" ref="N8">IFERROR(INDEX(Tableau6[prochaine visite zva],MATCH($B8,Tableau6[Nom affiche],0)),"")</f>
        <v>91</v>
      </c>
      <c r="O8" s="48">
        <f t="array" ref="O8">IFERROR(INDEX(Tableau6[dernière visite trv],MATCH($B8,Tableau6[Nom affiche],0)),"")</f>
        <v>0</v>
      </c>
      <c r="P8" s="49">
        <f t="array" aca="1" ref="P8" ca="1">IFERROR(INDEX(Tableau6[prochaine visite trv],MATCH($B8,Tableau6[Nom affiche],0)),"")</f>
        <v>366</v>
      </c>
      <c r="Q8" s="48">
        <f t="array" ref="Q8">IFERROR(INDEX(Tableau6[dernière visite méd],MATCH($B8,Tableau6[Nom affiche],0)),"")</f>
        <v>0</v>
      </c>
      <c r="R8" s="49">
        <f t="array" ref="R8">IFERROR(INDEX(Tableau6[prochaine visite méd],MATCH($B8,Tableau6[Nom affiche],0)),"")</f>
        <v>366</v>
      </c>
      <c r="S8" s="48">
        <f t="array" ref="S8">IFERROR(INDEX(Tableau6[dernière visite pou],MATCH($B8,Tableau6[Nom affiche],0)),"")</f>
        <v>0</v>
      </c>
      <c r="T8" s="49">
        <f t="array" ref="T8">IFERROR(INDEX(Tableau6[prochaine visite pou],MATCH($B8,Tableau6[Nom affiche],0)),"")</f>
        <v>366</v>
      </c>
      <c r="U8" s="48">
        <f t="array" ref="U8">IFERROR(INDEX(Tableau6[dernière visite co²],MATCH($B8,Tableau6[Nom affiche],0)),"")</f>
        <v>0</v>
      </c>
      <c r="V8" s="49">
        <f t="array" ref="V8">IFERROR(INDEX(Tableau6[prochaine visite co²],MATCH($B8,Tableau6[Nom affiche],0)),"")</f>
        <v>366</v>
      </c>
    </row>
    <row r="9" spans="2:22" ht="30" customHeight="1" x14ac:dyDescent="0.2">
      <c r="B9" s="52" t="str">
        <f t="array" ref="B9">IFERROR(INDEX(Tableau6[Nom affiche],SMALL(IF((Tableau6[Nom affiche]&lt;&gt;"")*(Tableau6[Status]="Actif"),ROW(Tableau6[Nom affiche])-MIN(ROW(Employé!$B$4))+1,""),ROWS(B$4:B9))),"")</f>
        <v>DISTEFANO Alexis</v>
      </c>
      <c r="C9" s="48">
        <f t="array" ref="C9">IFERROR(INDEX(Tableau6[dernière visite mvt],MATCH($B9,Tableau6[Nom affiche],0)),"")</f>
        <v>0</v>
      </c>
      <c r="D9" s="49">
        <f t="array" ref="D9">IFERROR(INDEX(Tableau6[prochaine visite mvt],MATCH($B9,Tableau6[Nom affiche],0)),"")</f>
        <v>15</v>
      </c>
      <c r="E9" s="48">
        <f t="array" ref="E9">IFERROR(INDEX(Tableau6[dernière visite véh],MATCH($B9,Tableau6[Nom affiche],0)),"")</f>
        <v>0</v>
      </c>
      <c r="F9" s="49">
        <f t="array" ref="F9">IFERROR(INDEX(Tableau6[prochaine visite véh],MATCH($B9,Tableau6[Nom affiche],0)),"")</f>
        <v>15</v>
      </c>
      <c r="G9" s="48">
        <f t="array" ref="G9">IFERROR(INDEX(Tableau6[dernière visite za],MATCH($B9,Tableau6[Nom affiche],0)),"")</f>
        <v>0</v>
      </c>
      <c r="H9" s="49">
        <f t="array" ref="H9">IFERROR(INDEX(Tableau6[prochaine visite za],MATCH($B9,Tableau6[Nom affiche],0)),"")</f>
        <v>31</v>
      </c>
      <c r="I9" s="48">
        <f t="array" ref="I9">IFERROR(INDEX(Tableau6[dernière visite epi],MATCH($B9,Tableau6[Nom affiche],0)),"")</f>
        <v>0</v>
      </c>
      <c r="J9" s="49">
        <f t="array" ref="J9">IFERROR(INDEX(Tableau6[prochaine visite epi],MATCH($B9,Tableau6[Nom affiche],0)),"")</f>
        <v>91</v>
      </c>
      <c r="K9" s="48">
        <f t="array" ref="K9">IFERROR(INDEX(Tableau6[dernière visite ari],MATCH($B9,Tableau6[Nom affiche],0)),"")</f>
        <v>0</v>
      </c>
      <c r="L9" s="49">
        <f t="array" ref="L9">IFERROR(INDEX(Tableau6[prochaine visite ari],MATCH($B9,Tableau6[Nom affiche],0)),"")</f>
        <v>91</v>
      </c>
      <c r="M9" s="48">
        <f t="array" ref="M9">IFERROR(INDEX(Tableau6[dernière visite zva],MATCH($B9,Tableau6[Nom affiche],0)),"")</f>
        <v>0</v>
      </c>
      <c r="N9" s="49">
        <f t="array" ref="N9">IFERROR(INDEX(Tableau6[prochaine visite zva],MATCH($B9,Tableau6[Nom affiche],0)),"")</f>
        <v>91</v>
      </c>
      <c r="O9" s="48">
        <f t="array" ref="O9">IFERROR(INDEX(Tableau6[dernière visite trv],MATCH($B9,Tableau6[Nom affiche],0)),"")</f>
        <v>0</v>
      </c>
      <c r="P9" s="49">
        <f t="array" aca="1" ref="P9" ca="1">IFERROR(INDEX(Tableau6[prochaine visite trv],MATCH($B9,Tableau6[Nom affiche],0)),"")</f>
        <v>366</v>
      </c>
      <c r="Q9" s="48">
        <f t="array" ref="Q9">IFERROR(INDEX(Tableau6[dernière visite méd],MATCH($B9,Tableau6[Nom affiche],0)),"")</f>
        <v>0</v>
      </c>
      <c r="R9" s="49">
        <f t="array" ref="R9">IFERROR(INDEX(Tableau6[prochaine visite méd],MATCH($B9,Tableau6[Nom affiche],0)),"")</f>
        <v>366</v>
      </c>
      <c r="S9" s="48">
        <f t="array" ref="S9">IFERROR(INDEX(Tableau6[dernière visite pou],MATCH($B9,Tableau6[Nom affiche],0)),"")</f>
        <v>0</v>
      </c>
      <c r="T9" s="49">
        <f t="array" ref="T9">IFERROR(INDEX(Tableau6[prochaine visite pou],MATCH($B9,Tableau6[Nom affiche],0)),"")</f>
        <v>366</v>
      </c>
      <c r="U9" s="48">
        <f t="array" ref="U9">IFERROR(INDEX(Tableau6[dernière visite co²],MATCH($B9,Tableau6[Nom affiche],0)),"")</f>
        <v>0</v>
      </c>
      <c r="V9" s="49">
        <f t="array" ref="V9">IFERROR(INDEX(Tableau6[prochaine visite co²],MATCH($B9,Tableau6[Nom affiche],0)),"")</f>
        <v>366</v>
      </c>
    </row>
    <row r="10" spans="2:22" ht="30" customHeight="1" x14ac:dyDescent="0.2">
      <c r="B10" s="52" t="str">
        <f t="array" ref="B10">IFERROR(INDEX(Tableau6[Nom affiche],SMALL(IF((Tableau6[Nom affiche]&lt;&gt;"")*(Tableau6[Status]="Actif"),ROW(Tableau6[Nom affiche])-MIN(ROW(Employé!$B$4))+1,""),ROWS(B$4:B10))),"")</f>
        <v>SCHWEITZER Jean-Michel</v>
      </c>
      <c r="C10" s="48">
        <f t="array" ref="C10">IFERROR(INDEX(Tableau6[dernière visite mvt],MATCH($B10,Tableau6[Nom affiche],0)),"")</f>
        <v>0</v>
      </c>
      <c r="D10" s="49">
        <f t="array" ref="D10">IFERROR(INDEX(Tableau6[prochaine visite mvt],MATCH($B10,Tableau6[Nom affiche],0)),"")</f>
        <v>15</v>
      </c>
      <c r="E10" s="48">
        <f t="array" ref="E10">IFERROR(INDEX(Tableau6[dernière visite véh],MATCH($B10,Tableau6[Nom affiche],0)),"")</f>
        <v>0</v>
      </c>
      <c r="F10" s="49">
        <f t="array" ref="F10">IFERROR(INDEX(Tableau6[prochaine visite véh],MATCH($B10,Tableau6[Nom affiche],0)),"")</f>
        <v>15</v>
      </c>
      <c r="G10" s="48">
        <f t="array" ref="G10">IFERROR(INDEX(Tableau6[dernière visite za],MATCH($B10,Tableau6[Nom affiche],0)),"")</f>
        <v>43383</v>
      </c>
      <c r="H10" s="49">
        <f t="array" ref="H10">IFERROR(INDEX(Tableau6[prochaine visite za],MATCH($B10,Tableau6[Nom affiche],0)),"")</f>
        <v>43414</v>
      </c>
      <c r="I10" s="48">
        <f t="array" ref="I10">IFERROR(INDEX(Tableau6[dernière visite epi],MATCH($B10,Tableau6[Nom affiche],0)),"")</f>
        <v>0</v>
      </c>
      <c r="J10" s="49">
        <f t="array" ref="J10">IFERROR(INDEX(Tableau6[prochaine visite epi],MATCH($B10,Tableau6[Nom affiche],0)),"")</f>
        <v>91</v>
      </c>
      <c r="K10" s="48">
        <f t="array" ref="K10">IFERROR(INDEX(Tableau6[dernière visite ari],MATCH($B10,Tableau6[Nom affiche],0)),"")</f>
        <v>0</v>
      </c>
      <c r="L10" s="49">
        <f t="array" ref="L10">IFERROR(INDEX(Tableau6[prochaine visite ari],MATCH($B10,Tableau6[Nom affiche],0)),"")</f>
        <v>91</v>
      </c>
      <c r="M10" s="48">
        <f t="array" ref="M10">IFERROR(INDEX(Tableau6[dernière visite zva],MATCH($B10,Tableau6[Nom affiche],0)),"")</f>
        <v>0</v>
      </c>
      <c r="N10" s="49">
        <f t="array" ref="N10">IFERROR(INDEX(Tableau6[prochaine visite zva],MATCH($B10,Tableau6[Nom affiche],0)),"")</f>
        <v>91</v>
      </c>
      <c r="O10" s="48">
        <f t="array" ref="O10">IFERROR(INDEX(Tableau6[dernière visite trv],MATCH($B10,Tableau6[Nom affiche],0)),"")</f>
        <v>0</v>
      </c>
      <c r="P10" s="49">
        <f t="array" aca="1" ref="P10" ca="1">IFERROR(INDEX(Tableau6[prochaine visite trv],MATCH($B10,Tableau6[Nom affiche],0)),"")</f>
        <v>366</v>
      </c>
      <c r="Q10" s="48">
        <f t="array" ref="Q10">IFERROR(INDEX(Tableau6[dernière visite méd],MATCH($B10,Tableau6[Nom affiche],0)),"")</f>
        <v>0</v>
      </c>
      <c r="R10" s="49">
        <f t="array" ref="R10">IFERROR(INDEX(Tableau6[prochaine visite méd],MATCH($B10,Tableau6[Nom affiche],0)),"")</f>
        <v>366</v>
      </c>
      <c r="S10" s="48">
        <f t="array" ref="S10">IFERROR(INDEX(Tableau6[dernière visite pou],MATCH($B10,Tableau6[Nom affiche],0)),"")</f>
        <v>0</v>
      </c>
      <c r="T10" s="49">
        <f t="array" ref="T10">IFERROR(INDEX(Tableau6[prochaine visite pou],MATCH($B10,Tableau6[Nom affiche],0)),"")</f>
        <v>366</v>
      </c>
      <c r="U10" s="48">
        <f t="array" ref="U10">IFERROR(INDEX(Tableau6[dernière visite co²],MATCH($B10,Tableau6[Nom affiche],0)),"")</f>
        <v>0</v>
      </c>
      <c r="V10" s="49">
        <f t="array" ref="V10">IFERROR(INDEX(Tableau6[prochaine visite co²],MATCH($B10,Tableau6[Nom affiche],0)),"")</f>
        <v>366</v>
      </c>
    </row>
    <row r="11" spans="2:22" ht="30" customHeight="1" x14ac:dyDescent="0.2">
      <c r="B11" s="52" t="str">
        <f t="array" ref="B11">IFERROR(INDEX(Tableau6[Nom affiche],SMALL(IF((Tableau6[Nom affiche]&lt;&gt;"")*(Tableau6[Status]="Actif"),ROW(Tableau6[Nom affiche])-MIN(ROW(Employé!$B$4))+1,""),ROWS(B$4:B11))),"")</f>
        <v>AFONSO Julien</v>
      </c>
      <c r="C11" s="48">
        <f t="array" ref="C11">IFERROR(INDEX(Tableau6[dernière visite mvt],MATCH($B11,Tableau6[Nom affiche],0)),"")</f>
        <v>0</v>
      </c>
      <c r="D11" s="49">
        <f t="array" ref="D11">IFERROR(INDEX(Tableau6[prochaine visite mvt],MATCH($B11,Tableau6[Nom affiche],0)),"")</f>
        <v>15</v>
      </c>
      <c r="E11" s="48">
        <f t="array" ref="E11">IFERROR(INDEX(Tableau6[dernière visite véh],MATCH($B11,Tableau6[Nom affiche],0)),"")</f>
        <v>0</v>
      </c>
      <c r="F11" s="49">
        <f t="array" ref="F11">IFERROR(INDEX(Tableau6[prochaine visite véh],MATCH($B11,Tableau6[Nom affiche],0)),"")</f>
        <v>15</v>
      </c>
      <c r="G11" s="48">
        <f t="array" ref="G11">IFERROR(INDEX(Tableau6[dernière visite za],MATCH($B11,Tableau6[Nom affiche],0)),"")</f>
        <v>0</v>
      </c>
      <c r="H11" s="49">
        <f t="array" ref="H11">IFERROR(INDEX(Tableau6[prochaine visite za],MATCH($B11,Tableau6[Nom affiche],0)),"")</f>
        <v>31</v>
      </c>
      <c r="I11" s="48">
        <f t="array" ref="I11">IFERROR(INDEX(Tableau6[dernière visite epi],MATCH($B11,Tableau6[Nom affiche],0)),"")</f>
        <v>0</v>
      </c>
      <c r="J11" s="49">
        <f t="array" ref="J11">IFERROR(INDEX(Tableau6[prochaine visite epi],MATCH($B11,Tableau6[Nom affiche],0)),"")</f>
        <v>91</v>
      </c>
      <c r="K11" s="48">
        <f t="array" ref="K11">IFERROR(INDEX(Tableau6[dernière visite ari],MATCH($B11,Tableau6[Nom affiche],0)),"")</f>
        <v>0</v>
      </c>
      <c r="L11" s="49">
        <f t="array" ref="L11">IFERROR(INDEX(Tableau6[prochaine visite ari],MATCH($B11,Tableau6[Nom affiche],0)),"")</f>
        <v>91</v>
      </c>
      <c r="M11" s="48">
        <f t="array" ref="M11">IFERROR(INDEX(Tableau6[dernière visite zva],MATCH($B11,Tableau6[Nom affiche],0)),"")</f>
        <v>0</v>
      </c>
      <c r="N11" s="49">
        <f t="array" ref="N11">IFERROR(INDEX(Tableau6[prochaine visite zva],MATCH($B11,Tableau6[Nom affiche],0)),"")</f>
        <v>91</v>
      </c>
      <c r="O11" s="48">
        <f t="array" ref="O11">IFERROR(INDEX(Tableau6[dernière visite trv],MATCH($B11,Tableau6[Nom affiche],0)),"")</f>
        <v>0</v>
      </c>
      <c r="P11" s="49">
        <f t="array" aca="1" ref="P11" ca="1">IFERROR(INDEX(Tableau6[prochaine visite trv],MATCH($B11,Tableau6[Nom affiche],0)),"")</f>
        <v>366</v>
      </c>
      <c r="Q11" s="48">
        <f t="array" ref="Q11">IFERROR(INDEX(Tableau6[dernière visite méd],MATCH($B11,Tableau6[Nom affiche],0)),"")</f>
        <v>0</v>
      </c>
      <c r="R11" s="49">
        <f t="array" ref="R11">IFERROR(INDEX(Tableau6[prochaine visite méd],MATCH($B11,Tableau6[Nom affiche],0)),"")</f>
        <v>366</v>
      </c>
      <c r="S11" s="48">
        <f t="array" ref="S11">IFERROR(INDEX(Tableau6[dernière visite pou],MATCH($B11,Tableau6[Nom affiche],0)),"")</f>
        <v>0</v>
      </c>
      <c r="T11" s="49">
        <f t="array" ref="T11">IFERROR(INDEX(Tableau6[prochaine visite pou],MATCH($B11,Tableau6[Nom affiche],0)),"")</f>
        <v>366</v>
      </c>
      <c r="U11" s="48">
        <f t="array" ref="U11">IFERROR(INDEX(Tableau6[dernière visite co²],MATCH($B11,Tableau6[Nom affiche],0)),"")</f>
        <v>0</v>
      </c>
      <c r="V11" s="49">
        <f t="array" ref="V11">IFERROR(INDEX(Tableau6[prochaine visite co²],MATCH($B11,Tableau6[Nom affiche],0)),"")</f>
        <v>366</v>
      </c>
    </row>
    <row r="12" spans="2:22" ht="30" customHeight="1" x14ac:dyDescent="0.2">
      <c r="B12" s="52" t="str">
        <f t="array" ref="B12">IFERROR(INDEX(Tableau6[Nom affiche],SMALL(IF((Tableau6[Nom affiche]&lt;&gt;"")*(Tableau6[Status]="Actif"),ROW(Tableau6[Nom affiche])-MIN(ROW(Employé!$B$4))+1,""),ROWS(B$4:B12))),"")</f>
        <v>LEROY France</v>
      </c>
      <c r="C12" s="48">
        <f t="array" ref="C12">IFERROR(INDEX(Tableau6[dernière visite mvt],MATCH($B12,Tableau6[Nom affiche],0)),"")</f>
        <v>0</v>
      </c>
      <c r="D12" s="49">
        <f t="array" ref="D12">IFERROR(INDEX(Tableau6[prochaine visite mvt],MATCH($B12,Tableau6[Nom affiche],0)),"")</f>
        <v>15</v>
      </c>
      <c r="E12" s="48">
        <f t="array" ref="E12">IFERROR(INDEX(Tableau6[dernière visite véh],MATCH($B12,Tableau6[Nom affiche],0)),"")</f>
        <v>0</v>
      </c>
      <c r="F12" s="49">
        <f t="array" ref="F12">IFERROR(INDEX(Tableau6[prochaine visite véh],MATCH($B12,Tableau6[Nom affiche],0)),"")</f>
        <v>15</v>
      </c>
      <c r="G12" s="48">
        <f t="array" ref="G12">IFERROR(INDEX(Tableau6[dernière visite za],MATCH($B12,Tableau6[Nom affiche],0)),"")</f>
        <v>43383</v>
      </c>
      <c r="H12" s="49">
        <f t="array" ref="H12">IFERROR(INDEX(Tableau6[prochaine visite za],MATCH($B12,Tableau6[Nom affiche],0)),"")</f>
        <v>43414</v>
      </c>
      <c r="I12" s="48">
        <f t="array" ref="I12">IFERROR(INDEX(Tableau6[dernière visite epi],MATCH($B12,Tableau6[Nom affiche],0)),"")</f>
        <v>0</v>
      </c>
      <c r="J12" s="49">
        <f t="array" ref="J12">IFERROR(INDEX(Tableau6[prochaine visite epi],MATCH($B12,Tableau6[Nom affiche],0)),"")</f>
        <v>91</v>
      </c>
      <c r="K12" s="48">
        <f t="array" ref="K12">IFERROR(INDEX(Tableau6[dernière visite ari],MATCH($B12,Tableau6[Nom affiche],0)),"")</f>
        <v>0</v>
      </c>
      <c r="L12" s="49">
        <f t="array" ref="L12">IFERROR(INDEX(Tableau6[prochaine visite ari],MATCH($B12,Tableau6[Nom affiche],0)),"")</f>
        <v>91</v>
      </c>
      <c r="M12" s="48">
        <f t="array" ref="M12">IFERROR(INDEX(Tableau6[dernière visite zva],MATCH($B12,Tableau6[Nom affiche],0)),"")</f>
        <v>0</v>
      </c>
      <c r="N12" s="49">
        <f t="array" ref="N12">IFERROR(INDEX(Tableau6[prochaine visite zva],MATCH($B12,Tableau6[Nom affiche],0)),"")</f>
        <v>91</v>
      </c>
      <c r="O12" s="48">
        <f t="array" ref="O12">IFERROR(INDEX(Tableau6[dernière visite trv],MATCH($B12,Tableau6[Nom affiche],0)),"")</f>
        <v>0</v>
      </c>
      <c r="P12" s="49">
        <f t="array" aca="1" ref="P12" ca="1">IFERROR(INDEX(Tableau6[prochaine visite trv],MATCH($B12,Tableau6[Nom affiche],0)),"")</f>
        <v>366</v>
      </c>
      <c r="Q12" s="48">
        <f t="array" ref="Q12">IFERROR(INDEX(Tableau6[dernière visite méd],MATCH($B12,Tableau6[Nom affiche],0)),"")</f>
        <v>38482</v>
      </c>
      <c r="R12" s="49">
        <f t="array" ref="R12">IFERROR(INDEX(Tableau6[prochaine visite méd],MATCH($B12,Tableau6[Nom affiche],0)),"")</f>
        <v>38847</v>
      </c>
      <c r="S12" s="48">
        <f t="array" ref="S12">IFERROR(INDEX(Tableau6[dernière visite pou],MATCH($B12,Tableau6[Nom affiche],0)),"")</f>
        <v>0</v>
      </c>
      <c r="T12" s="49">
        <f t="array" ref="T12">IFERROR(INDEX(Tableau6[prochaine visite pou],MATCH($B12,Tableau6[Nom affiche],0)),"")</f>
        <v>366</v>
      </c>
      <c r="U12" s="48">
        <f t="array" ref="U12">IFERROR(INDEX(Tableau6[dernière visite co²],MATCH($B12,Tableau6[Nom affiche],0)),"")</f>
        <v>0</v>
      </c>
      <c r="V12" s="49">
        <f t="array" ref="V12">IFERROR(INDEX(Tableau6[prochaine visite co²],MATCH($B12,Tableau6[Nom affiche],0)),"")</f>
        <v>366</v>
      </c>
    </row>
    <row r="13" spans="2:22" ht="30" customHeight="1" x14ac:dyDescent="0.2">
      <c r="B13" s="52" t="str">
        <f t="array" ref="B13">IFERROR(INDEX(Tableau6[Nom affiche],SMALL(IF((Tableau6[Nom affiche]&lt;&gt;"")*(Tableau6[Status]="Actif"),ROW(Tableau6[Nom affiche])-MIN(ROW(Employé!$B$4))+1,""),ROWS(B$4:B13))),"")</f>
        <v>LEROY Jean-Sébastien</v>
      </c>
      <c r="C13" s="48">
        <f t="array" ref="C13">IFERROR(INDEX(Tableau6[dernière visite mvt],MATCH($B13,Tableau6[Nom affiche],0)),"")</f>
        <v>0</v>
      </c>
      <c r="D13" s="49">
        <f t="array" ref="D13">IFERROR(INDEX(Tableau6[prochaine visite mvt],MATCH($B13,Tableau6[Nom affiche],0)),"")</f>
        <v>15</v>
      </c>
      <c r="E13" s="48">
        <f t="array" ref="E13">IFERROR(INDEX(Tableau6[dernière visite véh],MATCH($B13,Tableau6[Nom affiche],0)),"")</f>
        <v>0</v>
      </c>
      <c r="F13" s="49">
        <f t="array" ref="F13">IFERROR(INDEX(Tableau6[prochaine visite véh],MATCH($B13,Tableau6[Nom affiche],0)),"")</f>
        <v>15</v>
      </c>
      <c r="G13" s="48">
        <f t="array" ref="G13">IFERROR(INDEX(Tableau6[dernière visite za],MATCH($B13,Tableau6[Nom affiche],0)),"")</f>
        <v>0</v>
      </c>
      <c r="H13" s="49">
        <f t="array" ref="H13">IFERROR(INDEX(Tableau6[prochaine visite za],MATCH($B13,Tableau6[Nom affiche],0)),"")</f>
        <v>31</v>
      </c>
      <c r="I13" s="48">
        <f t="array" ref="I13">IFERROR(INDEX(Tableau6[dernière visite epi],MATCH($B13,Tableau6[Nom affiche],0)),"")</f>
        <v>0</v>
      </c>
      <c r="J13" s="49">
        <f t="array" ref="J13">IFERROR(INDEX(Tableau6[prochaine visite epi],MATCH($B13,Tableau6[Nom affiche],0)),"")</f>
        <v>91</v>
      </c>
      <c r="K13" s="48">
        <f t="array" ref="K13">IFERROR(INDEX(Tableau6[dernière visite ari],MATCH($B13,Tableau6[Nom affiche],0)),"")</f>
        <v>0</v>
      </c>
      <c r="L13" s="49">
        <f t="array" ref="L13">IFERROR(INDEX(Tableau6[prochaine visite ari],MATCH($B13,Tableau6[Nom affiche],0)),"")</f>
        <v>91</v>
      </c>
      <c r="M13" s="48">
        <f t="array" ref="M13">IFERROR(INDEX(Tableau6[dernière visite zva],MATCH($B13,Tableau6[Nom affiche],0)),"")</f>
        <v>0</v>
      </c>
      <c r="N13" s="49">
        <f t="array" ref="N13">IFERROR(INDEX(Tableau6[prochaine visite zva],MATCH($B13,Tableau6[Nom affiche],0)),"")</f>
        <v>91</v>
      </c>
      <c r="O13" s="48">
        <f t="array" ref="O13">IFERROR(INDEX(Tableau6[dernière visite trv],MATCH($B13,Tableau6[Nom affiche],0)),"")</f>
        <v>0</v>
      </c>
      <c r="P13" s="49">
        <f t="array" aca="1" ref="P13" ca="1">IFERROR(INDEX(Tableau6[prochaine visite trv],MATCH($B13,Tableau6[Nom affiche],0)),"")</f>
        <v>366</v>
      </c>
      <c r="Q13" s="48">
        <f t="array" ref="Q13">IFERROR(INDEX(Tableau6[dernière visite méd],MATCH($B13,Tableau6[Nom affiche],0)),"")</f>
        <v>0</v>
      </c>
      <c r="R13" s="49">
        <f t="array" ref="R13">IFERROR(INDEX(Tableau6[prochaine visite méd],MATCH($B13,Tableau6[Nom affiche],0)),"")</f>
        <v>366</v>
      </c>
      <c r="S13" s="48">
        <f t="array" ref="S13">IFERROR(INDEX(Tableau6[dernière visite pou],MATCH($B13,Tableau6[Nom affiche],0)),"")</f>
        <v>0</v>
      </c>
      <c r="T13" s="49">
        <f t="array" ref="T13">IFERROR(INDEX(Tableau6[prochaine visite pou],MATCH($B13,Tableau6[Nom affiche],0)),"")</f>
        <v>366</v>
      </c>
      <c r="U13" s="48">
        <f t="array" ref="U13">IFERROR(INDEX(Tableau6[dernière visite co²],MATCH($B13,Tableau6[Nom affiche],0)),"")</f>
        <v>0</v>
      </c>
      <c r="V13" s="49">
        <f t="array" ref="V13">IFERROR(INDEX(Tableau6[prochaine visite co²],MATCH($B13,Tableau6[Nom affiche],0)),"")</f>
        <v>366</v>
      </c>
    </row>
    <row r="14" spans="2:22" ht="30" customHeight="1" x14ac:dyDescent="0.2">
      <c r="B14" s="52" t="str">
        <f t="array" ref="B14">IFERROR(INDEX(Tableau6[Nom affiche],SMALL(IF((Tableau6[Nom affiche]&lt;&gt;"")*(Tableau6[Status]="Actif"),ROW(Tableau6[Nom affiche])-MIN(ROW(Employé!$B$4))+1,""),ROWS(B$4:B14))),"")</f>
        <v>FERRARA Julien</v>
      </c>
      <c r="C14" s="48">
        <f t="array" ref="C14">IFERROR(INDEX(Tableau6[dernière visite mvt],MATCH($B14,Tableau6[Nom affiche],0)),"")</f>
        <v>0</v>
      </c>
      <c r="D14" s="49">
        <f t="array" ref="D14">IFERROR(INDEX(Tableau6[prochaine visite mvt],MATCH($B14,Tableau6[Nom affiche],0)),"")</f>
        <v>15</v>
      </c>
      <c r="E14" s="48">
        <f t="array" ref="E14">IFERROR(INDEX(Tableau6[dernière visite véh],MATCH($B14,Tableau6[Nom affiche],0)),"")</f>
        <v>0</v>
      </c>
      <c r="F14" s="49">
        <f t="array" ref="F14">IFERROR(INDEX(Tableau6[prochaine visite véh],MATCH($B14,Tableau6[Nom affiche],0)),"")</f>
        <v>15</v>
      </c>
      <c r="G14" s="48">
        <f t="array" ref="G14">IFERROR(INDEX(Tableau6[dernière visite za],MATCH($B14,Tableau6[Nom affiche],0)),"")</f>
        <v>0</v>
      </c>
      <c r="H14" s="49">
        <f t="array" ref="H14">IFERROR(INDEX(Tableau6[prochaine visite za],MATCH($B14,Tableau6[Nom affiche],0)),"")</f>
        <v>31</v>
      </c>
      <c r="I14" s="48">
        <f t="array" ref="I14">IFERROR(INDEX(Tableau6[dernière visite epi],MATCH($B14,Tableau6[Nom affiche],0)),"")</f>
        <v>0</v>
      </c>
      <c r="J14" s="49">
        <f t="array" ref="J14">IFERROR(INDEX(Tableau6[prochaine visite epi],MATCH($B14,Tableau6[Nom affiche],0)),"")</f>
        <v>91</v>
      </c>
      <c r="K14" s="48">
        <f t="array" ref="K14">IFERROR(INDEX(Tableau6[dernière visite ari],MATCH($B14,Tableau6[Nom affiche],0)),"")</f>
        <v>0</v>
      </c>
      <c r="L14" s="49">
        <f t="array" ref="L14">IFERROR(INDEX(Tableau6[prochaine visite ari],MATCH($B14,Tableau6[Nom affiche],0)),"")</f>
        <v>91</v>
      </c>
      <c r="M14" s="48">
        <f t="array" ref="M14">IFERROR(INDEX(Tableau6[dernière visite zva],MATCH($B14,Tableau6[Nom affiche],0)),"")</f>
        <v>0</v>
      </c>
      <c r="N14" s="49">
        <f t="array" ref="N14">IFERROR(INDEX(Tableau6[prochaine visite zva],MATCH($B14,Tableau6[Nom affiche],0)),"")</f>
        <v>91</v>
      </c>
      <c r="O14" s="48">
        <f t="array" ref="O14">IFERROR(INDEX(Tableau6[dernière visite trv],MATCH($B14,Tableau6[Nom affiche],0)),"")</f>
        <v>0</v>
      </c>
      <c r="P14" s="49">
        <f t="array" aca="1" ref="P14" ca="1">IFERROR(INDEX(Tableau6[prochaine visite trv],MATCH($B14,Tableau6[Nom affiche],0)),"")</f>
        <v>366</v>
      </c>
      <c r="Q14" s="48">
        <f t="array" ref="Q14">IFERROR(INDEX(Tableau6[dernière visite méd],MATCH($B14,Tableau6[Nom affiche],0)),"")</f>
        <v>0</v>
      </c>
      <c r="R14" s="49">
        <f t="array" ref="R14">IFERROR(INDEX(Tableau6[prochaine visite méd],MATCH($B14,Tableau6[Nom affiche],0)),"")</f>
        <v>366</v>
      </c>
      <c r="S14" s="48">
        <f t="array" ref="S14">IFERROR(INDEX(Tableau6[dernière visite pou],MATCH($B14,Tableau6[Nom affiche],0)),"")</f>
        <v>0</v>
      </c>
      <c r="T14" s="49">
        <f t="array" ref="T14">IFERROR(INDEX(Tableau6[prochaine visite pou],MATCH($B14,Tableau6[Nom affiche],0)),"")</f>
        <v>366</v>
      </c>
      <c r="U14" s="48">
        <f t="array" ref="U14">IFERROR(INDEX(Tableau6[dernière visite co²],MATCH($B14,Tableau6[Nom affiche],0)),"")</f>
        <v>0</v>
      </c>
      <c r="V14" s="49">
        <f t="array" ref="V14">IFERROR(INDEX(Tableau6[prochaine visite co²],MATCH($B14,Tableau6[Nom affiche],0)),"")</f>
        <v>366</v>
      </c>
    </row>
    <row r="15" spans="2:22" ht="30" customHeight="1" x14ac:dyDescent="0.2">
      <c r="B15" s="52" t="str">
        <f t="array" ref="B15">IFERROR(INDEX(Tableau6[Nom affiche],SMALL(IF((Tableau6[Nom affiche]&lt;&gt;"")*(Tableau6[Status]="Actif"),ROW(Tableau6[Nom affiche])-MIN(ROW(Employé!$B$4))+1,""),ROWS(B$4:B15))),"")</f>
        <v>BALLESTER Xavier</v>
      </c>
      <c r="C15" s="48">
        <f t="array" ref="C15">IFERROR(INDEX(Tableau6[dernière visite mvt],MATCH($B15,Tableau6[Nom affiche],0)),"")</f>
        <v>0</v>
      </c>
      <c r="D15" s="49">
        <f t="array" ref="D15">IFERROR(INDEX(Tableau6[prochaine visite mvt],MATCH($B15,Tableau6[Nom affiche],0)),"")</f>
        <v>15</v>
      </c>
      <c r="E15" s="48">
        <f t="array" ref="E15">IFERROR(INDEX(Tableau6[dernière visite véh],MATCH($B15,Tableau6[Nom affiche],0)),"")</f>
        <v>0</v>
      </c>
      <c r="F15" s="49">
        <f t="array" ref="F15">IFERROR(INDEX(Tableau6[prochaine visite véh],MATCH($B15,Tableau6[Nom affiche],0)),"")</f>
        <v>15</v>
      </c>
      <c r="G15" s="48">
        <f t="array" ref="G15">IFERROR(INDEX(Tableau6[dernière visite za],MATCH($B15,Tableau6[Nom affiche],0)),"")</f>
        <v>0</v>
      </c>
      <c r="H15" s="49">
        <f t="array" ref="H15">IFERROR(INDEX(Tableau6[prochaine visite za],MATCH($B15,Tableau6[Nom affiche],0)),"")</f>
        <v>31</v>
      </c>
      <c r="I15" s="48">
        <f t="array" ref="I15">IFERROR(INDEX(Tableau6[dernière visite epi],MATCH($B15,Tableau6[Nom affiche],0)),"")</f>
        <v>0</v>
      </c>
      <c r="J15" s="49">
        <f t="array" ref="J15">IFERROR(INDEX(Tableau6[prochaine visite epi],MATCH($B15,Tableau6[Nom affiche],0)),"")</f>
        <v>91</v>
      </c>
      <c r="K15" s="48">
        <f t="array" ref="K15">IFERROR(INDEX(Tableau6[dernière visite ari],MATCH($B15,Tableau6[Nom affiche],0)),"")</f>
        <v>0</v>
      </c>
      <c r="L15" s="49">
        <f t="array" ref="L15">IFERROR(INDEX(Tableau6[prochaine visite ari],MATCH($B15,Tableau6[Nom affiche],0)),"")</f>
        <v>91</v>
      </c>
      <c r="M15" s="48">
        <f t="array" ref="M15">IFERROR(INDEX(Tableau6[dernière visite zva],MATCH($B15,Tableau6[Nom affiche],0)),"")</f>
        <v>0</v>
      </c>
      <c r="N15" s="49">
        <f t="array" ref="N15">IFERROR(INDEX(Tableau6[prochaine visite zva],MATCH($B15,Tableau6[Nom affiche],0)),"")</f>
        <v>91</v>
      </c>
      <c r="O15" s="48">
        <f t="array" ref="O15">IFERROR(INDEX(Tableau6[dernière visite trv],MATCH($B15,Tableau6[Nom affiche],0)),"")</f>
        <v>0</v>
      </c>
      <c r="P15" s="49">
        <f t="array" aca="1" ref="P15" ca="1">IFERROR(INDEX(Tableau6[prochaine visite trv],MATCH($B15,Tableau6[Nom affiche],0)),"")</f>
        <v>366</v>
      </c>
      <c r="Q15" s="48">
        <f t="array" ref="Q15">IFERROR(INDEX(Tableau6[dernière visite méd],MATCH($B15,Tableau6[Nom affiche],0)),"")</f>
        <v>0</v>
      </c>
      <c r="R15" s="49">
        <f t="array" ref="R15">IFERROR(INDEX(Tableau6[prochaine visite méd],MATCH($B15,Tableau6[Nom affiche],0)),"")</f>
        <v>366</v>
      </c>
      <c r="S15" s="48">
        <f t="array" ref="S15">IFERROR(INDEX(Tableau6[dernière visite pou],MATCH($B15,Tableau6[Nom affiche],0)),"")</f>
        <v>0</v>
      </c>
      <c r="T15" s="49">
        <f t="array" ref="T15">IFERROR(INDEX(Tableau6[prochaine visite pou],MATCH($B15,Tableau6[Nom affiche],0)),"")</f>
        <v>366</v>
      </c>
      <c r="U15" s="48">
        <f t="array" ref="U15">IFERROR(INDEX(Tableau6[dernière visite co²],MATCH($B15,Tableau6[Nom affiche],0)),"")</f>
        <v>0</v>
      </c>
      <c r="V15" s="49">
        <f t="array" ref="V15">IFERROR(INDEX(Tableau6[prochaine visite co²],MATCH($B15,Tableau6[Nom affiche],0)),"")</f>
        <v>366</v>
      </c>
    </row>
    <row r="16" spans="2:22" ht="30" customHeight="1" x14ac:dyDescent="0.2">
      <c r="B16" s="52" t="str">
        <f t="array" ref="B16">IFERROR(INDEX(Tableau6[Nom affiche],SMALL(IF((Tableau6[Nom affiche]&lt;&gt;"")*(Tableau6[Status]="Actif"),ROW(Tableau6[Nom affiche])-MIN(ROW(Employé!$B$4))+1,""),ROWS(B$4:B16))),"")</f>
        <v>DESMYTER Damien</v>
      </c>
      <c r="C16" s="48">
        <f t="array" ref="C16">IFERROR(INDEX(Tableau6[dernière visite mvt],MATCH($B16,Tableau6[Nom affiche],0)),"")</f>
        <v>0</v>
      </c>
      <c r="D16" s="49">
        <f t="array" ref="D16">IFERROR(INDEX(Tableau6[prochaine visite mvt],MATCH($B16,Tableau6[Nom affiche],0)),"")</f>
        <v>15</v>
      </c>
      <c r="E16" s="48">
        <f t="array" ref="E16">IFERROR(INDEX(Tableau6[dernière visite véh],MATCH($B16,Tableau6[Nom affiche],0)),"")</f>
        <v>0</v>
      </c>
      <c r="F16" s="49">
        <f t="array" ref="F16">IFERROR(INDEX(Tableau6[prochaine visite véh],MATCH($B16,Tableau6[Nom affiche],0)),"")</f>
        <v>15</v>
      </c>
      <c r="G16" s="48">
        <f t="array" ref="G16">IFERROR(INDEX(Tableau6[dernière visite za],MATCH($B16,Tableau6[Nom affiche],0)),"")</f>
        <v>0</v>
      </c>
      <c r="H16" s="49">
        <f t="array" ref="H16">IFERROR(INDEX(Tableau6[prochaine visite za],MATCH($B16,Tableau6[Nom affiche],0)),"")</f>
        <v>31</v>
      </c>
      <c r="I16" s="48">
        <f t="array" ref="I16">IFERROR(INDEX(Tableau6[dernière visite epi],MATCH($B16,Tableau6[Nom affiche],0)),"")</f>
        <v>0</v>
      </c>
      <c r="J16" s="49">
        <f t="array" ref="J16">IFERROR(INDEX(Tableau6[prochaine visite epi],MATCH($B16,Tableau6[Nom affiche],0)),"")</f>
        <v>91</v>
      </c>
      <c r="K16" s="48">
        <f t="array" ref="K16">IFERROR(INDEX(Tableau6[dernière visite ari],MATCH($B16,Tableau6[Nom affiche],0)),"")</f>
        <v>0</v>
      </c>
      <c r="L16" s="49">
        <f t="array" ref="L16">IFERROR(INDEX(Tableau6[prochaine visite ari],MATCH($B16,Tableau6[Nom affiche],0)),"")</f>
        <v>91</v>
      </c>
      <c r="M16" s="48">
        <f t="array" ref="M16">IFERROR(INDEX(Tableau6[dernière visite zva],MATCH($B16,Tableau6[Nom affiche],0)),"")</f>
        <v>0</v>
      </c>
      <c r="N16" s="49">
        <f t="array" ref="N16">IFERROR(INDEX(Tableau6[prochaine visite zva],MATCH($B16,Tableau6[Nom affiche],0)),"")</f>
        <v>91</v>
      </c>
      <c r="O16" s="48">
        <f t="array" ref="O16">IFERROR(INDEX(Tableau6[dernière visite trv],MATCH($B16,Tableau6[Nom affiche],0)),"")</f>
        <v>0</v>
      </c>
      <c r="P16" s="49">
        <f t="array" aca="1" ref="P16" ca="1">IFERROR(INDEX(Tableau6[prochaine visite trv],MATCH($B16,Tableau6[Nom affiche],0)),"")</f>
        <v>366</v>
      </c>
      <c r="Q16" s="48">
        <f t="array" ref="Q16">IFERROR(INDEX(Tableau6[dernière visite méd],MATCH($B16,Tableau6[Nom affiche],0)),"")</f>
        <v>0</v>
      </c>
      <c r="R16" s="49">
        <f t="array" ref="R16">IFERROR(INDEX(Tableau6[prochaine visite méd],MATCH($B16,Tableau6[Nom affiche],0)),"")</f>
        <v>366</v>
      </c>
      <c r="S16" s="48">
        <f t="array" ref="S16">IFERROR(INDEX(Tableau6[dernière visite pou],MATCH($B16,Tableau6[Nom affiche],0)),"")</f>
        <v>0</v>
      </c>
      <c r="T16" s="49">
        <f t="array" ref="T16">IFERROR(INDEX(Tableau6[prochaine visite pou],MATCH($B16,Tableau6[Nom affiche],0)),"")</f>
        <v>366</v>
      </c>
      <c r="U16" s="48">
        <f t="array" ref="U16">IFERROR(INDEX(Tableau6[dernière visite co²],MATCH($B16,Tableau6[Nom affiche],0)),"")</f>
        <v>0</v>
      </c>
      <c r="V16" s="49">
        <f t="array" ref="V16">IFERROR(INDEX(Tableau6[prochaine visite co²],MATCH($B16,Tableau6[Nom affiche],0)),"")</f>
        <v>366</v>
      </c>
    </row>
    <row r="17" spans="2:22" ht="30" customHeight="1" x14ac:dyDescent="0.2">
      <c r="B17" s="52" t="str">
        <f t="array" ref="B17">IFERROR(INDEX(Tableau6[Nom affiche],SMALL(IF((Tableau6[Nom affiche]&lt;&gt;"")*(Tableau6[Status]="Actif"),ROW(Tableau6[Nom affiche])-MIN(ROW(Employé!$B$4))+1,""),ROWS(B$4:B17))),"")</f>
        <v>NAJJARI Mohamed</v>
      </c>
      <c r="C17" s="48">
        <f t="array" ref="C17">IFERROR(INDEX(Tableau6[dernière visite mvt],MATCH($B17,Tableau6[Nom affiche],0)),"")</f>
        <v>0</v>
      </c>
      <c r="D17" s="49">
        <f t="array" ref="D17">IFERROR(INDEX(Tableau6[prochaine visite mvt],MATCH($B17,Tableau6[Nom affiche],0)),"")</f>
        <v>15</v>
      </c>
      <c r="E17" s="48">
        <f t="array" ref="E17">IFERROR(INDEX(Tableau6[dernière visite véh],MATCH($B17,Tableau6[Nom affiche],0)),"")</f>
        <v>0</v>
      </c>
      <c r="F17" s="49">
        <f t="array" ref="F17">IFERROR(INDEX(Tableau6[prochaine visite véh],MATCH($B17,Tableau6[Nom affiche],0)),"")</f>
        <v>15</v>
      </c>
      <c r="G17" s="48">
        <f t="array" ref="G17">IFERROR(INDEX(Tableau6[dernière visite za],MATCH($B17,Tableau6[Nom affiche],0)),"")</f>
        <v>0</v>
      </c>
      <c r="H17" s="49">
        <f t="array" ref="H17">IFERROR(INDEX(Tableau6[prochaine visite za],MATCH($B17,Tableau6[Nom affiche],0)),"")</f>
        <v>31</v>
      </c>
      <c r="I17" s="48">
        <f t="array" ref="I17">IFERROR(INDEX(Tableau6[dernière visite epi],MATCH($B17,Tableau6[Nom affiche],0)),"")</f>
        <v>0</v>
      </c>
      <c r="J17" s="49">
        <f t="array" ref="J17">IFERROR(INDEX(Tableau6[prochaine visite epi],MATCH($B17,Tableau6[Nom affiche],0)),"")</f>
        <v>91</v>
      </c>
      <c r="K17" s="48">
        <f t="array" ref="K17">IFERROR(INDEX(Tableau6[dernière visite ari],MATCH($B17,Tableau6[Nom affiche],0)),"")</f>
        <v>0</v>
      </c>
      <c r="L17" s="49">
        <f t="array" ref="L17">IFERROR(INDEX(Tableau6[prochaine visite ari],MATCH($B17,Tableau6[Nom affiche],0)),"")</f>
        <v>91</v>
      </c>
      <c r="M17" s="48">
        <f t="array" ref="M17">IFERROR(INDEX(Tableau6[dernière visite zva],MATCH($B17,Tableau6[Nom affiche],0)),"")</f>
        <v>0</v>
      </c>
      <c r="N17" s="49">
        <f t="array" ref="N17">IFERROR(INDEX(Tableau6[prochaine visite zva],MATCH($B17,Tableau6[Nom affiche],0)),"")</f>
        <v>91</v>
      </c>
      <c r="O17" s="48">
        <f t="array" ref="O17">IFERROR(INDEX(Tableau6[dernière visite trv],MATCH($B17,Tableau6[Nom affiche],0)),"")</f>
        <v>0</v>
      </c>
      <c r="P17" s="49">
        <f t="array" aca="1" ref="P17" ca="1">IFERROR(INDEX(Tableau6[prochaine visite trv],MATCH($B17,Tableau6[Nom affiche],0)),"")</f>
        <v>366</v>
      </c>
      <c r="Q17" s="48">
        <f t="array" ref="Q17">IFERROR(INDEX(Tableau6[dernière visite méd],MATCH($B17,Tableau6[Nom affiche],0)),"")</f>
        <v>0</v>
      </c>
      <c r="R17" s="49">
        <f t="array" ref="R17">IFERROR(INDEX(Tableau6[prochaine visite méd],MATCH($B17,Tableau6[Nom affiche],0)),"")</f>
        <v>366</v>
      </c>
      <c r="S17" s="48">
        <f t="array" ref="S17">IFERROR(INDEX(Tableau6[dernière visite pou],MATCH($B17,Tableau6[Nom affiche],0)),"")</f>
        <v>0</v>
      </c>
      <c r="T17" s="49">
        <f t="array" ref="T17">IFERROR(INDEX(Tableau6[prochaine visite pou],MATCH($B17,Tableau6[Nom affiche],0)),"")</f>
        <v>366</v>
      </c>
      <c r="U17" s="48">
        <f t="array" ref="U17">IFERROR(INDEX(Tableau6[dernière visite co²],MATCH($B17,Tableau6[Nom affiche],0)),"")</f>
        <v>0</v>
      </c>
      <c r="V17" s="49">
        <f t="array" ref="V17">IFERROR(INDEX(Tableau6[prochaine visite co²],MATCH($B17,Tableau6[Nom affiche],0)),"")</f>
        <v>366</v>
      </c>
    </row>
    <row r="18" spans="2:22" ht="30" customHeight="1" x14ac:dyDescent="0.2">
      <c r="B18" s="52" t="str">
        <f t="array" ref="B18">IFERROR(INDEX(Tableau6[Nom affiche],SMALL(IF((Tableau6[Nom affiche]&lt;&gt;"")*(Tableau6[Status]="Actif"),ROW(Tableau6[Nom affiche])-MIN(ROW(Employé!$B$4))+1,""),ROWS(B$4:B18))),"")</f>
        <v/>
      </c>
      <c r="C18" s="48" t="str">
        <f t="array" ref="C18">IFERROR(INDEX(Tableau6[dernière visite mvt],MATCH($B18,Tableau6[Nom affiche],0)),"")</f>
        <v/>
      </c>
      <c r="D18" s="49" t="str">
        <f t="array" ref="D18">IFERROR(INDEX(Tableau6[prochaine visite mvt],MATCH($B18,Tableau6[Nom affiche],0)),"")</f>
        <v/>
      </c>
      <c r="E18" s="48" t="str">
        <f t="array" ref="E18">IFERROR(INDEX(Tableau6[dernière visite véh],MATCH($B18,Tableau6[Nom affiche],0)),"")</f>
        <v/>
      </c>
      <c r="F18" s="49" t="str">
        <f t="array" ref="F18">IFERROR(INDEX(Tableau6[prochaine visite véh],MATCH($B18,Tableau6[Nom affiche],0)),"")</f>
        <v/>
      </c>
      <c r="G18" s="48" t="str">
        <f t="array" ref="G18">IFERROR(INDEX(Tableau6[dernière visite za],MATCH($B18,Tableau6[Nom affiche],0)),"")</f>
        <v/>
      </c>
      <c r="H18" s="49" t="str">
        <f t="array" ref="H18">IFERROR(INDEX(Tableau6[prochaine visite za],MATCH($B18,Tableau6[Nom affiche],0)),"")</f>
        <v/>
      </c>
      <c r="I18" s="48" t="str">
        <f t="array" ref="I18">IFERROR(INDEX(Tableau6[dernière visite epi],MATCH($B18,Tableau6[Nom affiche],0)),"")</f>
        <v/>
      </c>
      <c r="J18" s="49" t="str">
        <f t="array" ref="J18">IFERROR(INDEX(Tableau6[prochaine visite epi],MATCH($B18,Tableau6[Nom affiche],0)),"")</f>
        <v/>
      </c>
      <c r="K18" s="48" t="str">
        <f t="array" ref="K18">IFERROR(INDEX(Tableau6[dernière visite ari],MATCH($B18,Tableau6[Nom affiche],0)),"")</f>
        <v/>
      </c>
      <c r="L18" s="49" t="str">
        <f t="array" ref="L18">IFERROR(INDEX(Tableau6[prochaine visite ari],MATCH($B18,Tableau6[Nom affiche],0)),"")</f>
        <v/>
      </c>
      <c r="M18" s="48" t="str">
        <f t="array" ref="M18">IFERROR(INDEX(Tableau6[dernière visite zva],MATCH($B18,Tableau6[Nom affiche],0)),"")</f>
        <v/>
      </c>
      <c r="N18" s="49" t="str">
        <f t="array" ref="N18">IFERROR(INDEX(Tableau6[prochaine visite zva],MATCH($B18,Tableau6[Nom affiche],0)),"")</f>
        <v/>
      </c>
      <c r="O18" s="48" t="str">
        <f t="array" ref="O18">IFERROR(INDEX(Tableau6[dernière visite trv],MATCH($B18,Tableau6[Nom affiche],0)),"")</f>
        <v/>
      </c>
      <c r="P18" s="49" t="str">
        <f t="array" ref="P18">IFERROR(INDEX(Tableau6[prochaine visite trv],MATCH($B18,Tableau6[Nom affiche],0)),"")</f>
        <v/>
      </c>
      <c r="Q18" s="48" t="str">
        <f t="array" ref="Q18">IFERROR(INDEX(Tableau6[dernière visite méd],MATCH($B18,Tableau6[Nom affiche],0)),"")</f>
        <v/>
      </c>
      <c r="R18" s="49" t="str">
        <f t="array" ref="R18">IFERROR(INDEX(Tableau6[prochaine visite méd],MATCH($B18,Tableau6[Nom affiche],0)),"")</f>
        <v/>
      </c>
      <c r="S18" s="48" t="str">
        <f t="array" ref="S18">IFERROR(INDEX(Tableau6[dernière visite pou],MATCH($B18,Tableau6[Nom affiche],0)),"")</f>
        <v/>
      </c>
      <c r="T18" s="49" t="str">
        <f t="array" ref="T18">IFERROR(INDEX(Tableau6[prochaine visite pou],MATCH($B18,Tableau6[Nom affiche],0)),"")</f>
        <v/>
      </c>
      <c r="U18" s="48" t="str">
        <f t="array" ref="U18">IFERROR(INDEX(Tableau6[dernière visite co²],MATCH($B18,Tableau6[Nom affiche],0)),"")</f>
        <v/>
      </c>
      <c r="V18" s="49" t="str">
        <f t="array" ref="V18">IFERROR(INDEX(Tableau6[prochaine visite co²],MATCH($B18,Tableau6[Nom affiche],0)),"")</f>
        <v/>
      </c>
    </row>
    <row r="19" spans="2:22" ht="30" customHeight="1" x14ac:dyDescent="0.2">
      <c r="B19" s="52" t="str">
        <f t="array" ref="B19">IFERROR(INDEX(Tableau6[Nom affiche],SMALL(IF((Tableau6[Nom affiche]&lt;&gt;"")*(Tableau6[Status]="Actif"),ROW(Tableau6[Nom affiche])-MIN(ROW(Employé!$B$4))+1,""),ROWS(B$4:B19))),"")</f>
        <v/>
      </c>
      <c r="C19" s="48" t="str">
        <f t="array" ref="C19">IFERROR(INDEX(Tableau6[dernière visite mvt],MATCH($B19,Tableau6[Nom affiche],0)),"")</f>
        <v/>
      </c>
      <c r="D19" s="49" t="str">
        <f t="array" ref="D19">IFERROR(INDEX(Tableau6[prochaine visite mvt],MATCH($B19,Tableau6[Nom affiche],0)),"")</f>
        <v/>
      </c>
      <c r="E19" s="48" t="str">
        <f t="array" ref="E19">IFERROR(INDEX(Tableau6[dernière visite véh],MATCH($B19,Tableau6[Nom affiche],0)),"")</f>
        <v/>
      </c>
      <c r="F19" s="49" t="str">
        <f t="array" ref="F19">IFERROR(INDEX(Tableau6[prochaine visite véh],MATCH($B19,Tableau6[Nom affiche],0)),"")</f>
        <v/>
      </c>
      <c r="G19" s="48" t="str">
        <f t="array" ref="G19">IFERROR(INDEX(Tableau6[dernière visite za],MATCH($B19,Tableau6[Nom affiche],0)),"")</f>
        <v/>
      </c>
      <c r="H19" s="49" t="str">
        <f t="array" ref="H19">IFERROR(INDEX(Tableau6[prochaine visite za],MATCH($B19,Tableau6[Nom affiche],0)),"")</f>
        <v/>
      </c>
      <c r="I19" s="48" t="str">
        <f t="array" ref="I19">IFERROR(INDEX(Tableau6[dernière visite epi],MATCH($B19,Tableau6[Nom affiche],0)),"")</f>
        <v/>
      </c>
      <c r="J19" s="49" t="str">
        <f t="array" ref="J19">IFERROR(INDEX(Tableau6[prochaine visite epi],MATCH($B19,Tableau6[Nom affiche],0)),"")</f>
        <v/>
      </c>
      <c r="K19" s="48" t="str">
        <f t="array" ref="K19">IFERROR(INDEX(Tableau6[dernière visite ari],MATCH($B19,Tableau6[Nom affiche],0)),"")</f>
        <v/>
      </c>
      <c r="L19" s="49" t="str">
        <f t="array" ref="L19">IFERROR(INDEX(Tableau6[prochaine visite ari],MATCH($B19,Tableau6[Nom affiche],0)),"")</f>
        <v/>
      </c>
      <c r="M19" s="48" t="str">
        <f t="array" ref="M19">IFERROR(INDEX(Tableau6[dernière visite zva],MATCH($B19,Tableau6[Nom affiche],0)),"")</f>
        <v/>
      </c>
      <c r="N19" s="49" t="str">
        <f t="array" ref="N19">IFERROR(INDEX(Tableau6[prochaine visite zva],MATCH($B19,Tableau6[Nom affiche],0)),"")</f>
        <v/>
      </c>
      <c r="O19" s="48" t="str">
        <f t="array" ref="O19">IFERROR(INDEX(Tableau6[dernière visite trv],MATCH($B19,Tableau6[Nom affiche],0)),"")</f>
        <v/>
      </c>
      <c r="P19" s="49" t="str">
        <f t="array" ref="P19">IFERROR(INDEX(Tableau6[prochaine visite trv],MATCH($B19,Tableau6[Nom affiche],0)),"")</f>
        <v/>
      </c>
      <c r="Q19" s="48" t="str">
        <f t="array" ref="Q19">IFERROR(INDEX(Tableau6[dernière visite méd],MATCH($B19,Tableau6[Nom affiche],0)),"")</f>
        <v/>
      </c>
      <c r="R19" s="49" t="str">
        <f t="array" ref="R19">IFERROR(INDEX(Tableau6[prochaine visite méd],MATCH($B19,Tableau6[Nom affiche],0)),"")</f>
        <v/>
      </c>
      <c r="S19" s="48" t="str">
        <f t="array" ref="S19">IFERROR(INDEX(Tableau6[dernière visite pou],MATCH($B19,Tableau6[Nom affiche],0)),"")</f>
        <v/>
      </c>
      <c r="T19" s="49" t="str">
        <f t="array" ref="T19">IFERROR(INDEX(Tableau6[prochaine visite pou],MATCH($B19,Tableau6[Nom affiche],0)),"")</f>
        <v/>
      </c>
      <c r="U19" s="48" t="str">
        <f t="array" ref="U19">IFERROR(INDEX(Tableau6[dernière visite co²],MATCH($B19,Tableau6[Nom affiche],0)),"")</f>
        <v/>
      </c>
      <c r="V19" s="49" t="str">
        <f t="array" ref="V19">IFERROR(INDEX(Tableau6[prochaine visite co²],MATCH($B19,Tableau6[Nom affiche],0)),"")</f>
        <v/>
      </c>
    </row>
    <row r="20" spans="2:22" ht="30" customHeight="1" x14ac:dyDescent="0.2">
      <c r="B20" s="52" t="str">
        <f t="array" ref="B20">IFERROR(INDEX(Tableau6[Nom affiche],SMALL(IF((Tableau6[Nom affiche]&lt;&gt;"")*(Tableau6[Status]="Actif"),ROW(Tableau6[Nom affiche])-MIN(ROW(Employé!$B$4))+1,""),ROWS(B$4:B20))),"")</f>
        <v/>
      </c>
      <c r="C20" s="48" t="str">
        <f t="array" ref="C20">IFERROR(INDEX(Tableau6[dernière visite mvt],MATCH($B20,Tableau6[Nom affiche],0)),"")</f>
        <v/>
      </c>
      <c r="D20" s="49" t="str">
        <f t="array" ref="D20">IFERROR(INDEX(Tableau6[prochaine visite mvt],MATCH($B20,Tableau6[Nom affiche],0)),"")</f>
        <v/>
      </c>
      <c r="E20" s="48" t="str">
        <f t="array" ref="E20">IFERROR(INDEX(Tableau6[dernière visite véh],MATCH($B20,Tableau6[Nom affiche],0)),"")</f>
        <v/>
      </c>
      <c r="F20" s="49" t="str">
        <f t="array" ref="F20">IFERROR(INDEX(Tableau6[prochaine visite véh],MATCH($B20,Tableau6[Nom affiche],0)),"")</f>
        <v/>
      </c>
      <c r="G20" s="48" t="str">
        <f t="array" ref="G20">IFERROR(INDEX(Tableau6[dernière visite za],MATCH($B20,Tableau6[Nom affiche],0)),"")</f>
        <v/>
      </c>
      <c r="H20" s="49" t="str">
        <f t="array" ref="H20">IFERROR(INDEX(Tableau6[prochaine visite za],MATCH($B20,Tableau6[Nom affiche],0)),"")</f>
        <v/>
      </c>
      <c r="I20" s="48" t="str">
        <f t="array" ref="I20">IFERROR(INDEX(Tableau6[dernière visite epi],MATCH($B20,Tableau6[Nom affiche],0)),"")</f>
        <v/>
      </c>
      <c r="J20" s="49" t="str">
        <f t="array" ref="J20">IFERROR(INDEX(Tableau6[prochaine visite epi],MATCH($B20,Tableau6[Nom affiche],0)),"")</f>
        <v/>
      </c>
      <c r="K20" s="48" t="str">
        <f t="array" ref="K20">IFERROR(INDEX(Tableau6[dernière visite ari],MATCH($B20,Tableau6[Nom affiche],0)),"")</f>
        <v/>
      </c>
      <c r="L20" s="49" t="str">
        <f t="array" ref="L20">IFERROR(INDEX(Tableau6[prochaine visite ari],MATCH($B20,Tableau6[Nom affiche],0)),"")</f>
        <v/>
      </c>
      <c r="M20" s="48" t="str">
        <f t="array" ref="M20">IFERROR(INDEX(Tableau6[dernière visite zva],MATCH($B20,Tableau6[Nom affiche],0)),"")</f>
        <v/>
      </c>
      <c r="N20" s="49" t="str">
        <f t="array" ref="N20">IFERROR(INDEX(Tableau6[prochaine visite zva],MATCH($B20,Tableau6[Nom affiche],0)),"")</f>
        <v/>
      </c>
      <c r="O20" s="48" t="str">
        <f t="array" ref="O20">IFERROR(INDEX(Tableau6[dernière visite trv],MATCH($B20,Tableau6[Nom affiche],0)),"")</f>
        <v/>
      </c>
      <c r="P20" s="49" t="str">
        <f t="array" ref="P20">IFERROR(INDEX(Tableau6[prochaine visite trv],MATCH($B20,Tableau6[Nom affiche],0)),"")</f>
        <v/>
      </c>
      <c r="Q20" s="48" t="str">
        <f t="array" ref="Q20">IFERROR(INDEX(Tableau6[dernière visite méd],MATCH($B20,Tableau6[Nom affiche],0)),"")</f>
        <v/>
      </c>
      <c r="R20" s="49" t="str">
        <f t="array" ref="R20">IFERROR(INDEX(Tableau6[prochaine visite méd],MATCH($B20,Tableau6[Nom affiche],0)),"")</f>
        <v/>
      </c>
      <c r="S20" s="48" t="str">
        <f t="array" ref="S20">IFERROR(INDEX(Tableau6[dernière visite pou],MATCH($B20,Tableau6[Nom affiche],0)),"")</f>
        <v/>
      </c>
      <c r="T20" s="49" t="str">
        <f t="array" ref="T20">IFERROR(INDEX(Tableau6[prochaine visite pou],MATCH($B20,Tableau6[Nom affiche],0)),"")</f>
        <v/>
      </c>
      <c r="U20" s="48" t="str">
        <f t="array" ref="U20">IFERROR(INDEX(Tableau6[dernière visite co²],MATCH($B20,Tableau6[Nom affiche],0)),"")</f>
        <v/>
      </c>
      <c r="V20" s="49" t="str">
        <f t="array" ref="V20">IFERROR(INDEX(Tableau6[prochaine visite co²],MATCH($B20,Tableau6[Nom affiche],0)),"")</f>
        <v/>
      </c>
    </row>
    <row r="21" spans="2:22" ht="30" customHeight="1" x14ac:dyDescent="0.2">
      <c r="B21" s="52" t="str">
        <f t="array" ref="B21">IFERROR(INDEX(Tableau6[Nom affiche],SMALL(IF((Tableau6[Nom affiche]&lt;&gt;"")*(Tableau6[Status]="Actif"),ROW(Tableau6[Nom affiche])-MIN(ROW(Employé!$B$4))+1,""),ROWS(B$4:B21))),"")</f>
        <v/>
      </c>
      <c r="C21" s="48" t="str">
        <f t="array" ref="C21">IFERROR(INDEX(Tableau6[dernière visite mvt],MATCH($B21,Tableau6[Nom affiche],0)),"")</f>
        <v/>
      </c>
      <c r="D21" s="49" t="str">
        <f t="array" ref="D21">IFERROR(INDEX(Tableau6[prochaine visite mvt],MATCH($B21,Tableau6[Nom affiche],0)),"")</f>
        <v/>
      </c>
      <c r="E21" s="48" t="str">
        <f t="array" ref="E21">IFERROR(INDEX(Tableau6[dernière visite véh],MATCH($B21,Tableau6[Nom affiche],0)),"")</f>
        <v/>
      </c>
      <c r="F21" s="49" t="str">
        <f t="array" ref="F21">IFERROR(INDEX(Tableau6[prochaine visite véh],MATCH($B21,Tableau6[Nom affiche],0)),"")</f>
        <v/>
      </c>
      <c r="G21" s="48" t="str">
        <f t="array" ref="G21">IFERROR(INDEX(Tableau6[dernière visite za],MATCH($B21,Tableau6[Nom affiche],0)),"")</f>
        <v/>
      </c>
      <c r="H21" s="49" t="str">
        <f t="array" ref="H21">IFERROR(INDEX(Tableau6[prochaine visite za],MATCH($B21,Tableau6[Nom affiche],0)),"")</f>
        <v/>
      </c>
      <c r="I21" s="48" t="str">
        <f t="array" ref="I21">IFERROR(INDEX(Tableau6[dernière visite epi],MATCH($B21,Tableau6[Nom affiche],0)),"")</f>
        <v/>
      </c>
      <c r="J21" s="49" t="str">
        <f t="array" ref="J21">IFERROR(INDEX(Tableau6[prochaine visite epi],MATCH($B21,Tableau6[Nom affiche],0)),"")</f>
        <v/>
      </c>
      <c r="K21" s="48" t="str">
        <f t="array" ref="K21">IFERROR(INDEX(Tableau6[dernière visite ari],MATCH($B21,Tableau6[Nom affiche],0)),"")</f>
        <v/>
      </c>
      <c r="L21" s="49" t="str">
        <f t="array" ref="L21">IFERROR(INDEX(Tableau6[prochaine visite ari],MATCH($B21,Tableau6[Nom affiche],0)),"")</f>
        <v/>
      </c>
      <c r="M21" s="48" t="str">
        <f t="array" ref="M21">IFERROR(INDEX(Tableau6[dernière visite zva],MATCH($B21,Tableau6[Nom affiche],0)),"")</f>
        <v/>
      </c>
      <c r="N21" s="49" t="str">
        <f t="array" ref="N21">IFERROR(INDEX(Tableau6[prochaine visite zva],MATCH($B21,Tableau6[Nom affiche],0)),"")</f>
        <v/>
      </c>
      <c r="O21" s="48" t="str">
        <f t="array" ref="O21">IFERROR(INDEX(Tableau6[dernière visite trv],MATCH($B21,Tableau6[Nom affiche],0)),"")</f>
        <v/>
      </c>
      <c r="P21" s="49" t="str">
        <f t="array" ref="P21">IFERROR(INDEX(Tableau6[prochaine visite trv],MATCH($B21,Tableau6[Nom affiche],0)),"")</f>
        <v/>
      </c>
      <c r="Q21" s="48" t="str">
        <f t="array" ref="Q21">IFERROR(INDEX(Tableau6[dernière visite méd],MATCH($B21,Tableau6[Nom affiche],0)),"")</f>
        <v/>
      </c>
      <c r="R21" s="49" t="str">
        <f t="array" ref="R21">IFERROR(INDEX(Tableau6[prochaine visite méd],MATCH($B21,Tableau6[Nom affiche],0)),"")</f>
        <v/>
      </c>
      <c r="S21" s="48" t="str">
        <f t="array" ref="S21">IFERROR(INDEX(Tableau6[dernière visite pou],MATCH($B21,Tableau6[Nom affiche],0)),"")</f>
        <v/>
      </c>
      <c r="T21" s="49" t="str">
        <f t="array" ref="T21">IFERROR(INDEX(Tableau6[prochaine visite pou],MATCH($B21,Tableau6[Nom affiche],0)),"")</f>
        <v/>
      </c>
      <c r="U21" s="48" t="str">
        <f t="array" ref="U21">IFERROR(INDEX(Tableau6[dernière visite co²],MATCH($B21,Tableau6[Nom affiche],0)),"")</f>
        <v/>
      </c>
      <c r="V21" s="49" t="str">
        <f t="array" ref="V21">IFERROR(INDEX(Tableau6[prochaine visite co²],MATCH($B21,Tableau6[Nom affiche],0)),"")</f>
        <v/>
      </c>
    </row>
    <row r="22" spans="2:22" ht="30" customHeight="1" x14ac:dyDescent="0.2">
      <c r="B22" s="52" t="str">
        <f t="array" ref="B22">IFERROR(INDEX(Tableau6[Nom affiche],SMALL(IF((Tableau6[Nom affiche]&lt;&gt;"")*(Tableau6[Status]="Actif"),ROW(Tableau6[Nom affiche])-MIN(ROW(Employé!$B$4))+1,""),ROWS(B$4:B22))),"")</f>
        <v/>
      </c>
      <c r="C22" s="48" t="str">
        <f t="array" ref="C22">IFERROR(INDEX(Tableau6[dernière visite mvt],MATCH($B22,Tableau6[Nom affiche],0)),"")</f>
        <v/>
      </c>
      <c r="D22" s="49" t="str">
        <f t="array" ref="D22">IFERROR(INDEX(Tableau6[prochaine visite mvt],MATCH($B22,Tableau6[Nom affiche],0)),"")</f>
        <v/>
      </c>
      <c r="E22" s="48" t="str">
        <f t="array" ref="E22">IFERROR(INDEX(Tableau6[dernière visite véh],MATCH($B22,Tableau6[Nom affiche],0)),"")</f>
        <v/>
      </c>
      <c r="F22" s="49" t="str">
        <f t="array" ref="F22">IFERROR(INDEX(Tableau6[prochaine visite véh],MATCH($B22,Tableau6[Nom affiche],0)),"")</f>
        <v/>
      </c>
      <c r="G22" s="48" t="str">
        <f t="array" ref="G22">IFERROR(INDEX(Tableau6[dernière visite za],MATCH($B22,Tableau6[Nom affiche],0)),"")</f>
        <v/>
      </c>
      <c r="H22" s="49" t="str">
        <f t="array" ref="H22">IFERROR(INDEX(Tableau6[prochaine visite za],MATCH($B22,Tableau6[Nom affiche],0)),"")</f>
        <v/>
      </c>
      <c r="I22" s="48" t="str">
        <f t="array" ref="I22">IFERROR(INDEX(Tableau6[dernière visite epi],MATCH($B22,Tableau6[Nom affiche],0)),"")</f>
        <v/>
      </c>
      <c r="J22" s="49" t="str">
        <f t="array" ref="J22">IFERROR(INDEX(Tableau6[prochaine visite epi],MATCH($B22,Tableau6[Nom affiche],0)),"")</f>
        <v/>
      </c>
      <c r="K22" s="48" t="str">
        <f t="array" ref="K22">IFERROR(INDEX(Tableau6[dernière visite ari],MATCH($B22,Tableau6[Nom affiche],0)),"")</f>
        <v/>
      </c>
      <c r="L22" s="49" t="str">
        <f t="array" ref="L22">IFERROR(INDEX(Tableau6[prochaine visite ari],MATCH($B22,Tableau6[Nom affiche],0)),"")</f>
        <v/>
      </c>
      <c r="M22" s="48" t="str">
        <f t="array" ref="M22">IFERROR(INDEX(Tableau6[dernière visite zva],MATCH($B22,Tableau6[Nom affiche],0)),"")</f>
        <v/>
      </c>
      <c r="N22" s="49" t="str">
        <f t="array" ref="N22">IFERROR(INDEX(Tableau6[prochaine visite zva],MATCH($B22,Tableau6[Nom affiche],0)),"")</f>
        <v/>
      </c>
      <c r="O22" s="48" t="str">
        <f t="array" ref="O22">IFERROR(INDEX(Tableau6[dernière visite trv],MATCH($B22,Tableau6[Nom affiche],0)),"")</f>
        <v/>
      </c>
      <c r="P22" s="49" t="str">
        <f t="array" ref="P22">IFERROR(INDEX(Tableau6[prochaine visite trv],MATCH($B22,Tableau6[Nom affiche],0)),"")</f>
        <v/>
      </c>
      <c r="Q22" s="48" t="str">
        <f t="array" ref="Q22">IFERROR(INDEX(Tableau6[dernière visite méd],MATCH($B22,Tableau6[Nom affiche],0)),"")</f>
        <v/>
      </c>
      <c r="R22" s="49" t="str">
        <f t="array" ref="R22">IFERROR(INDEX(Tableau6[prochaine visite méd],MATCH($B22,Tableau6[Nom affiche],0)),"")</f>
        <v/>
      </c>
      <c r="S22" s="48" t="str">
        <f t="array" ref="S22">IFERROR(INDEX(Tableau6[dernière visite pou],MATCH($B22,Tableau6[Nom affiche],0)),"")</f>
        <v/>
      </c>
      <c r="T22" s="49" t="str">
        <f t="array" ref="T22">IFERROR(INDEX(Tableau6[prochaine visite pou],MATCH($B22,Tableau6[Nom affiche],0)),"")</f>
        <v/>
      </c>
      <c r="U22" s="48" t="str">
        <f t="array" ref="U22">IFERROR(INDEX(Tableau6[dernière visite co²],MATCH($B22,Tableau6[Nom affiche],0)),"")</f>
        <v/>
      </c>
      <c r="V22" s="49" t="str">
        <f t="array" ref="V22">IFERROR(INDEX(Tableau6[prochaine visite co²],MATCH($B22,Tableau6[Nom affiche],0)),"")</f>
        <v/>
      </c>
    </row>
    <row r="23" spans="2:22" ht="30" customHeight="1" x14ac:dyDescent="0.2">
      <c r="B23" s="52" t="str">
        <f t="array" ref="B23">IFERROR(INDEX(Tableau6[Nom affiche],SMALL(IF((Tableau6[Nom affiche]&lt;&gt;"")*(Tableau6[Status]="Actif"),ROW(Tableau6[Nom affiche])-MIN(ROW(Employé!$B$4))+1,""),ROWS(B$4:B23))),"")</f>
        <v/>
      </c>
      <c r="C23" s="48" t="str">
        <f t="array" ref="C23">IFERROR(INDEX(Tableau6[dernière visite mvt],MATCH($B23,Tableau6[Nom affiche],0)),"")</f>
        <v/>
      </c>
      <c r="D23" s="49" t="str">
        <f t="array" ref="D23">IFERROR(INDEX(Tableau6[prochaine visite mvt],MATCH($B23,Tableau6[Nom affiche],0)),"")</f>
        <v/>
      </c>
      <c r="E23" s="48" t="str">
        <f t="array" ref="E23">IFERROR(INDEX(Tableau6[dernière visite véh],MATCH($B23,Tableau6[Nom affiche],0)),"")</f>
        <v/>
      </c>
      <c r="F23" s="49" t="str">
        <f t="array" ref="F23">IFERROR(INDEX(Tableau6[prochaine visite véh],MATCH($B23,Tableau6[Nom affiche],0)),"")</f>
        <v/>
      </c>
      <c r="G23" s="48" t="str">
        <f t="array" ref="G23">IFERROR(INDEX(Tableau6[dernière visite za],MATCH($B23,Tableau6[Nom affiche],0)),"")</f>
        <v/>
      </c>
      <c r="H23" s="49" t="str">
        <f t="array" ref="H23">IFERROR(INDEX(Tableau6[prochaine visite za],MATCH($B23,Tableau6[Nom affiche],0)),"")</f>
        <v/>
      </c>
      <c r="I23" s="48" t="str">
        <f t="array" ref="I23">IFERROR(INDEX(Tableau6[dernière visite epi],MATCH($B23,Tableau6[Nom affiche],0)),"")</f>
        <v/>
      </c>
      <c r="J23" s="49" t="str">
        <f t="array" ref="J23">IFERROR(INDEX(Tableau6[prochaine visite epi],MATCH($B23,Tableau6[Nom affiche],0)),"")</f>
        <v/>
      </c>
      <c r="K23" s="48" t="str">
        <f t="array" ref="K23">IFERROR(INDEX(Tableau6[dernière visite ari],MATCH($B23,Tableau6[Nom affiche],0)),"")</f>
        <v/>
      </c>
      <c r="L23" s="49" t="str">
        <f t="array" ref="L23">IFERROR(INDEX(Tableau6[prochaine visite ari],MATCH($B23,Tableau6[Nom affiche],0)),"")</f>
        <v/>
      </c>
      <c r="M23" s="48" t="str">
        <f t="array" ref="M23">IFERROR(INDEX(Tableau6[dernière visite zva],MATCH($B23,Tableau6[Nom affiche],0)),"")</f>
        <v/>
      </c>
      <c r="N23" s="49" t="str">
        <f t="array" ref="N23">IFERROR(INDEX(Tableau6[prochaine visite zva],MATCH($B23,Tableau6[Nom affiche],0)),"")</f>
        <v/>
      </c>
      <c r="O23" s="48" t="str">
        <f t="array" ref="O23">IFERROR(INDEX(Tableau6[dernière visite trv],MATCH($B23,Tableau6[Nom affiche],0)),"")</f>
        <v/>
      </c>
      <c r="P23" s="49" t="str">
        <f t="array" ref="P23">IFERROR(INDEX(Tableau6[prochaine visite trv],MATCH($B23,Tableau6[Nom affiche],0)),"")</f>
        <v/>
      </c>
      <c r="Q23" s="48" t="str">
        <f t="array" ref="Q23">IFERROR(INDEX(Tableau6[dernière visite méd],MATCH($B23,Tableau6[Nom affiche],0)),"")</f>
        <v/>
      </c>
      <c r="R23" s="49" t="str">
        <f t="array" ref="R23">IFERROR(INDEX(Tableau6[prochaine visite méd],MATCH($B23,Tableau6[Nom affiche],0)),"")</f>
        <v/>
      </c>
      <c r="S23" s="48" t="str">
        <f t="array" ref="S23">IFERROR(INDEX(Tableau6[dernière visite pou],MATCH($B23,Tableau6[Nom affiche],0)),"")</f>
        <v/>
      </c>
      <c r="T23" s="49" t="str">
        <f t="array" ref="T23">IFERROR(INDEX(Tableau6[prochaine visite pou],MATCH($B23,Tableau6[Nom affiche],0)),"")</f>
        <v/>
      </c>
      <c r="U23" s="48" t="str">
        <f t="array" ref="U23">IFERROR(INDEX(Tableau6[dernière visite co²],MATCH($B23,Tableau6[Nom affiche],0)),"")</f>
        <v/>
      </c>
      <c r="V23" s="49" t="str">
        <f t="array" ref="V23">IFERROR(INDEX(Tableau6[prochaine visite co²],MATCH($B23,Tableau6[Nom affiche],0)),"")</f>
        <v/>
      </c>
    </row>
  </sheetData>
  <mergeCells count="10">
    <mergeCell ref="O3:P3"/>
    <mergeCell ref="Q3:R3"/>
    <mergeCell ref="S3:T3"/>
    <mergeCell ref="U3:V3"/>
    <mergeCell ref="C3:D3"/>
    <mergeCell ref="E3:F3"/>
    <mergeCell ref="G3:H3"/>
    <mergeCell ref="I3:J3"/>
    <mergeCell ref="K3:L3"/>
    <mergeCell ref="M3:N3"/>
  </mergeCells>
  <pageMargins left="0.11811023622047245" right="0.11811023622047245" top="0.74803149606299213" bottom="0.35433070866141736" header="0.51181102362204722" footer="0.11811023622047245"/>
  <pageSetup paperSize="9" scale="66" orientation="landscape" r:id="rId1"/>
  <headerFooter>
    <oddHeader>&amp;C&amp;"Times New Roman,Gras"&amp;12RECAPITULATIF FORMATION AGENTS SSLIA</oddHeader>
    <oddFooter xml:space="preserve">&amp;L&amp;"Times New Roman,Normal"&amp;8&amp;K01+034          Aéroport Béziers Cap-d'Agde
          Service sslia - Entraînement&amp;C&amp;"Times New Roman,Normal"&amp;8&amp;K01+034page &amp;P/&amp;N&amp;R&amp;"Times New Roman,Normal"&amp;8&amp;K01+034&amp;D         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3</vt:i4>
      </vt:variant>
    </vt:vector>
  </HeadingPairs>
  <TitlesOfParts>
    <vt:vector size="13" baseType="lpstr">
      <vt:lpstr>Theme</vt:lpstr>
      <vt:lpstr>Liste thèmes</vt:lpstr>
      <vt:lpstr>Employé</vt:lpstr>
      <vt:lpstr>Fiche</vt:lpstr>
      <vt:lpstr>Aperçu visite médicale</vt:lpstr>
      <vt:lpstr>Aperçu zone aéroport</vt:lpstr>
      <vt:lpstr>Aperçu équipement</vt:lpstr>
      <vt:lpstr>Aperçu recyclage</vt:lpstr>
      <vt:lpstr>Tableau récap resp</vt:lpstr>
      <vt:lpstr>Tableau récap agent</vt:lpstr>
      <vt:lpstr>nom</vt:lpstr>
      <vt:lpstr>NomFormetEval</vt:lpstr>
      <vt:lpstr>NomTheme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 Leroy</dc:creator>
  <cp:lastModifiedBy>Micot, Nicolas            UTC CCS</cp:lastModifiedBy>
  <cp:lastPrinted>2018-10-08T21:33:15Z</cp:lastPrinted>
  <dcterms:created xsi:type="dcterms:W3CDTF">2018-09-29T08:49:22Z</dcterms:created>
  <dcterms:modified xsi:type="dcterms:W3CDTF">2018-10-10T13:08:14Z</dcterms:modified>
</cp:coreProperties>
</file>