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comments2.xml" ContentType="application/vnd.openxmlformats-officedocument.spreadsheetml.comments+xml"/>
  <Override PartName="/xl/drawings/drawing3.xml" ContentType="application/vnd.openxmlformats-officedocument.drawing+xml"/>
  <Override PartName="/xl/tables/table2.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omments4.xml" ContentType="application/vnd.openxmlformats-officedocument.spreadsheetml.comments+xml"/>
  <Override PartName="/xl/comments5.xml" ContentType="application/vnd.openxmlformats-officedocument.spreadsheetml.comments+xml"/>
  <Override PartName="/xl/drawings/drawing5.xml" ContentType="application/vnd.openxmlformats-officedocument.drawing+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codeName="{85106AD5-7665-2F1B-BB0A-E31DD656B090}"/>
  <workbookPr showInkAnnotation="0" codeName="ThisWorkbook"/>
  <mc:AlternateContent xmlns:mc="http://schemas.openxmlformats.org/markup-compatibility/2006">
    <mc:Choice Requires="x15">
      <x15ac:absPath xmlns:x15ac="http://schemas.microsoft.com/office/spreadsheetml/2010/11/ac" url="C:\LesDocuments\LesExcels\"/>
    </mc:Choice>
  </mc:AlternateContent>
  <xr:revisionPtr revIDLastSave="0" documentId="13_ncr:1_{65BDAC50-245F-4A81-B58B-745EC600350D}" xr6:coauthVersionLast="45" xr6:coauthVersionMax="45" xr10:uidLastSave="{00000000-0000-0000-0000-000000000000}"/>
  <bookViews>
    <workbookView xWindow="-24120" yWindow="-120" windowWidth="24240" windowHeight="13140" tabRatio="824" firstSheet="1" activeTab="5" xr2:uid="{00000000-000D-0000-FFFF-FFFF00000000}"/>
  </bookViews>
  <sheets>
    <sheet name="LISTES" sheetId="2" state="hidden" r:id="rId1"/>
    <sheet name="MODE EMPLOI" sheetId="21" r:id="rId2"/>
    <sheet name="DONNEES" sheetId="8" r:id="rId3"/>
    <sheet name="CALCUL AVANCE TITULAIRE" sheetId="7" r:id="rId4"/>
    <sheet name="CALCUL AVANCE COTRAITANT" sheetId="22" r:id="rId5"/>
    <sheet name="CPP TITULAIRE-ST" sheetId="17" r:id="rId6"/>
    <sheet name="RECUP AVANCE TITULAIRE " sheetId="6" r:id="rId7"/>
    <sheet name="RESTITUTION AVANCE SUITE DC4" sheetId="14" state="hidden" r:id="rId8"/>
    <sheet name="RECUP AVANCE CO TRAITANT" sheetId="24" state="hidden" r:id="rId9"/>
    <sheet name="ACTUALISATION" sheetId="11" state="hidden" r:id="rId10"/>
    <sheet name="REVISION" sheetId="9" r:id="rId11"/>
  </sheets>
  <externalReferences>
    <externalReference r:id="rId12"/>
  </externalReferences>
  <definedNames>
    <definedName name="_16">LISTES!$M$68:$M$84</definedName>
    <definedName name="_17">LISTES!$M$42:$M$67</definedName>
    <definedName name="_19">LISTES!$M$85:$M$98</definedName>
    <definedName name="_23">LISTES!$M$98:$M$107</definedName>
    <definedName name="_79">LISTES!$M$25:$M$41</definedName>
    <definedName name="_86">LISTES!$M$2:$M$24</definedName>
    <definedName name="_87">LISTES!$M$108:$M$128</definedName>
    <definedName name="_xlnm._FilterDatabase" localSheetId="9" hidden="1">ACTUALISATION!$A$38:$J$50</definedName>
    <definedName name="_xlnm._FilterDatabase" localSheetId="5" hidden="1">'CPP TITULAIRE-ST'!$H$10:$K$17</definedName>
    <definedName name="LYCEES">LISTES!$M1:$M84</definedName>
    <definedName name="LYCEES1" localSheetId="1">[1]LISTES!$M$1:$M$84</definedName>
    <definedName name="LYCEES1">LISTES!$M$1:$M$84</definedName>
    <definedName name="_xlnm.Print_Area" localSheetId="4">'CALCUL AVANCE COTRAITANT'!$A$1:$F$60</definedName>
    <definedName name="_xlnm.Print_Area" localSheetId="3">'CALCUL AVANCE TITULAIRE'!$A$1:$F$62</definedName>
    <definedName name="_xlnm.Print_Area" localSheetId="5">'CPP TITULAIRE-ST'!$A$1:$M$358</definedName>
    <definedName name="_xlnm.Print_Area" localSheetId="2">DONNEES!$A$1:$I$58</definedName>
    <definedName name="_xlnm.Print_Area" localSheetId="1">'MODE EMPLOI'!$A$1:$P$56</definedName>
    <definedName name="_xlnm.Print_Area" localSheetId="8">'RECUP AVANCE CO TRAITANT'!$A$2:$F$37</definedName>
    <definedName name="_xlnm.Print_Area" localSheetId="6">'RECUP AVANCE TITULAIRE '!$A$2:$F$37</definedName>
    <definedName name="_xlnm.Print_Area" localSheetId="7">'RESTITUTION AVANCE SUITE DC4'!$A$1:$K$54</definedName>
    <definedName name="_xlnm.Print_Area" localSheetId="10">REVISION!$A$1:$K$109</definedName>
  </definedNames>
  <calcPr calcId="191029" iterate="1"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84" i="17" l="1"/>
  <c r="G184" i="17"/>
  <c r="F184" i="17"/>
  <c r="E184" i="17"/>
  <c r="D184" i="17"/>
  <c r="H169" i="17"/>
  <c r="G162" i="17"/>
  <c r="H162" i="17" s="1"/>
  <c r="F162" i="17"/>
  <c r="E162" i="17"/>
  <c r="D162" i="17"/>
  <c r="H147" i="17"/>
  <c r="B64" i="9" l="1"/>
  <c r="C64" i="9"/>
  <c r="B65" i="9"/>
  <c r="C65" i="9"/>
  <c r="B66" i="9"/>
  <c r="C66" i="9"/>
  <c r="B67" i="9"/>
  <c r="C67" i="9"/>
  <c r="B68" i="9"/>
  <c r="C68" i="9"/>
  <c r="B69" i="9"/>
  <c r="C69" i="9"/>
  <c r="B70" i="9"/>
  <c r="C70" i="9"/>
  <c r="B71" i="9"/>
  <c r="C71" i="9"/>
  <c r="B72" i="9"/>
  <c r="C72" i="9"/>
  <c r="B73" i="9"/>
  <c r="C73" i="9"/>
  <c r="B74" i="9"/>
  <c r="C74" i="9"/>
  <c r="B75" i="9"/>
  <c r="C75" i="9"/>
  <c r="B76" i="9"/>
  <c r="C76" i="9"/>
  <c r="B77" i="9"/>
  <c r="C77" i="9"/>
  <c r="B78" i="9"/>
  <c r="C78" i="9"/>
  <c r="B79" i="9"/>
  <c r="C79" i="9"/>
  <c r="B80" i="9"/>
  <c r="C80" i="9"/>
  <c r="B81" i="9"/>
  <c r="C81" i="9"/>
  <c r="B82" i="9"/>
  <c r="C82" i="9"/>
  <c r="B83" i="9"/>
  <c r="C83" i="9"/>
  <c r="B84" i="9"/>
  <c r="C84" i="9"/>
  <c r="B85" i="9"/>
  <c r="C85" i="9"/>
  <c r="B86" i="9"/>
  <c r="C86" i="9"/>
  <c r="B87" i="9"/>
  <c r="C87" i="9"/>
  <c r="B88" i="9"/>
  <c r="C88" i="9"/>
  <c r="B89" i="9"/>
  <c r="C89" i="9"/>
  <c r="B90" i="9"/>
  <c r="C90" i="9"/>
  <c r="B91" i="9"/>
  <c r="C91" i="9"/>
  <c r="B92" i="9"/>
  <c r="C92" i="9"/>
  <c r="B93" i="9"/>
  <c r="C93" i="9"/>
  <c r="B94" i="9"/>
  <c r="C94" i="9"/>
  <c r="B95" i="9"/>
  <c r="C95" i="9"/>
  <c r="B96" i="9"/>
  <c r="C96" i="9"/>
  <c r="B97" i="9"/>
  <c r="C97" i="9"/>
  <c r="B98" i="9"/>
  <c r="C98" i="9"/>
  <c r="B99" i="9"/>
  <c r="C99" i="9"/>
  <c r="B100" i="9"/>
  <c r="C100" i="9"/>
  <c r="B101" i="9"/>
  <c r="C101" i="9"/>
  <c r="B102" i="9"/>
  <c r="C102" i="9"/>
  <c r="C63" i="9"/>
  <c r="B63" i="9"/>
  <c r="B8" i="9"/>
  <c r="C8" i="9"/>
  <c r="B9" i="9"/>
  <c r="C9" i="9"/>
  <c r="B10" i="9"/>
  <c r="C10" i="9"/>
  <c r="B11" i="9"/>
  <c r="C11" i="9"/>
  <c r="B12" i="9"/>
  <c r="C12" i="9"/>
  <c r="B13" i="9"/>
  <c r="C13" i="9"/>
  <c r="B14" i="9"/>
  <c r="C14" i="9"/>
  <c r="B15" i="9"/>
  <c r="C15" i="9"/>
  <c r="B16" i="9"/>
  <c r="C16" i="9"/>
  <c r="B17" i="9"/>
  <c r="C17" i="9"/>
  <c r="B18" i="9"/>
  <c r="C18" i="9"/>
  <c r="B19" i="9"/>
  <c r="C19" i="9"/>
  <c r="B20" i="9"/>
  <c r="C20" i="9"/>
  <c r="B21" i="9"/>
  <c r="C21" i="9"/>
  <c r="B22" i="9"/>
  <c r="C22" i="9"/>
  <c r="B23" i="9"/>
  <c r="C23" i="9"/>
  <c r="B24" i="9"/>
  <c r="C24" i="9"/>
  <c r="B25" i="9"/>
  <c r="C25" i="9"/>
  <c r="B26" i="9"/>
  <c r="C26" i="9"/>
  <c r="B27" i="9"/>
  <c r="C27" i="9"/>
  <c r="B28" i="9"/>
  <c r="C28" i="9"/>
  <c r="B29" i="9"/>
  <c r="C29" i="9"/>
  <c r="B30" i="9"/>
  <c r="C30" i="9"/>
  <c r="B31" i="9"/>
  <c r="C31" i="9"/>
  <c r="B32" i="9"/>
  <c r="C32" i="9"/>
  <c r="B33" i="9"/>
  <c r="C33" i="9"/>
  <c r="B34" i="9"/>
  <c r="C34" i="9"/>
  <c r="B35" i="9"/>
  <c r="C35" i="9"/>
  <c r="B36" i="9"/>
  <c r="C36" i="9"/>
  <c r="B37" i="9"/>
  <c r="C37" i="9"/>
  <c r="B38" i="9"/>
  <c r="C38" i="9"/>
  <c r="B39" i="9"/>
  <c r="C39" i="9"/>
  <c r="B40" i="9"/>
  <c r="C40" i="9"/>
  <c r="B41" i="9"/>
  <c r="C41" i="9"/>
  <c r="B42" i="9"/>
  <c r="C42" i="9"/>
  <c r="B43" i="9"/>
  <c r="C43" i="9"/>
  <c r="B44" i="9"/>
  <c r="C44" i="9"/>
  <c r="B45" i="9"/>
  <c r="C45" i="9"/>
  <c r="B46" i="9"/>
  <c r="C46" i="9"/>
  <c r="C7" i="9"/>
  <c r="B7" i="9"/>
  <c r="L26" i="9" l="1"/>
  <c r="L82" i="9"/>
  <c r="L95" i="9"/>
  <c r="L46" i="9"/>
  <c r="L42" i="9"/>
  <c r="L40" i="9"/>
  <c r="L38" i="9"/>
  <c r="L36" i="9"/>
  <c r="L34" i="9"/>
  <c r="L32" i="9"/>
  <c r="L30" i="9"/>
  <c r="L28" i="9"/>
  <c r="L24" i="9"/>
  <c r="L22" i="9"/>
  <c r="L20" i="9"/>
  <c r="L18" i="9"/>
  <c r="L16" i="9"/>
  <c r="L14" i="9"/>
  <c r="L12" i="9"/>
  <c r="L10" i="9"/>
  <c r="L8" i="9"/>
  <c r="L98" i="9"/>
  <c r="L94" i="9"/>
  <c r="L90" i="9"/>
  <c r="L78" i="9"/>
  <c r="L74" i="9"/>
  <c r="L70" i="9"/>
  <c r="L66" i="9"/>
  <c r="L87" i="9"/>
  <c r="L79" i="9"/>
  <c r="L102" i="9"/>
  <c r="L86" i="9"/>
  <c r="L44" i="9"/>
  <c r="L63" i="9"/>
  <c r="L71" i="9"/>
  <c r="L45" i="9"/>
  <c r="L43" i="9"/>
  <c r="L37" i="9"/>
  <c r="L35" i="9"/>
  <c r="L29" i="9"/>
  <c r="L27" i="9"/>
  <c r="L21" i="9"/>
  <c r="L19" i="9"/>
  <c r="L13" i="9"/>
  <c r="L11" i="9"/>
  <c r="L99" i="9"/>
  <c r="L91" i="9"/>
  <c r="L83" i="9"/>
  <c r="L75" i="9"/>
  <c r="L67" i="9"/>
  <c r="L101" i="9"/>
  <c r="L97" i="9"/>
  <c r="L93" i="9"/>
  <c r="L89" i="9"/>
  <c r="L85" i="9"/>
  <c r="L81" i="9"/>
  <c r="L77" i="9"/>
  <c r="L73" i="9"/>
  <c r="L69" i="9"/>
  <c r="L65" i="9"/>
  <c r="L100" i="9"/>
  <c r="L96" i="9"/>
  <c r="L92" i="9"/>
  <c r="L88" i="9"/>
  <c r="L84" i="9"/>
  <c r="L80" i="9"/>
  <c r="L76" i="9"/>
  <c r="L72" i="9"/>
  <c r="L68" i="9"/>
  <c r="L64" i="9"/>
  <c r="L41" i="9"/>
  <c r="L39" i="9"/>
  <c r="L33" i="9"/>
  <c r="L31" i="9"/>
  <c r="L25" i="9"/>
  <c r="L23" i="9"/>
  <c r="L17" i="9"/>
  <c r="L15" i="9"/>
  <c r="L9" i="9"/>
  <c r="L7" i="9"/>
  <c r="D33" i="14"/>
  <c r="U3" i="14"/>
  <c r="U4" i="14"/>
  <c r="U5" i="14"/>
  <c r="U6" i="14"/>
  <c r="U7" i="14"/>
  <c r="U2" i="14"/>
  <c r="H204" i="17" l="1"/>
  <c r="H205" i="17"/>
  <c r="H206" i="17"/>
  <c r="H213" i="17"/>
  <c r="H214" i="17"/>
  <c r="H215" i="17"/>
  <c r="H216" i="17"/>
  <c r="H217" i="17"/>
  <c r="H218" i="17"/>
  <c r="H219" i="17"/>
  <c r="H220" i="17"/>
  <c r="H221" i="17"/>
  <c r="H222" i="17"/>
  <c r="H223" i="17"/>
  <c r="H224" i="17"/>
  <c r="H225" i="17"/>
  <c r="H226" i="17"/>
  <c r="H228" i="17"/>
  <c r="H229" i="17"/>
  <c r="H230" i="17"/>
  <c r="H231" i="17"/>
  <c r="H232" i="17"/>
  <c r="H233" i="17"/>
  <c r="H234" i="17"/>
  <c r="H235" i="17"/>
  <c r="H236" i="17"/>
  <c r="H237" i="17"/>
  <c r="H238" i="17"/>
  <c r="H239" i="17"/>
  <c r="H240" i="17"/>
  <c r="H241" i="17"/>
  <c r="H208" i="17"/>
  <c r="H207" i="17"/>
  <c r="H193" i="17"/>
  <c r="H194" i="17"/>
  <c r="H195" i="17"/>
  <c r="H196" i="17"/>
  <c r="H197" i="17"/>
  <c r="H198" i="17"/>
  <c r="H199" i="17"/>
  <c r="H200" i="17"/>
  <c r="H201" i="17"/>
  <c r="H202" i="17"/>
  <c r="H203" i="17"/>
  <c r="H182" i="17" l="1"/>
  <c r="H160" i="17"/>
  <c r="I14" i="8"/>
  <c r="H243" i="17"/>
  <c r="H242" i="17"/>
  <c r="F16" i="24"/>
  <c r="C16" i="24"/>
  <c r="M7" i="24"/>
  <c r="M6" i="24"/>
  <c r="M5" i="24"/>
  <c r="M4" i="24"/>
  <c r="M3" i="24"/>
  <c r="M2" i="24"/>
  <c r="F16" i="6"/>
  <c r="C16" i="6"/>
  <c r="O18" i="8"/>
  <c r="N18" i="8"/>
  <c r="M3" i="6"/>
  <c r="M4" i="6"/>
  <c r="M5" i="6"/>
  <c r="M6" i="6"/>
  <c r="M7" i="6"/>
  <c r="M2" i="6"/>
  <c r="F46" i="7"/>
  <c r="F35" i="7"/>
  <c r="F39" i="7"/>
  <c r="M3" i="7"/>
  <c r="M4" i="7"/>
  <c r="F36" i="7" s="1"/>
  <c r="M5" i="7"/>
  <c r="F48" i="7" s="1"/>
  <c r="M6" i="7"/>
  <c r="F49" i="7" s="1"/>
  <c r="M7" i="7"/>
  <c r="F50" i="7" s="1"/>
  <c r="M2" i="7"/>
  <c r="F47" i="7" l="1"/>
  <c r="F38" i="7"/>
  <c r="F37" i="7"/>
  <c r="F7" i="24"/>
  <c r="C7" i="24"/>
  <c r="B5" i="24"/>
  <c r="K36" i="14"/>
  <c r="I36" i="14"/>
  <c r="I64" i="9"/>
  <c r="J64" i="9"/>
  <c r="I65" i="9"/>
  <c r="J65" i="9"/>
  <c r="I66" i="9"/>
  <c r="J66" i="9"/>
  <c r="I67" i="9"/>
  <c r="J67" i="9"/>
  <c r="I68" i="9"/>
  <c r="J68" i="9"/>
  <c r="I69" i="9"/>
  <c r="J69" i="9"/>
  <c r="I70" i="9"/>
  <c r="J70" i="9"/>
  <c r="I71" i="9"/>
  <c r="J71" i="9"/>
  <c r="I72" i="9"/>
  <c r="J72" i="9"/>
  <c r="I73" i="9"/>
  <c r="J73" i="9"/>
  <c r="I74" i="9"/>
  <c r="J74" i="9"/>
  <c r="I75" i="9"/>
  <c r="J75" i="9"/>
  <c r="I76" i="9"/>
  <c r="J76" i="9"/>
  <c r="I77" i="9"/>
  <c r="J77" i="9"/>
  <c r="I78" i="9"/>
  <c r="J78" i="9"/>
  <c r="I79" i="9"/>
  <c r="J79" i="9"/>
  <c r="I80" i="9"/>
  <c r="J80" i="9"/>
  <c r="I81" i="9"/>
  <c r="J81" i="9"/>
  <c r="I82" i="9"/>
  <c r="J82" i="9"/>
  <c r="I83" i="9"/>
  <c r="J83" i="9"/>
  <c r="I84" i="9"/>
  <c r="J84" i="9"/>
  <c r="I85" i="9"/>
  <c r="J85" i="9"/>
  <c r="I86" i="9"/>
  <c r="J86" i="9"/>
  <c r="I87" i="9"/>
  <c r="J87" i="9"/>
  <c r="I88" i="9"/>
  <c r="J88" i="9"/>
  <c r="I89" i="9"/>
  <c r="J89" i="9"/>
  <c r="I90" i="9"/>
  <c r="J90" i="9"/>
  <c r="I91" i="9"/>
  <c r="J91" i="9"/>
  <c r="I92" i="9"/>
  <c r="J92" i="9"/>
  <c r="I93" i="9"/>
  <c r="J93" i="9"/>
  <c r="I94" i="9"/>
  <c r="J94" i="9"/>
  <c r="I95" i="9"/>
  <c r="J95" i="9"/>
  <c r="I96" i="9"/>
  <c r="J96" i="9"/>
  <c r="I97" i="9"/>
  <c r="J97" i="9"/>
  <c r="I98" i="9"/>
  <c r="J98" i="9"/>
  <c r="I99" i="9"/>
  <c r="J99" i="9"/>
  <c r="I100" i="9"/>
  <c r="J100" i="9"/>
  <c r="I101" i="9"/>
  <c r="J101" i="9"/>
  <c r="I102" i="9"/>
  <c r="J102"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38" i="9"/>
  <c r="J39" i="9"/>
  <c r="J40" i="9"/>
  <c r="J41" i="9"/>
  <c r="J42" i="9"/>
  <c r="J43" i="9"/>
  <c r="J44" i="9"/>
  <c r="J45" i="9"/>
  <c r="J46"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L105" i="9"/>
  <c r="L104" i="9"/>
  <c r="L103" i="9"/>
  <c r="L49" i="9"/>
  <c r="L48" i="9"/>
  <c r="L47" i="9"/>
  <c r="H14" i="8"/>
  <c r="H13" i="8"/>
  <c r="D150" i="17"/>
  <c r="E150" i="17"/>
  <c r="D17" i="11"/>
  <c r="E43" i="11" s="1"/>
  <c r="D33" i="11"/>
  <c r="E35" i="11" s="1"/>
  <c r="D30" i="11"/>
  <c r="F31" i="11" s="1"/>
  <c r="D27" i="11"/>
  <c r="F28" i="11" s="1"/>
  <c r="D24" i="11"/>
  <c r="F25" i="11" s="1"/>
  <c r="D21" i="11"/>
  <c r="E22" i="11" s="1"/>
  <c r="D18" i="11"/>
  <c r="E18" i="11" s="1"/>
  <c r="D14" i="11"/>
  <c r="E14" i="11" s="1"/>
  <c r="D15" i="11"/>
  <c r="E23" i="11" l="1"/>
  <c r="E24" i="11"/>
  <c r="E34" i="11"/>
  <c r="H192" i="17"/>
  <c r="E28" i="11"/>
  <c r="E16" i="11"/>
  <c r="E27" i="11"/>
  <c r="F15" i="11"/>
  <c r="E17" i="11"/>
  <c r="E29" i="11"/>
  <c r="E19" i="11"/>
  <c r="E32" i="11"/>
  <c r="E21" i="11"/>
  <c r="E31" i="11"/>
  <c r="E20" i="11"/>
  <c r="E26" i="11"/>
  <c r="E33" i="11"/>
  <c r="E25" i="11"/>
  <c r="E30" i="11"/>
  <c r="E15" i="11"/>
  <c r="E45" i="11"/>
  <c r="E42" i="11"/>
  <c r="E46" i="11"/>
  <c r="E41" i="11"/>
  <c r="E44" i="11"/>
  <c r="F19" i="11"/>
  <c r="F34" i="11"/>
  <c r="E40" i="11"/>
  <c r="F22" i="11"/>
  <c r="C40" i="11"/>
  <c r="B40" i="11"/>
  <c r="E172" i="17"/>
  <c r="E173" i="17"/>
  <c r="C58" i="11" s="1"/>
  <c r="E174" i="17"/>
  <c r="C59" i="11" s="1"/>
  <c r="E175" i="17"/>
  <c r="C60" i="11" s="1"/>
  <c r="E176" i="17"/>
  <c r="C61" i="11" s="1"/>
  <c r="E177" i="17"/>
  <c r="C62" i="11" s="1"/>
  <c r="E178" i="17"/>
  <c r="C63" i="11" s="1"/>
  <c r="E179" i="17"/>
  <c r="D178" i="17"/>
  <c r="B63" i="11" s="1"/>
  <c r="D177" i="17"/>
  <c r="B62" i="11" s="1"/>
  <c r="D176" i="17"/>
  <c r="B61" i="11" s="1"/>
  <c r="D175" i="17"/>
  <c r="B60" i="11" s="1"/>
  <c r="D174" i="17"/>
  <c r="B59" i="11" s="1"/>
  <c r="D173" i="17"/>
  <c r="B58" i="11" s="1"/>
  <c r="D172" i="17"/>
  <c r="E151" i="17"/>
  <c r="E152" i="17"/>
  <c r="C42" i="11" s="1"/>
  <c r="E153" i="17"/>
  <c r="C43" i="11" s="1"/>
  <c r="E154" i="17"/>
  <c r="C44" i="11" s="1"/>
  <c r="E155" i="17"/>
  <c r="C45" i="11" s="1"/>
  <c r="E156" i="17"/>
  <c r="C46" i="11" s="1"/>
  <c r="E157" i="17"/>
  <c r="D156" i="17"/>
  <c r="B46" i="11" s="1"/>
  <c r="D155" i="17"/>
  <c r="B45" i="11" s="1"/>
  <c r="D154" i="17"/>
  <c r="B44" i="11" s="1"/>
  <c r="D153" i="17"/>
  <c r="B43" i="11" s="1"/>
  <c r="D152" i="17"/>
  <c r="B42" i="11" s="1"/>
  <c r="D151" i="17"/>
  <c r="D157" i="17"/>
  <c r="E352" i="17"/>
  <c r="H352" i="17" s="1"/>
  <c r="E353" i="17"/>
  <c r="H353" i="17" s="1"/>
  <c r="E354" i="17"/>
  <c r="H354" i="17" s="1"/>
  <c r="E355" i="17"/>
  <c r="H355" i="17" s="1"/>
  <c r="E356" i="17"/>
  <c r="H356" i="17" s="1"/>
  <c r="E351" i="17"/>
  <c r="H351" i="17" s="1"/>
  <c r="E346" i="17"/>
  <c r="H346" i="17" s="1"/>
  <c r="E347" i="17"/>
  <c r="H347" i="17" s="1"/>
  <c r="E348" i="17"/>
  <c r="H348" i="17" s="1"/>
  <c r="E349" i="17"/>
  <c r="H349" i="17" s="1"/>
  <c r="E350" i="17"/>
  <c r="H350" i="17" s="1"/>
  <c r="E345" i="17"/>
  <c r="H345" i="17" s="1"/>
  <c r="E340" i="17"/>
  <c r="H340" i="17" s="1"/>
  <c r="E341" i="17"/>
  <c r="H341" i="17" s="1"/>
  <c r="E342" i="17"/>
  <c r="H342" i="17" s="1"/>
  <c r="E343" i="17"/>
  <c r="H343" i="17" s="1"/>
  <c r="E344" i="17"/>
  <c r="H344" i="17" s="1"/>
  <c r="E339" i="17"/>
  <c r="H339" i="17" s="1"/>
  <c r="E334" i="17"/>
  <c r="H334" i="17" s="1"/>
  <c r="E335" i="17"/>
  <c r="H335" i="17" s="1"/>
  <c r="E336" i="17"/>
  <c r="H336" i="17" s="1"/>
  <c r="E337" i="17"/>
  <c r="H337" i="17" s="1"/>
  <c r="E338" i="17"/>
  <c r="H338" i="17" s="1"/>
  <c r="E333" i="17"/>
  <c r="H333" i="17" s="1"/>
  <c r="E328" i="17"/>
  <c r="H328" i="17" s="1"/>
  <c r="E329" i="17"/>
  <c r="H329" i="17" s="1"/>
  <c r="E330" i="17"/>
  <c r="H330" i="17" s="1"/>
  <c r="E331" i="17"/>
  <c r="H331" i="17" s="1"/>
  <c r="E332" i="17"/>
  <c r="H332" i="17" s="1"/>
  <c r="E327" i="17"/>
  <c r="H327" i="17" s="1"/>
  <c r="E322" i="17"/>
  <c r="H322" i="17" s="1"/>
  <c r="E323" i="17"/>
  <c r="H323" i="17" s="1"/>
  <c r="E324" i="17"/>
  <c r="H324" i="17" s="1"/>
  <c r="E325" i="17"/>
  <c r="H325" i="17" s="1"/>
  <c r="E326" i="17"/>
  <c r="H326" i="17" s="1"/>
  <c r="E321" i="17"/>
  <c r="H321" i="17" s="1"/>
  <c r="E316" i="17"/>
  <c r="H316" i="17" s="1"/>
  <c r="E317" i="17"/>
  <c r="H317" i="17" s="1"/>
  <c r="E318" i="17"/>
  <c r="H318" i="17" s="1"/>
  <c r="E319" i="17"/>
  <c r="H319" i="17" s="1"/>
  <c r="E320" i="17"/>
  <c r="H320" i="17" s="1"/>
  <c r="E315" i="17"/>
  <c r="H315" i="17" s="1"/>
  <c r="E267" i="17"/>
  <c r="E268" i="17"/>
  <c r="E269" i="17"/>
  <c r="E270" i="17"/>
  <c r="E271" i="17"/>
  <c r="E272" i="17"/>
  <c r="E273" i="17"/>
  <c r="E274" i="17"/>
  <c r="E275" i="17"/>
  <c r="E276" i="17"/>
  <c r="E277" i="17"/>
  <c r="E278" i="17"/>
  <c r="E279" i="17"/>
  <c r="E280" i="17"/>
  <c r="E281" i="17"/>
  <c r="E282" i="17"/>
  <c r="E283" i="17"/>
  <c r="E284" i="17"/>
  <c r="E285" i="17"/>
  <c r="E286" i="17"/>
  <c r="E287" i="17"/>
  <c r="E288" i="17"/>
  <c r="E289" i="17"/>
  <c r="E290" i="17"/>
  <c r="E291" i="17"/>
  <c r="E292" i="17"/>
  <c r="E293" i="17"/>
  <c r="E294" i="17"/>
  <c r="E295" i="17"/>
  <c r="E296" i="17"/>
  <c r="E297" i="17"/>
  <c r="E298" i="17"/>
  <c r="E299" i="17"/>
  <c r="E300" i="17"/>
  <c r="E301" i="17"/>
  <c r="E302" i="17"/>
  <c r="E303" i="17"/>
  <c r="E304" i="17"/>
  <c r="E305" i="17"/>
  <c r="E306" i="17"/>
  <c r="E307" i="17"/>
  <c r="E308" i="17"/>
  <c r="E309" i="17"/>
  <c r="H309" i="17" s="1"/>
  <c r="E310" i="17"/>
  <c r="H310" i="17" s="1"/>
  <c r="E311" i="17"/>
  <c r="H311" i="17" s="1"/>
  <c r="E312" i="17"/>
  <c r="H312" i="17" s="1"/>
  <c r="E313" i="17"/>
  <c r="H313" i="17" s="1"/>
  <c r="E314" i="17"/>
  <c r="H314" i="17" s="1"/>
  <c r="M125" i="17"/>
  <c r="L125" i="17"/>
  <c r="M124" i="17"/>
  <c r="L124" i="17"/>
  <c r="M123" i="17"/>
  <c r="L123" i="17"/>
  <c r="M122" i="17"/>
  <c r="L122" i="17"/>
  <c r="M121" i="17"/>
  <c r="L121" i="17"/>
  <c r="M120" i="17"/>
  <c r="L120" i="17"/>
  <c r="M119" i="17"/>
  <c r="L119" i="17"/>
  <c r="M118" i="17"/>
  <c r="L118" i="17"/>
  <c r="M117" i="17"/>
  <c r="L117" i="17"/>
  <c r="M116" i="17"/>
  <c r="L116" i="17"/>
  <c r="M115" i="17"/>
  <c r="L115" i="17"/>
  <c r="H250" i="17"/>
  <c r="H249" i="17"/>
  <c r="B57" i="11" l="1"/>
  <c r="H212" i="17"/>
  <c r="H209" i="17"/>
  <c r="C57" i="11"/>
  <c r="C41" i="11"/>
  <c r="B41" i="11"/>
  <c r="E59" i="11"/>
  <c r="E63" i="11"/>
  <c r="E60" i="11"/>
  <c r="E57" i="11"/>
  <c r="E61" i="11"/>
  <c r="E58" i="11"/>
  <c r="E62" i="11"/>
  <c r="M29" i="17" l="1"/>
  <c r="F14" i="6" s="1"/>
  <c r="M30" i="17"/>
  <c r="M31" i="17"/>
  <c r="M32" i="17"/>
  <c r="M33" i="17"/>
  <c r="M34" i="17"/>
  <c r="M35" i="17"/>
  <c r="M36" i="17"/>
  <c r="M37" i="17"/>
  <c r="M38" i="17"/>
  <c r="M39" i="17"/>
  <c r="M40" i="17"/>
  <c r="M41" i="17"/>
  <c r="M42" i="17"/>
  <c r="M43" i="17"/>
  <c r="M44" i="17"/>
  <c r="M45" i="17"/>
  <c r="M46" i="17"/>
  <c r="M47" i="17"/>
  <c r="M48" i="17"/>
  <c r="M49" i="17"/>
  <c r="M50" i="17"/>
  <c r="M51" i="17"/>
  <c r="M52" i="17"/>
  <c r="M53" i="17"/>
  <c r="M54" i="17"/>
  <c r="M55" i="17"/>
  <c r="M56" i="17"/>
  <c r="M57" i="17"/>
  <c r="M58" i="17"/>
  <c r="M59" i="17"/>
  <c r="M60" i="17"/>
  <c r="M61" i="17"/>
  <c r="M62" i="17"/>
  <c r="M63" i="17"/>
  <c r="M64" i="17"/>
  <c r="M65" i="17"/>
  <c r="M66" i="17"/>
  <c r="M67" i="17"/>
  <c r="M68" i="17"/>
  <c r="M69" i="17"/>
  <c r="M70" i="17"/>
  <c r="M71" i="17"/>
  <c r="M72" i="17"/>
  <c r="M73" i="17"/>
  <c r="M74" i="17"/>
  <c r="M75" i="17"/>
  <c r="M76" i="17"/>
  <c r="M77" i="17"/>
  <c r="M78" i="17"/>
  <c r="M79" i="17"/>
  <c r="M80" i="17"/>
  <c r="M81" i="17"/>
  <c r="M82" i="17"/>
  <c r="M83" i="17"/>
  <c r="M84" i="17"/>
  <c r="M85" i="17"/>
  <c r="F14" i="24" s="1"/>
  <c r="M86" i="17"/>
  <c r="M87" i="17"/>
  <c r="M88" i="17"/>
  <c r="M89" i="17"/>
  <c r="M90" i="17"/>
  <c r="M91" i="17"/>
  <c r="M92" i="17"/>
  <c r="M93" i="17"/>
  <c r="M94" i="17"/>
  <c r="M95" i="17"/>
  <c r="M96" i="17"/>
  <c r="M97" i="17"/>
  <c r="M98" i="17"/>
  <c r="M99" i="17"/>
  <c r="M100" i="17"/>
  <c r="M101" i="17"/>
  <c r="M102" i="17"/>
  <c r="M103" i="17"/>
  <c r="M104" i="17"/>
  <c r="M105" i="17"/>
  <c r="M106" i="17"/>
  <c r="M107" i="17"/>
  <c r="M108" i="17"/>
  <c r="M109" i="17"/>
  <c r="M110" i="17"/>
  <c r="M111" i="17"/>
  <c r="M112" i="17"/>
  <c r="M113" i="17"/>
  <c r="M114" i="17"/>
  <c r="M126" i="17"/>
  <c r="M127" i="17"/>
  <c r="M128" i="17"/>
  <c r="M129" i="17"/>
  <c r="M130" i="17"/>
  <c r="M131" i="17"/>
  <c r="M132" i="17"/>
  <c r="M133" i="17"/>
  <c r="M134" i="17"/>
  <c r="M135" i="17"/>
  <c r="M136" i="17"/>
  <c r="M137" i="17"/>
  <c r="M138" i="17"/>
  <c r="M139" i="17"/>
  <c r="M140" i="17"/>
  <c r="L29" i="17"/>
  <c r="C14" i="6" s="1"/>
  <c r="L30" i="17"/>
  <c r="L31" i="17"/>
  <c r="L32" i="17"/>
  <c r="L33" i="17"/>
  <c r="L34" i="17"/>
  <c r="L35" i="17"/>
  <c r="L36" i="17"/>
  <c r="L37" i="17"/>
  <c r="L38" i="17"/>
  <c r="L39" i="17"/>
  <c r="L40" i="17"/>
  <c r="L41" i="17"/>
  <c r="L42" i="17"/>
  <c r="L43" i="17"/>
  <c r="L44" i="17"/>
  <c r="L45" i="17"/>
  <c r="L46" i="17"/>
  <c r="L47" i="17"/>
  <c r="L48" i="17"/>
  <c r="L49" i="17"/>
  <c r="L50" i="17"/>
  <c r="L51" i="17"/>
  <c r="L52" i="17"/>
  <c r="L53" i="17"/>
  <c r="L54" i="17"/>
  <c r="L55" i="17"/>
  <c r="L56" i="17"/>
  <c r="L57" i="17"/>
  <c r="L58" i="17"/>
  <c r="L59" i="17"/>
  <c r="L60" i="17"/>
  <c r="L61" i="17"/>
  <c r="L62" i="17"/>
  <c r="L63" i="17"/>
  <c r="L64" i="17"/>
  <c r="L65" i="17"/>
  <c r="L66" i="17"/>
  <c r="L67" i="17"/>
  <c r="L68" i="17"/>
  <c r="L69" i="17"/>
  <c r="L70" i="17"/>
  <c r="L71" i="17"/>
  <c r="L72" i="17"/>
  <c r="L73" i="17"/>
  <c r="L74" i="17"/>
  <c r="L75" i="17"/>
  <c r="L76" i="17"/>
  <c r="L77" i="17"/>
  <c r="L78" i="17"/>
  <c r="L79" i="17"/>
  <c r="L80" i="17"/>
  <c r="L81" i="17"/>
  <c r="L82" i="17"/>
  <c r="L83" i="17"/>
  <c r="L84" i="17"/>
  <c r="L85" i="17"/>
  <c r="C14" i="24" s="1"/>
  <c r="L86" i="17"/>
  <c r="L87" i="17"/>
  <c r="L88" i="17"/>
  <c r="L89" i="17"/>
  <c r="L90" i="17"/>
  <c r="L91" i="17"/>
  <c r="L92" i="17"/>
  <c r="L93" i="17"/>
  <c r="L94" i="17"/>
  <c r="L95" i="17"/>
  <c r="L96" i="17"/>
  <c r="L97" i="17"/>
  <c r="L98" i="17"/>
  <c r="L99" i="17"/>
  <c r="L100" i="17"/>
  <c r="L101" i="17"/>
  <c r="L102" i="17"/>
  <c r="L103" i="17"/>
  <c r="L104" i="17"/>
  <c r="L105" i="17"/>
  <c r="L106" i="17"/>
  <c r="L107" i="17"/>
  <c r="L108" i="17"/>
  <c r="L109" i="17"/>
  <c r="L110" i="17"/>
  <c r="L111" i="17"/>
  <c r="L112" i="17"/>
  <c r="L113" i="17"/>
  <c r="L114" i="17"/>
  <c r="L126" i="17"/>
  <c r="L127" i="17"/>
  <c r="L128" i="17"/>
  <c r="L129" i="17"/>
  <c r="L130" i="17"/>
  <c r="L131" i="17"/>
  <c r="L132" i="17"/>
  <c r="L133" i="17"/>
  <c r="L134" i="17"/>
  <c r="L135" i="17"/>
  <c r="L136" i="17"/>
  <c r="L137" i="17"/>
  <c r="L138" i="17"/>
  <c r="L139" i="17"/>
  <c r="L140" i="17"/>
  <c r="C18" i="24" l="1"/>
  <c r="F18" i="24"/>
  <c r="E265" i="17"/>
  <c r="H265" i="17" s="1"/>
  <c r="E264" i="17"/>
  <c r="H251" i="17" l="1"/>
  <c r="D179" i="17" l="1"/>
  <c r="G4" i="17"/>
  <c r="H4" i="17"/>
  <c r="E13" i="17"/>
  <c r="E14" i="17"/>
  <c r="E15" i="17"/>
  <c r="E16" i="17"/>
  <c r="E17" i="17"/>
  <c r="E18" i="17"/>
  <c r="E19" i="17"/>
  <c r="E20" i="17"/>
  <c r="E12" i="17"/>
  <c r="D13" i="17"/>
  <c r="D14" i="17"/>
  <c r="D15" i="17"/>
  <c r="D16" i="17"/>
  <c r="D17" i="17"/>
  <c r="D18" i="17"/>
  <c r="D19" i="17"/>
  <c r="D20" i="17"/>
  <c r="D12" i="17"/>
  <c r="G180" i="17"/>
  <c r="G181" i="17" s="1"/>
  <c r="G183" i="17" s="1"/>
  <c r="F180" i="17"/>
  <c r="H171" i="17"/>
  <c r="H170" i="17"/>
  <c r="I171" i="17" l="1"/>
  <c r="H179" i="17"/>
  <c r="F181" i="17"/>
  <c r="F183" i="17" s="1"/>
  <c r="R11" i="8"/>
  <c r="Q11" i="8"/>
  <c r="R10" i="8"/>
  <c r="Q10" i="8"/>
  <c r="R9" i="8"/>
  <c r="Q9" i="8"/>
  <c r="R8" i="8"/>
  <c r="Q8" i="8"/>
  <c r="R7" i="8"/>
  <c r="Q7" i="8"/>
  <c r="R6" i="8"/>
  <c r="Q6" i="8"/>
  <c r="R5" i="8"/>
  <c r="Q5" i="8"/>
  <c r="O11" i="8"/>
  <c r="N11" i="8"/>
  <c r="O10" i="8"/>
  <c r="N10" i="8"/>
  <c r="O9" i="8"/>
  <c r="N9" i="8"/>
  <c r="O8" i="8"/>
  <c r="N8" i="8"/>
  <c r="O7" i="8"/>
  <c r="N7" i="8"/>
  <c r="C15" i="22"/>
  <c r="B15" i="7"/>
  <c r="A322" i="8"/>
  <c r="C127" i="17" s="1"/>
  <c r="A315" i="8"/>
  <c r="C120" i="17" s="1"/>
  <c r="A308" i="8"/>
  <c r="C113" i="17" s="1"/>
  <c r="A301" i="8"/>
  <c r="C106" i="17" s="1"/>
  <c r="B281" i="8"/>
  <c r="B282" i="8"/>
  <c r="B283" i="8"/>
  <c r="B284" i="8"/>
  <c r="B285" i="8"/>
  <c r="B286" i="8"/>
  <c r="B287" i="8"/>
  <c r="B288" i="8"/>
  <c r="B289" i="8"/>
  <c r="B290" i="8"/>
  <c r="B291" i="8"/>
  <c r="B292" i="8"/>
  <c r="B293" i="8"/>
  <c r="B294" i="8"/>
  <c r="B295" i="8"/>
  <c r="B296" i="8"/>
  <c r="B297" i="8"/>
  <c r="B298" i="8"/>
  <c r="B299" i="8"/>
  <c r="B300" i="8"/>
  <c r="B301" i="8"/>
  <c r="B302" i="8"/>
  <c r="B303" i="8"/>
  <c r="B304" i="8"/>
  <c r="B305" i="8"/>
  <c r="B306" i="8"/>
  <c r="B307" i="8"/>
  <c r="B308" i="8"/>
  <c r="B309" i="8"/>
  <c r="B310" i="8"/>
  <c r="B311" i="8"/>
  <c r="B312" i="8"/>
  <c r="B313" i="8"/>
  <c r="B314" i="8"/>
  <c r="B315" i="8"/>
  <c r="B316" i="8"/>
  <c r="B317" i="8"/>
  <c r="B318" i="8"/>
  <c r="B319" i="8"/>
  <c r="B320" i="8"/>
  <c r="B321" i="8"/>
  <c r="B322" i="8"/>
  <c r="B323" i="8"/>
  <c r="B324" i="8"/>
  <c r="B325" i="8"/>
  <c r="B326" i="8"/>
  <c r="B327" i="8"/>
  <c r="B328" i="8"/>
  <c r="B329" i="8"/>
  <c r="B330" i="8"/>
  <c r="B331" i="8"/>
  <c r="B332" i="8"/>
  <c r="B333" i="8"/>
  <c r="B334" i="8"/>
  <c r="B335" i="8"/>
  <c r="B280" i="8"/>
  <c r="A294" i="8"/>
  <c r="C99" i="17" s="1"/>
  <c r="A287" i="8"/>
  <c r="C92" i="17" s="1"/>
  <c r="F8" i="24" l="1"/>
  <c r="C8" i="24"/>
  <c r="E10" i="17"/>
  <c r="D10" i="17"/>
  <c r="F227" i="17" l="1"/>
  <c r="G186" i="17"/>
  <c r="D164" i="17"/>
  <c r="F186" i="17"/>
  <c r="D186" i="17"/>
  <c r="G164" i="17"/>
  <c r="I48" i="11" s="1"/>
  <c r="F164" i="17"/>
  <c r="D227" i="17"/>
  <c r="G227" i="17"/>
  <c r="E186" i="17"/>
  <c r="E164" i="17"/>
  <c r="E227" i="17"/>
  <c r="I65" i="11"/>
  <c r="F41" i="7"/>
  <c r="F51" i="22"/>
  <c r="F52" i="7"/>
  <c r="F41" i="22"/>
  <c r="F185" i="17"/>
  <c r="G185" i="17"/>
  <c r="P33" i="17"/>
  <c r="P37" i="17"/>
  <c r="P41" i="17"/>
  <c r="P45" i="17"/>
  <c r="P49" i="17"/>
  <c r="P53" i="17"/>
  <c r="P57" i="17"/>
  <c r="P61" i="17"/>
  <c r="P65" i="17"/>
  <c r="P69" i="17"/>
  <c r="P73" i="17"/>
  <c r="P77" i="17"/>
  <c r="P81" i="17"/>
  <c r="P85" i="17"/>
  <c r="P89" i="17"/>
  <c r="P93" i="17"/>
  <c r="P97" i="17"/>
  <c r="P101" i="17"/>
  <c r="P105" i="17"/>
  <c r="P109" i="17"/>
  <c r="P113" i="17"/>
  <c r="P117" i="17"/>
  <c r="P121" i="17"/>
  <c r="P125" i="17"/>
  <c r="P129" i="17"/>
  <c r="P133" i="17"/>
  <c r="P137" i="17"/>
  <c r="P29" i="17"/>
  <c r="P138" i="17"/>
  <c r="P36" i="17"/>
  <c r="P40" i="17"/>
  <c r="P48" i="17"/>
  <c r="P52" i="17"/>
  <c r="P60" i="17"/>
  <c r="P68" i="17"/>
  <c r="P72" i="17"/>
  <c r="P30" i="17"/>
  <c r="P34" i="17"/>
  <c r="P38" i="17"/>
  <c r="P42" i="17"/>
  <c r="P46" i="17"/>
  <c r="P50" i="17"/>
  <c r="P54" i="17"/>
  <c r="P58" i="17"/>
  <c r="P62" i="17"/>
  <c r="P66" i="17"/>
  <c r="P70" i="17"/>
  <c r="P74" i="17"/>
  <c r="P78" i="17"/>
  <c r="P82" i="17"/>
  <c r="P86" i="17"/>
  <c r="P90" i="17"/>
  <c r="P94" i="17"/>
  <c r="P98" i="17"/>
  <c r="P102" i="17"/>
  <c r="P106" i="17"/>
  <c r="P110" i="17"/>
  <c r="P114" i="17"/>
  <c r="P118" i="17"/>
  <c r="P122" i="17"/>
  <c r="P126" i="17"/>
  <c r="P130" i="17"/>
  <c r="P134" i="17"/>
  <c r="P31" i="17"/>
  <c r="P35" i="17"/>
  <c r="P39" i="17"/>
  <c r="P43" i="17"/>
  <c r="P47" i="17"/>
  <c r="P51" i="17"/>
  <c r="P55" i="17"/>
  <c r="P59" i="17"/>
  <c r="P63" i="17"/>
  <c r="P67" i="17"/>
  <c r="P71" i="17"/>
  <c r="P75" i="17"/>
  <c r="P79" i="17"/>
  <c r="P83" i="17"/>
  <c r="P87" i="17"/>
  <c r="P91" i="17"/>
  <c r="P95" i="17"/>
  <c r="P99" i="17"/>
  <c r="P103" i="17"/>
  <c r="P107" i="17"/>
  <c r="P111" i="17"/>
  <c r="P115" i="17"/>
  <c r="P119" i="17"/>
  <c r="P123" i="17"/>
  <c r="P127" i="17"/>
  <c r="P131" i="17"/>
  <c r="P135" i="17"/>
  <c r="P139" i="17"/>
  <c r="P32" i="17"/>
  <c r="P44" i="17"/>
  <c r="P56" i="17"/>
  <c r="P64" i="17"/>
  <c r="P76" i="17"/>
  <c r="P92" i="17"/>
  <c r="P108" i="17"/>
  <c r="P124" i="17"/>
  <c r="P140" i="17"/>
  <c r="P128" i="17"/>
  <c r="P84" i="17"/>
  <c r="P116" i="17"/>
  <c r="P88" i="17"/>
  <c r="P104" i="17"/>
  <c r="P136" i="17"/>
  <c r="P80" i="17"/>
  <c r="P96" i="17"/>
  <c r="P112" i="17"/>
  <c r="P100" i="17"/>
  <c r="P132" i="17"/>
  <c r="P120" i="17"/>
  <c r="F165" i="17"/>
  <c r="D166" i="17"/>
  <c r="L27" i="17"/>
  <c r="F166" i="17"/>
  <c r="F188" i="17"/>
  <c r="D165" i="17"/>
  <c r="D188" i="17"/>
  <c r="D187" i="17"/>
  <c r="M27" i="17"/>
  <c r="E187" i="17"/>
  <c r="G166" i="17"/>
  <c r="G188" i="17"/>
  <c r="E188" i="17"/>
  <c r="E165" i="17"/>
  <c r="G165" i="17"/>
  <c r="E166" i="17"/>
  <c r="G187" i="17"/>
  <c r="D145" i="17"/>
  <c r="E145" i="17"/>
  <c r="I27" i="17"/>
  <c r="J27" i="17"/>
  <c r="F27" i="17"/>
  <c r="G27" i="17"/>
  <c r="H304" i="17"/>
  <c r="H305" i="17"/>
  <c r="H306" i="17"/>
  <c r="H307" i="17"/>
  <c r="H308" i="17"/>
  <c r="H303" i="17"/>
  <c r="H298" i="17"/>
  <c r="H299" i="17"/>
  <c r="H300" i="17"/>
  <c r="H301" i="17"/>
  <c r="H302" i="17"/>
  <c r="H297" i="17"/>
  <c r="H292" i="17"/>
  <c r="H293" i="17"/>
  <c r="H294" i="17"/>
  <c r="H295" i="17"/>
  <c r="H296" i="17"/>
  <c r="H291" i="17"/>
  <c r="H286" i="17"/>
  <c r="H287" i="17"/>
  <c r="H288" i="17"/>
  <c r="H289" i="17"/>
  <c r="H290" i="17"/>
  <c r="H285" i="17"/>
  <c r="H280" i="17"/>
  <c r="H281" i="17"/>
  <c r="H282" i="17"/>
  <c r="H283" i="17"/>
  <c r="H284" i="17"/>
  <c r="H279" i="17"/>
  <c r="H274" i="17"/>
  <c r="H275" i="17"/>
  <c r="H276" i="17"/>
  <c r="H277" i="17"/>
  <c r="H278" i="17"/>
  <c r="H268" i="17"/>
  <c r="H269" i="17"/>
  <c r="H270" i="17"/>
  <c r="H271" i="17"/>
  <c r="H272" i="17"/>
  <c r="H267" i="17"/>
  <c r="H273" i="17"/>
  <c r="H227" i="17" l="1"/>
  <c r="E244" i="17" s="1"/>
  <c r="H244" i="17" s="1"/>
  <c r="E248" i="17"/>
  <c r="H248" i="17" s="1"/>
  <c r="H65" i="11"/>
  <c r="J65" i="11" s="1"/>
  <c r="H186" i="17"/>
  <c r="H164" i="17"/>
  <c r="H48" i="11"/>
  <c r="J48" i="11" s="1"/>
  <c r="F145" i="17"/>
  <c r="F187" i="17" s="1"/>
  <c r="G145" i="17"/>
  <c r="Q22" i="8" l="1"/>
  <c r="Q21" i="8"/>
  <c r="Q20" i="8"/>
  <c r="Q19" i="8"/>
  <c r="Q18" i="8"/>
  <c r="Q17" i="8"/>
  <c r="P22" i="8"/>
  <c r="P21" i="8"/>
  <c r="P20" i="8"/>
  <c r="P19" i="8"/>
  <c r="P18" i="8"/>
  <c r="P17" i="8"/>
  <c r="E330" i="8"/>
  <c r="F135" i="17" s="1"/>
  <c r="F330" i="8"/>
  <c r="G135" i="17" s="1"/>
  <c r="E331" i="8"/>
  <c r="F136" i="17" s="1"/>
  <c r="F331" i="8"/>
  <c r="G136" i="17" s="1"/>
  <c r="E332" i="8"/>
  <c r="F137" i="17" s="1"/>
  <c r="F332" i="8"/>
  <c r="G137" i="17" s="1"/>
  <c r="E333" i="8"/>
  <c r="F138" i="17" s="1"/>
  <c r="F333" i="8"/>
  <c r="G138" i="17" s="1"/>
  <c r="E334" i="8"/>
  <c r="F139" i="17" s="1"/>
  <c r="F334" i="8"/>
  <c r="G139" i="17" s="1"/>
  <c r="E335" i="8"/>
  <c r="F140" i="17" s="1"/>
  <c r="F335" i="8"/>
  <c r="G140" i="17" s="1"/>
  <c r="F329" i="8"/>
  <c r="G134" i="17" s="1"/>
  <c r="E329" i="8"/>
  <c r="F134" i="17" s="1"/>
  <c r="A330" i="8"/>
  <c r="C135" i="17" s="1"/>
  <c r="A331" i="8"/>
  <c r="C136" i="17" s="1"/>
  <c r="A332" i="8"/>
  <c r="C137" i="17" s="1"/>
  <c r="A333" i="8"/>
  <c r="C138" i="17" s="1"/>
  <c r="A334" i="8"/>
  <c r="C139" i="17" s="1"/>
  <c r="A335" i="8"/>
  <c r="C140" i="17" s="1"/>
  <c r="A329" i="8"/>
  <c r="C134" i="17" s="1"/>
  <c r="F273" i="8"/>
  <c r="G78" i="17" s="1"/>
  <c r="F274" i="8"/>
  <c r="G79" i="17" s="1"/>
  <c r="F275" i="8"/>
  <c r="G80" i="17" s="1"/>
  <c r="F276" i="8"/>
  <c r="G81" i="17" s="1"/>
  <c r="F277" i="8"/>
  <c r="G82" i="17" s="1"/>
  <c r="F278" i="8"/>
  <c r="G83" i="17" s="1"/>
  <c r="F279" i="8"/>
  <c r="G84" i="17" s="1"/>
  <c r="E274" i="8"/>
  <c r="F79" i="17" s="1"/>
  <c r="E275" i="8"/>
  <c r="F80" i="17" s="1"/>
  <c r="E276" i="8"/>
  <c r="F81" i="17" s="1"/>
  <c r="E277" i="8"/>
  <c r="F82" i="17" s="1"/>
  <c r="E278" i="8"/>
  <c r="F83" i="17" s="1"/>
  <c r="E279" i="8"/>
  <c r="F84" i="17" s="1"/>
  <c r="E273" i="8"/>
  <c r="F78" i="17" s="1"/>
  <c r="B273" i="8"/>
  <c r="B274" i="8"/>
  <c r="B275" i="8"/>
  <c r="B276" i="8"/>
  <c r="B277" i="8"/>
  <c r="B278" i="8"/>
  <c r="B279" i="8"/>
  <c r="H214" i="8"/>
  <c r="G214" i="8"/>
  <c r="H202" i="8"/>
  <c r="G202" i="8"/>
  <c r="G201" i="8"/>
  <c r="H201" i="8"/>
  <c r="G213" i="8"/>
  <c r="H213" i="8"/>
  <c r="A274" i="8"/>
  <c r="C79" i="17" s="1"/>
  <c r="A275" i="8"/>
  <c r="C80" i="17" s="1"/>
  <c r="A276" i="8"/>
  <c r="C81" i="17" s="1"/>
  <c r="A277" i="8"/>
  <c r="C82" i="17" s="1"/>
  <c r="A278" i="8"/>
  <c r="C83" i="17" s="1"/>
  <c r="A279" i="8"/>
  <c r="C84" i="17" s="1"/>
  <c r="A273" i="8"/>
  <c r="C78" i="17" s="1"/>
  <c r="D280" i="8"/>
  <c r="D245" i="8"/>
  <c r="E50" i="17" s="1"/>
  <c r="D238" i="8"/>
  <c r="E43" i="17" s="1"/>
  <c r="C238" i="8"/>
  <c r="D231" i="8"/>
  <c r="E36" i="17" s="1"/>
  <c r="C231" i="8"/>
  <c r="D36" i="17" s="1"/>
  <c r="D224" i="8"/>
  <c r="E29" i="17" s="1"/>
  <c r="C224" i="8"/>
  <c r="D29" i="17" s="1"/>
  <c r="H134" i="17" l="1"/>
  <c r="H140" i="17"/>
  <c r="H138" i="17"/>
  <c r="H136" i="17"/>
  <c r="H139" i="17"/>
  <c r="H137" i="17"/>
  <c r="H135" i="17"/>
  <c r="D287" i="8"/>
  <c r="E85" i="17"/>
  <c r="D265" i="17" s="1"/>
  <c r="H83" i="17"/>
  <c r="H79" i="17"/>
  <c r="H82" i="17"/>
  <c r="H84" i="17"/>
  <c r="H80" i="17"/>
  <c r="H81" i="17"/>
  <c r="C245" i="8"/>
  <c r="D43" i="17"/>
  <c r="H78" i="17"/>
  <c r="D252" i="8"/>
  <c r="E57" i="17" s="1"/>
  <c r="D294" i="8" l="1"/>
  <c r="E92" i="17"/>
  <c r="C252" i="8"/>
  <c r="D50" i="17"/>
  <c r="D259" i="8"/>
  <c r="E64" i="17" s="1"/>
  <c r="D264" i="17"/>
  <c r="B232" i="8"/>
  <c r="B231" i="8" s="1"/>
  <c r="B233" i="8"/>
  <c r="B234" i="8"/>
  <c r="B235" i="8"/>
  <c r="B236" i="8"/>
  <c r="B237" i="8"/>
  <c r="B239" i="8"/>
  <c r="B238" i="8" s="1"/>
  <c r="B240" i="8"/>
  <c r="B241" i="8"/>
  <c r="B242" i="8"/>
  <c r="B243" i="8"/>
  <c r="B244" i="8"/>
  <c r="B246" i="8"/>
  <c r="B245" i="8" s="1"/>
  <c r="B247" i="8"/>
  <c r="B248" i="8"/>
  <c r="B249" i="8"/>
  <c r="B250" i="8"/>
  <c r="B251" i="8"/>
  <c r="B253" i="8"/>
  <c r="B252" i="8" s="1"/>
  <c r="B254" i="8"/>
  <c r="B255" i="8"/>
  <c r="B256" i="8"/>
  <c r="B257" i="8"/>
  <c r="B258" i="8"/>
  <c r="B260" i="8"/>
  <c r="B259" i="8" s="1"/>
  <c r="B261" i="8"/>
  <c r="B262" i="8"/>
  <c r="B263" i="8"/>
  <c r="B264" i="8"/>
  <c r="B265" i="8"/>
  <c r="B267" i="8"/>
  <c r="B266" i="8" s="1"/>
  <c r="B268" i="8"/>
  <c r="B269" i="8"/>
  <c r="B270" i="8"/>
  <c r="B271" i="8"/>
  <c r="B272" i="8"/>
  <c r="B225" i="8"/>
  <c r="B224" i="8" s="1"/>
  <c r="B226" i="8"/>
  <c r="B227" i="8"/>
  <c r="B228" i="8"/>
  <c r="B229" i="8"/>
  <c r="B230" i="8"/>
  <c r="A324" i="8"/>
  <c r="C129" i="17" s="1"/>
  <c r="C324" i="8"/>
  <c r="D129" i="17" s="1"/>
  <c r="C352" i="17" s="1"/>
  <c r="F352" i="17" s="1"/>
  <c r="D324" i="8"/>
  <c r="E129" i="17" s="1"/>
  <c r="D352" i="17" s="1"/>
  <c r="E324" i="8"/>
  <c r="F129" i="17" s="1"/>
  <c r="F324" i="8"/>
  <c r="G129" i="17" s="1"/>
  <c r="A325" i="8"/>
  <c r="C130" i="17" s="1"/>
  <c r="C325" i="8"/>
  <c r="D130" i="17" s="1"/>
  <c r="C353" i="17" s="1"/>
  <c r="F353" i="17" s="1"/>
  <c r="D325" i="8"/>
  <c r="E130" i="17" s="1"/>
  <c r="D353" i="17" s="1"/>
  <c r="E325" i="8"/>
  <c r="F130" i="17" s="1"/>
  <c r="F325" i="8"/>
  <c r="G130" i="17" s="1"/>
  <c r="A326" i="8"/>
  <c r="C131" i="17" s="1"/>
  <c r="C326" i="8"/>
  <c r="D131" i="17" s="1"/>
  <c r="C354" i="17" s="1"/>
  <c r="F354" i="17" s="1"/>
  <c r="D326" i="8"/>
  <c r="E131" i="17" s="1"/>
  <c r="D354" i="17" s="1"/>
  <c r="E326" i="8"/>
  <c r="F131" i="17" s="1"/>
  <c r="F326" i="8"/>
  <c r="G131" i="17" s="1"/>
  <c r="A327" i="8"/>
  <c r="C132" i="17" s="1"/>
  <c r="C327" i="8"/>
  <c r="D132" i="17" s="1"/>
  <c r="C355" i="17" s="1"/>
  <c r="F355" i="17" s="1"/>
  <c r="D327" i="8"/>
  <c r="E132" i="17" s="1"/>
  <c r="D355" i="17" s="1"/>
  <c r="E327" i="8"/>
  <c r="F132" i="17" s="1"/>
  <c r="F327" i="8"/>
  <c r="G132" i="17" s="1"/>
  <c r="A328" i="8"/>
  <c r="C133" i="17" s="1"/>
  <c r="C328" i="8"/>
  <c r="D133" i="17" s="1"/>
  <c r="C356" i="17" s="1"/>
  <c r="F356" i="17" s="1"/>
  <c r="D328" i="8"/>
  <c r="E133" i="17" s="1"/>
  <c r="D356" i="17" s="1"/>
  <c r="E328" i="8"/>
  <c r="F133" i="17" s="1"/>
  <c r="F328" i="8"/>
  <c r="G133" i="17" s="1"/>
  <c r="F323" i="8"/>
  <c r="G128" i="17" s="1"/>
  <c r="E323" i="8"/>
  <c r="F128" i="17" s="1"/>
  <c r="D323" i="8"/>
  <c r="E128" i="17" s="1"/>
  <c r="D351" i="17" s="1"/>
  <c r="C323" i="8"/>
  <c r="D128" i="17" s="1"/>
  <c r="C351" i="17" s="1"/>
  <c r="F351" i="17" s="1"/>
  <c r="A323" i="8"/>
  <c r="C128" i="17" s="1"/>
  <c r="A268" i="8"/>
  <c r="C73" i="17" s="1"/>
  <c r="C268" i="8"/>
  <c r="D268" i="8"/>
  <c r="E73" i="17" s="1"/>
  <c r="E268" i="8"/>
  <c r="F73" i="17" s="1"/>
  <c r="F268" i="8"/>
  <c r="G73" i="17" s="1"/>
  <c r="A269" i="8"/>
  <c r="C74" i="17" s="1"/>
  <c r="C269" i="8"/>
  <c r="D269" i="8"/>
  <c r="E269" i="8"/>
  <c r="F74" i="17" s="1"/>
  <c r="F269" i="8"/>
  <c r="G74" i="17" s="1"/>
  <c r="A270" i="8"/>
  <c r="C75" i="17" s="1"/>
  <c r="C270" i="8"/>
  <c r="D75" i="17" s="1"/>
  <c r="D270" i="8"/>
  <c r="E75" i="17" s="1"/>
  <c r="E270" i="8"/>
  <c r="F75" i="17" s="1"/>
  <c r="F270" i="8"/>
  <c r="G75" i="17" s="1"/>
  <c r="A271" i="8"/>
  <c r="C76" i="17" s="1"/>
  <c r="C271" i="8"/>
  <c r="D271" i="8"/>
  <c r="E271" i="8"/>
  <c r="F76" i="17" s="1"/>
  <c r="F271" i="8"/>
  <c r="G76" i="17" s="1"/>
  <c r="A272" i="8"/>
  <c r="C77" i="17" s="1"/>
  <c r="C272" i="8"/>
  <c r="D77" i="17" s="1"/>
  <c r="D272" i="8"/>
  <c r="E77" i="17" s="1"/>
  <c r="E272" i="8"/>
  <c r="F77" i="17" s="1"/>
  <c r="F272" i="8"/>
  <c r="G77" i="17" s="1"/>
  <c r="F267" i="8"/>
  <c r="G72" i="17" s="1"/>
  <c r="E267" i="8"/>
  <c r="F72" i="17" s="1"/>
  <c r="D267" i="8"/>
  <c r="E72" i="17" s="1"/>
  <c r="C267" i="8"/>
  <c r="D72" i="17" s="1"/>
  <c r="A267" i="8"/>
  <c r="C72" i="17" s="1"/>
  <c r="A317" i="8"/>
  <c r="C122" i="17" s="1"/>
  <c r="C317" i="8"/>
  <c r="D122" i="17" s="1"/>
  <c r="C346" i="17" s="1"/>
  <c r="F346" i="17" s="1"/>
  <c r="D317" i="8"/>
  <c r="E122" i="17" s="1"/>
  <c r="D346" i="17" s="1"/>
  <c r="E317" i="8"/>
  <c r="F122" i="17" s="1"/>
  <c r="F317" i="8"/>
  <c r="G122" i="17" s="1"/>
  <c r="A318" i="8"/>
  <c r="C123" i="17" s="1"/>
  <c r="C318" i="8"/>
  <c r="D123" i="17" s="1"/>
  <c r="C347" i="17" s="1"/>
  <c r="F347" i="17" s="1"/>
  <c r="D318" i="8"/>
  <c r="E123" i="17" s="1"/>
  <c r="D347" i="17" s="1"/>
  <c r="E318" i="8"/>
  <c r="F123" i="17" s="1"/>
  <c r="F318" i="8"/>
  <c r="G123" i="17" s="1"/>
  <c r="A319" i="8"/>
  <c r="C124" i="17" s="1"/>
  <c r="C319" i="8"/>
  <c r="D124" i="17" s="1"/>
  <c r="C348" i="17" s="1"/>
  <c r="F348" i="17" s="1"/>
  <c r="D319" i="8"/>
  <c r="E124" i="17" s="1"/>
  <c r="D348" i="17" s="1"/>
  <c r="E319" i="8"/>
  <c r="F124" i="17" s="1"/>
  <c r="F319" i="8"/>
  <c r="G124" i="17" s="1"/>
  <c r="A320" i="8"/>
  <c r="C125" i="17" s="1"/>
  <c r="C320" i="8"/>
  <c r="D125" i="17" s="1"/>
  <c r="C349" i="17" s="1"/>
  <c r="F349" i="17" s="1"/>
  <c r="D320" i="8"/>
  <c r="E125" i="17" s="1"/>
  <c r="D349" i="17" s="1"/>
  <c r="E320" i="8"/>
  <c r="F125" i="17" s="1"/>
  <c r="F320" i="8"/>
  <c r="G125" i="17" s="1"/>
  <c r="A321" i="8"/>
  <c r="C126" i="17" s="1"/>
  <c r="C321" i="8"/>
  <c r="D126" i="17" s="1"/>
  <c r="C350" i="17" s="1"/>
  <c r="F350" i="17" s="1"/>
  <c r="D321" i="8"/>
  <c r="E126" i="17" s="1"/>
  <c r="D350" i="17" s="1"/>
  <c r="E321" i="8"/>
  <c r="F126" i="17" s="1"/>
  <c r="F321" i="8"/>
  <c r="G126" i="17" s="1"/>
  <c r="F316" i="8"/>
  <c r="G121" i="17" s="1"/>
  <c r="E316" i="8"/>
  <c r="F121" i="17" s="1"/>
  <c r="D316" i="8"/>
  <c r="E121" i="17" s="1"/>
  <c r="D345" i="17" s="1"/>
  <c r="C316" i="8"/>
  <c r="D121" i="17" s="1"/>
  <c r="C345" i="17" s="1"/>
  <c r="F345" i="17" s="1"/>
  <c r="A316" i="8"/>
  <c r="C121" i="17" s="1"/>
  <c r="A261" i="8"/>
  <c r="C66" i="17" s="1"/>
  <c r="C261" i="8"/>
  <c r="D261" i="8"/>
  <c r="E261" i="8"/>
  <c r="F66" i="17" s="1"/>
  <c r="F261" i="8"/>
  <c r="G66" i="17" s="1"/>
  <c r="A262" i="8"/>
  <c r="C67" i="17" s="1"/>
  <c r="C262" i="8"/>
  <c r="D67" i="17" s="1"/>
  <c r="C299" i="17" s="1"/>
  <c r="F299" i="17" s="1"/>
  <c r="D262" i="8"/>
  <c r="E67" i="17" s="1"/>
  <c r="D299" i="17" s="1"/>
  <c r="E262" i="8"/>
  <c r="F67" i="17" s="1"/>
  <c r="F262" i="8"/>
  <c r="G67" i="17" s="1"/>
  <c r="A263" i="8"/>
  <c r="C68" i="17" s="1"/>
  <c r="C263" i="8"/>
  <c r="D68" i="17" s="1"/>
  <c r="C300" i="17" s="1"/>
  <c r="F300" i="17" s="1"/>
  <c r="D263" i="8"/>
  <c r="E68" i="17" s="1"/>
  <c r="D300" i="17" s="1"/>
  <c r="E263" i="8"/>
  <c r="F68" i="17" s="1"/>
  <c r="F263" i="8"/>
  <c r="G68" i="17" s="1"/>
  <c r="A264" i="8"/>
  <c r="C69" i="17" s="1"/>
  <c r="C264" i="8"/>
  <c r="D69" i="17" s="1"/>
  <c r="C301" i="17" s="1"/>
  <c r="F301" i="17" s="1"/>
  <c r="D264" i="8"/>
  <c r="E69" i="17" s="1"/>
  <c r="D301" i="17" s="1"/>
  <c r="E264" i="8"/>
  <c r="F69" i="17" s="1"/>
  <c r="F264" i="8"/>
  <c r="G69" i="17" s="1"/>
  <c r="A265" i="8"/>
  <c r="C70" i="17" s="1"/>
  <c r="C265" i="8"/>
  <c r="D70" i="17" s="1"/>
  <c r="C302" i="17" s="1"/>
  <c r="F302" i="17" s="1"/>
  <c r="D265" i="8"/>
  <c r="E70" i="17" s="1"/>
  <c r="D302" i="17" s="1"/>
  <c r="E265" i="8"/>
  <c r="F70" i="17" s="1"/>
  <c r="F265" i="8"/>
  <c r="G70" i="17" s="1"/>
  <c r="F260" i="8"/>
  <c r="G65" i="17" s="1"/>
  <c r="E260" i="8"/>
  <c r="F65" i="17" s="1"/>
  <c r="D260" i="8"/>
  <c r="E65" i="17" s="1"/>
  <c r="D297" i="17" s="1"/>
  <c r="C260" i="8"/>
  <c r="D65" i="17" s="1"/>
  <c r="C297" i="17" s="1"/>
  <c r="F297" i="17" s="1"/>
  <c r="A260" i="8"/>
  <c r="C65" i="17" s="1"/>
  <c r="A310" i="8"/>
  <c r="C115" i="17" s="1"/>
  <c r="C310" i="8"/>
  <c r="D115" i="17" s="1"/>
  <c r="C340" i="17" s="1"/>
  <c r="F340" i="17" s="1"/>
  <c r="D310" i="8"/>
  <c r="E115" i="17" s="1"/>
  <c r="D340" i="17" s="1"/>
  <c r="E310" i="8"/>
  <c r="F115" i="17" s="1"/>
  <c r="F310" i="8"/>
  <c r="G115" i="17" s="1"/>
  <c r="A311" i="8"/>
  <c r="C116" i="17" s="1"/>
  <c r="C311" i="8"/>
  <c r="D116" i="17" s="1"/>
  <c r="C341" i="17" s="1"/>
  <c r="F341" i="17" s="1"/>
  <c r="D311" i="8"/>
  <c r="E116" i="17" s="1"/>
  <c r="D341" i="17" s="1"/>
  <c r="E311" i="8"/>
  <c r="F116" i="17" s="1"/>
  <c r="F311" i="8"/>
  <c r="G116" i="17" s="1"/>
  <c r="A312" i="8"/>
  <c r="C117" i="17" s="1"/>
  <c r="C312" i="8"/>
  <c r="D117" i="17" s="1"/>
  <c r="C342" i="17" s="1"/>
  <c r="F342" i="17" s="1"/>
  <c r="D312" i="8"/>
  <c r="E117" i="17" s="1"/>
  <c r="D342" i="17" s="1"/>
  <c r="E312" i="8"/>
  <c r="F117" i="17" s="1"/>
  <c r="F312" i="8"/>
  <c r="G117" i="17" s="1"/>
  <c r="A313" i="8"/>
  <c r="C118" i="17" s="1"/>
  <c r="C313" i="8"/>
  <c r="D118" i="17" s="1"/>
  <c r="C343" i="17" s="1"/>
  <c r="F343" i="17" s="1"/>
  <c r="D313" i="8"/>
  <c r="E118" i="17" s="1"/>
  <c r="D343" i="17" s="1"/>
  <c r="E313" i="8"/>
  <c r="F118" i="17" s="1"/>
  <c r="F313" i="8"/>
  <c r="G118" i="17" s="1"/>
  <c r="A314" i="8"/>
  <c r="C119" i="17" s="1"/>
  <c r="C314" i="8"/>
  <c r="D119" i="17" s="1"/>
  <c r="C344" i="17" s="1"/>
  <c r="F344" i="17" s="1"/>
  <c r="D314" i="8"/>
  <c r="E119" i="17" s="1"/>
  <c r="D344" i="17" s="1"/>
  <c r="E314" i="8"/>
  <c r="F119" i="17" s="1"/>
  <c r="F314" i="8"/>
  <c r="G119" i="17" s="1"/>
  <c r="F309" i="8"/>
  <c r="G114" i="17" s="1"/>
  <c r="E309" i="8"/>
  <c r="F114" i="17" s="1"/>
  <c r="D309" i="8"/>
  <c r="E114" i="17" s="1"/>
  <c r="D339" i="17" s="1"/>
  <c r="C309" i="8"/>
  <c r="D114" i="17" s="1"/>
  <c r="C339" i="17" s="1"/>
  <c r="F339" i="17" s="1"/>
  <c r="A309" i="8"/>
  <c r="C114" i="17" s="1"/>
  <c r="A254" i="8"/>
  <c r="C59" i="17" s="1"/>
  <c r="C254" i="8"/>
  <c r="D59" i="17" s="1"/>
  <c r="C292" i="17" s="1"/>
  <c r="F292" i="17" s="1"/>
  <c r="D254" i="8"/>
  <c r="E59" i="17" s="1"/>
  <c r="D292" i="17" s="1"/>
  <c r="E254" i="8"/>
  <c r="F59" i="17" s="1"/>
  <c r="F254" i="8"/>
  <c r="G59" i="17" s="1"/>
  <c r="A255" i="8"/>
  <c r="C60" i="17" s="1"/>
  <c r="C255" i="8"/>
  <c r="D60" i="17" s="1"/>
  <c r="C293" i="17" s="1"/>
  <c r="F293" i="17" s="1"/>
  <c r="D255" i="8"/>
  <c r="E60" i="17" s="1"/>
  <c r="D293" i="17" s="1"/>
  <c r="E255" i="8"/>
  <c r="F60" i="17" s="1"/>
  <c r="F255" i="8"/>
  <c r="G60" i="17" s="1"/>
  <c r="A256" i="8"/>
  <c r="C61" i="17" s="1"/>
  <c r="C256" i="8"/>
  <c r="D61" i="17" s="1"/>
  <c r="C294" i="17" s="1"/>
  <c r="F294" i="17" s="1"/>
  <c r="D256" i="8"/>
  <c r="E61" i="17" s="1"/>
  <c r="D294" i="17" s="1"/>
  <c r="E256" i="8"/>
  <c r="F61" i="17" s="1"/>
  <c r="F256" i="8"/>
  <c r="G61" i="17" s="1"/>
  <c r="A257" i="8"/>
  <c r="C62" i="17" s="1"/>
  <c r="C257" i="8"/>
  <c r="D62" i="17" s="1"/>
  <c r="C295" i="17" s="1"/>
  <c r="F295" i="17" s="1"/>
  <c r="D257" i="8"/>
  <c r="E62" i="17" s="1"/>
  <c r="D295" i="17" s="1"/>
  <c r="E257" i="8"/>
  <c r="F62" i="17" s="1"/>
  <c r="F257" i="8"/>
  <c r="G62" i="17" s="1"/>
  <c r="A258" i="8"/>
  <c r="C63" i="17" s="1"/>
  <c r="C258" i="8"/>
  <c r="D63" i="17" s="1"/>
  <c r="C296" i="17" s="1"/>
  <c r="F296" i="17" s="1"/>
  <c r="D258" i="8"/>
  <c r="E258" i="8"/>
  <c r="F63" i="17" s="1"/>
  <c r="F258" i="8"/>
  <c r="G63" i="17" s="1"/>
  <c r="F253" i="8"/>
  <c r="G58" i="17" s="1"/>
  <c r="E253" i="8"/>
  <c r="F58" i="17" s="1"/>
  <c r="D253" i="8"/>
  <c r="E58" i="17" s="1"/>
  <c r="D291" i="17" s="1"/>
  <c r="C253" i="8"/>
  <c r="D58" i="17" s="1"/>
  <c r="C291" i="17" s="1"/>
  <c r="F291" i="17" s="1"/>
  <c r="A253" i="8"/>
  <c r="C58" i="17" s="1"/>
  <c r="A303" i="8"/>
  <c r="C108" i="17" s="1"/>
  <c r="C303" i="8"/>
  <c r="D108" i="17" s="1"/>
  <c r="C334" i="17" s="1"/>
  <c r="F334" i="17" s="1"/>
  <c r="D303" i="8"/>
  <c r="E108" i="17" s="1"/>
  <c r="D334" i="17" s="1"/>
  <c r="E303" i="8"/>
  <c r="F108" i="17" s="1"/>
  <c r="F303" i="8"/>
  <c r="G108" i="17" s="1"/>
  <c r="A304" i="8"/>
  <c r="C109" i="17" s="1"/>
  <c r="C304" i="8"/>
  <c r="D109" i="17" s="1"/>
  <c r="C335" i="17" s="1"/>
  <c r="F335" i="17" s="1"/>
  <c r="D304" i="8"/>
  <c r="E109" i="17" s="1"/>
  <c r="D335" i="17" s="1"/>
  <c r="E304" i="8"/>
  <c r="F109" i="17" s="1"/>
  <c r="F304" i="8"/>
  <c r="G109" i="17" s="1"/>
  <c r="A305" i="8"/>
  <c r="C110" i="17" s="1"/>
  <c r="C305" i="8"/>
  <c r="D110" i="17" s="1"/>
  <c r="C336" i="17" s="1"/>
  <c r="F336" i="17" s="1"/>
  <c r="D305" i="8"/>
  <c r="E110" i="17" s="1"/>
  <c r="D336" i="17" s="1"/>
  <c r="E305" i="8"/>
  <c r="F110" i="17" s="1"/>
  <c r="F305" i="8"/>
  <c r="G110" i="17" s="1"/>
  <c r="A306" i="8"/>
  <c r="C111" i="17" s="1"/>
  <c r="C306" i="8"/>
  <c r="D111" i="17" s="1"/>
  <c r="C337" i="17" s="1"/>
  <c r="F337" i="17" s="1"/>
  <c r="D306" i="8"/>
  <c r="E111" i="17" s="1"/>
  <c r="D337" i="17" s="1"/>
  <c r="E306" i="8"/>
  <c r="F111" i="17" s="1"/>
  <c r="F306" i="8"/>
  <c r="G111" i="17" s="1"/>
  <c r="A307" i="8"/>
  <c r="C112" i="17" s="1"/>
  <c r="C307" i="8"/>
  <c r="D112" i="17" s="1"/>
  <c r="C338" i="17" s="1"/>
  <c r="F338" i="17" s="1"/>
  <c r="D307" i="8"/>
  <c r="E112" i="17" s="1"/>
  <c r="D338" i="17" s="1"/>
  <c r="E307" i="8"/>
  <c r="F112" i="17" s="1"/>
  <c r="F307" i="8"/>
  <c r="G112" i="17" s="1"/>
  <c r="F302" i="8"/>
  <c r="G107" i="17" s="1"/>
  <c r="E302" i="8"/>
  <c r="F107" i="17" s="1"/>
  <c r="D302" i="8"/>
  <c r="E107" i="17" s="1"/>
  <c r="D333" i="17" s="1"/>
  <c r="C302" i="8"/>
  <c r="D107" i="17" s="1"/>
  <c r="C333" i="17" s="1"/>
  <c r="F333" i="17" s="1"/>
  <c r="A302" i="8"/>
  <c r="C107" i="17" s="1"/>
  <c r="A247" i="8"/>
  <c r="C52" i="17" s="1"/>
  <c r="C247" i="8"/>
  <c r="D247" i="8"/>
  <c r="E247" i="8"/>
  <c r="F52" i="17" s="1"/>
  <c r="F247" i="8"/>
  <c r="G52" i="17" s="1"/>
  <c r="A248" i="8"/>
  <c r="C53" i="17" s="1"/>
  <c r="C248" i="8"/>
  <c r="D248" i="8"/>
  <c r="E248" i="8"/>
  <c r="F53" i="17" s="1"/>
  <c r="F248" i="8"/>
  <c r="G53" i="17" s="1"/>
  <c r="A249" i="8"/>
  <c r="C54" i="17" s="1"/>
  <c r="C249" i="8"/>
  <c r="D249" i="8"/>
  <c r="E249" i="8"/>
  <c r="F54" i="17" s="1"/>
  <c r="F249" i="8"/>
  <c r="G54" i="17" s="1"/>
  <c r="A250" i="8"/>
  <c r="C55" i="17" s="1"/>
  <c r="C250" i="8"/>
  <c r="D250" i="8"/>
  <c r="E250" i="8"/>
  <c r="F55" i="17" s="1"/>
  <c r="F250" i="8"/>
  <c r="G55" i="17" s="1"/>
  <c r="A251" i="8"/>
  <c r="C56" i="17" s="1"/>
  <c r="C251" i="8"/>
  <c r="D251" i="8"/>
  <c r="E251" i="8"/>
  <c r="F56" i="17" s="1"/>
  <c r="F251" i="8"/>
  <c r="G56" i="17" s="1"/>
  <c r="F246" i="8"/>
  <c r="G51" i="17" s="1"/>
  <c r="E246" i="8"/>
  <c r="F51" i="17" s="1"/>
  <c r="D246" i="8"/>
  <c r="E51" i="17" s="1"/>
  <c r="D285" i="17" s="1"/>
  <c r="C246" i="8"/>
  <c r="D51" i="17" s="1"/>
  <c r="C285" i="17" s="1"/>
  <c r="F285" i="17" s="1"/>
  <c r="A246" i="8"/>
  <c r="C51" i="17" s="1"/>
  <c r="A296" i="8"/>
  <c r="C101" i="17" s="1"/>
  <c r="C296" i="8"/>
  <c r="D101" i="17" s="1"/>
  <c r="C328" i="17" s="1"/>
  <c r="F328" i="17" s="1"/>
  <c r="D296" i="8"/>
  <c r="E101" i="17" s="1"/>
  <c r="D328" i="17" s="1"/>
  <c r="E296" i="8"/>
  <c r="F101" i="17" s="1"/>
  <c r="F296" i="8"/>
  <c r="G101" i="17" s="1"/>
  <c r="A297" i="8"/>
  <c r="C102" i="17" s="1"/>
  <c r="C297" i="8"/>
  <c r="D102" i="17" s="1"/>
  <c r="C329" i="17" s="1"/>
  <c r="F329" i="17" s="1"/>
  <c r="D297" i="8"/>
  <c r="E102" i="17" s="1"/>
  <c r="D329" i="17" s="1"/>
  <c r="E297" i="8"/>
  <c r="F102" i="17" s="1"/>
  <c r="F297" i="8"/>
  <c r="G102" i="17" s="1"/>
  <c r="A298" i="8"/>
  <c r="C103" i="17" s="1"/>
  <c r="C298" i="8"/>
  <c r="D103" i="17" s="1"/>
  <c r="C330" i="17" s="1"/>
  <c r="F330" i="17" s="1"/>
  <c r="D298" i="8"/>
  <c r="E103" i="17" s="1"/>
  <c r="D330" i="17" s="1"/>
  <c r="E298" i="8"/>
  <c r="F103" i="17" s="1"/>
  <c r="F298" i="8"/>
  <c r="G103" i="17" s="1"/>
  <c r="A299" i="8"/>
  <c r="C104" i="17" s="1"/>
  <c r="C299" i="8"/>
  <c r="D104" i="17" s="1"/>
  <c r="C331" i="17" s="1"/>
  <c r="F331" i="17" s="1"/>
  <c r="D299" i="8"/>
  <c r="E104" i="17" s="1"/>
  <c r="D331" i="17" s="1"/>
  <c r="E299" i="8"/>
  <c r="F104" i="17" s="1"/>
  <c r="F299" i="8"/>
  <c r="G104" i="17" s="1"/>
  <c r="A300" i="8"/>
  <c r="C105" i="17" s="1"/>
  <c r="C300" i="8"/>
  <c r="D105" i="17" s="1"/>
  <c r="C332" i="17" s="1"/>
  <c r="F332" i="17" s="1"/>
  <c r="D300" i="8"/>
  <c r="E105" i="17" s="1"/>
  <c r="D332" i="17" s="1"/>
  <c r="E300" i="8"/>
  <c r="F105" i="17" s="1"/>
  <c r="F300" i="8"/>
  <c r="G105" i="17" s="1"/>
  <c r="F295" i="8"/>
  <c r="G100" i="17" s="1"/>
  <c r="E295" i="8"/>
  <c r="F100" i="17" s="1"/>
  <c r="D295" i="8"/>
  <c r="E100" i="17" s="1"/>
  <c r="D327" i="17" s="1"/>
  <c r="C295" i="8"/>
  <c r="D100" i="17" s="1"/>
  <c r="C327" i="17" s="1"/>
  <c r="F327" i="17" s="1"/>
  <c r="A295" i="8"/>
  <c r="C100" i="17" s="1"/>
  <c r="A240" i="8"/>
  <c r="C45" i="17" s="1"/>
  <c r="C240" i="8"/>
  <c r="D240" i="8"/>
  <c r="E240" i="8"/>
  <c r="F45" i="17" s="1"/>
  <c r="F240" i="8"/>
  <c r="G45" i="17" s="1"/>
  <c r="A241" i="8"/>
  <c r="C46" i="17" s="1"/>
  <c r="C241" i="8"/>
  <c r="D241" i="8"/>
  <c r="E241" i="8"/>
  <c r="F46" i="17" s="1"/>
  <c r="F241" i="8"/>
  <c r="G46" i="17" s="1"/>
  <c r="A242" i="8"/>
  <c r="C47" i="17" s="1"/>
  <c r="C242" i="8"/>
  <c r="D242" i="8"/>
  <c r="E242" i="8"/>
  <c r="F47" i="17" s="1"/>
  <c r="F242" i="8"/>
  <c r="G47" i="17" s="1"/>
  <c r="A243" i="8"/>
  <c r="C48" i="17" s="1"/>
  <c r="C243" i="8"/>
  <c r="D243" i="8"/>
  <c r="E243" i="8"/>
  <c r="F48" i="17" s="1"/>
  <c r="F243" i="8"/>
  <c r="G48" i="17" s="1"/>
  <c r="A244" i="8"/>
  <c r="C49" i="17" s="1"/>
  <c r="C244" i="8"/>
  <c r="D244" i="8"/>
  <c r="E244" i="8"/>
  <c r="F49" i="17" s="1"/>
  <c r="F244" i="8"/>
  <c r="G49" i="17" s="1"/>
  <c r="F239" i="8"/>
  <c r="G44" i="17" s="1"/>
  <c r="E239" i="8"/>
  <c r="F44" i="17" s="1"/>
  <c r="D239" i="8"/>
  <c r="C239" i="8"/>
  <c r="A239" i="8"/>
  <c r="C44" i="17" s="1"/>
  <c r="A289" i="8"/>
  <c r="C94" i="17" s="1"/>
  <c r="C289" i="8"/>
  <c r="D94" i="17" s="1"/>
  <c r="C322" i="17" s="1"/>
  <c r="F322" i="17" s="1"/>
  <c r="D289" i="8"/>
  <c r="E94" i="17" s="1"/>
  <c r="D322" i="17" s="1"/>
  <c r="E289" i="8"/>
  <c r="F94" i="17" s="1"/>
  <c r="F289" i="8"/>
  <c r="G94" i="17" s="1"/>
  <c r="A290" i="8"/>
  <c r="C95" i="17" s="1"/>
  <c r="C290" i="8"/>
  <c r="D95" i="17" s="1"/>
  <c r="C323" i="17" s="1"/>
  <c r="F323" i="17" s="1"/>
  <c r="D290" i="8"/>
  <c r="E95" i="17" s="1"/>
  <c r="D323" i="17" s="1"/>
  <c r="E290" i="8"/>
  <c r="F95" i="17" s="1"/>
  <c r="F290" i="8"/>
  <c r="G95" i="17" s="1"/>
  <c r="A291" i="8"/>
  <c r="C96" i="17" s="1"/>
  <c r="C291" i="8"/>
  <c r="D96" i="17" s="1"/>
  <c r="C324" i="17" s="1"/>
  <c r="F324" i="17" s="1"/>
  <c r="D291" i="8"/>
  <c r="E96" i="17" s="1"/>
  <c r="D324" i="17" s="1"/>
  <c r="E291" i="8"/>
  <c r="F96" i="17" s="1"/>
  <c r="F291" i="8"/>
  <c r="G96" i="17" s="1"/>
  <c r="A292" i="8"/>
  <c r="C97" i="17" s="1"/>
  <c r="C292" i="8"/>
  <c r="D97" i="17" s="1"/>
  <c r="C325" i="17" s="1"/>
  <c r="F325" i="17" s="1"/>
  <c r="D292" i="8"/>
  <c r="E97" i="17" s="1"/>
  <c r="D325" i="17" s="1"/>
  <c r="E292" i="8"/>
  <c r="F97" i="17" s="1"/>
  <c r="F292" i="8"/>
  <c r="G97" i="17" s="1"/>
  <c r="A293" i="8"/>
  <c r="C98" i="17" s="1"/>
  <c r="C293" i="8"/>
  <c r="D98" i="17" s="1"/>
  <c r="C326" i="17" s="1"/>
  <c r="F326" i="17" s="1"/>
  <c r="D293" i="8"/>
  <c r="E98" i="17" s="1"/>
  <c r="D326" i="17" s="1"/>
  <c r="E293" i="8"/>
  <c r="F98" i="17" s="1"/>
  <c r="F293" i="8"/>
  <c r="G98" i="17" s="1"/>
  <c r="F288" i="8"/>
  <c r="G93" i="17" s="1"/>
  <c r="E288" i="8"/>
  <c r="F93" i="17" s="1"/>
  <c r="D288" i="8"/>
  <c r="E93" i="17" s="1"/>
  <c r="D321" i="17" s="1"/>
  <c r="C288" i="8"/>
  <c r="D93" i="17" s="1"/>
  <c r="C321" i="17" s="1"/>
  <c r="F321" i="17" s="1"/>
  <c r="A288" i="8"/>
  <c r="C93" i="17" s="1"/>
  <c r="B93" i="17" s="1"/>
  <c r="A233" i="8"/>
  <c r="C38" i="17" s="1"/>
  <c r="C233" i="8"/>
  <c r="D38" i="17" s="1"/>
  <c r="C274" i="17" s="1"/>
  <c r="F274" i="17" s="1"/>
  <c r="D233" i="8"/>
  <c r="E38" i="17" s="1"/>
  <c r="D274" i="17" s="1"/>
  <c r="E233" i="8"/>
  <c r="F38" i="17" s="1"/>
  <c r="F233" i="8"/>
  <c r="G38" i="17" s="1"/>
  <c r="A234" i="8"/>
  <c r="C39" i="17" s="1"/>
  <c r="C234" i="8"/>
  <c r="D234" i="8"/>
  <c r="E234" i="8"/>
  <c r="F39" i="17" s="1"/>
  <c r="F234" i="8"/>
  <c r="G39" i="17" s="1"/>
  <c r="A235" i="8"/>
  <c r="C40" i="17" s="1"/>
  <c r="C235" i="8"/>
  <c r="D235" i="8"/>
  <c r="E235" i="8"/>
  <c r="F40" i="17" s="1"/>
  <c r="F235" i="8"/>
  <c r="G40" i="17" s="1"/>
  <c r="A236" i="8"/>
  <c r="C41" i="17" s="1"/>
  <c r="C236" i="8"/>
  <c r="D236" i="8"/>
  <c r="E236" i="8"/>
  <c r="F41" i="17" s="1"/>
  <c r="F236" i="8"/>
  <c r="G41" i="17" s="1"/>
  <c r="A237" i="8"/>
  <c r="C42" i="17" s="1"/>
  <c r="C237" i="8"/>
  <c r="D237" i="8"/>
  <c r="E237" i="8"/>
  <c r="F42" i="17" s="1"/>
  <c r="F237" i="8"/>
  <c r="G42" i="17" s="1"/>
  <c r="F232" i="8"/>
  <c r="G37" i="17" s="1"/>
  <c r="E232" i="8"/>
  <c r="F37" i="17" s="1"/>
  <c r="D232" i="8"/>
  <c r="E37" i="17" s="1"/>
  <c r="D273" i="17" s="1"/>
  <c r="C232" i="8"/>
  <c r="D37" i="17" s="1"/>
  <c r="C273" i="17" s="1"/>
  <c r="F273" i="17" s="1"/>
  <c r="A232" i="8"/>
  <c r="C37" i="17" s="1"/>
  <c r="A282" i="8"/>
  <c r="C87" i="17" s="1"/>
  <c r="C282" i="8"/>
  <c r="D87" i="17" s="1"/>
  <c r="C316" i="17" s="1"/>
  <c r="F316" i="17" s="1"/>
  <c r="D282" i="8"/>
  <c r="E87" i="17" s="1"/>
  <c r="D316" i="17" s="1"/>
  <c r="E282" i="8"/>
  <c r="F87" i="17" s="1"/>
  <c r="F282" i="8"/>
  <c r="G87" i="17" s="1"/>
  <c r="A283" i="8"/>
  <c r="C88" i="17" s="1"/>
  <c r="C283" i="8"/>
  <c r="D88" i="17" s="1"/>
  <c r="C317" i="17" s="1"/>
  <c r="F317" i="17" s="1"/>
  <c r="D283" i="8"/>
  <c r="E88" i="17" s="1"/>
  <c r="D317" i="17" s="1"/>
  <c r="E283" i="8"/>
  <c r="F88" i="17" s="1"/>
  <c r="F283" i="8"/>
  <c r="G88" i="17" s="1"/>
  <c r="A284" i="8"/>
  <c r="C89" i="17" s="1"/>
  <c r="C284" i="8"/>
  <c r="D89" i="17" s="1"/>
  <c r="C318" i="17" s="1"/>
  <c r="F318" i="17" s="1"/>
  <c r="D284" i="8"/>
  <c r="E89" i="17" s="1"/>
  <c r="D318" i="17" s="1"/>
  <c r="E284" i="8"/>
  <c r="F89" i="17" s="1"/>
  <c r="F284" i="8"/>
  <c r="G89" i="17" s="1"/>
  <c r="A285" i="8"/>
  <c r="C90" i="17" s="1"/>
  <c r="C285" i="8"/>
  <c r="D90" i="17" s="1"/>
  <c r="C319" i="17" s="1"/>
  <c r="F319" i="17" s="1"/>
  <c r="D285" i="8"/>
  <c r="E90" i="17" s="1"/>
  <c r="D319" i="17" s="1"/>
  <c r="E285" i="8"/>
  <c r="F90" i="17" s="1"/>
  <c r="F285" i="8"/>
  <c r="G90" i="17" s="1"/>
  <c r="A286" i="8"/>
  <c r="C91" i="17" s="1"/>
  <c r="C286" i="8"/>
  <c r="D91" i="17" s="1"/>
  <c r="C320" i="17" s="1"/>
  <c r="F320" i="17" s="1"/>
  <c r="D286" i="8"/>
  <c r="E91" i="17" s="1"/>
  <c r="D320" i="17" s="1"/>
  <c r="E286" i="8"/>
  <c r="F91" i="17" s="1"/>
  <c r="F286" i="8"/>
  <c r="G91" i="17" s="1"/>
  <c r="A281" i="8"/>
  <c r="F281" i="8"/>
  <c r="G86" i="17" s="1"/>
  <c r="E281" i="8"/>
  <c r="F86" i="17" s="1"/>
  <c r="D281" i="8"/>
  <c r="E86" i="17" s="1"/>
  <c r="D315" i="17" s="1"/>
  <c r="C281" i="8"/>
  <c r="D86" i="17" s="1"/>
  <c r="C315" i="17" s="1"/>
  <c r="F315" i="17" s="1"/>
  <c r="A226" i="8"/>
  <c r="C31" i="17" s="1"/>
  <c r="A227" i="8"/>
  <c r="C32" i="17" s="1"/>
  <c r="A228" i="8"/>
  <c r="C33" i="17" s="1"/>
  <c r="A229" i="8"/>
  <c r="C34" i="17" s="1"/>
  <c r="A230" i="8"/>
  <c r="C35" i="17" s="1"/>
  <c r="A225" i="8"/>
  <c r="C30" i="17" s="1"/>
  <c r="C226" i="8"/>
  <c r="D226" i="8"/>
  <c r="E226" i="8"/>
  <c r="F31" i="17" s="1"/>
  <c r="F226" i="8"/>
  <c r="G31" i="17" s="1"/>
  <c r="C227" i="8"/>
  <c r="D227" i="8"/>
  <c r="E227" i="8"/>
  <c r="F32" i="17" s="1"/>
  <c r="F227" i="8"/>
  <c r="G32" i="17" s="1"/>
  <c r="C228" i="8"/>
  <c r="D228" i="8"/>
  <c r="E228" i="8"/>
  <c r="F33" i="17" s="1"/>
  <c r="F228" i="8"/>
  <c r="G33" i="17" s="1"/>
  <c r="C229" i="8"/>
  <c r="D34" i="17" s="1"/>
  <c r="C271" i="17" s="1"/>
  <c r="F271" i="17" s="1"/>
  <c r="D229" i="8"/>
  <c r="E34" i="17" s="1"/>
  <c r="D271" i="17" s="1"/>
  <c r="E229" i="8"/>
  <c r="F34" i="17" s="1"/>
  <c r="F229" i="8"/>
  <c r="G34" i="17" s="1"/>
  <c r="C230" i="8"/>
  <c r="D230" i="8"/>
  <c r="E230" i="8"/>
  <c r="F35" i="17" s="1"/>
  <c r="F230" i="8"/>
  <c r="G35" i="17" s="1"/>
  <c r="F225" i="8"/>
  <c r="G30" i="17" s="1"/>
  <c r="E225" i="8"/>
  <c r="F30" i="17" s="1"/>
  <c r="F223" i="8"/>
  <c r="E223" i="8"/>
  <c r="D225" i="8"/>
  <c r="E30" i="17" s="1"/>
  <c r="C225" i="8"/>
  <c r="D30" i="17" s="1"/>
  <c r="D46" i="11"/>
  <c r="D45" i="11"/>
  <c r="D44" i="11"/>
  <c r="D43" i="11"/>
  <c r="D42" i="11"/>
  <c r="D41" i="11"/>
  <c r="B100" i="17" l="1"/>
  <c r="B114" i="17"/>
  <c r="B107" i="17"/>
  <c r="B121" i="17"/>
  <c r="H86" i="17"/>
  <c r="J315" i="17" s="1"/>
  <c r="I315" i="17" s="1"/>
  <c r="H89" i="17"/>
  <c r="J318" i="17" s="1"/>
  <c r="I318" i="17" s="1"/>
  <c r="B88" i="17"/>
  <c r="H96" i="17"/>
  <c r="J324" i="17" s="1"/>
  <c r="I324" i="17" s="1"/>
  <c r="B95" i="17"/>
  <c r="H103" i="17"/>
  <c r="J330" i="17" s="1"/>
  <c r="I330" i="17" s="1"/>
  <c r="B102" i="17"/>
  <c r="H110" i="17"/>
  <c r="J336" i="17" s="1"/>
  <c r="I336" i="17" s="1"/>
  <c r="B109" i="17"/>
  <c r="H117" i="17"/>
  <c r="J342" i="17" s="1"/>
  <c r="I342" i="17" s="1"/>
  <c r="B116" i="17"/>
  <c r="H124" i="17"/>
  <c r="J348" i="17" s="1"/>
  <c r="I348" i="17" s="1"/>
  <c r="B123" i="17"/>
  <c r="B128" i="17"/>
  <c r="H131" i="17"/>
  <c r="J354" i="17" s="1"/>
  <c r="I354" i="17" s="1"/>
  <c r="B130" i="17"/>
  <c r="A280" i="8"/>
  <c r="C85" i="17" s="1"/>
  <c r="C86" i="17"/>
  <c r="B86" i="17" s="1"/>
  <c r="B91" i="17"/>
  <c r="H88" i="17"/>
  <c r="J317" i="17" s="1"/>
  <c r="I317" i="17" s="1"/>
  <c r="B87" i="17"/>
  <c r="B98" i="17"/>
  <c r="H95" i="17"/>
  <c r="J323" i="17" s="1"/>
  <c r="I323" i="17" s="1"/>
  <c r="B94" i="17"/>
  <c r="B105" i="17"/>
  <c r="H102" i="17"/>
  <c r="J329" i="17" s="1"/>
  <c r="I329" i="17" s="1"/>
  <c r="B101" i="17"/>
  <c r="B112" i="17"/>
  <c r="H109" i="17"/>
  <c r="J335" i="17" s="1"/>
  <c r="I335" i="17" s="1"/>
  <c r="B108" i="17"/>
  <c r="B119" i="17"/>
  <c r="H116" i="17"/>
  <c r="J341" i="17" s="1"/>
  <c r="I341" i="17" s="1"/>
  <c r="B115" i="17"/>
  <c r="B126" i="17"/>
  <c r="H123" i="17"/>
  <c r="J347" i="17" s="1"/>
  <c r="I347" i="17" s="1"/>
  <c r="B122" i="17"/>
  <c r="B133" i="17"/>
  <c r="H130" i="17"/>
  <c r="J353" i="17" s="1"/>
  <c r="I353" i="17" s="1"/>
  <c r="B129" i="17"/>
  <c r="H91" i="17"/>
  <c r="J320" i="17" s="1"/>
  <c r="I320" i="17" s="1"/>
  <c r="B90" i="17"/>
  <c r="H87" i="17"/>
  <c r="J316" i="17" s="1"/>
  <c r="I316" i="17" s="1"/>
  <c r="H98" i="17"/>
  <c r="J326" i="17" s="1"/>
  <c r="I326" i="17" s="1"/>
  <c r="B97" i="17"/>
  <c r="H94" i="17"/>
  <c r="J322" i="17" s="1"/>
  <c r="I322" i="17" s="1"/>
  <c r="H105" i="17"/>
  <c r="J332" i="17" s="1"/>
  <c r="I332" i="17" s="1"/>
  <c r="B104" i="17"/>
  <c r="H101" i="17"/>
  <c r="J328" i="17" s="1"/>
  <c r="I328" i="17" s="1"/>
  <c r="H112" i="17"/>
  <c r="J338" i="17" s="1"/>
  <c r="I338" i="17" s="1"/>
  <c r="B111" i="17"/>
  <c r="H108" i="17"/>
  <c r="J334" i="17" s="1"/>
  <c r="I334" i="17" s="1"/>
  <c r="H119" i="17"/>
  <c r="J344" i="17" s="1"/>
  <c r="I344" i="17" s="1"/>
  <c r="B118" i="17"/>
  <c r="H115" i="17"/>
  <c r="J340" i="17" s="1"/>
  <c r="I340" i="17" s="1"/>
  <c r="H126" i="17"/>
  <c r="J350" i="17" s="1"/>
  <c r="I350" i="17" s="1"/>
  <c r="B125" i="17"/>
  <c r="H122" i="17"/>
  <c r="J346" i="17" s="1"/>
  <c r="I346" i="17" s="1"/>
  <c r="H133" i="17"/>
  <c r="J356" i="17" s="1"/>
  <c r="I356" i="17" s="1"/>
  <c r="B132" i="17"/>
  <c r="H129" i="17"/>
  <c r="J352" i="17" s="1"/>
  <c r="I352" i="17" s="1"/>
  <c r="H90" i="17"/>
  <c r="J319" i="17" s="1"/>
  <c r="I319" i="17" s="1"/>
  <c r="B89" i="17"/>
  <c r="H93" i="17"/>
  <c r="J321" i="17" s="1"/>
  <c r="I321" i="17" s="1"/>
  <c r="H97" i="17"/>
  <c r="J325" i="17" s="1"/>
  <c r="I325" i="17" s="1"/>
  <c r="B96" i="17"/>
  <c r="H100" i="17"/>
  <c r="J327" i="17" s="1"/>
  <c r="I327" i="17" s="1"/>
  <c r="H104" i="17"/>
  <c r="J331" i="17" s="1"/>
  <c r="I331" i="17" s="1"/>
  <c r="B103" i="17"/>
  <c r="H107" i="17"/>
  <c r="J333" i="17" s="1"/>
  <c r="I333" i="17" s="1"/>
  <c r="H111" i="17"/>
  <c r="J337" i="17" s="1"/>
  <c r="I337" i="17" s="1"/>
  <c r="B110" i="17"/>
  <c r="H114" i="17"/>
  <c r="J339" i="17" s="1"/>
  <c r="I339" i="17" s="1"/>
  <c r="H118" i="17"/>
  <c r="J343" i="17" s="1"/>
  <c r="I343" i="17" s="1"/>
  <c r="B117" i="17"/>
  <c r="H121" i="17"/>
  <c r="J345" i="17" s="1"/>
  <c r="I345" i="17" s="1"/>
  <c r="H125" i="17"/>
  <c r="J349" i="17" s="1"/>
  <c r="I349" i="17" s="1"/>
  <c r="B124" i="17"/>
  <c r="H128" i="17"/>
  <c r="J351" i="17" s="1"/>
  <c r="I351" i="17" s="1"/>
  <c r="H132" i="17"/>
  <c r="J355" i="17" s="1"/>
  <c r="I355" i="17" s="1"/>
  <c r="B131" i="17"/>
  <c r="D60" i="11"/>
  <c r="D61" i="11"/>
  <c r="D58" i="11"/>
  <c r="D62" i="11"/>
  <c r="D59" i="11"/>
  <c r="D63" i="11"/>
  <c r="C303" i="17"/>
  <c r="F303" i="17" s="1"/>
  <c r="C309" i="17"/>
  <c r="F309" i="17" s="1"/>
  <c r="D306" i="17"/>
  <c r="D312" i="17"/>
  <c r="D303" i="17"/>
  <c r="D309" i="17"/>
  <c r="C306" i="17"/>
  <c r="F306" i="17" s="1"/>
  <c r="C312" i="17"/>
  <c r="F312" i="17" s="1"/>
  <c r="D308" i="17"/>
  <c r="D314" i="17"/>
  <c r="D304" i="17"/>
  <c r="D310" i="17"/>
  <c r="C308" i="17"/>
  <c r="F308" i="17" s="1"/>
  <c r="C314" i="17"/>
  <c r="F314" i="17" s="1"/>
  <c r="D267" i="17"/>
  <c r="B34" i="17"/>
  <c r="B60" i="17"/>
  <c r="B67" i="17"/>
  <c r="B70" i="17"/>
  <c r="B38" i="17"/>
  <c r="B63" i="17"/>
  <c r="B59" i="17"/>
  <c r="B77" i="17"/>
  <c r="B30" i="17"/>
  <c r="B37" i="17"/>
  <c r="B51" i="17"/>
  <c r="B58" i="17"/>
  <c r="B65" i="17"/>
  <c r="B72" i="17"/>
  <c r="B62" i="17"/>
  <c r="B69" i="17"/>
  <c r="B61" i="17"/>
  <c r="B68" i="17"/>
  <c r="B75" i="17"/>
  <c r="D301" i="8"/>
  <c r="E99" i="17"/>
  <c r="C267" i="17"/>
  <c r="K271" i="17"/>
  <c r="K293" i="17"/>
  <c r="K299" i="17"/>
  <c r="K274" i="17"/>
  <c r="K296" i="17"/>
  <c r="K292" i="17"/>
  <c r="K302" i="17"/>
  <c r="K308" i="17"/>
  <c r="K273" i="17"/>
  <c r="K285" i="17"/>
  <c r="K291" i="17"/>
  <c r="K295" i="17"/>
  <c r="K297" i="17"/>
  <c r="K301" i="17"/>
  <c r="K294" i="17"/>
  <c r="K300" i="17"/>
  <c r="H72" i="17"/>
  <c r="H76" i="17"/>
  <c r="J313" i="17" s="1"/>
  <c r="I313" i="17" s="1"/>
  <c r="E63" i="17"/>
  <c r="D296" i="17" s="1"/>
  <c r="E66" i="17"/>
  <c r="D298" i="17" s="1"/>
  <c r="D74" i="17"/>
  <c r="D66" i="17"/>
  <c r="C298" i="17" s="1"/>
  <c r="F298" i="17" s="1"/>
  <c r="E76" i="17"/>
  <c r="H75" i="17"/>
  <c r="J312" i="17" s="1"/>
  <c r="I312" i="17" s="1"/>
  <c r="D73" i="17"/>
  <c r="D76" i="17"/>
  <c r="H74" i="17"/>
  <c r="J311" i="17" s="1"/>
  <c r="I311" i="17" s="1"/>
  <c r="H77" i="17"/>
  <c r="J314" i="17" s="1"/>
  <c r="I314" i="17" s="1"/>
  <c r="E74" i="17"/>
  <c r="H73" i="17"/>
  <c r="J310" i="17" s="1"/>
  <c r="I310" i="17" s="1"/>
  <c r="E44" i="17"/>
  <c r="D279" i="17" s="1"/>
  <c r="D47" i="17"/>
  <c r="C282" i="17" s="1"/>
  <c r="F282" i="17" s="1"/>
  <c r="D42" i="17"/>
  <c r="C278" i="17" s="1"/>
  <c r="F278" i="17" s="1"/>
  <c r="D49" i="17"/>
  <c r="C284" i="17" s="1"/>
  <c r="F284" i="17" s="1"/>
  <c r="E48" i="17"/>
  <c r="D283" i="17" s="1"/>
  <c r="D41" i="17"/>
  <c r="C277" i="17" s="1"/>
  <c r="F277" i="17" s="1"/>
  <c r="E40" i="17"/>
  <c r="D276" i="17" s="1"/>
  <c r="D44" i="17"/>
  <c r="C279" i="17" s="1"/>
  <c r="F279" i="17" s="1"/>
  <c r="D48" i="17"/>
  <c r="C283" i="17" s="1"/>
  <c r="F283" i="17" s="1"/>
  <c r="E47" i="17"/>
  <c r="D282" i="17" s="1"/>
  <c r="D55" i="17"/>
  <c r="C289" i="17" s="1"/>
  <c r="F289" i="17" s="1"/>
  <c r="E54" i="17"/>
  <c r="D288" i="17" s="1"/>
  <c r="D40" i="17"/>
  <c r="C276" i="17" s="1"/>
  <c r="F276" i="17" s="1"/>
  <c r="D54" i="17"/>
  <c r="C288" i="17" s="1"/>
  <c r="F288" i="17" s="1"/>
  <c r="E53" i="17"/>
  <c r="D287" i="17" s="1"/>
  <c r="E42" i="17"/>
  <c r="D278" i="17" s="1"/>
  <c r="D39" i="17"/>
  <c r="C275" i="17" s="1"/>
  <c r="F275" i="17" s="1"/>
  <c r="E49" i="17"/>
  <c r="D284" i="17" s="1"/>
  <c r="D46" i="17"/>
  <c r="C281" i="17" s="1"/>
  <c r="F281" i="17" s="1"/>
  <c r="E45" i="17"/>
  <c r="D280" i="17" s="1"/>
  <c r="H51" i="17"/>
  <c r="E56" i="17"/>
  <c r="D290" i="17" s="1"/>
  <c r="D53" i="17"/>
  <c r="C287" i="17" s="1"/>
  <c r="F287" i="17" s="1"/>
  <c r="E52" i="17"/>
  <c r="D286" i="17" s="1"/>
  <c r="E39" i="17"/>
  <c r="D275" i="17" s="1"/>
  <c r="E46" i="17"/>
  <c r="D281" i="17" s="1"/>
  <c r="E41" i="17"/>
  <c r="D277" i="17" s="1"/>
  <c r="D45" i="17"/>
  <c r="C280" i="17" s="1"/>
  <c r="F280" i="17" s="1"/>
  <c r="D56" i="17"/>
  <c r="C290" i="17" s="1"/>
  <c r="F290" i="17" s="1"/>
  <c r="E55" i="17"/>
  <c r="D289" i="17" s="1"/>
  <c r="D52" i="17"/>
  <c r="C286" i="17" s="1"/>
  <c r="F286" i="17" s="1"/>
  <c r="D57" i="17"/>
  <c r="C259" i="8"/>
  <c r="D35" i="17"/>
  <c r="B35" i="17" s="1"/>
  <c r="D33" i="17"/>
  <c r="B33" i="17" s="1"/>
  <c r="D32" i="17"/>
  <c r="B32" i="17" s="1"/>
  <c r="D31" i="17"/>
  <c r="B31" i="17" s="1"/>
  <c r="E35" i="17"/>
  <c r="E33" i="17"/>
  <c r="D270" i="17" s="1"/>
  <c r="E32" i="17"/>
  <c r="D269" i="17" s="1"/>
  <c r="E31" i="17"/>
  <c r="D268" i="17" s="1"/>
  <c r="H37" i="17"/>
  <c r="J273" i="17" s="1"/>
  <c r="I273" i="17" s="1"/>
  <c r="H44" i="17"/>
  <c r="J279" i="17" s="1"/>
  <c r="H52" i="17"/>
  <c r="J286" i="17" s="1"/>
  <c r="H54" i="17"/>
  <c r="H61" i="17"/>
  <c r="J294" i="17" s="1"/>
  <c r="H68" i="17"/>
  <c r="J300" i="17" s="1"/>
  <c r="H41" i="17"/>
  <c r="J277" i="17" s="1"/>
  <c r="H48" i="17"/>
  <c r="J283" i="17" s="1"/>
  <c r="H59" i="17"/>
  <c r="J292" i="17" s="1"/>
  <c r="H66" i="17"/>
  <c r="J298" i="17" s="1"/>
  <c r="A224" i="8"/>
  <c r="C29" i="17" s="1"/>
  <c r="B29" i="17" s="1"/>
  <c r="A231" i="8"/>
  <c r="C36" i="17" s="1"/>
  <c r="B36" i="17" s="1"/>
  <c r="H40" i="17"/>
  <c r="J276" i="17" s="1"/>
  <c r="A238" i="8"/>
  <c r="C43" i="17" s="1"/>
  <c r="B43" i="17" s="1"/>
  <c r="H47" i="17"/>
  <c r="J282" i="17" s="1"/>
  <c r="H53" i="17"/>
  <c r="J287" i="17" s="1"/>
  <c r="H60" i="17"/>
  <c r="J293" i="17" s="1"/>
  <c r="H67" i="17"/>
  <c r="J299" i="17" s="1"/>
  <c r="I299" i="17" s="1"/>
  <c r="H35" i="17"/>
  <c r="J272" i="17" s="1"/>
  <c r="H34" i="17"/>
  <c r="J271" i="17" s="1"/>
  <c r="H33" i="17"/>
  <c r="J270" i="17" s="1"/>
  <c r="H32" i="17"/>
  <c r="J269" i="17" s="1"/>
  <c r="H31" i="17"/>
  <c r="J268" i="17" s="1"/>
  <c r="H39" i="17"/>
  <c r="J275" i="17" s="1"/>
  <c r="H46" i="17"/>
  <c r="J281" i="17" s="1"/>
  <c r="H56" i="17"/>
  <c r="J290" i="17" s="1"/>
  <c r="H63" i="17"/>
  <c r="J296" i="17" s="1"/>
  <c r="H70" i="17"/>
  <c r="J302" i="17" s="1"/>
  <c r="I302" i="17" s="1"/>
  <c r="H30" i="17"/>
  <c r="J267" i="17" s="1"/>
  <c r="H42" i="17"/>
  <c r="J278" i="17" s="1"/>
  <c r="H38" i="17"/>
  <c r="J274" i="17" s="1"/>
  <c r="H49" i="17"/>
  <c r="J284" i="17" s="1"/>
  <c r="H45" i="17"/>
  <c r="J280" i="17" s="1"/>
  <c r="A245" i="8"/>
  <c r="C50" i="17" s="1"/>
  <c r="B50" i="17" s="1"/>
  <c r="A252" i="8"/>
  <c r="C57" i="17" s="1"/>
  <c r="H55" i="17"/>
  <c r="J289" i="17" s="1"/>
  <c r="A259" i="8"/>
  <c r="C64" i="17" s="1"/>
  <c r="H62" i="17"/>
  <c r="J295" i="17" s="1"/>
  <c r="A266" i="8"/>
  <c r="C71" i="17" s="1"/>
  <c r="H69" i="17"/>
  <c r="J301" i="17" s="1"/>
  <c r="I301" i="17" s="1"/>
  <c r="D266" i="8"/>
  <c r="E71" i="17" s="1"/>
  <c r="C264" i="17"/>
  <c r="B57" i="17" l="1"/>
  <c r="K306" i="17"/>
  <c r="D307" i="17"/>
  <c r="D313" i="17"/>
  <c r="C307" i="17"/>
  <c r="F307" i="17" s="1"/>
  <c r="C313" i="17"/>
  <c r="F313" i="17" s="1"/>
  <c r="D305" i="17"/>
  <c r="D311" i="17"/>
  <c r="C304" i="17"/>
  <c r="F304" i="17" s="1"/>
  <c r="C310" i="17"/>
  <c r="F310" i="17" s="1"/>
  <c r="C305" i="17"/>
  <c r="F305" i="17" s="1"/>
  <c r="C311" i="17"/>
  <c r="F311" i="17" s="1"/>
  <c r="J303" i="17"/>
  <c r="I303" i="17" s="1"/>
  <c r="J309" i="17"/>
  <c r="I309" i="17" s="1"/>
  <c r="K303" i="17"/>
  <c r="K267" i="17"/>
  <c r="F267" i="17"/>
  <c r="B54" i="17"/>
  <c r="B55" i="17"/>
  <c r="B45" i="17"/>
  <c r="B66" i="17"/>
  <c r="B46" i="17"/>
  <c r="B76" i="17"/>
  <c r="B48" i="17"/>
  <c r="B49" i="17"/>
  <c r="B56" i="17"/>
  <c r="B47" i="17"/>
  <c r="B73" i="17"/>
  <c r="B44" i="17"/>
  <c r="B42" i="17"/>
  <c r="B40" i="17"/>
  <c r="B52" i="17"/>
  <c r="B74" i="17"/>
  <c r="B53" i="17"/>
  <c r="B39" i="17"/>
  <c r="B41" i="17"/>
  <c r="J285" i="17"/>
  <c r="I285" i="17" s="1"/>
  <c r="D308" i="8"/>
  <c r="E113" i="17" s="1"/>
  <c r="E106" i="17"/>
  <c r="D272" i="17"/>
  <c r="J288" i="17"/>
  <c r="I288" i="17" s="1"/>
  <c r="K281" i="17"/>
  <c r="K289" i="17"/>
  <c r="K278" i="17"/>
  <c r="K288" i="17"/>
  <c r="K277" i="17"/>
  <c r="K282" i="17"/>
  <c r="K290" i="17"/>
  <c r="K275" i="17"/>
  <c r="K276" i="17"/>
  <c r="K283" i="17"/>
  <c r="K286" i="17"/>
  <c r="K287" i="17"/>
  <c r="K280" i="17"/>
  <c r="K279" i="17"/>
  <c r="K284" i="17"/>
  <c r="K298" i="17"/>
  <c r="I293" i="17"/>
  <c r="I292" i="17"/>
  <c r="I294" i="17"/>
  <c r="I295" i="17"/>
  <c r="I271" i="17"/>
  <c r="I296" i="17"/>
  <c r="I276" i="17"/>
  <c r="I277" i="17"/>
  <c r="I282" i="17"/>
  <c r="I290" i="17"/>
  <c r="I275" i="17"/>
  <c r="I283" i="17"/>
  <c r="I274" i="17"/>
  <c r="I280" i="17"/>
  <c r="I279" i="17"/>
  <c r="I284" i="17"/>
  <c r="I298" i="17"/>
  <c r="I300" i="17"/>
  <c r="I286" i="17"/>
  <c r="I287" i="17"/>
  <c r="I281" i="17"/>
  <c r="I289" i="17"/>
  <c r="I278" i="17"/>
  <c r="J155" i="17"/>
  <c r="J308" i="17"/>
  <c r="I308" i="17" s="1"/>
  <c r="J153" i="17"/>
  <c r="J306" i="17"/>
  <c r="I306" i="17" s="1"/>
  <c r="J152" i="17"/>
  <c r="J305" i="17"/>
  <c r="J151" i="17"/>
  <c r="J304" i="17"/>
  <c r="J154" i="17"/>
  <c r="J307" i="17"/>
  <c r="C272" i="17"/>
  <c r="F272" i="17" s="1"/>
  <c r="C268" i="17"/>
  <c r="F268" i="17" s="1"/>
  <c r="C269" i="17"/>
  <c r="F269" i="17" s="1"/>
  <c r="C270" i="17"/>
  <c r="F270" i="17" s="1"/>
  <c r="D64" i="17"/>
  <c r="B64" i="17" s="1"/>
  <c r="C266" i="8"/>
  <c r="D276" i="8"/>
  <c r="E81" i="17" s="1"/>
  <c r="D273" i="8"/>
  <c r="E78" i="17" s="1"/>
  <c r="D277" i="8"/>
  <c r="E82" i="17" s="1"/>
  <c r="D274" i="8"/>
  <c r="E79" i="17" s="1"/>
  <c r="D278" i="8"/>
  <c r="E83" i="17" s="1"/>
  <c r="D275" i="8"/>
  <c r="E80" i="17" s="1"/>
  <c r="D279" i="8"/>
  <c r="K305" i="17" l="1"/>
  <c r="K307" i="17"/>
  <c r="K304" i="17"/>
  <c r="D315" i="8"/>
  <c r="E120" i="17" s="1"/>
  <c r="H188" i="17"/>
  <c r="H187" i="17"/>
  <c r="K268" i="17"/>
  <c r="K272" i="17"/>
  <c r="K270" i="17"/>
  <c r="K269" i="17"/>
  <c r="I304" i="17"/>
  <c r="I268" i="17"/>
  <c r="I272" i="17"/>
  <c r="I270" i="17"/>
  <c r="I307" i="17"/>
  <c r="I305" i="17"/>
  <c r="I269" i="17"/>
  <c r="E84" i="17"/>
  <c r="D71" i="17"/>
  <c r="C278" i="8"/>
  <c r="D83" i="17" s="1"/>
  <c r="B83" i="17" s="1"/>
  <c r="C273" i="8"/>
  <c r="D78" i="17" s="1"/>
  <c r="B78" i="17" s="1"/>
  <c r="C279" i="8"/>
  <c r="C276" i="8"/>
  <c r="D81" i="17" s="1"/>
  <c r="B81" i="17" s="1"/>
  <c r="C275" i="8"/>
  <c r="D80" i="17" s="1"/>
  <c r="B80" i="17" s="1"/>
  <c r="C277" i="8"/>
  <c r="D82" i="17" s="1"/>
  <c r="B82" i="17" s="1"/>
  <c r="C274" i="8"/>
  <c r="D79" i="17" s="1"/>
  <c r="B79" i="17" s="1"/>
  <c r="I39" i="11"/>
  <c r="H39" i="11"/>
  <c r="W29" i="17" l="1"/>
  <c r="B71" i="17"/>
  <c r="D322" i="8"/>
  <c r="D84" i="17"/>
  <c r="R27" i="17" s="1"/>
  <c r="W30" i="17"/>
  <c r="B39" i="11"/>
  <c r="B56" i="11" s="1"/>
  <c r="H56" i="11"/>
  <c r="C39" i="11"/>
  <c r="C56" i="11" s="1"/>
  <c r="I56" i="11"/>
  <c r="Q34" i="8"/>
  <c r="Q33" i="8"/>
  <c r="Q32" i="8"/>
  <c r="Q31" i="8"/>
  <c r="P34" i="8"/>
  <c r="P33" i="8"/>
  <c r="P32" i="8"/>
  <c r="P31" i="8"/>
  <c r="Q30" i="8"/>
  <c r="P30" i="8"/>
  <c r="Q29" i="8"/>
  <c r="P29" i="8"/>
  <c r="Q28" i="8"/>
  <c r="P28" i="8"/>
  <c r="P26" i="8"/>
  <c r="AI43" i="17" l="1"/>
  <c r="B84" i="17"/>
  <c r="W44" i="17"/>
  <c r="W43" i="17"/>
  <c r="AI44" i="17"/>
  <c r="D330" i="8"/>
  <c r="E135" i="17" s="1"/>
  <c r="E127" i="17"/>
  <c r="D332" i="8"/>
  <c r="E137" i="17" s="1"/>
  <c r="D335" i="8"/>
  <c r="E140" i="17" s="1"/>
  <c r="D333" i="8"/>
  <c r="E138" i="17" s="1"/>
  <c r="D331" i="8"/>
  <c r="E136" i="17" s="1"/>
  <c r="D329" i="8"/>
  <c r="E134" i="17" s="1"/>
  <c r="D334" i="8"/>
  <c r="E139" i="17" s="1"/>
  <c r="W31" i="17"/>
  <c r="I144" i="17" s="1"/>
  <c r="J144" i="17" s="1"/>
  <c r="A30" i="14"/>
  <c r="H172" i="17" l="1"/>
  <c r="H178" i="17"/>
  <c r="J156" i="17"/>
  <c r="C103" i="9"/>
  <c r="B103" i="9"/>
  <c r="B104" i="9" s="1"/>
  <c r="J62" i="9"/>
  <c r="J106" i="9" s="1"/>
  <c r="I62" i="9"/>
  <c r="I106" i="9" s="1"/>
  <c r="C62" i="9"/>
  <c r="B62" i="9"/>
  <c r="C47" i="9"/>
  <c r="C48" i="9" s="1"/>
  <c r="B47" i="9"/>
  <c r="B48" i="9" s="1"/>
  <c r="J6" i="9"/>
  <c r="J50" i="9" s="1"/>
  <c r="I6" i="9"/>
  <c r="I50" i="9" s="1"/>
  <c r="C6" i="9"/>
  <c r="B6" i="9"/>
  <c r="C3" i="9"/>
  <c r="B3" i="9"/>
  <c r="A3" i="9"/>
  <c r="D40" i="11"/>
  <c r="C17" i="11"/>
  <c r="D19" i="11"/>
  <c r="C9" i="11"/>
  <c r="A54" i="11" s="1"/>
  <c r="C8" i="11"/>
  <c r="C7" i="11"/>
  <c r="C6" i="11"/>
  <c r="F31" i="14"/>
  <c r="D31" i="14"/>
  <c r="A19" i="14"/>
  <c r="C14" i="14"/>
  <c r="C7" i="14"/>
  <c r="F18" i="6"/>
  <c r="C18" i="6"/>
  <c r="F7" i="6"/>
  <c r="C7" i="6"/>
  <c r="B5" i="6"/>
  <c r="C261" i="17"/>
  <c r="D258" i="17"/>
  <c r="G158" i="17"/>
  <c r="G163" i="17" s="1"/>
  <c r="F158" i="17"/>
  <c r="H157" i="17"/>
  <c r="H149" i="17"/>
  <c r="H148" i="17"/>
  <c r="F20" i="17"/>
  <c r="E6" i="17"/>
  <c r="E5" i="17"/>
  <c r="E4" i="17"/>
  <c r="E3" i="17"/>
  <c r="E2" i="17"/>
  <c r="A49" i="22"/>
  <c r="A48" i="22"/>
  <c r="A47" i="22"/>
  <c r="A46" i="22"/>
  <c r="A45" i="22"/>
  <c r="A44" i="22"/>
  <c r="A43" i="22"/>
  <c r="A39" i="22"/>
  <c r="A38" i="22"/>
  <c r="A37" i="22"/>
  <c r="A36" i="22"/>
  <c r="A35" i="22"/>
  <c r="A34" i="22"/>
  <c r="A33" i="22"/>
  <c r="E29" i="22"/>
  <c r="E28" i="22"/>
  <c r="A19" i="22"/>
  <c r="A17" i="22"/>
  <c r="B15" i="22"/>
  <c r="A13" i="22"/>
  <c r="A11" i="22"/>
  <c r="A50" i="7"/>
  <c r="A49" i="7"/>
  <c r="A48" i="7"/>
  <c r="A47" i="7"/>
  <c r="A46" i="7"/>
  <c r="A45" i="7"/>
  <c r="A44" i="7"/>
  <c r="A39" i="7"/>
  <c r="A38" i="7"/>
  <c r="A37" i="7"/>
  <c r="A36" i="7"/>
  <c r="A35" i="7"/>
  <c r="A34" i="7"/>
  <c r="A33" i="7"/>
  <c r="E29" i="7"/>
  <c r="E28" i="7"/>
  <c r="A19" i="7"/>
  <c r="A17" i="7"/>
  <c r="A13" i="7"/>
  <c r="A11" i="7"/>
  <c r="C214" i="8"/>
  <c r="B214" i="8"/>
  <c r="A212" i="8"/>
  <c r="D209" i="8"/>
  <c r="D207" i="8"/>
  <c r="D206" i="8"/>
  <c r="D205" i="8"/>
  <c r="D204" i="8"/>
  <c r="D203" i="8"/>
  <c r="C202" i="8"/>
  <c r="A200" i="8"/>
  <c r="H190" i="8"/>
  <c r="F322" i="8" s="1"/>
  <c r="G127" i="17" s="1"/>
  <c r="G190" i="8"/>
  <c r="E322" i="8" s="1"/>
  <c r="F127" i="17" s="1"/>
  <c r="C190" i="8"/>
  <c r="B190" i="8"/>
  <c r="H189" i="8"/>
  <c r="G189" i="8"/>
  <c r="F189" i="8"/>
  <c r="E189" i="8"/>
  <c r="F188" i="8"/>
  <c r="A188" i="8"/>
  <c r="D185" i="8"/>
  <c r="D184" i="8"/>
  <c r="D183" i="8"/>
  <c r="D182" i="8"/>
  <c r="D181" i="8"/>
  <c r="D180" i="8"/>
  <c r="F179" i="8"/>
  <c r="E179" i="8"/>
  <c r="C179" i="8"/>
  <c r="H178" i="8"/>
  <c r="G178" i="8"/>
  <c r="F178" i="8"/>
  <c r="E178" i="8"/>
  <c r="F177" i="8"/>
  <c r="A177" i="8"/>
  <c r="H167" i="8"/>
  <c r="F315" i="8" s="1"/>
  <c r="G120" i="17" s="1"/>
  <c r="G167" i="8"/>
  <c r="E315" i="8" s="1"/>
  <c r="F120" i="17" s="1"/>
  <c r="C167" i="8"/>
  <c r="B167" i="8"/>
  <c r="H166" i="8"/>
  <c r="G166" i="8"/>
  <c r="F166" i="8"/>
  <c r="E166" i="8"/>
  <c r="F165" i="8"/>
  <c r="A165" i="8"/>
  <c r="D162" i="8"/>
  <c r="D161" i="8"/>
  <c r="D160" i="8"/>
  <c r="D159" i="8"/>
  <c r="D158" i="8"/>
  <c r="D157" i="8"/>
  <c r="F156" i="8"/>
  <c r="F259" i="8" s="1"/>
  <c r="G64" i="17" s="1"/>
  <c r="E156" i="8"/>
  <c r="E259" i="8" s="1"/>
  <c r="F64" i="17" s="1"/>
  <c r="C156" i="8"/>
  <c r="H155" i="8"/>
  <c r="G155" i="8"/>
  <c r="F155" i="8"/>
  <c r="E155" i="8"/>
  <c r="F154" i="8"/>
  <c r="A154" i="8"/>
  <c r="H144" i="8"/>
  <c r="F308" i="8" s="1"/>
  <c r="G113" i="17" s="1"/>
  <c r="G144" i="8"/>
  <c r="E308" i="8" s="1"/>
  <c r="F113" i="17" s="1"/>
  <c r="C144" i="8"/>
  <c r="B144" i="8"/>
  <c r="H143" i="8"/>
  <c r="G143" i="8"/>
  <c r="F143" i="8"/>
  <c r="E143" i="8"/>
  <c r="F142" i="8"/>
  <c r="A142" i="8"/>
  <c r="D139" i="8"/>
  <c r="D138" i="8"/>
  <c r="D137" i="8"/>
  <c r="D136" i="8"/>
  <c r="D135" i="8"/>
  <c r="D134" i="8"/>
  <c r="F133" i="8"/>
  <c r="E133" i="8"/>
  <c r="C133" i="8"/>
  <c r="H132" i="8"/>
  <c r="G132" i="8"/>
  <c r="F132" i="8"/>
  <c r="E132" i="8"/>
  <c r="F131" i="8"/>
  <c r="A131" i="8"/>
  <c r="H121" i="8"/>
  <c r="F301" i="8" s="1"/>
  <c r="G106" i="17" s="1"/>
  <c r="G121" i="8"/>
  <c r="E301" i="8" s="1"/>
  <c r="F106" i="17" s="1"/>
  <c r="C121" i="8"/>
  <c r="B121" i="8"/>
  <c r="H120" i="8"/>
  <c r="G120" i="8"/>
  <c r="F120" i="8"/>
  <c r="E120" i="8"/>
  <c r="F119" i="8"/>
  <c r="A119" i="8"/>
  <c r="D116" i="8"/>
  <c r="D115" i="8"/>
  <c r="D114" i="8"/>
  <c r="D113" i="8"/>
  <c r="D112" i="8"/>
  <c r="D111" i="8"/>
  <c r="F110" i="8"/>
  <c r="E110" i="8"/>
  <c r="C110" i="8"/>
  <c r="H109" i="8"/>
  <c r="G109" i="8"/>
  <c r="F109" i="8"/>
  <c r="E109" i="8"/>
  <c r="F108" i="8"/>
  <c r="A108" i="8"/>
  <c r="H98" i="8"/>
  <c r="F294" i="8" s="1"/>
  <c r="G99" i="17" s="1"/>
  <c r="G98" i="8"/>
  <c r="E294" i="8" s="1"/>
  <c r="F99" i="17" s="1"/>
  <c r="C98" i="8"/>
  <c r="B98" i="8"/>
  <c r="H97" i="8"/>
  <c r="G97" i="8"/>
  <c r="F97" i="8"/>
  <c r="E97" i="8"/>
  <c r="F96" i="8"/>
  <c r="A96" i="8"/>
  <c r="D93" i="8"/>
  <c r="D92" i="8"/>
  <c r="D91" i="8"/>
  <c r="D90" i="8"/>
  <c r="D89" i="8"/>
  <c r="D88" i="8"/>
  <c r="F87" i="8"/>
  <c r="E87" i="8"/>
  <c r="E238" i="8" s="1"/>
  <c r="F43" i="17" s="1"/>
  <c r="I179" i="17" s="1"/>
  <c r="C87" i="8"/>
  <c r="H86" i="8"/>
  <c r="G86" i="8"/>
  <c r="F86" i="8"/>
  <c r="E86" i="8"/>
  <c r="F85" i="8"/>
  <c r="A85" i="8"/>
  <c r="H75" i="8"/>
  <c r="F287" i="8" s="1"/>
  <c r="G92" i="17" s="1"/>
  <c r="G75" i="8"/>
  <c r="E287" i="8" s="1"/>
  <c r="F92" i="17" s="1"/>
  <c r="C75" i="8"/>
  <c r="B75" i="8"/>
  <c r="H74" i="8"/>
  <c r="G74" i="8"/>
  <c r="F74" i="8"/>
  <c r="E74" i="8"/>
  <c r="F73" i="8"/>
  <c r="A73" i="8"/>
  <c r="D70" i="8"/>
  <c r="D69" i="8"/>
  <c r="D68" i="8"/>
  <c r="D67" i="8"/>
  <c r="D66" i="8"/>
  <c r="D65" i="8"/>
  <c r="F64" i="8"/>
  <c r="E64" i="8"/>
  <c r="C64" i="8"/>
  <c r="H63" i="8"/>
  <c r="G63" i="8"/>
  <c r="F63" i="8"/>
  <c r="E63" i="8"/>
  <c r="F62" i="8"/>
  <c r="A62" i="8"/>
  <c r="O22" i="8"/>
  <c r="N22" i="8"/>
  <c r="O21" i="8"/>
  <c r="N21" i="8"/>
  <c r="O20" i="8"/>
  <c r="N20" i="8"/>
  <c r="O19" i="8"/>
  <c r="N19" i="8"/>
  <c r="N14" i="8"/>
  <c r="N26" i="8" s="1"/>
  <c r="H52" i="8"/>
  <c r="Q16" i="8" s="1"/>
  <c r="F9" i="24" s="1"/>
  <c r="G52" i="8"/>
  <c r="P16" i="8" s="1"/>
  <c r="C9" i="24" s="1"/>
  <c r="C52" i="8"/>
  <c r="B52" i="8"/>
  <c r="C280" i="8" s="1"/>
  <c r="H51" i="8"/>
  <c r="G51" i="8"/>
  <c r="F51" i="8"/>
  <c r="R4" i="8" s="1"/>
  <c r="Q15" i="8" s="1"/>
  <c r="Q27" i="8" s="1"/>
  <c r="E51" i="8"/>
  <c r="Q4" i="8" s="1"/>
  <c r="P15" i="8" s="1"/>
  <c r="P27" i="8" s="1"/>
  <c r="F50" i="8"/>
  <c r="D47" i="8"/>
  <c r="D46" i="8"/>
  <c r="D45" i="8"/>
  <c r="D44" i="8"/>
  <c r="D43" i="8"/>
  <c r="D42" i="8"/>
  <c r="F41" i="8"/>
  <c r="O5" i="8" s="1"/>
  <c r="E41" i="8"/>
  <c r="N5" i="8" s="1"/>
  <c r="C41" i="8"/>
  <c r="H40" i="8"/>
  <c r="G40" i="8"/>
  <c r="F40" i="8"/>
  <c r="O4" i="8" s="1"/>
  <c r="O15" i="8" s="1"/>
  <c r="E40" i="8"/>
  <c r="N4" i="8" s="1"/>
  <c r="N15" i="8" s="1"/>
  <c r="F39" i="8"/>
  <c r="C35" i="8"/>
  <c r="C34" i="8"/>
  <c r="I33" i="8"/>
  <c r="H33" i="8"/>
  <c r="G33" i="8"/>
  <c r="F33" i="8"/>
  <c r="E27" i="8"/>
  <c r="E28" i="8" s="1"/>
  <c r="E29" i="8" s="1"/>
  <c r="C27" i="8"/>
  <c r="C28" i="8" s="1"/>
  <c r="F26" i="8"/>
  <c r="F25" i="8"/>
  <c r="G26" i="8" s="1"/>
  <c r="F24" i="8"/>
  <c r="C176" i="8" s="1"/>
  <c r="F23" i="8"/>
  <c r="B38" i="7" s="1"/>
  <c r="C38" i="7" s="1"/>
  <c r="F22" i="8"/>
  <c r="C130" i="8" s="1"/>
  <c r="F21" i="8"/>
  <c r="B46" i="22" s="1"/>
  <c r="C46" i="22" s="1"/>
  <c r="F20" i="8"/>
  <c r="B46" i="7" s="1"/>
  <c r="C46" i="7" s="1"/>
  <c r="F19" i="8"/>
  <c r="B45" i="7" s="1"/>
  <c r="F18" i="8"/>
  <c r="B44" i="7" s="1"/>
  <c r="F14" i="8"/>
  <c r="F13" i="8"/>
  <c r="C13" i="8"/>
  <c r="B13" i="8"/>
  <c r="M128" i="2"/>
  <c r="M127" i="2"/>
  <c r="M126" i="2"/>
  <c r="M125" i="2"/>
  <c r="M124" i="2"/>
  <c r="M123" i="2"/>
  <c r="M122" i="2"/>
  <c r="M121" i="2"/>
  <c r="M120" i="2"/>
  <c r="M119" i="2"/>
  <c r="M118" i="2"/>
  <c r="M117" i="2"/>
  <c r="M116" i="2"/>
  <c r="M115" i="2"/>
  <c r="M114" i="2"/>
  <c r="M113" i="2"/>
  <c r="M112" i="2"/>
  <c r="M111" i="2"/>
  <c r="M110" i="2"/>
  <c r="M109" i="2"/>
  <c r="M108" i="2"/>
  <c r="M107" i="2"/>
  <c r="M106" i="2"/>
  <c r="M105" i="2"/>
  <c r="M104" i="2"/>
  <c r="M103" i="2"/>
  <c r="M102" i="2"/>
  <c r="M101" i="2"/>
  <c r="M100" i="2"/>
  <c r="M99" i="2"/>
  <c r="M98" i="2"/>
  <c r="M97" i="2"/>
  <c r="M96" i="2"/>
  <c r="M95" i="2"/>
  <c r="M94" i="2"/>
  <c r="M93" i="2"/>
  <c r="M92" i="2"/>
  <c r="M91" i="2"/>
  <c r="M90" i="2"/>
  <c r="M89" i="2"/>
  <c r="M88" i="2"/>
  <c r="M87" i="2"/>
  <c r="M86" i="2"/>
  <c r="M85" i="2"/>
  <c r="M84" i="2"/>
  <c r="M83" i="2"/>
  <c r="M82" i="2"/>
  <c r="M81" i="2"/>
  <c r="M80" i="2"/>
  <c r="M79" i="2"/>
  <c r="M78" i="2"/>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M14" i="2"/>
  <c r="M13" i="2"/>
  <c r="M12" i="2"/>
  <c r="M11" i="2"/>
  <c r="M10" i="2"/>
  <c r="M9" i="2"/>
  <c r="M8" i="2"/>
  <c r="M7" i="2"/>
  <c r="M6" i="2"/>
  <c r="M5" i="2"/>
  <c r="M4" i="2"/>
  <c r="M3" i="2"/>
  <c r="M2" i="2"/>
  <c r="F163" i="17" l="1"/>
  <c r="E247" i="17" s="1"/>
  <c r="H92" i="17"/>
  <c r="H120" i="17"/>
  <c r="H106" i="17"/>
  <c r="H113" i="17"/>
  <c r="C287" i="8"/>
  <c r="D85" i="17"/>
  <c r="H99" i="17"/>
  <c r="H127" i="17"/>
  <c r="N29" i="8"/>
  <c r="N6" i="8"/>
  <c r="H64" i="8"/>
  <c r="O6" i="8"/>
  <c r="E64" i="9"/>
  <c r="G64" i="9" s="1"/>
  <c r="H64" i="9" s="1"/>
  <c r="E70" i="9"/>
  <c r="G70" i="9" s="1"/>
  <c r="H70" i="9" s="1"/>
  <c r="E73" i="9"/>
  <c r="G73" i="9" s="1"/>
  <c r="H73" i="9" s="1"/>
  <c r="E76" i="9"/>
  <c r="G76" i="9" s="1"/>
  <c r="H76" i="9" s="1"/>
  <c r="E83" i="9"/>
  <c r="G83" i="9" s="1"/>
  <c r="H83" i="9" s="1"/>
  <c r="E86" i="9"/>
  <c r="G86" i="9" s="1"/>
  <c r="H86" i="9" s="1"/>
  <c r="E89" i="9"/>
  <c r="G89" i="9" s="1"/>
  <c r="H89" i="9" s="1"/>
  <c r="E95" i="9"/>
  <c r="G95" i="9" s="1"/>
  <c r="H95" i="9" s="1"/>
  <c r="E96" i="9"/>
  <c r="G96" i="9" s="1"/>
  <c r="H96" i="9" s="1"/>
  <c r="E101" i="9"/>
  <c r="G101" i="9" s="1"/>
  <c r="H101" i="9" s="1"/>
  <c r="E40" i="9"/>
  <c r="G40" i="9" s="1"/>
  <c r="H40" i="9" s="1"/>
  <c r="E41" i="9"/>
  <c r="G41" i="9" s="1"/>
  <c r="H41" i="9" s="1"/>
  <c r="E66" i="9"/>
  <c r="G66" i="9" s="1"/>
  <c r="H66" i="9" s="1"/>
  <c r="E71" i="9"/>
  <c r="G71" i="9" s="1"/>
  <c r="H71" i="9" s="1"/>
  <c r="E78" i="9"/>
  <c r="G78" i="9" s="1"/>
  <c r="H78" i="9" s="1"/>
  <c r="E81" i="9"/>
  <c r="G81" i="9" s="1"/>
  <c r="H81" i="9" s="1"/>
  <c r="E87" i="9"/>
  <c r="G87" i="9" s="1"/>
  <c r="H87" i="9" s="1"/>
  <c r="E88" i="9"/>
  <c r="G88" i="9" s="1"/>
  <c r="H88" i="9" s="1"/>
  <c r="E93" i="9"/>
  <c r="G93" i="9" s="1"/>
  <c r="H93" i="9" s="1"/>
  <c r="E98" i="9"/>
  <c r="G98" i="9" s="1"/>
  <c r="H98" i="9" s="1"/>
  <c r="E100" i="9"/>
  <c r="G100" i="9" s="1"/>
  <c r="H100" i="9" s="1"/>
  <c r="E43" i="9"/>
  <c r="G43" i="9" s="1"/>
  <c r="H43" i="9" s="1"/>
  <c r="E46" i="9"/>
  <c r="G46" i="9" s="1"/>
  <c r="H46" i="9" s="1"/>
  <c r="E67" i="9"/>
  <c r="G67" i="9" s="1"/>
  <c r="H67" i="9" s="1"/>
  <c r="E69" i="9"/>
  <c r="G69" i="9" s="1"/>
  <c r="H69" i="9" s="1"/>
  <c r="E72" i="9"/>
  <c r="G72" i="9" s="1"/>
  <c r="H72" i="9" s="1"/>
  <c r="E74" i="9"/>
  <c r="G74" i="9" s="1"/>
  <c r="H74" i="9" s="1"/>
  <c r="E79" i="9"/>
  <c r="G79" i="9" s="1"/>
  <c r="H79" i="9" s="1"/>
  <c r="E80" i="9"/>
  <c r="G80" i="9" s="1"/>
  <c r="H80" i="9" s="1"/>
  <c r="E85" i="9"/>
  <c r="G85" i="9" s="1"/>
  <c r="H85" i="9" s="1"/>
  <c r="E90" i="9"/>
  <c r="G90" i="9" s="1"/>
  <c r="H90" i="9" s="1"/>
  <c r="E92" i="9"/>
  <c r="G92" i="9" s="1"/>
  <c r="H92" i="9" s="1"/>
  <c r="E99" i="9"/>
  <c r="G99" i="9" s="1"/>
  <c r="H99" i="9" s="1"/>
  <c r="E102" i="9"/>
  <c r="G102" i="9" s="1"/>
  <c r="H102" i="9" s="1"/>
  <c r="E44" i="9"/>
  <c r="G44" i="9" s="1"/>
  <c r="H44" i="9" s="1"/>
  <c r="E45" i="9"/>
  <c r="G45" i="9" s="1"/>
  <c r="H45" i="9" s="1"/>
  <c r="E65" i="9"/>
  <c r="G65" i="9" s="1"/>
  <c r="H65" i="9" s="1"/>
  <c r="E68" i="9"/>
  <c r="G68" i="9" s="1"/>
  <c r="H68" i="9" s="1"/>
  <c r="E75" i="9"/>
  <c r="G75" i="9" s="1"/>
  <c r="H75" i="9" s="1"/>
  <c r="E77" i="9"/>
  <c r="G77" i="9" s="1"/>
  <c r="H77" i="9" s="1"/>
  <c r="E94" i="9"/>
  <c r="G94" i="9" s="1"/>
  <c r="H94" i="9" s="1"/>
  <c r="E82" i="9"/>
  <c r="G82" i="9" s="1"/>
  <c r="H82" i="9" s="1"/>
  <c r="E42" i="9"/>
  <c r="G42" i="9" s="1"/>
  <c r="H42" i="9" s="1"/>
  <c r="E84" i="9"/>
  <c r="G84" i="9" s="1"/>
  <c r="H84" i="9" s="1"/>
  <c r="E91" i="9"/>
  <c r="G91" i="9" s="1"/>
  <c r="H91" i="9" s="1"/>
  <c r="E97" i="9"/>
  <c r="G97" i="9" s="1"/>
  <c r="H97" i="9" s="1"/>
  <c r="C104" i="9"/>
  <c r="C105" i="9" s="1"/>
  <c r="B105" i="9"/>
  <c r="B49" i="9"/>
  <c r="C49" i="9"/>
  <c r="E18" i="9"/>
  <c r="E21" i="9"/>
  <c r="E26" i="9"/>
  <c r="E29" i="9"/>
  <c r="E34" i="9"/>
  <c r="E37" i="9"/>
  <c r="E19" i="9"/>
  <c r="E20" i="9"/>
  <c r="E27" i="9"/>
  <c r="E28" i="9"/>
  <c r="E35" i="9"/>
  <c r="E36" i="9"/>
  <c r="E17" i="9"/>
  <c r="E22" i="9"/>
  <c r="E25" i="9"/>
  <c r="E30" i="9"/>
  <c r="E33" i="9"/>
  <c r="E38" i="9"/>
  <c r="E15" i="9"/>
  <c r="E16" i="9"/>
  <c r="E23" i="9"/>
  <c r="E24" i="9"/>
  <c r="E31" i="9"/>
  <c r="E32" i="9"/>
  <c r="E39" i="9"/>
  <c r="B9" i="11"/>
  <c r="F40" i="11"/>
  <c r="F44" i="11"/>
  <c r="F45" i="11"/>
  <c r="F46" i="11"/>
  <c r="F43" i="11"/>
  <c r="F41" i="11"/>
  <c r="F42" i="11"/>
  <c r="D22" i="11"/>
  <c r="G31" i="11"/>
  <c r="C32" i="11" s="1"/>
  <c r="G25" i="11"/>
  <c r="C26" i="11" s="1"/>
  <c r="G34" i="11"/>
  <c r="C35" i="11" s="1"/>
  <c r="G28" i="11"/>
  <c r="C29" i="11" s="1"/>
  <c r="G22" i="11"/>
  <c r="C23" i="11" s="1"/>
  <c r="G15" i="11"/>
  <c r="C16" i="11" s="1"/>
  <c r="G19" i="11"/>
  <c r="C20" i="11" s="1"/>
  <c r="D57" i="11"/>
  <c r="H151" i="17"/>
  <c r="I152" i="17"/>
  <c r="H175" i="17"/>
  <c r="I151" i="17"/>
  <c r="H174" i="17"/>
  <c r="I155" i="17"/>
  <c r="H173" i="17"/>
  <c r="H150" i="17"/>
  <c r="H155" i="17"/>
  <c r="J174" i="17" s="1"/>
  <c r="H177" i="17"/>
  <c r="H152" i="17"/>
  <c r="H153" i="17"/>
  <c r="H156" i="17"/>
  <c r="J175" i="17" s="1"/>
  <c r="I153" i="17"/>
  <c r="D158" i="17"/>
  <c r="H154" i="17"/>
  <c r="I173" i="17" s="1"/>
  <c r="E180" i="17"/>
  <c r="H176" i="17"/>
  <c r="I154" i="17"/>
  <c r="D180" i="17"/>
  <c r="E158" i="17"/>
  <c r="H64" i="17"/>
  <c r="N34" i="8"/>
  <c r="E266" i="8"/>
  <c r="F71" i="17" s="1"/>
  <c r="E280" i="8"/>
  <c r="F85" i="17" s="1"/>
  <c r="F238" i="8"/>
  <c r="G43" i="17" s="1"/>
  <c r="O34" i="8"/>
  <c r="F266" i="8"/>
  <c r="G71" i="17" s="1"/>
  <c r="F280" i="8"/>
  <c r="G85" i="17" s="1"/>
  <c r="O31" i="8"/>
  <c r="E245" i="8"/>
  <c r="F50" i="17" s="1"/>
  <c r="E252" i="8"/>
  <c r="F57" i="17" s="1"/>
  <c r="F252" i="8"/>
  <c r="G57" i="17" s="1"/>
  <c r="H58" i="17"/>
  <c r="J291" i="17" s="1"/>
  <c r="I291" i="17" s="1"/>
  <c r="G159" i="17"/>
  <c r="B34" i="7"/>
  <c r="B37" i="7"/>
  <c r="C37" i="7" s="1"/>
  <c r="S10" i="8"/>
  <c r="D48" i="22" s="1"/>
  <c r="B47" i="22"/>
  <c r="C47" i="22" s="1"/>
  <c r="E130" i="8"/>
  <c r="S11" i="8"/>
  <c r="D49" i="22" s="1"/>
  <c r="C153" i="8"/>
  <c r="E153" i="8" s="1"/>
  <c r="D221" i="8"/>
  <c r="G35" i="8"/>
  <c r="H87" i="8"/>
  <c r="G64" i="8"/>
  <c r="C38" i="8"/>
  <c r="E38" i="8" s="1"/>
  <c r="S7" i="8"/>
  <c r="D45" i="22" s="1"/>
  <c r="B33" i="22"/>
  <c r="C33" i="22" s="1"/>
  <c r="B43" i="22"/>
  <c r="C43" i="22" s="1"/>
  <c r="F159" i="17"/>
  <c r="I149" i="17"/>
  <c r="E12" i="9"/>
  <c r="E13" i="9"/>
  <c r="E8" i="9"/>
  <c r="G110" i="8"/>
  <c r="F245" i="8" s="1"/>
  <c r="G50" i="17" s="1"/>
  <c r="N31" i="8"/>
  <c r="N33" i="8"/>
  <c r="F27" i="8"/>
  <c r="N32" i="8"/>
  <c r="O33" i="8"/>
  <c r="H179" i="8"/>
  <c r="B48" i="7"/>
  <c r="C48" i="7" s="1"/>
  <c r="B37" i="22"/>
  <c r="C37" i="22" s="1"/>
  <c r="C61" i="8"/>
  <c r="E61" i="8" s="1"/>
  <c r="C84" i="8"/>
  <c r="E84" i="8" s="1"/>
  <c r="N30" i="8"/>
  <c r="H133" i="8"/>
  <c r="O32" i="8"/>
  <c r="G156" i="8"/>
  <c r="E176" i="8"/>
  <c r="S6" i="8"/>
  <c r="D44" i="22" s="1"/>
  <c r="S9" i="8"/>
  <c r="D37" i="22" s="1"/>
  <c r="O29" i="8"/>
  <c r="O30" i="8"/>
  <c r="G133" i="8"/>
  <c r="H156" i="8"/>
  <c r="E9" i="9"/>
  <c r="E63" i="9"/>
  <c r="G63" i="9" s="1"/>
  <c r="H63" i="9" s="1"/>
  <c r="G41" i="8"/>
  <c r="E224" i="8" s="1"/>
  <c r="N28" i="8"/>
  <c r="P9" i="14"/>
  <c r="N27" i="8"/>
  <c r="O28" i="8"/>
  <c r="Q9" i="14"/>
  <c r="O27" i="8"/>
  <c r="D123" i="8"/>
  <c r="D216" i="8"/>
  <c r="B48" i="22"/>
  <c r="C48" i="22" s="1"/>
  <c r="B38" i="22"/>
  <c r="C38" i="22" s="1"/>
  <c r="D79" i="8"/>
  <c r="D126" i="8"/>
  <c r="D146" i="8"/>
  <c r="D171" i="8"/>
  <c r="D219" i="8"/>
  <c r="D78" i="8"/>
  <c r="D103" i="8"/>
  <c r="D170" i="8"/>
  <c r="C107" i="8"/>
  <c r="E107" i="8" s="1"/>
  <c r="B47" i="7"/>
  <c r="C47" i="7" s="1"/>
  <c r="B36" i="7"/>
  <c r="C36" i="7" s="1"/>
  <c r="D55" i="8"/>
  <c r="D99" i="8"/>
  <c r="H110" i="8"/>
  <c r="D127" i="8"/>
  <c r="D147" i="8"/>
  <c r="D191" i="8"/>
  <c r="B49" i="7"/>
  <c r="C49" i="7" s="1"/>
  <c r="D218" i="8"/>
  <c r="D193" i="8"/>
  <c r="D173" i="8"/>
  <c r="D169" i="8"/>
  <c r="D149" i="8"/>
  <c r="D145" i="8"/>
  <c r="D125" i="8"/>
  <c r="D101" i="8"/>
  <c r="D81" i="8"/>
  <c r="D77" i="8"/>
  <c r="D57" i="8"/>
  <c r="D54" i="8"/>
  <c r="D217" i="8"/>
  <c r="D196" i="8"/>
  <c r="D192" i="8"/>
  <c r="D172" i="8"/>
  <c r="D168" i="8"/>
  <c r="D148" i="8"/>
  <c r="D124" i="8"/>
  <c r="D104" i="8"/>
  <c r="D100" i="8"/>
  <c r="D80" i="8"/>
  <c r="D76" i="8"/>
  <c r="D56" i="8"/>
  <c r="D53" i="8"/>
  <c r="H35" i="8"/>
  <c r="F34" i="8"/>
  <c r="D195" i="8"/>
  <c r="B44" i="22"/>
  <c r="C44" i="22" s="1"/>
  <c r="B34" i="22"/>
  <c r="C34" i="22" s="1"/>
  <c r="B50" i="7"/>
  <c r="C50" i="7" s="1"/>
  <c r="B39" i="7"/>
  <c r="C39" i="7" s="1"/>
  <c r="B49" i="22"/>
  <c r="C49" i="22" s="1"/>
  <c r="B39" i="22"/>
  <c r="C39" i="22" s="1"/>
  <c r="C29" i="8"/>
  <c r="C30" i="8" s="1"/>
  <c r="R12" i="8"/>
  <c r="C199" i="8"/>
  <c r="E199" i="8" s="1"/>
  <c r="G25" i="8"/>
  <c r="F35" i="8"/>
  <c r="S8" i="8"/>
  <c r="D46" i="22" s="1"/>
  <c r="E46" i="22" s="1"/>
  <c r="F46" i="22" s="1"/>
  <c r="D58" i="8"/>
  <c r="G87" i="8"/>
  <c r="D102" i="8"/>
  <c r="D122" i="8"/>
  <c r="D150" i="8"/>
  <c r="G179" i="8"/>
  <c r="D194" i="8"/>
  <c r="D215" i="8"/>
  <c r="B36" i="22"/>
  <c r="C36" i="22" s="1"/>
  <c r="B33" i="7"/>
  <c r="B35" i="22"/>
  <c r="C35" i="22" s="1"/>
  <c r="B45" i="22"/>
  <c r="C45" i="22" s="1"/>
  <c r="B35" i="7"/>
  <c r="C35" i="7" s="1"/>
  <c r="E10" i="9"/>
  <c r="E14" i="9"/>
  <c r="E7" i="9"/>
  <c r="E11" i="9"/>
  <c r="I35" i="8"/>
  <c r="G34" i="8"/>
  <c r="H41" i="8"/>
  <c r="F224" i="8" s="1"/>
  <c r="G29" i="17" s="1"/>
  <c r="S5" i="8"/>
  <c r="Q12" i="8"/>
  <c r="C44" i="7"/>
  <c r="H211" i="17" l="1"/>
  <c r="H247" i="17"/>
  <c r="C34" i="7"/>
  <c r="H85" i="17"/>
  <c r="J265" i="17" s="1"/>
  <c r="I265" i="17" s="1"/>
  <c r="C45" i="7"/>
  <c r="H2" i="24"/>
  <c r="C10" i="24" s="1"/>
  <c r="C265" i="17"/>
  <c r="B85" i="17"/>
  <c r="C294" i="8"/>
  <c r="D92" i="17"/>
  <c r="B92" i="17" s="1"/>
  <c r="E231" i="8"/>
  <c r="F36" i="17" s="1"/>
  <c r="N17" i="8"/>
  <c r="F231" i="8"/>
  <c r="G36" i="17" s="1"/>
  <c r="O17" i="8"/>
  <c r="J63" i="9"/>
  <c r="J103" i="9" s="1"/>
  <c r="J104" i="9" s="1"/>
  <c r="J105" i="9" s="1"/>
  <c r="J107" i="9" s="1"/>
  <c r="I63" i="9"/>
  <c r="I103" i="9" s="1"/>
  <c r="I104" i="9" s="1"/>
  <c r="I105" i="9" s="1"/>
  <c r="I107" i="9" s="1"/>
  <c r="G9" i="9"/>
  <c r="H9" i="9" s="1"/>
  <c r="G13" i="9"/>
  <c r="H13" i="9" s="1"/>
  <c r="G31" i="9"/>
  <c r="H31" i="9" s="1"/>
  <c r="G15" i="9"/>
  <c r="H15" i="9" s="1"/>
  <c r="G25" i="9"/>
  <c r="H25" i="9" s="1"/>
  <c r="G35" i="9"/>
  <c r="H35" i="9" s="1"/>
  <c r="G19" i="9"/>
  <c r="H19" i="9" s="1"/>
  <c r="G26" i="9"/>
  <c r="H26" i="9" s="1"/>
  <c r="G14" i="9"/>
  <c r="H14" i="9" s="1"/>
  <c r="G8" i="9"/>
  <c r="H8" i="9" s="1"/>
  <c r="G24" i="9"/>
  <c r="H24" i="9" s="1"/>
  <c r="G38" i="9"/>
  <c r="H38" i="9" s="1"/>
  <c r="G22" i="9"/>
  <c r="H22" i="9" s="1"/>
  <c r="G28" i="9"/>
  <c r="H28" i="9" s="1"/>
  <c r="G37" i="9"/>
  <c r="H37" i="9" s="1"/>
  <c r="G21" i="9"/>
  <c r="H21" i="9" s="1"/>
  <c r="G11" i="9"/>
  <c r="H11" i="9" s="1"/>
  <c r="G10" i="9"/>
  <c r="H10" i="9" s="1"/>
  <c r="G39" i="9"/>
  <c r="H39" i="9" s="1"/>
  <c r="G23" i="9"/>
  <c r="H23" i="9" s="1"/>
  <c r="G33" i="9"/>
  <c r="H33" i="9" s="1"/>
  <c r="G17" i="9"/>
  <c r="H17" i="9" s="1"/>
  <c r="G27" i="9"/>
  <c r="H27" i="9" s="1"/>
  <c r="G34" i="9"/>
  <c r="H34" i="9" s="1"/>
  <c r="G18" i="9"/>
  <c r="H18" i="9" s="1"/>
  <c r="G7" i="9"/>
  <c r="H7" i="9" s="1"/>
  <c r="J7" i="9" s="1"/>
  <c r="J47" i="9" s="1"/>
  <c r="J48" i="9" s="1"/>
  <c r="J49" i="9" s="1"/>
  <c r="J51" i="9" s="1"/>
  <c r="G12" i="9"/>
  <c r="H12" i="9" s="1"/>
  <c r="G32" i="9"/>
  <c r="H32" i="9" s="1"/>
  <c r="G16" i="9"/>
  <c r="H16" i="9" s="1"/>
  <c r="G30" i="9"/>
  <c r="H30" i="9" s="1"/>
  <c r="G36" i="9"/>
  <c r="H36" i="9" s="1"/>
  <c r="G20" i="9"/>
  <c r="H20" i="9" s="1"/>
  <c r="G29" i="9"/>
  <c r="H29" i="9" s="1"/>
  <c r="G40" i="11"/>
  <c r="I40" i="11" s="1"/>
  <c r="G43" i="11"/>
  <c r="H43" i="11" s="1"/>
  <c r="G45" i="11"/>
  <c r="H45" i="11" s="1"/>
  <c r="G42" i="11"/>
  <c r="H42" i="11" s="1"/>
  <c r="G44" i="11"/>
  <c r="I44" i="11" s="1"/>
  <c r="F60" i="11"/>
  <c r="F63" i="11"/>
  <c r="F59" i="11"/>
  <c r="F62" i="11"/>
  <c r="F58" i="11"/>
  <c r="F61" i="11"/>
  <c r="G41" i="11"/>
  <c r="I41" i="11" s="1"/>
  <c r="F57" i="11"/>
  <c r="J57" i="11" s="1"/>
  <c r="D25" i="11"/>
  <c r="G46" i="11"/>
  <c r="H46" i="11" s="1"/>
  <c r="D181" i="17"/>
  <c r="D185" i="17"/>
  <c r="D159" i="17"/>
  <c r="D161" i="17" s="1"/>
  <c r="D163" i="17"/>
  <c r="D167" i="17" s="1"/>
  <c r="E159" i="17"/>
  <c r="E163" i="17"/>
  <c r="E181" i="17"/>
  <c r="E183" i="17" s="1"/>
  <c r="E185" i="17"/>
  <c r="I175" i="17"/>
  <c r="I174" i="17"/>
  <c r="J173" i="17"/>
  <c r="H180" i="17"/>
  <c r="I180" i="17"/>
  <c r="H158" i="17"/>
  <c r="I177" i="17" s="1"/>
  <c r="H57" i="17"/>
  <c r="J176" i="17" s="1"/>
  <c r="H71" i="17"/>
  <c r="H43" i="17"/>
  <c r="G161" i="17"/>
  <c r="P9" i="8"/>
  <c r="D37" i="7" s="1"/>
  <c r="E37" i="7" s="1"/>
  <c r="P11" i="8"/>
  <c r="D50" i="7" s="1"/>
  <c r="E50" i="7" s="1"/>
  <c r="H50" i="17"/>
  <c r="P7" i="8"/>
  <c r="D46" i="7" s="1"/>
  <c r="E46" i="7" s="1"/>
  <c r="H65" i="17"/>
  <c r="J297" i="17" s="1"/>
  <c r="I297" i="17" s="1"/>
  <c r="N16" i="8"/>
  <c r="F29" i="17"/>
  <c r="D38" i="22"/>
  <c r="E38" i="22" s="1"/>
  <c r="F38" i="22" s="1"/>
  <c r="D39" i="22"/>
  <c r="E39" i="22" s="1"/>
  <c r="F39" i="22" s="1"/>
  <c r="D35" i="22"/>
  <c r="E35" i="22" s="1"/>
  <c r="F35" i="22" s="1"/>
  <c r="D47" i="22"/>
  <c r="E47" i="22" s="1"/>
  <c r="F47" i="22" s="1"/>
  <c r="P6" i="8"/>
  <c r="F161" i="17"/>
  <c r="E37" i="22"/>
  <c r="F37" i="22" s="1"/>
  <c r="E49" i="22"/>
  <c r="F49" i="22" s="1"/>
  <c r="F18" i="17"/>
  <c r="I156" i="17" s="1"/>
  <c r="E21" i="17"/>
  <c r="F14" i="17"/>
  <c r="D34" i="22"/>
  <c r="E34" i="22" s="1"/>
  <c r="F34" i="22" s="1"/>
  <c r="H34" i="8"/>
  <c r="F13" i="17"/>
  <c r="P8" i="8"/>
  <c r="D36" i="7" s="1"/>
  <c r="E36" i="7" s="1"/>
  <c r="F16" i="17"/>
  <c r="P10" i="8"/>
  <c r="F17" i="17"/>
  <c r="E44" i="22"/>
  <c r="F44" i="22" s="1"/>
  <c r="E45" i="22"/>
  <c r="F45" i="22" s="1"/>
  <c r="S12" i="8"/>
  <c r="F15" i="17"/>
  <c r="S194" i="17"/>
  <c r="D256" i="17" s="1"/>
  <c r="D36" i="22"/>
  <c r="E36" i="22" s="1"/>
  <c r="F36" i="22" s="1"/>
  <c r="F19" i="17"/>
  <c r="I157" i="17" s="1"/>
  <c r="D257" i="17"/>
  <c r="E48" i="22"/>
  <c r="F48" i="22" s="1"/>
  <c r="H165" i="17"/>
  <c r="I34" i="8"/>
  <c r="O16" i="8"/>
  <c r="F12" i="17"/>
  <c r="D21" i="17"/>
  <c r="D22" i="17" s="1"/>
  <c r="F30" i="14"/>
  <c r="K42" i="14" s="1"/>
  <c r="Q10" i="14"/>
  <c r="O12" i="8"/>
  <c r="E27" i="22" s="1"/>
  <c r="F8" i="6"/>
  <c r="D30" i="14"/>
  <c r="I42" i="14" s="1"/>
  <c r="P10" i="14"/>
  <c r="C8" i="6"/>
  <c r="N12" i="8"/>
  <c r="C33" i="7"/>
  <c r="P5" i="8"/>
  <c r="D33" i="22"/>
  <c r="E33" i="22" s="1"/>
  <c r="F33" i="22" s="1"/>
  <c r="D43" i="22"/>
  <c r="E43" i="22" s="1"/>
  <c r="F43" i="22" s="1"/>
  <c r="H36" i="17" l="1"/>
  <c r="C11" i="24"/>
  <c r="F11" i="24"/>
  <c r="S11" i="24" s="1"/>
  <c r="F13" i="24" s="1"/>
  <c r="C20" i="24"/>
  <c r="O20" i="24" s="1"/>
  <c r="I20" i="24"/>
  <c r="F21" i="24"/>
  <c r="C21" i="24"/>
  <c r="J20" i="24"/>
  <c r="F20" i="24"/>
  <c r="P20" i="24" s="1"/>
  <c r="C9" i="6"/>
  <c r="C20" i="6" s="1"/>
  <c r="O20" i="6" s="1"/>
  <c r="C301" i="8"/>
  <c r="D99" i="17"/>
  <c r="K41" i="22"/>
  <c r="F9" i="6"/>
  <c r="F20" i="6" s="1"/>
  <c r="P20" i="6" s="1"/>
  <c r="K40" i="22"/>
  <c r="H181" i="17"/>
  <c r="D183" i="17"/>
  <c r="H183" i="17" s="1"/>
  <c r="I7" i="9"/>
  <c r="H41" i="11"/>
  <c r="J41" i="11" s="1"/>
  <c r="I42" i="11"/>
  <c r="J42" i="11" s="1"/>
  <c r="H40" i="11"/>
  <c r="J40" i="11" s="1"/>
  <c r="I43" i="11"/>
  <c r="J43" i="11" s="1"/>
  <c r="I45" i="11"/>
  <c r="J45" i="11" s="1"/>
  <c r="I46" i="11"/>
  <c r="J46" i="11" s="1"/>
  <c r="H44" i="11"/>
  <c r="J44" i="11" s="1"/>
  <c r="G57" i="11"/>
  <c r="I57" i="11" s="1"/>
  <c r="D28" i="11"/>
  <c r="J58" i="11"/>
  <c r="G58" i="11"/>
  <c r="J60" i="11"/>
  <c r="G60" i="11"/>
  <c r="J62" i="11"/>
  <c r="G62" i="11"/>
  <c r="J59" i="11"/>
  <c r="G59" i="11"/>
  <c r="J61" i="11"/>
  <c r="G61" i="11"/>
  <c r="J63" i="11"/>
  <c r="G63" i="11"/>
  <c r="E161" i="17"/>
  <c r="H159" i="17"/>
  <c r="I178" i="17" s="1"/>
  <c r="E189" i="17"/>
  <c r="E190" i="17" s="1"/>
  <c r="J177" i="17"/>
  <c r="H29" i="17"/>
  <c r="D189" i="17"/>
  <c r="J172" i="17"/>
  <c r="I172" i="17"/>
  <c r="I176" i="17"/>
  <c r="E22" i="17"/>
  <c r="E23" i="17" s="1"/>
  <c r="D35" i="7"/>
  <c r="E35" i="7" s="1"/>
  <c r="D48" i="7"/>
  <c r="E48" i="7" s="1"/>
  <c r="D39" i="7"/>
  <c r="E39" i="7" s="1"/>
  <c r="M29" i="14"/>
  <c r="D34" i="7"/>
  <c r="E34" i="7" s="1"/>
  <c r="F34" i="7" s="1"/>
  <c r="D45" i="7"/>
  <c r="E45" i="7" s="1"/>
  <c r="F45" i="7" s="1"/>
  <c r="D47" i="7"/>
  <c r="E47" i="7" s="1"/>
  <c r="D49" i="7"/>
  <c r="E49" i="7" s="1"/>
  <c r="D38" i="7"/>
  <c r="E38" i="7" s="1"/>
  <c r="F40" i="22"/>
  <c r="F42" i="22" s="1"/>
  <c r="F50" i="22"/>
  <c r="F52" i="22" s="1"/>
  <c r="H166" i="17"/>
  <c r="D168" i="17"/>
  <c r="D44" i="7"/>
  <c r="E44" i="7" s="1"/>
  <c r="F44" i="7" s="1"/>
  <c r="D33" i="7"/>
  <c r="E33" i="7" s="1"/>
  <c r="F33" i="7" s="1"/>
  <c r="F21" i="17"/>
  <c r="I158" i="17"/>
  <c r="H2" i="6"/>
  <c r="C10" i="6" s="1"/>
  <c r="C11" i="6" s="1"/>
  <c r="P12" i="8"/>
  <c r="E27" i="7" s="1"/>
  <c r="J264" i="17" l="1"/>
  <c r="F11" i="6"/>
  <c r="S11" i="6" s="1"/>
  <c r="F13" i="6" s="1"/>
  <c r="I20" i="6"/>
  <c r="C308" i="8"/>
  <c r="D106" i="17"/>
  <c r="I21" i="24"/>
  <c r="C30" i="24" s="1"/>
  <c r="C35" i="24" s="1"/>
  <c r="C25" i="24"/>
  <c r="F23" i="24"/>
  <c r="F24" i="24"/>
  <c r="F25" i="24"/>
  <c r="J21" i="24"/>
  <c r="F30" i="24" s="1"/>
  <c r="F35" i="24" s="1"/>
  <c r="R11" i="24"/>
  <c r="C13" i="24" s="1"/>
  <c r="O11" i="24"/>
  <c r="B99" i="17"/>
  <c r="C24" i="24"/>
  <c r="C23" i="24"/>
  <c r="J20" i="6"/>
  <c r="I150" i="17"/>
  <c r="D32" i="14"/>
  <c r="I43" i="14" s="1"/>
  <c r="D190" i="17"/>
  <c r="K34" i="7"/>
  <c r="K33" i="7"/>
  <c r="I47" i="9"/>
  <c r="I48" i="9" s="1"/>
  <c r="H161" i="17"/>
  <c r="H47" i="11"/>
  <c r="H49" i="11" s="1"/>
  <c r="J178" i="17"/>
  <c r="I47" i="11"/>
  <c r="H57" i="11"/>
  <c r="H63" i="11"/>
  <c r="I63" i="11"/>
  <c r="I59" i="11"/>
  <c r="H59" i="11"/>
  <c r="I60" i="11"/>
  <c r="H60" i="11"/>
  <c r="D31" i="11"/>
  <c r="H61" i="11"/>
  <c r="I61" i="11"/>
  <c r="H62" i="11"/>
  <c r="I62" i="11"/>
  <c r="H58" i="11"/>
  <c r="I58" i="11"/>
  <c r="J150" i="17"/>
  <c r="H185" i="17"/>
  <c r="E167" i="17"/>
  <c r="H163" i="17"/>
  <c r="D23" i="17"/>
  <c r="F22" i="17"/>
  <c r="E30" i="22"/>
  <c r="F51" i="7"/>
  <c r="F54" i="7" s="1"/>
  <c r="F40" i="7"/>
  <c r="F43" i="7" s="1"/>
  <c r="F21" i="6"/>
  <c r="C21" i="6"/>
  <c r="F53" i="7" l="1"/>
  <c r="E30" i="7"/>
  <c r="F42" i="7"/>
  <c r="B106" i="17"/>
  <c r="C315" i="8"/>
  <c r="D113" i="17"/>
  <c r="K38" i="14"/>
  <c r="K43" i="14" s="1"/>
  <c r="I38" i="14"/>
  <c r="H50" i="11"/>
  <c r="L49" i="11" s="1"/>
  <c r="I49" i="11"/>
  <c r="J47" i="11"/>
  <c r="H64" i="11"/>
  <c r="I64" i="11"/>
  <c r="D34" i="11"/>
  <c r="E168" i="17"/>
  <c r="D24" i="17"/>
  <c r="F24" i="17" s="1"/>
  <c r="F23" i="17"/>
  <c r="O11" i="6"/>
  <c r="R11" i="6"/>
  <c r="C13" i="6" s="1"/>
  <c r="C25" i="6"/>
  <c r="I21" i="6"/>
  <c r="C24" i="6"/>
  <c r="C23" i="6"/>
  <c r="J21" i="6"/>
  <c r="F30" i="6" s="1"/>
  <c r="F35" i="6" s="1"/>
  <c r="F25" i="6"/>
  <c r="F24" i="6"/>
  <c r="F23" i="6"/>
  <c r="C322" i="8" l="1"/>
  <c r="D120" i="17"/>
  <c r="B113" i="17"/>
  <c r="K48" i="14"/>
  <c r="I49" i="9"/>
  <c r="I51" i="9" s="1"/>
  <c r="J49" i="11"/>
  <c r="I50" i="11"/>
  <c r="H66" i="11"/>
  <c r="H67" i="11" s="1"/>
  <c r="I66" i="11"/>
  <c r="I67" i="11" s="1"/>
  <c r="M66" i="11" s="1"/>
  <c r="J64" i="11"/>
  <c r="C30" i="6"/>
  <c r="C35" i="6" s="1"/>
  <c r="B120" i="17" l="1"/>
  <c r="D127" i="17"/>
  <c r="C335" i="8"/>
  <c r="D140" i="17" s="1"/>
  <c r="C329" i="8"/>
  <c r="D134" i="17" s="1"/>
  <c r="B134" i="17" s="1"/>
  <c r="C330" i="8"/>
  <c r="D135" i="17" s="1"/>
  <c r="B135" i="17" s="1"/>
  <c r="C331" i="8"/>
  <c r="D136" i="17" s="1"/>
  <c r="B136" i="17" s="1"/>
  <c r="C332" i="8"/>
  <c r="D137" i="17" s="1"/>
  <c r="B137" i="17" s="1"/>
  <c r="C333" i="8"/>
  <c r="D138" i="17" s="1"/>
  <c r="B138" i="17" s="1"/>
  <c r="C334" i="8"/>
  <c r="D139" i="17" s="1"/>
  <c r="B139" i="17" s="1"/>
  <c r="J67" i="11"/>
  <c r="L66" i="11"/>
  <c r="J50" i="11"/>
  <c r="M49" i="11"/>
  <c r="J66" i="11"/>
  <c r="W24" i="17" l="1"/>
  <c r="B140" i="17"/>
  <c r="W21" i="17"/>
  <c r="W36" i="17"/>
  <c r="W23" i="17"/>
  <c r="R28" i="17"/>
  <c r="W20" i="17"/>
  <c r="B127" i="17"/>
  <c r="W47" i="17"/>
  <c r="W40" i="17"/>
  <c r="W39" i="17"/>
  <c r="W48" i="17"/>
  <c r="W35" i="17"/>
  <c r="AI48" i="17"/>
  <c r="AI47" i="17"/>
  <c r="H264" i="17"/>
  <c r="I264" i="17" s="1"/>
  <c r="I267" i="17"/>
  <c r="F265" i="17" l="1"/>
  <c r="F264" i="17"/>
  <c r="G167" i="17"/>
  <c r="G168" i="17" s="1"/>
  <c r="F167" i="17"/>
  <c r="F168" i="17" s="1"/>
  <c r="H167" i="17"/>
  <c r="H168" i="17" s="1"/>
  <c r="E245" i="17" l="1"/>
  <c r="E254" i="17" s="1"/>
  <c r="G189" i="17"/>
  <c r="G190" i="17" s="1"/>
  <c r="H253" i="17"/>
  <c r="H189" i="17"/>
  <c r="H190" i="17" s="1"/>
  <c r="F189" i="17"/>
  <c r="F190" i="17" s="1"/>
  <c r="E255" i="17" l="1"/>
  <c r="H255" i="17" s="1"/>
  <c r="E246" i="17"/>
  <c r="H246" i="17" s="1"/>
  <c r="H245" i="17"/>
  <c r="H210" i="17"/>
  <c r="D259" i="17"/>
  <c r="H254" i="17" l="1"/>
  <c r="H252"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SARRAZIN David</author>
  </authors>
  <commentList>
    <comment ref="C10" authorId="0" shapeId="0" xr:uid="{00000000-0006-0000-0200-000001000000}">
      <text>
        <r>
          <rPr>
            <b/>
            <sz val="8"/>
            <color indexed="81"/>
            <rFont val="Tahoma"/>
            <family val="2"/>
          </rPr>
          <t>SARRAZIN David:</t>
        </r>
        <r>
          <rPr>
            <sz val="8"/>
            <color indexed="81"/>
            <rFont val="Tahoma"/>
            <family val="2"/>
          </rPr>
          <t xml:space="preserve">
Inidiquer la durée en mois
</t>
        </r>
      </text>
    </comment>
    <comment ref="E11" authorId="0" shapeId="0" xr:uid="{00000000-0006-0000-0200-000002000000}">
      <text>
        <r>
          <rPr>
            <b/>
            <sz val="8"/>
            <color indexed="81"/>
            <rFont val="Tahoma"/>
            <family val="2"/>
          </rPr>
          <t>SARRAZIN David:</t>
        </r>
        <r>
          <rPr>
            <sz val="8"/>
            <color indexed="81"/>
            <rFont val="Tahoma"/>
            <family val="2"/>
          </rPr>
          <t xml:space="preserve">
Mentionner ici l'article de l'AE prévoyant le versement de l'avance</t>
        </r>
      </text>
    </comment>
    <comment ref="F11" authorId="0" shapeId="0" xr:uid="{00000000-0006-0000-0200-000003000000}">
      <text>
        <r>
          <rPr>
            <b/>
            <sz val="8"/>
            <color indexed="81"/>
            <rFont val="Tahoma"/>
            <family val="2"/>
          </rPr>
          <t xml:space="preserve">SARRAZIN David:
</t>
        </r>
        <r>
          <rPr>
            <sz val="8"/>
            <color indexed="81"/>
            <rFont val="Tahoma"/>
            <family val="2"/>
          </rPr>
          <t>indiquer ici l'article mentionnant l'avance dans le CCAP</t>
        </r>
      </text>
    </comment>
    <comment ref="C12" authorId="0" shapeId="0" xr:uid="{00000000-0006-0000-0200-000004000000}">
      <text>
        <r>
          <rPr>
            <b/>
            <sz val="8"/>
            <color indexed="81"/>
            <rFont val="Tahoma"/>
            <family val="2"/>
          </rPr>
          <t>SARRAZIN David:</t>
        </r>
        <r>
          <rPr>
            <sz val="8"/>
            <color indexed="81"/>
            <rFont val="Tahoma"/>
            <family val="2"/>
          </rPr>
          <t xml:space="preserve">
Inidiquer si le marché est actualisable ou pas</t>
        </r>
      </text>
    </comment>
    <comment ref="E13" authorId="0" shapeId="0" xr:uid="{00000000-0006-0000-0200-000005000000}">
      <text>
        <r>
          <rPr>
            <b/>
            <sz val="8"/>
            <color indexed="81"/>
            <rFont val="Tahoma"/>
            <family val="2"/>
          </rPr>
          <t>SARRAZIN David:</t>
        </r>
        <r>
          <rPr>
            <sz val="8"/>
            <color indexed="81"/>
            <rFont val="Tahoma"/>
            <family val="2"/>
          </rPr>
          <t xml:space="preserve">
mentionner le mois Mo en format mm/aa
</t>
        </r>
      </text>
    </comment>
    <comment ref="G13" authorId="0" shapeId="0" xr:uid="{00000000-0006-0000-0200-000006000000}">
      <text>
        <r>
          <rPr>
            <b/>
            <sz val="8"/>
            <color indexed="81"/>
            <rFont val="Tahoma"/>
            <family val="2"/>
          </rPr>
          <t>SARRAZIN David:</t>
        </r>
        <r>
          <rPr>
            <sz val="8"/>
            <color indexed="81"/>
            <rFont val="Tahoma"/>
            <family val="2"/>
          </rPr>
          <t xml:space="preserve">
indiquer l'indice (ex : BT01)</t>
        </r>
      </text>
    </comment>
    <comment ref="G14" authorId="0" shapeId="0" xr:uid="{00000000-0006-0000-0200-000007000000}">
      <text>
        <r>
          <rPr>
            <b/>
            <sz val="8"/>
            <color indexed="81"/>
            <rFont val="Tahoma"/>
            <family val="2"/>
          </rPr>
          <t>SARRAZIN David:</t>
        </r>
        <r>
          <rPr>
            <sz val="8"/>
            <color indexed="81"/>
            <rFont val="Tahoma"/>
            <family val="2"/>
          </rPr>
          <t xml:space="preserve">
inidiquer le montant du Mo</t>
        </r>
      </text>
    </comment>
    <comment ref="B16" authorId="0" shapeId="0" xr:uid="{00000000-0006-0000-0200-000008000000}">
      <text>
        <r>
          <rPr>
            <b/>
            <sz val="8"/>
            <color indexed="81"/>
            <rFont val="Tahoma"/>
            <family val="2"/>
          </rPr>
          <t>SARRAZIN David:</t>
        </r>
        <r>
          <rPr>
            <sz val="8"/>
            <color indexed="81"/>
            <rFont val="Tahoma"/>
            <family val="2"/>
          </rPr>
          <t xml:space="preserve">
indiquer ici le montant de la TF et les TO affermies uniquement
</t>
        </r>
      </text>
    </comment>
    <comment ref="F38" authorId="0" shapeId="0" xr:uid="{00000000-0006-0000-0200-000009000000}">
      <text>
        <r>
          <rPr>
            <b/>
            <sz val="8"/>
            <color indexed="81"/>
            <rFont val="Tahoma"/>
            <family val="2"/>
          </rPr>
          <t>SARRAZIN David:</t>
        </r>
        <r>
          <rPr>
            <sz val="8"/>
            <color indexed="81"/>
            <rFont val="Tahoma"/>
            <family val="2"/>
          </rPr>
          <t xml:space="preserve">
indiquer si la tranche fait l'objet d'une avance
</t>
        </r>
      </text>
    </comment>
    <comment ref="G38" authorId="0" shapeId="0" xr:uid="{00000000-0006-0000-0200-00000A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38" authorId="0" shapeId="0" xr:uid="{00000000-0006-0000-0200-00000B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39" authorId="0" shapeId="0" xr:uid="{00000000-0006-0000-0200-00000C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41" authorId="0" shapeId="0" xr:uid="{00000000-0006-0000-0200-00000D00000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42" authorId="0" shapeId="0" xr:uid="{00000000-0006-0000-0200-00000E000000}">
      <text>
        <r>
          <rPr>
            <b/>
            <sz val="8"/>
            <color indexed="81"/>
            <rFont val="Tahoma"/>
            <family val="2"/>
          </rPr>
          <t>SARRAZIN David:</t>
        </r>
        <r>
          <rPr>
            <sz val="8"/>
            <color indexed="81"/>
            <rFont val="Tahoma"/>
            <family val="2"/>
          </rPr>
          <t xml:space="preserve">
Sélectionner si le sous traitant est en TVA autoliquidée ou pas.
</t>
        </r>
      </text>
    </comment>
    <comment ref="C42" authorId="0" shapeId="0" xr:uid="{00000000-0006-0000-0200-00000F000000}">
      <text>
        <r>
          <rPr>
            <b/>
            <sz val="8"/>
            <color indexed="81"/>
            <rFont val="Tahoma"/>
            <family val="2"/>
          </rPr>
          <t>SARRAZIN David:</t>
        </r>
        <r>
          <rPr>
            <sz val="8"/>
            <color indexed="81"/>
            <rFont val="Tahoma"/>
            <family val="2"/>
          </rPr>
          <t xml:space="preserve">
Mentionner le nom du sous tritant
</t>
        </r>
      </text>
    </comment>
    <comment ref="G42" authorId="0" shapeId="0" xr:uid="{00000000-0006-0000-0200-000010000000}">
      <text>
        <r>
          <rPr>
            <b/>
            <sz val="8"/>
            <color indexed="81"/>
            <rFont val="Tahoma"/>
            <family val="2"/>
          </rPr>
          <t>SARRAZIN David:</t>
        </r>
        <r>
          <rPr>
            <sz val="8"/>
            <color indexed="81"/>
            <rFont val="Tahoma"/>
            <family val="2"/>
          </rPr>
          <t xml:space="preserve">
Mentionner le montant du DC4 par sous traitant
</t>
        </r>
      </text>
    </comment>
    <comment ref="F49" authorId="0" shapeId="0" xr:uid="{00000000-0006-0000-0200-000011000000}">
      <text>
        <r>
          <rPr>
            <b/>
            <sz val="8"/>
            <color indexed="81"/>
            <rFont val="Tahoma"/>
            <family val="2"/>
          </rPr>
          <t>SARRAZIN David:</t>
        </r>
        <r>
          <rPr>
            <sz val="8"/>
            <color indexed="81"/>
            <rFont val="Tahoma"/>
            <family val="2"/>
          </rPr>
          <t xml:space="preserve">
indiquer si la tranche fait l'objet d'une avance
</t>
        </r>
      </text>
    </comment>
    <comment ref="G49" authorId="0" shapeId="0" xr:uid="{00000000-0006-0000-0200-000012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49" authorId="0" shapeId="0" xr:uid="{00000000-0006-0000-0200-000013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50" authorId="0" shapeId="0" xr:uid="{00000000-0006-0000-0200-000014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52" authorId="0" shapeId="0" xr:uid="{00000000-0006-0000-0200-00001500000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61" authorId="0" shapeId="0" xr:uid="{00000000-0006-0000-0200-000016000000}">
      <text>
        <r>
          <rPr>
            <b/>
            <sz val="8"/>
            <color indexed="81"/>
            <rFont val="Tahoma"/>
            <family val="2"/>
          </rPr>
          <t>SARRAZIN David:</t>
        </r>
        <r>
          <rPr>
            <sz val="8"/>
            <color indexed="81"/>
            <rFont val="Tahoma"/>
            <family val="2"/>
          </rPr>
          <t xml:space="preserve">
indiquer si la tranche fait l'objet d'une avance
</t>
        </r>
      </text>
    </comment>
    <comment ref="G61" authorId="0" shapeId="0" xr:uid="{00000000-0006-0000-0200-000017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61" authorId="0" shapeId="0" xr:uid="{00000000-0006-0000-0200-000018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62" authorId="0" shapeId="0" xr:uid="{00000000-0006-0000-0200-000019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64" authorId="0" shapeId="0" xr:uid="{00000000-0006-0000-0200-00001A00000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65" authorId="0" shapeId="0" xr:uid="{00000000-0006-0000-0200-00001B000000}">
      <text>
        <r>
          <rPr>
            <b/>
            <sz val="8"/>
            <color indexed="81"/>
            <rFont val="Tahoma"/>
            <family val="2"/>
          </rPr>
          <t>SARRAZIN David:</t>
        </r>
        <r>
          <rPr>
            <sz val="8"/>
            <color indexed="81"/>
            <rFont val="Tahoma"/>
            <family val="2"/>
          </rPr>
          <t xml:space="preserve">
Sélectionner si le sous traitant est en TVA autoliquidée ou pas.
</t>
        </r>
      </text>
    </comment>
    <comment ref="C65" authorId="0" shapeId="0" xr:uid="{00000000-0006-0000-0200-00001C000000}">
      <text>
        <r>
          <rPr>
            <b/>
            <sz val="8"/>
            <color indexed="81"/>
            <rFont val="Tahoma"/>
            <family val="2"/>
          </rPr>
          <t>SARRAZIN David:</t>
        </r>
        <r>
          <rPr>
            <sz val="8"/>
            <color indexed="81"/>
            <rFont val="Tahoma"/>
            <family val="2"/>
          </rPr>
          <t xml:space="preserve">
Mentionner le nom du sous tritant
</t>
        </r>
      </text>
    </comment>
    <comment ref="G65" authorId="0" shapeId="0" xr:uid="{00000000-0006-0000-0200-00001D000000}">
      <text>
        <r>
          <rPr>
            <b/>
            <sz val="8"/>
            <color indexed="81"/>
            <rFont val="Tahoma"/>
            <family val="2"/>
          </rPr>
          <t>SARRAZIN David:</t>
        </r>
        <r>
          <rPr>
            <sz val="8"/>
            <color indexed="81"/>
            <rFont val="Tahoma"/>
            <family val="2"/>
          </rPr>
          <t xml:space="preserve">
Mentionner le montant du DC4 par sous traitant
</t>
        </r>
      </text>
    </comment>
    <comment ref="F72" authorId="0" shapeId="0" xr:uid="{00000000-0006-0000-0200-00001E000000}">
      <text>
        <r>
          <rPr>
            <b/>
            <sz val="8"/>
            <color indexed="81"/>
            <rFont val="Tahoma"/>
            <family val="2"/>
          </rPr>
          <t>SARRAZIN David:</t>
        </r>
        <r>
          <rPr>
            <sz val="8"/>
            <color indexed="81"/>
            <rFont val="Tahoma"/>
            <family val="2"/>
          </rPr>
          <t xml:space="preserve">
indiquer si la tranche fait l'objet d'une avance
</t>
        </r>
      </text>
    </comment>
    <comment ref="G72" authorId="0" shapeId="0" xr:uid="{00000000-0006-0000-0200-00001F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72" authorId="0" shapeId="0" xr:uid="{00000000-0006-0000-0200-000020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73" authorId="0" shapeId="0" xr:uid="{00000000-0006-0000-0200-000021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75" authorId="0" shapeId="0" xr:uid="{00000000-0006-0000-0200-00002200000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84" authorId="0" shapeId="0" xr:uid="{00000000-0006-0000-0200-000023000000}">
      <text>
        <r>
          <rPr>
            <b/>
            <sz val="8"/>
            <color indexed="81"/>
            <rFont val="Tahoma"/>
            <family val="2"/>
          </rPr>
          <t>SARRAZIN David:</t>
        </r>
        <r>
          <rPr>
            <sz val="8"/>
            <color indexed="81"/>
            <rFont val="Tahoma"/>
            <family val="2"/>
          </rPr>
          <t xml:space="preserve">
indiquer si la tranche fait l'objet d'une avance
</t>
        </r>
      </text>
    </comment>
    <comment ref="G84" authorId="0" shapeId="0" xr:uid="{00000000-0006-0000-0200-000024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84" authorId="0" shapeId="0" xr:uid="{00000000-0006-0000-0200-000025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85" authorId="0" shapeId="0" xr:uid="{00000000-0006-0000-0200-000026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87" authorId="0" shapeId="0" xr:uid="{00000000-0006-0000-0200-00002700000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88" authorId="0" shapeId="0" xr:uid="{00000000-0006-0000-0200-000028000000}">
      <text>
        <r>
          <rPr>
            <b/>
            <sz val="8"/>
            <color indexed="81"/>
            <rFont val="Tahoma"/>
            <family val="2"/>
          </rPr>
          <t>SARRAZIN David:</t>
        </r>
        <r>
          <rPr>
            <sz val="8"/>
            <color indexed="81"/>
            <rFont val="Tahoma"/>
            <family val="2"/>
          </rPr>
          <t xml:space="preserve">
Sélectionner si le sous traitant est en TVA autoliquidée ou pas.
</t>
        </r>
      </text>
    </comment>
    <comment ref="C88" authorId="0" shapeId="0" xr:uid="{00000000-0006-0000-0200-000029000000}">
      <text>
        <r>
          <rPr>
            <b/>
            <sz val="8"/>
            <color indexed="81"/>
            <rFont val="Tahoma"/>
            <family val="2"/>
          </rPr>
          <t>SARRAZIN David:</t>
        </r>
        <r>
          <rPr>
            <sz val="8"/>
            <color indexed="81"/>
            <rFont val="Tahoma"/>
            <family val="2"/>
          </rPr>
          <t xml:space="preserve">
Mentionner le nom du sous tritant
</t>
        </r>
      </text>
    </comment>
    <comment ref="G88" authorId="0" shapeId="0" xr:uid="{00000000-0006-0000-0200-00002A000000}">
      <text>
        <r>
          <rPr>
            <b/>
            <sz val="8"/>
            <color indexed="81"/>
            <rFont val="Tahoma"/>
            <family val="2"/>
          </rPr>
          <t>SARRAZIN David:</t>
        </r>
        <r>
          <rPr>
            <sz val="8"/>
            <color indexed="81"/>
            <rFont val="Tahoma"/>
            <family val="2"/>
          </rPr>
          <t xml:space="preserve">
Mentionner le montant du DC4 par sous traitant
</t>
        </r>
      </text>
    </comment>
    <comment ref="F95" authorId="0" shapeId="0" xr:uid="{00000000-0006-0000-0200-00002B000000}">
      <text>
        <r>
          <rPr>
            <b/>
            <sz val="8"/>
            <color indexed="81"/>
            <rFont val="Tahoma"/>
            <family val="2"/>
          </rPr>
          <t>SARRAZIN David:</t>
        </r>
        <r>
          <rPr>
            <sz val="8"/>
            <color indexed="81"/>
            <rFont val="Tahoma"/>
            <family val="2"/>
          </rPr>
          <t xml:space="preserve">
indiquer si la tranche fait l'objet d'une avance
</t>
        </r>
      </text>
    </comment>
    <comment ref="G95" authorId="0" shapeId="0" xr:uid="{00000000-0006-0000-0200-00002C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95" authorId="0" shapeId="0" xr:uid="{00000000-0006-0000-0200-00002D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96" authorId="0" shapeId="0" xr:uid="{00000000-0006-0000-0200-00002E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98" authorId="0" shapeId="0" xr:uid="{00000000-0006-0000-0200-00002F00000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107" authorId="0" shapeId="0" xr:uid="{00000000-0006-0000-0200-000030000000}">
      <text>
        <r>
          <rPr>
            <b/>
            <sz val="8"/>
            <color indexed="81"/>
            <rFont val="Tahoma"/>
            <family val="2"/>
          </rPr>
          <t>SARRAZIN David:</t>
        </r>
        <r>
          <rPr>
            <sz val="8"/>
            <color indexed="81"/>
            <rFont val="Tahoma"/>
            <family val="2"/>
          </rPr>
          <t xml:space="preserve">
indiquer si la tranche fait l'objet d'une avance
</t>
        </r>
      </text>
    </comment>
    <comment ref="G107" authorId="0" shapeId="0" xr:uid="{00000000-0006-0000-0200-000031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107" authorId="0" shapeId="0" xr:uid="{00000000-0006-0000-0200-000032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108" authorId="0" shapeId="0" xr:uid="{00000000-0006-0000-0200-000033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110" authorId="0" shapeId="0" xr:uid="{00000000-0006-0000-0200-00003400000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111" authorId="0" shapeId="0" xr:uid="{00000000-0006-0000-0200-000035000000}">
      <text>
        <r>
          <rPr>
            <b/>
            <sz val="8"/>
            <color indexed="81"/>
            <rFont val="Tahoma"/>
            <family val="2"/>
          </rPr>
          <t>SARRAZIN David:</t>
        </r>
        <r>
          <rPr>
            <sz val="8"/>
            <color indexed="81"/>
            <rFont val="Tahoma"/>
            <family val="2"/>
          </rPr>
          <t xml:space="preserve">
Sélectionner si le sous traitant est en TVA autoliquidée ou pas.
</t>
        </r>
      </text>
    </comment>
    <comment ref="C111" authorId="0" shapeId="0" xr:uid="{00000000-0006-0000-0200-000036000000}">
      <text>
        <r>
          <rPr>
            <b/>
            <sz val="8"/>
            <color indexed="81"/>
            <rFont val="Tahoma"/>
            <family val="2"/>
          </rPr>
          <t>SARRAZIN David:</t>
        </r>
        <r>
          <rPr>
            <sz val="8"/>
            <color indexed="81"/>
            <rFont val="Tahoma"/>
            <family val="2"/>
          </rPr>
          <t xml:space="preserve">
Mentionner le nom du sous tritant
</t>
        </r>
      </text>
    </comment>
    <comment ref="G111" authorId="0" shapeId="0" xr:uid="{00000000-0006-0000-0200-000037000000}">
      <text>
        <r>
          <rPr>
            <b/>
            <sz val="8"/>
            <color indexed="81"/>
            <rFont val="Tahoma"/>
            <family val="2"/>
          </rPr>
          <t>SARRAZIN David:</t>
        </r>
        <r>
          <rPr>
            <sz val="8"/>
            <color indexed="81"/>
            <rFont val="Tahoma"/>
            <family val="2"/>
          </rPr>
          <t xml:space="preserve">
Mentionner le montant du DC4 par sous traitant
</t>
        </r>
      </text>
    </comment>
    <comment ref="F118" authorId="0" shapeId="0" xr:uid="{00000000-0006-0000-0200-000038000000}">
      <text>
        <r>
          <rPr>
            <b/>
            <sz val="8"/>
            <color indexed="81"/>
            <rFont val="Tahoma"/>
            <family val="2"/>
          </rPr>
          <t>SARRAZIN David:</t>
        </r>
        <r>
          <rPr>
            <sz val="8"/>
            <color indexed="81"/>
            <rFont val="Tahoma"/>
            <family val="2"/>
          </rPr>
          <t xml:space="preserve">
indiquer si la tranche fait l'objet d'une avance
</t>
        </r>
      </text>
    </comment>
    <comment ref="G118" authorId="0" shapeId="0" xr:uid="{00000000-0006-0000-0200-000039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118" authorId="0" shapeId="0" xr:uid="{00000000-0006-0000-0200-00003A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119" authorId="0" shapeId="0" xr:uid="{00000000-0006-0000-0200-00003B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121" authorId="0" shapeId="0" xr:uid="{00000000-0006-0000-0200-00003C00000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130" authorId="0" shapeId="0" xr:uid="{00000000-0006-0000-0200-00003D000000}">
      <text>
        <r>
          <rPr>
            <b/>
            <sz val="8"/>
            <color indexed="81"/>
            <rFont val="Tahoma"/>
            <family val="2"/>
          </rPr>
          <t>SARRAZIN David:</t>
        </r>
        <r>
          <rPr>
            <sz val="8"/>
            <color indexed="81"/>
            <rFont val="Tahoma"/>
            <family val="2"/>
          </rPr>
          <t xml:space="preserve">
indiquer si la tranche fait l'objet d'une avance
</t>
        </r>
      </text>
    </comment>
    <comment ref="G130" authorId="0" shapeId="0" xr:uid="{00000000-0006-0000-0200-00003E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130" authorId="0" shapeId="0" xr:uid="{00000000-0006-0000-0200-00003F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131" authorId="0" shapeId="0" xr:uid="{00000000-0006-0000-0200-000040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133" authorId="0" shapeId="0" xr:uid="{00000000-0006-0000-0200-00004100000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134" authorId="0" shapeId="0" xr:uid="{00000000-0006-0000-0200-000042000000}">
      <text>
        <r>
          <rPr>
            <b/>
            <sz val="8"/>
            <color indexed="81"/>
            <rFont val="Tahoma"/>
            <family val="2"/>
          </rPr>
          <t>SARRAZIN David:</t>
        </r>
        <r>
          <rPr>
            <sz val="8"/>
            <color indexed="81"/>
            <rFont val="Tahoma"/>
            <family val="2"/>
          </rPr>
          <t xml:space="preserve">
Sélectionner si le sous traitant est en TVA autoliquidée ou pas.
</t>
        </r>
      </text>
    </comment>
    <comment ref="C134" authorId="0" shapeId="0" xr:uid="{00000000-0006-0000-0200-000043000000}">
      <text>
        <r>
          <rPr>
            <b/>
            <sz val="8"/>
            <color indexed="81"/>
            <rFont val="Tahoma"/>
            <family val="2"/>
          </rPr>
          <t>SARRAZIN David:</t>
        </r>
        <r>
          <rPr>
            <sz val="8"/>
            <color indexed="81"/>
            <rFont val="Tahoma"/>
            <family val="2"/>
          </rPr>
          <t xml:space="preserve">
Mentionner le nom du sous tritant
</t>
        </r>
      </text>
    </comment>
    <comment ref="G134" authorId="0" shapeId="0" xr:uid="{00000000-0006-0000-0200-000044000000}">
      <text>
        <r>
          <rPr>
            <b/>
            <sz val="8"/>
            <color indexed="81"/>
            <rFont val="Tahoma"/>
            <family val="2"/>
          </rPr>
          <t>SARRAZIN David:</t>
        </r>
        <r>
          <rPr>
            <sz val="8"/>
            <color indexed="81"/>
            <rFont val="Tahoma"/>
            <family val="2"/>
          </rPr>
          <t xml:space="preserve">
Mentionner le montant du DC4 par sous traitant
</t>
        </r>
      </text>
    </comment>
    <comment ref="F141" authorId="0" shapeId="0" xr:uid="{00000000-0006-0000-0200-000045000000}">
      <text>
        <r>
          <rPr>
            <b/>
            <sz val="8"/>
            <color indexed="81"/>
            <rFont val="Tahoma"/>
            <family val="2"/>
          </rPr>
          <t>SARRAZIN David:</t>
        </r>
        <r>
          <rPr>
            <sz val="8"/>
            <color indexed="81"/>
            <rFont val="Tahoma"/>
            <family val="2"/>
          </rPr>
          <t xml:space="preserve">
indiquer si la tranche fait l'objet d'une avance
</t>
        </r>
      </text>
    </comment>
    <comment ref="G141" authorId="0" shapeId="0" xr:uid="{00000000-0006-0000-0200-000046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141" authorId="0" shapeId="0" xr:uid="{00000000-0006-0000-0200-000047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142" authorId="0" shapeId="0" xr:uid="{00000000-0006-0000-0200-000048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144" authorId="0" shapeId="0" xr:uid="{00000000-0006-0000-0200-00004900000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153" authorId="0" shapeId="0" xr:uid="{00000000-0006-0000-0200-00004A000000}">
      <text>
        <r>
          <rPr>
            <b/>
            <sz val="8"/>
            <color indexed="81"/>
            <rFont val="Tahoma"/>
            <family val="2"/>
          </rPr>
          <t>SARRAZIN David:</t>
        </r>
        <r>
          <rPr>
            <sz val="8"/>
            <color indexed="81"/>
            <rFont val="Tahoma"/>
            <family val="2"/>
          </rPr>
          <t xml:space="preserve">
indiquer si la tranche fait l'objet d'une avance
</t>
        </r>
      </text>
    </comment>
    <comment ref="G153" authorId="0" shapeId="0" xr:uid="{00000000-0006-0000-0200-00004B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153" authorId="0" shapeId="0" xr:uid="{00000000-0006-0000-0200-00004C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154" authorId="0" shapeId="0" xr:uid="{00000000-0006-0000-0200-00004D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156" authorId="0" shapeId="0" xr:uid="{00000000-0006-0000-0200-00004E00000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157" authorId="0" shapeId="0" xr:uid="{00000000-0006-0000-0200-00004F000000}">
      <text>
        <r>
          <rPr>
            <b/>
            <sz val="8"/>
            <color indexed="81"/>
            <rFont val="Tahoma"/>
            <family val="2"/>
          </rPr>
          <t>SARRAZIN David:</t>
        </r>
        <r>
          <rPr>
            <sz val="8"/>
            <color indexed="81"/>
            <rFont val="Tahoma"/>
            <family val="2"/>
          </rPr>
          <t xml:space="preserve">
Sélectionner si le sous traitant est en TVA autoliquidée ou pas.
</t>
        </r>
      </text>
    </comment>
    <comment ref="C157" authorId="0" shapeId="0" xr:uid="{00000000-0006-0000-0200-000050000000}">
      <text>
        <r>
          <rPr>
            <b/>
            <sz val="8"/>
            <color indexed="81"/>
            <rFont val="Tahoma"/>
            <family val="2"/>
          </rPr>
          <t>SARRAZIN David:</t>
        </r>
        <r>
          <rPr>
            <sz val="8"/>
            <color indexed="81"/>
            <rFont val="Tahoma"/>
            <family val="2"/>
          </rPr>
          <t xml:space="preserve">
Mentionner le nom du sous tritant
</t>
        </r>
      </text>
    </comment>
    <comment ref="G157" authorId="0" shapeId="0" xr:uid="{00000000-0006-0000-0200-000051000000}">
      <text>
        <r>
          <rPr>
            <b/>
            <sz val="8"/>
            <color indexed="81"/>
            <rFont val="Tahoma"/>
            <family val="2"/>
          </rPr>
          <t>SARRAZIN David:</t>
        </r>
        <r>
          <rPr>
            <sz val="8"/>
            <color indexed="81"/>
            <rFont val="Tahoma"/>
            <family val="2"/>
          </rPr>
          <t xml:space="preserve">
Mentionner le montant du DC4 par sous traitant
</t>
        </r>
      </text>
    </comment>
    <comment ref="F164" authorId="0" shapeId="0" xr:uid="{00000000-0006-0000-0200-000052000000}">
      <text>
        <r>
          <rPr>
            <b/>
            <sz val="8"/>
            <color indexed="81"/>
            <rFont val="Tahoma"/>
            <family val="2"/>
          </rPr>
          <t>SARRAZIN David:</t>
        </r>
        <r>
          <rPr>
            <sz val="8"/>
            <color indexed="81"/>
            <rFont val="Tahoma"/>
            <family val="2"/>
          </rPr>
          <t xml:space="preserve">
indiquer si la tranche fait l'objet d'une avance
</t>
        </r>
      </text>
    </comment>
    <comment ref="G164" authorId="0" shapeId="0" xr:uid="{00000000-0006-0000-0200-000053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164" authorId="0" shapeId="0" xr:uid="{00000000-0006-0000-0200-000054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165" authorId="0" shapeId="0" xr:uid="{00000000-0006-0000-0200-000055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167" authorId="0" shapeId="0" xr:uid="{00000000-0006-0000-0200-00005600000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176" authorId="0" shapeId="0" xr:uid="{00000000-0006-0000-0200-000057000000}">
      <text>
        <r>
          <rPr>
            <b/>
            <sz val="8"/>
            <color indexed="81"/>
            <rFont val="Tahoma"/>
            <family val="2"/>
          </rPr>
          <t>SARRAZIN David:</t>
        </r>
        <r>
          <rPr>
            <sz val="8"/>
            <color indexed="81"/>
            <rFont val="Tahoma"/>
            <family val="2"/>
          </rPr>
          <t xml:space="preserve">
indiquer si la tranche fait l'objet d'une avance
</t>
        </r>
      </text>
    </comment>
    <comment ref="G176" authorId="0" shapeId="0" xr:uid="{00000000-0006-0000-0200-000058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176" authorId="0" shapeId="0" xr:uid="{00000000-0006-0000-0200-000059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177" authorId="0" shapeId="0" xr:uid="{00000000-0006-0000-0200-00005A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179" authorId="0" shapeId="0" xr:uid="{00000000-0006-0000-0200-00005B00000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180" authorId="0" shapeId="0" xr:uid="{00000000-0006-0000-0200-00005C000000}">
      <text>
        <r>
          <rPr>
            <b/>
            <sz val="8"/>
            <color indexed="81"/>
            <rFont val="Tahoma"/>
            <family val="2"/>
          </rPr>
          <t>SARRAZIN David:</t>
        </r>
        <r>
          <rPr>
            <sz val="8"/>
            <color indexed="81"/>
            <rFont val="Tahoma"/>
            <family val="2"/>
          </rPr>
          <t xml:space="preserve">
Sélectionner si le sous traitant est en TVA autoliquidée ou pas.
</t>
        </r>
      </text>
    </comment>
    <comment ref="C180" authorId="0" shapeId="0" xr:uid="{00000000-0006-0000-0200-00005D000000}">
      <text>
        <r>
          <rPr>
            <b/>
            <sz val="8"/>
            <color indexed="81"/>
            <rFont val="Tahoma"/>
            <family val="2"/>
          </rPr>
          <t>SARRAZIN David:</t>
        </r>
        <r>
          <rPr>
            <sz val="8"/>
            <color indexed="81"/>
            <rFont val="Tahoma"/>
            <family val="2"/>
          </rPr>
          <t xml:space="preserve">
Mentionner le nom du sous tritant
</t>
        </r>
      </text>
    </comment>
    <comment ref="G180" authorId="0" shapeId="0" xr:uid="{00000000-0006-0000-0200-00005E000000}">
      <text>
        <r>
          <rPr>
            <b/>
            <sz val="8"/>
            <color indexed="81"/>
            <rFont val="Tahoma"/>
            <family val="2"/>
          </rPr>
          <t>SARRAZIN David:</t>
        </r>
        <r>
          <rPr>
            <sz val="8"/>
            <color indexed="81"/>
            <rFont val="Tahoma"/>
            <family val="2"/>
          </rPr>
          <t xml:space="preserve">
Mentionner le montant du DC4 par sous traitant
</t>
        </r>
      </text>
    </comment>
    <comment ref="F187" authorId="0" shapeId="0" xr:uid="{00000000-0006-0000-0200-00005F000000}">
      <text>
        <r>
          <rPr>
            <b/>
            <sz val="8"/>
            <color indexed="81"/>
            <rFont val="Tahoma"/>
            <family val="2"/>
          </rPr>
          <t>SARRAZIN David:</t>
        </r>
        <r>
          <rPr>
            <sz val="8"/>
            <color indexed="81"/>
            <rFont val="Tahoma"/>
            <family val="2"/>
          </rPr>
          <t xml:space="preserve">
indiquer si la tranche fait l'objet d'une avance
</t>
        </r>
      </text>
    </comment>
    <comment ref="G187" authorId="0" shapeId="0" xr:uid="{00000000-0006-0000-0200-000060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187" authorId="0" shapeId="0" xr:uid="{00000000-0006-0000-0200-00006100000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188" authorId="0" shapeId="0" xr:uid="{00000000-0006-0000-0200-00006200000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190" authorId="0" shapeId="0" xr:uid="{00000000-0006-0000-0200-00006300000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199" authorId="0" shapeId="0" xr:uid="{00000000-0006-0000-0200-000064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B203" authorId="0" shapeId="0" xr:uid="{00000000-0006-0000-0200-000065000000}">
      <text>
        <r>
          <rPr>
            <b/>
            <sz val="8"/>
            <color indexed="81"/>
            <rFont val="Tahoma"/>
            <family val="2"/>
          </rPr>
          <t>SARRAZIN David:</t>
        </r>
        <r>
          <rPr>
            <sz val="8"/>
            <color indexed="81"/>
            <rFont val="Tahoma"/>
            <family val="2"/>
          </rPr>
          <t xml:space="preserve">
Sélectionner si le sous traitant est en TVA autoliquidée ou pas.
</t>
        </r>
      </text>
    </comment>
    <comment ref="G203" authorId="0" shapeId="0" xr:uid="{00000000-0006-0000-0200-000066000000}">
      <text>
        <r>
          <rPr>
            <b/>
            <sz val="8"/>
            <color indexed="81"/>
            <rFont val="Tahoma"/>
            <family val="2"/>
          </rPr>
          <t>SARRAZIN David:</t>
        </r>
        <r>
          <rPr>
            <sz val="8"/>
            <color indexed="81"/>
            <rFont val="Tahoma"/>
            <family val="2"/>
          </rPr>
          <t xml:space="preserve">
Mentionner le montant du DC4 par sous traitant
</t>
        </r>
      </text>
    </comment>
    <comment ref="F211" authorId="0" shapeId="0" xr:uid="{00000000-0006-0000-0200-00006700000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SARRAZIN David</author>
  </authors>
  <commentList>
    <comment ref="F41" authorId="0" shapeId="0" xr:uid="{00000000-0006-0000-0300-00000100000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F52" authorId="0" shapeId="0" xr:uid="{00000000-0006-0000-0300-000002000000}">
      <text>
        <r>
          <rPr>
            <b/>
            <sz val="8"/>
            <color indexed="81"/>
            <rFont val="Tahoma"/>
            <family val="2"/>
          </rPr>
          <t>SARRAZIN David:</t>
        </r>
        <r>
          <rPr>
            <sz val="8"/>
            <color indexed="81"/>
            <rFont val="Tahoma"/>
            <family val="2"/>
          </rPr>
          <t xml:space="preserve">
SARRAZIN David:
Mentionner ici le montant de l'avance déjà versée (utile si vous avez un affermissement de tranche éligible à l'avance et que l'affermissement intervient après le versement de l'avance sur la tranche ferme)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SARRAZIN David</author>
  </authors>
  <commentList>
    <comment ref="F41" authorId="0" shapeId="0" xr:uid="{00000000-0006-0000-0400-00000100000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F51" authorId="0" shapeId="0" xr:uid="{00000000-0006-0000-0400-000002000000}">
      <text>
        <r>
          <rPr>
            <b/>
            <sz val="8"/>
            <color indexed="81"/>
            <rFont val="Tahoma"/>
            <family val="2"/>
          </rPr>
          <t>SARRAZIN David:</t>
        </r>
        <r>
          <rPr>
            <sz val="8"/>
            <color indexed="81"/>
            <rFont val="Tahoma"/>
            <family val="2"/>
          </rPr>
          <t xml:space="preserve">
SARRAZIN David:
Mentionner ici le montant de l'avance déjà versée (utile si vous avez un affermissement de tranche éligible à l'avance et que l'affermissement intervient après le versement de l'avance sur la tranche ferme)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SARRAZIN David</author>
  </authors>
  <commentList>
    <comment ref="C147" authorId="0" shapeId="0" xr:uid="{00000000-0006-0000-0500-000001000000}">
      <text>
        <r>
          <rPr>
            <b/>
            <sz val="8"/>
            <color indexed="81"/>
            <rFont val="Tahoma"/>
            <family val="2"/>
          </rPr>
          <t>SARRAZIN David:</t>
        </r>
        <r>
          <rPr>
            <sz val="8"/>
            <color indexed="81"/>
            <rFont val="Tahoma"/>
            <family val="2"/>
          </rPr>
          <t xml:space="preserve">
</t>
        </r>
        <r>
          <rPr>
            <b/>
            <sz val="8"/>
            <color indexed="81"/>
            <rFont val="Tahoma"/>
            <family val="2"/>
          </rPr>
          <t>le montant de l'avance une fois versée ne doit pas être modifiée</t>
        </r>
        <r>
          <rPr>
            <sz val="8"/>
            <color indexed="81"/>
            <rFont val="Tahoma"/>
            <family val="2"/>
          </rPr>
          <t>. Utiliser la ligne 1a en cas de restitution suite DC4</t>
        </r>
      </text>
    </comment>
    <comment ref="D147" authorId="0" shapeId="0" xr:uid="{00000000-0006-0000-0500-000002000000}">
      <text>
        <r>
          <rPr>
            <b/>
            <sz val="8"/>
            <color indexed="81"/>
            <rFont val="Tahoma"/>
            <family val="2"/>
          </rPr>
          <t>SARRAZIN David:</t>
        </r>
        <r>
          <rPr>
            <sz val="8"/>
            <color indexed="81"/>
            <rFont val="Tahoma"/>
            <family val="2"/>
          </rPr>
          <t xml:space="preserve">
à griser à partir du PV2
</t>
        </r>
      </text>
    </comment>
    <comment ref="C148" authorId="0" shapeId="0" xr:uid="{00000000-0006-0000-0500-000003000000}">
      <text>
        <r>
          <rPr>
            <b/>
            <sz val="8"/>
            <color indexed="81"/>
            <rFont val="Tahoma"/>
            <family val="2"/>
          </rPr>
          <t>SARRAZIN David:</t>
        </r>
        <r>
          <rPr>
            <sz val="8"/>
            <color indexed="81"/>
            <rFont val="Tahoma"/>
            <family val="2"/>
          </rPr>
          <t xml:space="preserve">
mentionner un montant positif calculé sur la base de la feuille RESTITUTIION AVANCE SUITE DC4
</t>
        </r>
      </text>
    </comment>
    <comment ref="D162" authorId="0" shapeId="0" xr:uid="{00000000-0006-0000-0500-000004000000}">
      <text>
        <r>
          <rPr>
            <b/>
            <sz val="48"/>
            <color indexed="81"/>
            <rFont val="Tahoma"/>
            <family val="2"/>
          </rPr>
          <t>SARRAZIN David:</t>
        </r>
        <r>
          <rPr>
            <sz val="48"/>
            <color indexed="81"/>
            <rFont val="Tahoma"/>
            <family val="2"/>
          </rPr>
          <t xml:space="preserve">
à griser à partir du PV2</t>
        </r>
      </text>
    </comment>
    <comment ref="C169" authorId="0" shapeId="0" xr:uid="{00000000-0006-0000-0500-000005000000}">
      <text>
        <r>
          <rPr>
            <b/>
            <sz val="8"/>
            <color indexed="81"/>
            <rFont val="Tahoma"/>
            <family val="2"/>
          </rPr>
          <t>SARRAZIN David:</t>
        </r>
        <r>
          <rPr>
            <sz val="8"/>
            <color indexed="81"/>
            <rFont val="Tahoma"/>
            <family val="2"/>
          </rPr>
          <t xml:space="preserve">
</t>
        </r>
        <r>
          <rPr>
            <b/>
            <sz val="8"/>
            <color indexed="81"/>
            <rFont val="Tahoma"/>
            <family val="2"/>
          </rPr>
          <t>le montant de l'avance une fois versée ne doit pas être modifiée</t>
        </r>
        <r>
          <rPr>
            <sz val="8"/>
            <color indexed="81"/>
            <rFont val="Tahoma"/>
            <family val="2"/>
          </rPr>
          <t>. Utiliser la ligne 1a en cas de restitution suite DC4</t>
        </r>
      </text>
    </comment>
    <comment ref="D169" authorId="0" shapeId="0" xr:uid="{00000000-0006-0000-0500-000006000000}">
      <text>
        <r>
          <rPr>
            <b/>
            <sz val="8"/>
            <color indexed="81"/>
            <rFont val="Tahoma"/>
            <family val="2"/>
          </rPr>
          <t>SARRAZIN David:</t>
        </r>
        <r>
          <rPr>
            <sz val="8"/>
            <color indexed="81"/>
            <rFont val="Tahoma"/>
            <family val="2"/>
          </rPr>
          <t xml:space="preserve">
à griser à partir du PV2
</t>
        </r>
      </text>
    </comment>
    <comment ref="C170" authorId="0" shapeId="0" xr:uid="{00000000-0006-0000-0500-000007000000}">
      <text>
        <r>
          <rPr>
            <b/>
            <sz val="8"/>
            <color indexed="81"/>
            <rFont val="Tahoma"/>
            <family val="2"/>
          </rPr>
          <t>SARRAZIN David:</t>
        </r>
        <r>
          <rPr>
            <sz val="8"/>
            <color indexed="81"/>
            <rFont val="Tahoma"/>
            <family val="2"/>
          </rPr>
          <t xml:space="preserve">
mentionner un montant positif calculé sur la base de la feuille RESTITUTIION AVANCE SUITE DC4
</t>
        </r>
      </text>
    </comment>
    <comment ref="D184" authorId="0" shapeId="0" xr:uid="{00000000-0006-0000-0500-000008000000}">
      <text>
        <r>
          <rPr>
            <b/>
            <sz val="48"/>
            <color indexed="81"/>
            <rFont val="Tahoma"/>
            <family val="2"/>
          </rPr>
          <t>SARRAZIN David:</t>
        </r>
        <r>
          <rPr>
            <sz val="48"/>
            <color indexed="81"/>
            <rFont val="Tahoma"/>
            <family val="2"/>
          </rPr>
          <t xml:space="preserve">
à griser à partir du PV2</t>
        </r>
      </text>
    </comment>
    <comment ref="C207" authorId="0" shapeId="0" xr:uid="{00000000-0006-0000-0500-000009000000}">
      <text>
        <r>
          <rPr>
            <b/>
            <sz val="8"/>
            <color indexed="81"/>
            <rFont val="Tahoma"/>
            <family val="2"/>
          </rPr>
          <t>SARRAZIN David:</t>
        </r>
        <r>
          <rPr>
            <sz val="8"/>
            <color indexed="81"/>
            <rFont val="Tahoma"/>
            <family val="2"/>
          </rPr>
          <t xml:space="preserve">
ATTENTION LIGNE 2 (si pas de RG) ou 3 si il y a RG
</t>
        </r>
      </text>
    </comment>
    <comment ref="C242" authorId="0" shapeId="0" xr:uid="{00000000-0006-0000-0500-00000A000000}">
      <text>
        <r>
          <rPr>
            <b/>
            <sz val="8"/>
            <color indexed="81"/>
            <rFont val="Tahoma"/>
            <family val="2"/>
          </rPr>
          <t>SARRAZIN David:</t>
        </r>
        <r>
          <rPr>
            <sz val="8"/>
            <color indexed="81"/>
            <rFont val="Tahoma"/>
            <family val="2"/>
          </rPr>
          <t xml:space="preserve">
ATTENTION LIGNE 2 (si pas de RG) ou 3 si il y a RG
</t>
        </r>
      </text>
    </comment>
    <comment ref="C249" authorId="0" shapeId="0" xr:uid="{00000000-0006-0000-0500-00000B000000}">
      <text>
        <r>
          <rPr>
            <b/>
            <sz val="8"/>
            <color indexed="81"/>
            <rFont val="Tahoma"/>
            <family val="2"/>
          </rPr>
          <t>SARRAZIN David:</t>
        </r>
        <r>
          <rPr>
            <sz val="8"/>
            <color indexed="81"/>
            <rFont val="Tahoma"/>
            <family val="2"/>
          </rPr>
          <t xml:space="preserve">
ATTENTION LIGNE 2 (si pas de RG) ou 3 si il y a RG
</t>
        </r>
      </text>
    </comment>
    <comment ref="C261" authorId="0" shapeId="0" xr:uid="{00000000-0006-0000-0500-00000C00000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 ref="F264" authorId="0" shapeId="0" xr:uid="{00000000-0006-0000-0500-00000D000000}">
      <text>
        <r>
          <rPr>
            <b/>
            <sz val="48"/>
            <color indexed="81"/>
            <rFont val="Tahoma"/>
            <family val="2"/>
          </rPr>
          <t>SARRAZIN David:</t>
        </r>
        <r>
          <rPr>
            <sz val="48"/>
            <color indexed="81"/>
            <rFont val="Tahoma"/>
            <family val="2"/>
          </rPr>
          <t xml:space="preserve">
17
-somme des montants à payer sur les autres prestataires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SARRAZIN David</author>
  </authors>
  <commentList>
    <comment ref="D27" authorId="0" shapeId="0" xr:uid="{00000000-0006-0000-0700-000001000000}">
      <text>
        <r>
          <rPr>
            <b/>
            <sz val="8"/>
            <color indexed="81"/>
            <rFont val="Tahoma"/>
            <family val="2"/>
          </rPr>
          <t>SARRAZIN David:</t>
        </r>
        <r>
          <rPr>
            <sz val="8"/>
            <color indexed="81"/>
            <rFont val="Tahoma"/>
            <family val="2"/>
          </rPr>
          <t xml:space="preserve">
indiquer ici le nom du ou des sous-traitants concernés
</t>
        </r>
      </text>
    </comment>
  </commentList>
</comments>
</file>

<file path=xl/sharedStrings.xml><?xml version="1.0" encoding="utf-8"?>
<sst xmlns="http://schemas.openxmlformats.org/spreadsheetml/2006/main" count="1407" uniqueCount="688">
  <si>
    <t>CERTIFICAT DE PAIEMENT N°</t>
  </si>
  <si>
    <t>Titulaire</t>
  </si>
  <si>
    <t>Opération :</t>
  </si>
  <si>
    <t>Titulaire :</t>
  </si>
  <si>
    <t>n° marché :</t>
  </si>
  <si>
    <t>n°engagement :</t>
  </si>
  <si>
    <t>Mois de réalisation :</t>
  </si>
  <si>
    <t>ECONOMIE GENERALE DU CONTRAT</t>
  </si>
  <si>
    <t>Taux de TVA</t>
  </si>
  <si>
    <t>Tranche ferme HT</t>
  </si>
  <si>
    <t>Tranche optionnelle 1 HT</t>
  </si>
  <si>
    <t>Tranche optionnelle 2 HT</t>
  </si>
  <si>
    <t>Tranche optionnelle 3 HT</t>
  </si>
  <si>
    <t>Montant OS et avenants HT</t>
  </si>
  <si>
    <t>Sous total HT</t>
  </si>
  <si>
    <t>Montant TVA</t>
  </si>
  <si>
    <t>Sous total TTC</t>
  </si>
  <si>
    <t>TOTAL TTC</t>
  </si>
  <si>
    <t>CALCUL DE L'ACOMPTE</t>
  </si>
  <si>
    <t>Avance HT</t>
  </si>
  <si>
    <t>Tranche Ferme HT</t>
  </si>
  <si>
    <t>TO 1 HT</t>
  </si>
  <si>
    <t>TO 2 HT</t>
  </si>
  <si>
    <t>TO 3 HT</t>
  </si>
  <si>
    <t>Mensuel</t>
  </si>
  <si>
    <t>VENTILATION PAR ENTITES € HT</t>
  </si>
  <si>
    <t>Type</t>
  </si>
  <si>
    <t>Nom</t>
  </si>
  <si>
    <t>janvier</t>
  </si>
  <si>
    <t>février</t>
  </si>
  <si>
    <t>mars</t>
  </si>
  <si>
    <t>avril</t>
  </si>
  <si>
    <t>mai</t>
  </si>
  <si>
    <t>juin</t>
  </si>
  <si>
    <t>juillet</t>
  </si>
  <si>
    <t>août</t>
  </si>
  <si>
    <t>septembre</t>
  </si>
  <si>
    <t>octobre</t>
  </si>
  <si>
    <t>novembre</t>
  </si>
  <si>
    <t>décembre</t>
  </si>
  <si>
    <t>Année :</t>
  </si>
  <si>
    <t>actualisation</t>
  </si>
  <si>
    <t>Révision</t>
  </si>
  <si>
    <t>TVA avance</t>
  </si>
  <si>
    <t>TVA actualisation</t>
  </si>
  <si>
    <t>TVA révision</t>
  </si>
  <si>
    <t>GAPD</t>
  </si>
  <si>
    <t>Retenue de pénalités provisoires TTC</t>
  </si>
  <si>
    <t>Cumul général</t>
  </si>
  <si>
    <t>Mandats émis antérieurement</t>
  </si>
  <si>
    <t>S</t>
  </si>
  <si>
    <t>dont Tiulaire</t>
  </si>
  <si>
    <t>dont Sous-traitant</t>
  </si>
  <si>
    <t>dont Co-traitant</t>
  </si>
  <si>
    <t>nom</t>
  </si>
  <si>
    <t>Co-traitant</t>
  </si>
  <si>
    <t>total</t>
  </si>
  <si>
    <t>Lycée / site :</t>
  </si>
  <si>
    <t>Réfaction</t>
  </si>
  <si>
    <t>mensuel</t>
  </si>
  <si>
    <t>Acompte à payer TTC</t>
  </si>
  <si>
    <t>Montant mensuel HT</t>
  </si>
  <si>
    <t>montant antérieur HT</t>
  </si>
  <si>
    <t>Montant cumulé HT</t>
  </si>
  <si>
    <t>restant du HT</t>
  </si>
  <si>
    <t>Mandats antérieurs</t>
  </si>
  <si>
    <t>PV</t>
  </si>
  <si>
    <t>N°mandat</t>
  </si>
  <si>
    <t>Montant TTC</t>
  </si>
  <si>
    <t>N° titre</t>
  </si>
  <si>
    <t>Lycée</t>
  </si>
  <si>
    <t>"ÉDOUARD BRANLY"</t>
  </si>
  <si>
    <t>"LE VERGER"</t>
  </si>
  <si>
    <t>"MARCELIN BERTHELOT"</t>
  </si>
  <si>
    <t>"ANDRÉ THEURIET"</t>
  </si>
  <si>
    <t>"LES TERRES ROUGES"</t>
  </si>
  <si>
    <t>"PILOTE INNOVANT INTERNATIONAL"</t>
  </si>
  <si>
    <t>"GUY CHAUVET"</t>
  </si>
  <si>
    <t>"MARC GODRIE"</t>
  </si>
  <si>
    <t>EREA</t>
  </si>
  <si>
    <t>"ANNE FRANK"</t>
  </si>
  <si>
    <t>"JEAN-MARIE BOULOUX"</t>
  </si>
  <si>
    <t>"JEAN MOULIN"</t>
  </si>
  <si>
    <t>"RAOUL MORTIER"</t>
  </si>
  <si>
    <t>"ALIÉNOR D'AQUITAINE"</t>
  </si>
  <si>
    <t>"AUGUSTE PERRET"</t>
  </si>
  <si>
    <t>"CAMILLE GUÉRIN"</t>
  </si>
  <si>
    <t>"KYOTO"</t>
  </si>
  <si>
    <t>"LE BOIS D'AMOUR"</t>
  </si>
  <si>
    <t>"LE DOLMEN"</t>
  </si>
  <si>
    <t>"NELSON MANDELA"</t>
  </si>
  <si>
    <t>"RÉAUMUR"</t>
  </si>
  <si>
    <t>"VICTOR HUGO"</t>
  </si>
  <si>
    <t>"XAVIER BERNARD"</t>
  </si>
  <si>
    <t>"DANIÈLE MATHIRON"</t>
  </si>
  <si>
    <t>lycée</t>
  </si>
  <si>
    <t>"LÉONARD DE VINCI"</t>
  </si>
  <si>
    <t>"LES SICAUDIÈRES"</t>
  </si>
  <si>
    <t>"MAURICE GENEVOIX"/"SIMONE SIGNORET"</t>
  </si>
  <si>
    <t>"JEAN-FRANCOIS CAIL"</t>
  </si>
  <si>
    <t>"JACQUES BUJAULT"</t>
  </si>
  <si>
    <t>"JOSEPH DESFONTAINES"</t>
  </si>
  <si>
    <t>"GASTON BARRÉ"</t>
  </si>
  <si>
    <t>"GASTON CHAISSAC"</t>
  </si>
  <si>
    <t>"JEAN MACÉ"</t>
  </si>
  <si>
    <t>"LA VENISE VERTE"</t>
  </si>
  <si>
    <t>"PAUL GUERIN"</t>
  </si>
  <si>
    <t>"THOMAS-JEAN MAIN"</t>
  </si>
  <si>
    <t>"ERNEST PÉROCHON"</t>
  </si>
  <si>
    <t>"LES GRIPPEAUX"</t>
  </si>
  <si>
    <t>"FRANCOISE DOLTO"</t>
  </si>
  <si>
    <t>"HAUT VAL DE SÈVRE"</t>
  </si>
  <si>
    <t>"J.MOULIN"(79)</t>
  </si>
  <si>
    <t>"DE LA MER ET DU LITTORAL"</t>
  </si>
  <si>
    <t>"JEAN HYPPOLITE"</t>
  </si>
  <si>
    <t>"LE RENAUDIN"</t>
  </si>
  <si>
    <t>"JEAN DAUTET"</t>
  </si>
  <si>
    <t>"LÉONCE VIELJEUX"</t>
  </si>
  <si>
    <t>"HOTELIER DU PARC DE LA FRANCOPHONIE"</t>
  </si>
  <si>
    <t>"PIERRE DORIOLE"</t>
  </si>
  <si>
    <t>"RENÉ-JOSUÉ VALIN"</t>
  </si>
  <si>
    <t>"ROMPSAY"</t>
  </si>
  <si>
    <t>"ANTOINE DE SAINT EXUPÉRY"</t>
  </si>
  <si>
    <t>"EMILE COMBES"</t>
  </si>
  <si>
    <t>"GILLES JAMAIN"</t>
  </si>
  <si>
    <t>"MARCEL DASSAULT"</t>
  </si>
  <si>
    <t>"MAURICE MERLEAU PONTY"</t>
  </si>
  <si>
    <t>de "L'ATLANTIQUE"</t>
  </si>
  <si>
    <t>"CORDOUAN"</t>
  </si>
  <si>
    <t>"BELLEVUE"</t>
  </si>
  <si>
    <t>"BERNARD PALISSY"</t>
  </si>
  <si>
    <t>"LE PETIT CHADIGNAC"</t>
  </si>
  <si>
    <t>"THÉODORE MONOD"</t>
  </si>
  <si>
    <t>"BLAISE PASCAL"</t>
  </si>
  <si>
    <t>"LOUIS-AUDOUIN DUBREUIL"</t>
  </si>
  <si>
    <t>"ENILIA-ENSMIC"</t>
  </si>
  <si>
    <t>"GEORGES DESCLAUDES"</t>
  </si>
  <si>
    <t>"MARITIME ET ACQUACOLE"</t>
  </si>
  <si>
    <t>"PAYS D'AUNIS"</t>
  </si>
  <si>
    <t>"CHARLES-AUGUSTIN COULOMB"</t>
  </si>
  <si>
    <t>"GUEZ DE BALZAC"</t>
  </si>
  <si>
    <t>"DE L'IMAGE ET DU SON"</t>
  </si>
  <si>
    <t>"JEAN ROSTAND"</t>
  </si>
  <si>
    <t>"MARGUERITE DE VALOIS"</t>
  </si>
  <si>
    <t>"DE SILLAC"</t>
  </si>
  <si>
    <t>"ÉLIE VINET"</t>
  </si>
  <si>
    <t>"FÉLIX GAILLARD"</t>
  </si>
  <si>
    <t>"PIERRE-ANDRÉ CHABANNE"</t>
  </si>
  <si>
    <t>"JEAN MONNET"</t>
  </si>
  <si>
    <t>"LOUIS DELAGE"</t>
  </si>
  <si>
    <t>"ÉMILE ROUX"</t>
  </si>
  <si>
    <t>"L'OISELLERIE"</t>
  </si>
  <si>
    <t>"LES CHIRONS"</t>
  </si>
  <si>
    <t>"JEAN CAILLAUD"</t>
  </si>
  <si>
    <t>"LOUISE MICHEL"</t>
  </si>
  <si>
    <t>"JEAN-ALBERT GRÉGOIRE"</t>
  </si>
  <si>
    <t>DGD</t>
  </si>
  <si>
    <t>TVA remboursement avance
(avancement travaux)</t>
  </si>
  <si>
    <t>Titu</t>
  </si>
  <si>
    <t>ST TVA autoliquidée</t>
  </si>
  <si>
    <t>ST TVA non-autoliquidée</t>
  </si>
  <si>
    <t>Autres retenues provisoires TTC</t>
  </si>
  <si>
    <t>N° marché :</t>
  </si>
  <si>
    <t>Pourcentage de l'avance</t>
  </si>
  <si>
    <t>% des prestations réalisées(total des acomptes payées et facture à payer sur total marché)</t>
  </si>
  <si>
    <t>MONTANT A DEDUIRE DE LA PRESENTE SITUATION  :</t>
  </si>
  <si>
    <t>Montant Avance HT x taux de remboursement</t>
  </si>
  <si>
    <t>____________________</t>
  </si>
  <si>
    <t>Ecart de remboursement</t>
  </si>
  <si>
    <t>Montant avance déjà récupéré</t>
  </si>
  <si>
    <t>Montant avance à récupérer</t>
  </si>
  <si>
    <t>Borne de début de remboursement</t>
  </si>
  <si>
    <t>Ici remboursement à hauteur de (en %)</t>
  </si>
  <si>
    <t>ETAT LIQUIDATIF DE VERSEMENT DE L’AVANCE</t>
  </si>
  <si>
    <t>Sous-Total TTC 5 + 8</t>
  </si>
  <si>
    <t>info RG à mandater en ligne 2</t>
  </si>
  <si>
    <t>département</t>
  </si>
  <si>
    <t>au</t>
  </si>
  <si>
    <t>à l'</t>
  </si>
  <si>
    <t>_16</t>
  </si>
  <si>
    <t>_17</t>
  </si>
  <si>
    <t>_79</t>
  </si>
  <si>
    <t>_86</t>
  </si>
  <si>
    <t>montant après ST</t>
  </si>
  <si>
    <t>AVANCE</t>
  </si>
  <si>
    <t>ACTUALISATION</t>
  </si>
  <si>
    <t>REVISION</t>
  </si>
  <si>
    <t>TABLEAU DE REVISION TITULAIRE</t>
  </si>
  <si>
    <t>SITUATIONS</t>
  </si>
  <si>
    <t>MOIS EXECUTION TRAVAUX</t>
  </si>
  <si>
    <t>BT mo</t>
  </si>
  <si>
    <t>BT m</t>
  </si>
  <si>
    <t>Coeff de révisions</t>
  </si>
  <si>
    <t>arrondi</t>
  </si>
  <si>
    <t>D</t>
  </si>
  <si>
    <t>P</t>
  </si>
  <si>
    <t>TOTAL</t>
  </si>
  <si>
    <t>TVA</t>
  </si>
  <si>
    <t>(p) : index provisoire</t>
  </si>
  <si>
    <t>D : index définitif</t>
  </si>
  <si>
    <t>TABLEAU DE REVISION CO-TRAITANT</t>
  </si>
  <si>
    <t>OUI</t>
  </si>
  <si>
    <t>NON</t>
  </si>
  <si>
    <t>info restitution suite DC4 TDR</t>
  </si>
  <si>
    <t>Montant intial TVA</t>
  </si>
  <si>
    <t>Indiquer à droite les montants des sous traitants HT</t>
  </si>
  <si>
    <t>Tranche FERME</t>
  </si>
  <si>
    <t>Tranche OPTIONNELLE 1</t>
  </si>
  <si>
    <t>Tranche OPTIONNELLE 2</t>
  </si>
  <si>
    <t>Cotraitant</t>
  </si>
  <si>
    <t>Tranche OPTIONNELLE 3</t>
  </si>
  <si>
    <t>TOTAL (3b + 4)</t>
  </si>
  <si>
    <t>numérateur</t>
  </si>
  <si>
    <t>dénominateur</t>
  </si>
  <si>
    <t>ETAT LIQUIDATIF  DE RECUPERATION DE L'AVANCE</t>
  </si>
  <si>
    <t>Objet :</t>
  </si>
  <si>
    <t>AE</t>
  </si>
  <si>
    <t>CCAP</t>
  </si>
  <si>
    <t>l'article 3</t>
  </si>
  <si>
    <t>l'article 4</t>
  </si>
  <si>
    <t>l'article 5</t>
  </si>
  <si>
    <t>l'article 6</t>
  </si>
  <si>
    <t>l'article 7</t>
  </si>
  <si>
    <t>Le Président du Conseil Régional, ordonnateur de la Région Nouvelle-Aquitaine,</t>
  </si>
  <si>
    <t>CERTIFIE</t>
  </si>
  <si>
    <r>
      <t>Qu‘il convient de mandater au profit de</t>
    </r>
    <r>
      <rPr>
        <b/>
        <sz val="11"/>
        <color rgb="FF0000CC"/>
        <rFont val="Verdana"/>
        <family val="2"/>
      </rPr>
      <t/>
    </r>
  </si>
  <si>
    <t xml:space="preserve">Pour le Président du Conseil Régional
et par délégation
</t>
  </si>
  <si>
    <t>Montant initial TVA</t>
  </si>
  <si>
    <t>Tranche Ferme</t>
  </si>
  <si>
    <t>Tranche Optionnelle 1</t>
  </si>
  <si>
    <t>Tranche Optionnelle 2</t>
  </si>
  <si>
    <t>OS et avenants</t>
  </si>
  <si>
    <t>S HT</t>
  </si>
  <si>
    <t>reste à repartir</t>
  </si>
  <si>
    <t>taux avance</t>
  </si>
  <si>
    <t>Maître d'ouvrage :</t>
  </si>
  <si>
    <t>N° Marché :</t>
  </si>
  <si>
    <t>CALCUL DE L'ACTUALISATION :</t>
  </si>
  <si>
    <t>Indice (I) :</t>
  </si>
  <si>
    <t>Mois d-3 :</t>
  </si>
  <si>
    <t>Mois Mo :</t>
  </si>
  <si>
    <t>Id-3</t>
  </si>
  <si>
    <t>Io</t>
  </si>
  <si>
    <t>Cn</t>
  </si>
  <si>
    <r>
      <t xml:space="preserve">Cn-1
</t>
    </r>
    <r>
      <rPr>
        <sz val="8"/>
        <rFont val="Arial"/>
        <family val="2"/>
      </rPr>
      <t>(arrondi svt CCAP)</t>
    </r>
  </si>
  <si>
    <t>Entreprise titulaire</t>
  </si>
  <si>
    <t>TITULAIRE</t>
  </si>
  <si>
    <t>Montant actualisation TVA</t>
  </si>
  <si>
    <t>total ht</t>
  </si>
  <si>
    <t>Montant d'avance récupérée suite DC4</t>
  </si>
  <si>
    <t>Nouveau montant d'avance 
(suite introduction DC4)</t>
  </si>
  <si>
    <t>Restitution d'avance du au Sous-traitant</t>
  </si>
  <si>
    <t>Créancier</t>
  </si>
  <si>
    <t xml:space="preserve">Titulaire : </t>
  </si>
  <si>
    <t>Co-Traitant :</t>
  </si>
  <si>
    <t>Nom :</t>
  </si>
  <si>
    <t>Objet du marché</t>
  </si>
  <si>
    <t>Mandat n°</t>
  </si>
  <si>
    <t>Motif de l'Ordre de Recette</t>
  </si>
  <si>
    <t>Etat liquidatif</t>
  </si>
  <si>
    <t xml:space="preserve">Taux de TVA : </t>
  </si>
  <si>
    <t xml:space="preserve">Taux de l'avance : </t>
  </si>
  <si>
    <t>Montant de l'avance versée au titulaire HT</t>
  </si>
  <si>
    <t>Montant sous-traité HT</t>
  </si>
  <si>
    <t>Nouvelle part titulaire</t>
  </si>
  <si>
    <t>Montant de l'avance due au titulaire</t>
  </si>
  <si>
    <t>MONTANT NET A RECUPERER HT</t>
  </si>
  <si>
    <t>Arrété le présent ordre de recette à la somme figurant ci-dessus</t>
  </si>
  <si>
    <t xml:space="preserve">Fait à                                      le </t>
  </si>
  <si>
    <t>Marché n°</t>
  </si>
  <si>
    <t>Acceptation du sous-traitant</t>
  </si>
  <si>
    <t xml:space="preserve">  en cours d'exécution du marché</t>
  </si>
  <si>
    <t>Durée du marché en mois :</t>
  </si>
  <si>
    <t xml:space="preserve">Que le montant HT du marché s'élève à </t>
  </si>
  <si>
    <t>TOTAL TVA</t>
  </si>
  <si>
    <t>Total TTC</t>
  </si>
  <si>
    <t xml:space="preserve">une avance d'un montant TTC de </t>
  </si>
  <si>
    <t>Mo</t>
  </si>
  <si>
    <t>Indice Mo</t>
  </si>
  <si>
    <t>Nom indice</t>
  </si>
  <si>
    <t>TVA restitution avance suite DC4 (pour info)</t>
  </si>
  <si>
    <t>Titres de recettes antérieurs (pour info)</t>
  </si>
  <si>
    <t>Montant initial de l'avance</t>
  </si>
  <si>
    <t>MODELE UNIQUEMENT POUR LE REMBOURSEMENT DE L'AVANCE SUITE A l'AVANCEMENT DE TRAVAUX / PAS POUR LA RECUPERATION SUITE INTRO DC4</t>
  </si>
  <si>
    <t>année</t>
  </si>
  <si>
    <t>numéro</t>
  </si>
  <si>
    <t>ne remplir que les cases vertes</t>
  </si>
  <si>
    <t>Ordre de service du (JJ/MM/AAAA) :</t>
  </si>
  <si>
    <t>Montant TRVX réalisé TVA</t>
  </si>
  <si>
    <t>Montant Révision TVA</t>
  </si>
  <si>
    <t>P/D</t>
  </si>
  <si>
    <t>avance</t>
  </si>
  <si>
    <t xml:space="preserve">Vu la durée du marché fixé à </t>
  </si>
  <si>
    <t>_19</t>
  </si>
  <si>
    <t>_23</t>
  </si>
  <si>
    <t>_87</t>
  </si>
  <si>
    <t>"D'ARSONVAL"</t>
  </si>
  <si>
    <t>"MARCEL BARBENCEYS"</t>
  </si>
  <si>
    <t>"BORT ARTENSE"</t>
  </si>
  <si>
    <t>"GEORGES CABANIS"</t>
  </si>
  <si>
    <t>"PIERRE CARAMINOT"</t>
  </si>
  <si>
    <t>"RENE CASSIN"</t>
  </si>
  <si>
    <t>"DANTON"</t>
  </si>
  <si>
    <t>"LAVOISIER"</t>
  </si>
  <si>
    <t>"DES MILLES SOURCES"</t>
  </si>
  <si>
    <t>"EDMOND PERRIER"</t>
  </si>
  <si>
    <t>"BERNART DE VENTADOUR"</t>
  </si>
  <si>
    <t>"BRIVE-VOUTEZAC"</t>
  </si>
  <si>
    <t>"DE HAUTE CORREZE"</t>
  </si>
  <si>
    <t>"EDGARD PISANI"</t>
  </si>
  <si>
    <t>"PIERRE BOURDAN"</t>
  </si>
  <si>
    <t>"JEAN FAVARD"</t>
  </si>
  <si>
    <t>"DES METIERS ET DU BATIMENT DE FELLETIN"</t>
  </si>
  <si>
    <t>"DELHPINE GAY"</t>
  </si>
  <si>
    <t>"EUGENE JAMOT"</t>
  </si>
  <si>
    <t>"JEAN JAURES"</t>
  </si>
  <si>
    <t>"RAYMOND LOEWY"</t>
  </si>
  <si>
    <t>"GASTON ROUSSILAT"</t>
  </si>
  <si>
    <t>"D'AHUN"</t>
  </si>
  <si>
    <t>"MARYSE BASTIE"</t>
  </si>
  <si>
    <t>"BAPTISTE DARNET"</t>
  </si>
  <si>
    <t>"DAUTRY"</t>
  </si>
  <si>
    <t>"PAUL EUARD"</t>
  </si>
  <si>
    <t>"GAY LUSSAC"</t>
  </si>
  <si>
    <t>"JEAN GIRAUOUX"</t>
  </si>
  <si>
    <t>"LEONARD LIMOSIN"</t>
  </si>
  <si>
    <t>"LE MAS JAMBOST"</t>
  </si>
  <si>
    <t>"MARTIN NADAUD"</t>
  </si>
  <si>
    <t>"MARCEL PAGNOL"</t>
  </si>
  <si>
    <t>"AUGUSTE RENOIR"</t>
  </si>
  <si>
    <t>"GEORGES SAND"</t>
  </si>
  <si>
    <t>"TURGOT"</t>
  </si>
  <si>
    <t>"EDOUARD VAILLANT"</t>
  </si>
  <si>
    <t>"SUZANNE VALANDON"</t>
  </si>
  <si>
    <t>"DE SAINT YRIEZIX DE LA PERCHE"</t>
  </si>
  <si>
    <t>"DE LIMOGES ET DU NORD HAUTE VIENNE" (MAGNAC LAVAL")</t>
  </si>
  <si>
    <t>"DE LIMOGES ET DU NORD HAUTE VIENNE" (LES VASEIX")</t>
  </si>
  <si>
    <t>Sans Objet</t>
  </si>
  <si>
    <t>info pénalités provisoires ligne 2 ou 3</t>
  </si>
  <si>
    <t>Soit un acompte total de</t>
  </si>
  <si>
    <t>DGD suite à Révision définitive</t>
  </si>
  <si>
    <t>RG</t>
  </si>
  <si>
    <t>Sureté INITIALE (RG / GAPD / Sans objet)</t>
  </si>
  <si>
    <t>Sureté MODIFICATIVE (RG / GAPD)</t>
  </si>
  <si>
    <t>Retenue de Garantie tranche ferme</t>
  </si>
  <si>
    <t>GAPD tranche ferme</t>
  </si>
  <si>
    <t>RG tranche ferme remplacée par GAPD</t>
  </si>
  <si>
    <t>Retenue de Garantie TO 1</t>
  </si>
  <si>
    <t>GAPD TO 1</t>
  </si>
  <si>
    <t>RG TO1 remplacée par GAPD</t>
  </si>
  <si>
    <t>Retenue de Garantie TO 2</t>
  </si>
  <si>
    <t>GAPD TO 2</t>
  </si>
  <si>
    <t>RG TO2 remplacée par GAPD</t>
  </si>
  <si>
    <t>Retenue de Garantie TO 3</t>
  </si>
  <si>
    <t>GAPD TO 3</t>
  </si>
  <si>
    <t>TF</t>
  </si>
  <si>
    <t>TO1</t>
  </si>
  <si>
    <t>TO2</t>
  </si>
  <si>
    <t>TO3</t>
  </si>
  <si>
    <t>Tranche :</t>
  </si>
  <si>
    <t>ferme</t>
  </si>
  <si>
    <t>ACTUALISATION / REVISION</t>
  </si>
  <si>
    <t>MODE d'EMPLOI DU CLASSEUR</t>
  </si>
  <si>
    <t>Ce fichier s'utilise en activant les macros sur Excel. Pour connaire la marche à suivre pour autoriser l'activation des macros vous pouvez suivre le lien suivant</t>
  </si>
  <si>
    <t>https://support.office.com/fr-fr/article/activer-ou-d%C3%A9sactiver-les-macros-dans-les-fichiers-office-12b036fd-d140-4e74-b45e-16fed1a7e5c6</t>
  </si>
  <si>
    <t>Le fichier comporte plusieurs onglets qui s'ouvrent en fonction des éléments mentionnées dans l'onglet "DONNEES".</t>
  </si>
  <si>
    <t>La feuille DONNEES est la seule visible au lancement du fichier. Il vous faudra y mentionner un certain nombre d'informations relatives au contrat.</t>
  </si>
  <si>
    <t>L'ensemble des onglets est protégé par mot de passe pour éviter les erreurs de manipulations. Les zones nécessitant votre intervention sont déverouillées ou accessibles.</t>
  </si>
  <si>
    <t>De manière générale  :</t>
  </si>
  <si>
    <t xml:space="preserve"> les éléments </t>
  </si>
  <si>
    <t>indique une liste déroulante dans laquelle vous est proposé des éléments présaisis.</t>
  </si>
  <si>
    <t xml:space="preserve">les éléments </t>
  </si>
  <si>
    <t>mentionne une zone où s'opére un ou des calculs</t>
  </si>
  <si>
    <t>La Feuille DONNEES</t>
  </si>
  <si>
    <t>Les données nécesssaires se trouvent dans l'acte d'engagement et dans le CCAP</t>
  </si>
  <si>
    <t>Pour supprimer une donnée saisie, utilisez la touche "Suppr". L'utilisation de la touche "retour arrière" ne permet pas la prise en compte des macros.</t>
  </si>
  <si>
    <t>Si le marché ne comporte pas de co-traitant ne saisiez aucun valeur dans la case co-traitant.</t>
  </si>
  <si>
    <t>Si vous n'avez pas le numéro d'engagement du marché, vous pouvez le demander en fonction du site émétteur du marché à l'adresse :</t>
  </si>
  <si>
    <t xml:space="preserve">Site de Limoges </t>
  </si>
  <si>
    <t>crfconstructionslimoge@nouvelle-aquitaine.fr</t>
  </si>
  <si>
    <t>Site de Poitiers</t>
  </si>
  <si>
    <t>crfconstructionspoitiers@nouvelle-aquitaine.fr</t>
  </si>
  <si>
    <t>Mentionner la durée en mois du marché</t>
  </si>
  <si>
    <t>Indiquer si oui ou non une avance est à verser (case C11). Les cases E11 et F11 concernent la collectivité pour éditer l'état liquidatif de versement de l'avance.</t>
  </si>
  <si>
    <t>Répondre "oui" dans la case C11 vous affichera l'onglet "calcul avance titulaire" (et co-traitant si vous avez noté un co-traitant) ainsi que l'onglet "récup avance titulaire" (et "récupe avance co-traitant" si vous la case C6 est remplie). De même cela entraine l'affichage des lignes relatives au versement de l'avance, et à sa récupération dans les onglets "CPP titulaire ST" (et encore une fois dans l'onglet "CPP Cotraitant ST" le cas échéant).</t>
  </si>
  <si>
    <t>Si vous saisissez un co-traitant, la feuille "CPP co-traitant ST" sera affichée.</t>
  </si>
  <si>
    <t>En cas C12 mentionner si le contrat est actualisable ou révisable. Si il n'est ni actualisable, ni révisable alors ne saisissez rien.</t>
  </si>
  <si>
    <t>La sélection "ACTUALISABLE" affiche la feuille "Actualisation" et ouvre les lignes relatives à l'actualisation dans les CPP titulaires (et cotraitant si saisit en C6)</t>
  </si>
  <si>
    <t>idem pour la sélection "REVISION". Si vous ne saisissez rien , les feuilles et les lignes relatives à l'actualisation et à la révision restent fermées</t>
  </si>
  <si>
    <t>En C17 et E17 sélectionnez le ou les taux de TVA applicables.</t>
  </si>
  <si>
    <r>
      <t xml:space="preserve">puis mentionnez les montants du marché ventilés par tranche </t>
    </r>
    <r>
      <rPr>
        <b/>
        <sz val="11"/>
        <color theme="1"/>
        <rFont val="Calibri"/>
        <family val="2"/>
        <scheme val="minor"/>
      </rPr>
      <t>en ne notant que les tranches affermies</t>
    </r>
  </si>
  <si>
    <t>les tranches affermies après notification seront renseignées dans le tableau au moment de leur affermissement (pour mémoire il faut un OS d'affermissement)</t>
  </si>
  <si>
    <t>En fonction des lignes remplies en C18:E22, la feuille DONNEES ouvre un certain nombre de lignes en bas de feuille pour permettre de saisir des données complémentaires</t>
  </si>
  <si>
    <t>Ici aussi si vous ne remplisse que la tranche ferme, vous ne verrez pas apparaitre les lignes relatives au TO 1 à 3 et la ligne avenant dans les CPP.</t>
  </si>
  <si>
    <t>Dans les lignes qui se sont ouvertes, vous avez accès aux élements bleus (liste déroulante) et blanc.</t>
  </si>
  <si>
    <t>mentionne une zone dans laquelle vous devez saisir une informations pour réaliser des calculs (onglet recup avant titulaire et cotraitant)</t>
  </si>
  <si>
    <t>Remboursement avance HT</t>
  </si>
  <si>
    <t>Cotraitant 1</t>
  </si>
  <si>
    <t>Tranche optionnelle 4 HT</t>
  </si>
  <si>
    <t>Tranche optionnelle 5 HT</t>
  </si>
  <si>
    <t>Tranche optionnelle 6 HT</t>
  </si>
  <si>
    <t>Tranche OPTIONNELLE 4</t>
  </si>
  <si>
    <t>Tranche OPTIONNELLE 5</t>
  </si>
  <si>
    <t>Tranche OPTIONNELLE 6</t>
  </si>
  <si>
    <t>Avenants et OS</t>
  </si>
  <si>
    <t>Retenue de Garantie TO 4</t>
  </si>
  <si>
    <t>GAPD TO 4</t>
  </si>
  <si>
    <t>Retenue de Garantie TO 5</t>
  </si>
  <si>
    <t>GAPD TO 5</t>
  </si>
  <si>
    <t>Retenue de Garantie TO 6</t>
  </si>
  <si>
    <t>GAPD TO 6</t>
  </si>
  <si>
    <t>Sureté Complémentaire</t>
  </si>
  <si>
    <t>RG complémentaire sur avenant / OS</t>
  </si>
  <si>
    <t>GAPD complémentaire sur avenant / OS</t>
  </si>
  <si>
    <t>Nb Tranche Optionnelles</t>
  </si>
  <si>
    <t>TO4</t>
  </si>
  <si>
    <t>TO5</t>
  </si>
  <si>
    <t>TO6</t>
  </si>
  <si>
    <t>somme</t>
  </si>
  <si>
    <t>TO 4 HT</t>
  </si>
  <si>
    <t>TO 5 HT</t>
  </si>
  <si>
    <t>TO 6 HT</t>
  </si>
  <si>
    <t>FERME</t>
  </si>
  <si>
    <t>Sous traitant introduit au démarrage à déduire du calcul de l'avance</t>
  </si>
  <si>
    <t>taux TVA</t>
  </si>
  <si>
    <t>Avance déjà versée en € TTC</t>
  </si>
  <si>
    <t>montant</t>
  </si>
  <si>
    <t>Que le montant TTC de l'avance déjà versée est de</t>
  </si>
  <si>
    <t>l'article 8-1</t>
  </si>
  <si>
    <t>Tranche Optionnelle 3</t>
  </si>
  <si>
    <t>Tranche Optionnelle 4</t>
  </si>
  <si>
    <t>Tranche Optionnelle 5</t>
  </si>
  <si>
    <t>Tranche Optionnelle 6</t>
  </si>
  <si>
    <t>Total des prestations réalisées HT par le titulaire</t>
  </si>
  <si>
    <t xml:space="preserve">Vu la durée du marché fixée à </t>
  </si>
  <si>
    <t>Montant des tranches pour calcul de l'avance déduction faite des sous traitants déclarés au démarrage</t>
  </si>
  <si>
    <t>Montant du marché HT ayant donné lieu à l'avance (les sous traitants déclarés avant versement de l'avance sont automatiquement déduits du montant)</t>
  </si>
  <si>
    <t>Montant du marché HT après décuction des sous-traitants déclarés après versement de l'avance</t>
  </si>
  <si>
    <t>Montant du marché donnant lieu à avance / tranche - sous traitants déclarés après avance</t>
  </si>
  <si>
    <r>
      <t>Montant des acomptes déjà effectués HT (</t>
    </r>
    <r>
      <rPr>
        <b/>
        <sz val="14"/>
        <rFont val="Verdana"/>
        <family val="2"/>
      </rPr>
      <t>uniquement travaux du titulaire</t>
    </r>
    <r>
      <rPr>
        <sz val="14"/>
        <rFont val="Verdana"/>
        <family val="2"/>
      </rPr>
      <t>)</t>
    </r>
  </si>
  <si>
    <r>
      <t>Facture transmise pour paiement HT (</t>
    </r>
    <r>
      <rPr>
        <b/>
        <sz val="14"/>
        <rFont val="Verdana"/>
        <family val="2"/>
      </rPr>
      <t>uniquement travaux du titulaire</t>
    </r>
    <r>
      <rPr>
        <sz val="14"/>
        <rFont val="Verdana"/>
        <family val="2"/>
      </rPr>
      <t>)</t>
    </r>
  </si>
  <si>
    <t>Mandat du versement de l'avance</t>
  </si>
  <si>
    <t>montant après avenants</t>
  </si>
  <si>
    <t>déjà mandaté TTC</t>
  </si>
  <si>
    <t>montant TVA</t>
  </si>
  <si>
    <t>Montant travaux réalisés HT TVA</t>
  </si>
  <si>
    <t>Montant du marché y compris sous traitants et avenants par tranche</t>
  </si>
  <si>
    <t>Tranche</t>
  </si>
  <si>
    <t>Titulaire / Co traitant</t>
  </si>
  <si>
    <t>montant HT</t>
  </si>
  <si>
    <t xml:space="preserve"> montant HT</t>
  </si>
  <si>
    <t>Travaux réalisés sur le mois</t>
  </si>
  <si>
    <t>montant HT2</t>
  </si>
  <si>
    <t xml:space="preserve"> montant HT3</t>
  </si>
  <si>
    <t>Colonne1</t>
  </si>
  <si>
    <t>type (titulaire / ST)</t>
  </si>
  <si>
    <t>type tit / ST</t>
  </si>
  <si>
    <t>Ventilation du marché par entité et par tranche</t>
  </si>
  <si>
    <t>montant avenants</t>
  </si>
  <si>
    <t>avenants et OS toutes tranches confondues</t>
  </si>
  <si>
    <t>TVA travaux réalisés (3a x taux de TVA)</t>
  </si>
  <si>
    <t>restitution avance suite DC4  (non déduit des calculs)</t>
  </si>
  <si>
    <t>RG TO 1 remplacée par GAPD</t>
  </si>
  <si>
    <t>RG TO 2 remplacée par GAPD</t>
  </si>
  <si>
    <t>RG TO 3 remplacée par GAPD</t>
  </si>
  <si>
    <t>RG TO 4 remplacée par GAPD</t>
  </si>
  <si>
    <t>RG TO 5 remplacée par GAPD</t>
  </si>
  <si>
    <t>RG TO 6 remplacée par GAPD</t>
  </si>
  <si>
    <t>marché HT</t>
  </si>
  <si>
    <t>Colonne2</t>
  </si>
  <si>
    <t xml:space="preserve"> montant HT4</t>
  </si>
  <si>
    <t>Colonne3</t>
  </si>
  <si>
    <t>Colonne4</t>
  </si>
  <si>
    <t>total HT</t>
  </si>
  <si>
    <t>20,0%</t>
  </si>
  <si>
    <t>10,0%</t>
  </si>
  <si>
    <r>
      <t>ECONOMIE GENERALE DU CONTRAT</t>
    </r>
    <r>
      <rPr>
        <b/>
        <sz val="14"/>
        <color rgb="FFFF0000"/>
        <rFont val="Calibri"/>
        <family val="2"/>
        <scheme val="minor"/>
      </rPr>
      <t xml:space="preserve"> (TRANCHES AFFERMIES UNIQUEMENT)</t>
    </r>
  </si>
  <si>
    <t>mois.</t>
  </si>
  <si>
    <t xml:space="preserve"> </t>
  </si>
  <si>
    <t>Cumulé antérieur TVA</t>
  </si>
  <si>
    <t>0,0%</t>
  </si>
  <si>
    <t>20,0%3</t>
  </si>
  <si>
    <t>0,0%4</t>
  </si>
  <si>
    <t>Colonne5</t>
  </si>
  <si>
    <t>Colonne6</t>
  </si>
  <si>
    <t>1(tit)</t>
  </si>
  <si>
    <t>1a(tit)</t>
  </si>
  <si>
    <t>1b(tit)</t>
  </si>
  <si>
    <t>2a(tit)</t>
  </si>
  <si>
    <t>2b(tit)</t>
  </si>
  <si>
    <t>2c(tit)</t>
  </si>
  <si>
    <t>2d(tit)</t>
  </si>
  <si>
    <t>2e(tit)</t>
  </si>
  <si>
    <t>2f(tit)</t>
  </si>
  <si>
    <t>2g(tit)</t>
  </si>
  <si>
    <t>2h(tit)</t>
  </si>
  <si>
    <t>3a(tit)</t>
  </si>
  <si>
    <t>3b(tit)</t>
  </si>
  <si>
    <t>4(tit)</t>
  </si>
  <si>
    <t>5(tit)</t>
  </si>
  <si>
    <t>6(tit)</t>
  </si>
  <si>
    <t>6a(tit)</t>
  </si>
  <si>
    <t>6b(tit)</t>
  </si>
  <si>
    <t>7(tit)</t>
  </si>
  <si>
    <t>7a(tit)</t>
  </si>
  <si>
    <t>8(tit)</t>
  </si>
  <si>
    <t>9(tit)</t>
  </si>
  <si>
    <t>1(co-tr)</t>
  </si>
  <si>
    <t>1a(co-tr)</t>
  </si>
  <si>
    <t>1b(co-tr)</t>
  </si>
  <si>
    <t>2a(co-tr)</t>
  </si>
  <si>
    <t>2b(co-tr)</t>
  </si>
  <si>
    <t>2c(co-tr)</t>
  </si>
  <si>
    <t>2d(co-tr)</t>
  </si>
  <si>
    <t>2e(co-tr)</t>
  </si>
  <si>
    <t>2f(co-tr)</t>
  </si>
  <si>
    <t>2g(co-tr)</t>
  </si>
  <si>
    <t>2h(co-tr)</t>
  </si>
  <si>
    <t>3a(co-tr)</t>
  </si>
  <si>
    <t>3b(co-tr)</t>
  </si>
  <si>
    <t>4(co-tr)</t>
  </si>
  <si>
    <t>5(co-tr)</t>
  </si>
  <si>
    <t>6(co-tr)</t>
  </si>
  <si>
    <t>6a(co-tr)</t>
  </si>
  <si>
    <t>6b(co-tr)</t>
  </si>
  <si>
    <t>7(co-tr)</t>
  </si>
  <si>
    <t>7a(co-tr)</t>
  </si>
  <si>
    <t>8(co-tr)</t>
  </si>
  <si>
    <t>9(co-tr)</t>
  </si>
  <si>
    <t>11 (tit)</t>
  </si>
  <si>
    <t>11-1 (tit)</t>
  </si>
  <si>
    <t>11-2 (tit)</t>
  </si>
  <si>
    <t>11-3 (tit)</t>
  </si>
  <si>
    <t>11-4 (tit)</t>
  </si>
  <si>
    <t>11-5 (tit)</t>
  </si>
  <si>
    <t>11-6 (tit)</t>
  </si>
  <si>
    <t>11-7 (tit)</t>
  </si>
  <si>
    <t>11-8 (tit)</t>
  </si>
  <si>
    <t>11-9 (tit)</t>
  </si>
  <si>
    <t>11-10 (tit)</t>
  </si>
  <si>
    <t>11-11 (tit)</t>
  </si>
  <si>
    <t>12 (tit)</t>
  </si>
  <si>
    <t>13 (tit)</t>
  </si>
  <si>
    <t>14 (tit)</t>
  </si>
  <si>
    <t>15 (tit)</t>
  </si>
  <si>
    <t>16 (tit)</t>
  </si>
  <si>
    <t>10 (co-tr)</t>
  </si>
  <si>
    <t>10-1 (co-tr)</t>
  </si>
  <si>
    <t>11 (co-tr)</t>
  </si>
  <si>
    <t>11-1 (co-tr)</t>
  </si>
  <si>
    <t>11-2 (co-tr)</t>
  </si>
  <si>
    <t>11-3 (co-tr)</t>
  </si>
  <si>
    <t>11-4 (co-tr)</t>
  </si>
  <si>
    <t>11-5 (co-tr)</t>
  </si>
  <si>
    <t>11-6 (co-tr)</t>
  </si>
  <si>
    <t>11-7 (co-tr)</t>
  </si>
  <si>
    <t>11-8 (co-tr)</t>
  </si>
  <si>
    <t>11-9 (co-tr)</t>
  </si>
  <si>
    <t>11-10 (co-tr)</t>
  </si>
  <si>
    <t>11-11 (co-tr)</t>
  </si>
  <si>
    <t>11-12 (tit)</t>
  </si>
  <si>
    <t>11-12 (co-tr)</t>
  </si>
  <si>
    <t>somme des sous-traitants sur la situation</t>
  </si>
  <si>
    <t>partie à 20%</t>
  </si>
  <si>
    <t>partie à 10%</t>
  </si>
  <si>
    <t>Travaux réalisés cumulés</t>
  </si>
  <si>
    <t>somme des sous-traitants cumulés</t>
  </si>
  <si>
    <t xml:space="preserve"> montant HT5</t>
  </si>
  <si>
    <t xml:space="preserve"> montant HT6</t>
  </si>
  <si>
    <t>somme des sous traitants du titulaire</t>
  </si>
  <si>
    <t>somme des sous traitants du co-traitant</t>
  </si>
  <si>
    <t>idem mais cumul</t>
  </si>
  <si>
    <t>10(tit)</t>
  </si>
  <si>
    <t>10-1(tit)</t>
  </si>
  <si>
    <t>Engagement</t>
  </si>
  <si>
    <t>Sureté si groupement</t>
  </si>
  <si>
    <t>GAPD fournie par le titulaire sur l'ensemble du marché</t>
  </si>
  <si>
    <t>RG sur le titulaire et sur le co-traitant</t>
  </si>
  <si>
    <t>RG sur le titulaire pour l'ensemble du marché</t>
  </si>
  <si>
    <t>GAPD sur titulaire et cotraitant</t>
  </si>
  <si>
    <t>RG tranche ferme pour le groupement</t>
  </si>
  <si>
    <t>GAPD tranche ferme pour le groupement</t>
  </si>
  <si>
    <t>RG tranche ferme remplacée par GAPD pour le groupement</t>
  </si>
  <si>
    <t>Retenue de Garantie TO 1 pour le groupement</t>
  </si>
  <si>
    <t>GAPD TO1 pour le groupement</t>
  </si>
  <si>
    <t>Retenue de Garantie TO 2 pour le groupement</t>
  </si>
  <si>
    <t>GAPD TO2 pour le groupement</t>
  </si>
  <si>
    <t>Retenue de Garantie TO 3 pour le groupement</t>
  </si>
  <si>
    <t>Retenue de Garantie TO 4 pour le groupement</t>
  </si>
  <si>
    <t>GAPD TO 4 pour le groupement</t>
  </si>
  <si>
    <t>GAPD TO 3 pour le groupement</t>
  </si>
  <si>
    <t>Retenue de Garantie TO 5 pour le groupement</t>
  </si>
  <si>
    <t>GAPD TO 5 pour le groupement</t>
  </si>
  <si>
    <t>Retenue de Garantie TO 6 pour le groupement</t>
  </si>
  <si>
    <t>GAPD TO 6 pour le groupement</t>
  </si>
  <si>
    <t>RG TO 1 remplacée par GAPD pour le groupement</t>
  </si>
  <si>
    <t>RG TO 2 remplacée par GAPD pour le groupement</t>
  </si>
  <si>
    <t>RG TO 3 remplacée par GAPD pour le groupement</t>
  </si>
  <si>
    <t>RG TO 4 remplacée par GAPD pour le groupement</t>
  </si>
  <si>
    <t>RG TO 5 remplacée par GAPD pour le groupement</t>
  </si>
  <si>
    <t>RG TO 6 remplacée par GAPD pour le groupement</t>
  </si>
  <si>
    <t>RG complémentaire sur avenant / OS pour le groupement</t>
  </si>
  <si>
    <t>GAPD complémentaire sur avenant / OS pour le groupement</t>
  </si>
  <si>
    <t>10 (group)</t>
  </si>
  <si>
    <t>10-1 (group)</t>
  </si>
  <si>
    <t>11 (group)</t>
  </si>
  <si>
    <t>11-1(group)</t>
  </si>
  <si>
    <t>11-2(group)</t>
  </si>
  <si>
    <t>11-3(group)</t>
  </si>
  <si>
    <t>11-4 (group)</t>
  </si>
  <si>
    <t>11-5 (group)</t>
  </si>
  <si>
    <t>11-6 (group)</t>
  </si>
  <si>
    <t>11-7 (group)</t>
  </si>
  <si>
    <t>11-8 (group)</t>
  </si>
  <si>
    <t>11-9 (group)</t>
  </si>
  <si>
    <t>11-10(group)</t>
  </si>
  <si>
    <t>11-11 (group)</t>
  </si>
  <si>
    <t>11-12 (group)</t>
  </si>
  <si>
    <t>12 (co-tr)</t>
  </si>
  <si>
    <t>13 (co-tr)</t>
  </si>
  <si>
    <t>14 (co-tr)</t>
  </si>
  <si>
    <t>15 (co-tr)</t>
  </si>
  <si>
    <t>16 (co-tr)</t>
  </si>
  <si>
    <t>montant de TVA mensu</t>
  </si>
  <si>
    <t>DC4 HT</t>
  </si>
  <si>
    <t>titulaire</t>
  </si>
  <si>
    <t>cotraitant</t>
  </si>
  <si>
    <t>montant TVA autoliquidée tout taux confondus</t>
  </si>
  <si>
    <t>Montant de TVA du titulaire tout taux confondus</t>
  </si>
  <si>
    <t>Montant de TVA du cotraitant tout taux confondus</t>
  </si>
  <si>
    <t>Acompte à payer sur le titulaire</t>
  </si>
  <si>
    <t>Acompte à payer sur le co-traitant</t>
  </si>
  <si>
    <t>17 (tit)</t>
  </si>
  <si>
    <t>17 (co-tr)</t>
  </si>
  <si>
    <t>TO 2</t>
  </si>
  <si>
    <t>TO 4</t>
  </si>
  <si>
    <t>TO 5</t>
  </si>
  <si>
    <t>TO 6</t>
  </si>
  <si>
    <t>TO 3</t>
  </si>
  <si>
    <t>filtre</t>
  </si>
  <si>
    <t>Dates OS démarrage</t>
  </si>
  <si>
    <t>actualisation déjà mandaté TTC</t>
  </si>
  <si>
    <t>TOTAL TTC des actualisations</t>
  </si>
  <si>
    <t>TOTAL HT à reporter dans le CPP</t>
  </si>
  <si>
    <t>HT Précédents</t>
  </si>
  <si>
    <t>à reporter HT dans le CCP</t>
  </si>
  <si>
    <t>TOTAL révisions TTC</t>
  </si>
  <si>
    <t>révisions déjà mandaté TTC</t>
  </si>
  <si>
    <t>Revision</t>
  </si>
  <si>
    <t>TVA Revision</t>
  </si>
  <si>
    <t>SOMME TAUX 1</t>
  </si>
  <si>
    <t>SOMME TAUX 2</t>
  </si>
  <si>
    <t>SOMMES PRECEDENTES HT</t>
  </si>
  <si>
    <t>TAUX 1</t>
  </si>
  <si>
    <t>TAUX 2</t>
  </si>
  <si>
    <t>premier versement</t>
  </si>
  <si>
    <t>Total TTC après déduction du TTC déjà versé</t>
  </si>
  <si>
    <t xml:space="preserve">TOTAL CUMULE AVANCE en € TTC </t>
  </si>
  <si>
    <t>Total TTC après déduction des sommes déjà versées</t>
  </si>
  <si>
    <t>2nd versement</t>
  </si>
  <si>
    <t>DUREE INITIALE en mois de la TF</t>
  </si>
  <si>
    <t>durée de la TO en mois</t>
  </si>
  <si>
    <t>durée des TO</t>
  </si>
  <si>
    <t>montant de l'avance initial</t>
  </si>
  <si>
    <t>12 (group)</t>
  </si>
  <si>
    <t>13 (group)</t>
  </si>
  <si>
    <t>14 (group)</t>
  </si>
  <si>
    <t>15 (group)</t>
  </si>
  <si>
    <t>16 (group)</t>
  </si>
  <si>
    <t>Cumul général du titulaire</t>
  </si>
  <si>
    <t>Mandats émis antérieurement sur titulaire</t>
  </si>
  <si>
    <t>Mandatés émis antérieurement sur cotraitant</t>
  </si>
  <si>
    <t>16 -1(group)</t>
  </si>
  <si>
    <t>15 -1 (group)</t>
  </si>
  <si>
    <t>Cumul général du cotraitant</t>
  </si>
  <si>
    <r>
      <t>Sous-Total travaux (</t>
    </r>
    <r>
      <rPr>
        <sz val="65"/>
        <color theme="1"/>
        <rFont val="Symbol"/>
        <family val="1"/>
        <charset val="2"/>
      </rPr>
      <t>S</t>
    </r>
    <r>
      <rPr>
        <sz val="65"/>
        <color theme="1"/>
        <rFont val="Calibri"/>
        <family val="2"/>
      </rPr>
      <t>2a-&gt;2h HT)</t>
    </r>
  </si>
  <si>
    <r>
      <t>Sous-Total avance +
travaux (somme 3a - 1 - 1b</t>
    </r>
    <r>
      <rPr>
        <sz val="65"/>
        <color theme="1"/>
        <rFont val="Calibri"/>
        <family val="2"/>
      </rPr>
      <t>) HT</t>
    </r>
  </si>
  <si>
    <r>
      <t>Sous-Total TVA (</t>
    </r>
    <r>
      <rPr>
        <sz val="65"/>
        <color theme="1"/>
        <rFont val="Symbol"/>
        <family val="1"/>
        <charset val="2"/>
      </rPr>
      <t>S 6</t>
    </r>
    <r>
      <rPr>
        <sz val="65"/>
        <color theme="1"/>
        <rFont val="Arial"/>
        <family val="2"/>
      </rPr>
      <t>a</t>
    </r>
    <r>
      <rPr>
        <sz val="65"/>
        <color theme="1"/>
        <rFont val="Symbol"/>
        <family val="1"/>
        <charset val="2"/>
      </rPr>
      <t xml:space="preserve"> -&gt;6</t>
    </r>
    <r>
      <rPr>
        <sz val="65"/>
        <color theme="1"/>
        <rFont val="Arial"/>
        <family val="2"/>
      </rPr>
      <t>b</t>
    </r>
    <r>
      <rPr>
        <sz val="65"/>
        <color theme="1"/>
        <rFont val="Symbol"/>
        <family val="1"/>
        <charset val="2"/>
      </rPr>
      <t xml:space="preserve"> - 7)</t>
    </r>
  </si>
  <si>
    <r>
      <t>Total des retenues TTC (</t>
    </r>
    <r>
      <rPr>
        <sz val="65"/>
        <color theme="1"/>
        <rFont val="Symbol"/>
        <family val="1"/>
        <charset val="2"/>
      </rPr>
      <t>S</t>
    </r>
    <r>
      <rPr>
        <sz val="65"/>
        <color theme="1"/>
        <rFont val="Calibri"/>
        <family val="2"/>
        <scheme val="minor"/>
      </rPr>
      <t xml:space="preserve"> 11-&gt;13)</t>
    </r>
  </si>
  <si>
    <t>au Lycée "MARCELIN BERTHELOT"</t>
  </si>
  <si>
    <t>2019 SOGOS 217586</t>
  </si>
  <si>
    <t>réfection des façades</t>
  </si>
  <si>
    <t>ERREBA</t>
  </si>
  <si>
    <t>SPIE</t>
  </si>
  <si>
    <t>2019P000T12345</t>
  </si>
  <si>
    <t>BT01</t>
  </si>
  <si>
    <t>RG Tranche Ferme pour le groupement</t>
  </si>
  <si>
    <t>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</si>
</sst>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1">
    <numFmt numFmtId="164" formatCode="_-* #,##0.00\ &quot;€&quot;_-;\-* #,##0.00\ &quot;€&quot;_-;_-* &quot;-&quot;??\ &quot;€&quot;_-;_-@_-"/>
    <numFmt numFmtId="165" formatCode="_-* #,##0.00\ _€_-;\-* #,##0.00\ _€_-;_-* &quot;-&quot;??\ _€_-;_-@_-"/>
    <numFmt numFmtId="166" formatCode="0.0%"/>
    <numFmt numFmtId="167" formatCode="#,##0.00\ &quot;€&quot;"/>
    <numFmt numFmtId="168" formatCode="00,000,000,000,000"/>
    <numFmt numFmtId="169" formatCode="#,##0.00_ ;\-#,##0.00\ "/>
    <numFmt numFmtId="170" formatCode="#,##0.00&quot; F&quot;"/>
    <numFmt numFmtId="171" formatCode="#,##0.00\ [$€-40C];[Red]\-#,##0.00\ [$€-40C]"/>
    <numFmt numFmtId="172" formatCode="#,##0.00&quot; €&quot;"/>
    <numFmt numFmtId="173" formatCode="0.00000"/>
    <numFmt numFmtId="174" formatCode="#,##0.0000"/>
    <numFmt numFmtId="175" formatCode="#,##0.0"/>
    <numFmt numFmtId="176" formatCode="0.000"/>
    <numFmt numFmtId="177" formatCode="_-* #,##0.00&quot; €&quot;_-;\-* #,##0.00&quot; €&quot;_-;_-* \-??&quot; €&quot;_-;_-@_-"/>
    <numFmt numFmtId="178" formatCode="_-* #,##0.0000\ _€_-;\-* #,##0.0000\ _€_-;_-* \-????\ _€_-;_-@_-"/>
    <numFmt numFmtId="179" formatCode="[$-40C]mmmm\-yy;@"/>
    <numFmt numFmtId="180" formatCode="_-* #,##0\ _€_-;\-* #,##0\ _€_-;_-* &quot;-&quot;??\ _€_-;_-@_-"/>
    <numFmt numFmtId="181" formatCode="_-* #,##0.00\ [$€-40C]_-;\-* #,##0.00\ [$€-40C]_-;_-* &quot;-&quot;??\ [$€-40C]_-;_-@_-"/>
    <numFmt numFmtId="182" formatCode="#,##0.00\ _€"/>
    <numFmt numFmtId="183" formatCode="dd/mm/yy;@"/>
    <numFmt numFmtId="184" formatCode="00000"/>
  </numFmts>
  <fonts count="84">
    <font>
      <sz val="11"/>
      <color theme="1"/>
      <name val="Calibri"/>
      <family val="2"/>
      <scheme val="minor"/>
    </font>
    <font>
      <sz val="11"/>
      <color theme="1"/>
      <name val="Calibri"/>
      <family val="2"/>
      <scheme val="minor"/>
    </font>
    <font>
      <sz val="8"/>
      <color theme="1"/>
      <name val="Calibri"/>
      <family val="2"/>
      <scheme val="minor"/>
    </font>
    <font>
      <sz val="10"/>
      <color theme="1"/>
      <name val="Calibri"/>
      <family val="2"/>
      <scheme val="minor"/>
    </font>
    <font>
      <sz val="8"/>
      <color indexed="81"/>
      <name val="Tahoma"/>
      <family val="2"/>
    </font>
    <font>
      <b/>
      <sz val="8"/>
      <color indexed="81"/>
      <name val="Tahoma"/>
      <family val="2"/>
    </font>
    <font>
      <sz val="8"/>
      <color theme="1"/>
      <name val="Liberation Sans"/>
      <family val="2"/>
    </font>
    <font>
      <sz val="8"/>
      <color theme="1"/>
      <name val="Arial"/>
      <family val="2"/>
    </font>
    <font>
      <sz val="14"/>
      <color theme="1"/>
      <name val="Calibri"/>
      <family val="2"/>
      <scheme val="minor"/>
    </font>
    <font>
      <b/>
      <sz val="14"/>
      <color theme="1"/>
      <name val="Calibri"/>
      <family val="2"/>
      <scheme val="minor"/>
    </font>
    <font>
      <sz val="14"/>
      <color theme="1"/>
      <name val="Symbol"/>
      <family val="1"/>
      <charset val="2"/>
    </font>
    <font>
      <i/>
      <sz val="14"/>
      <color theme="1"/>
      <name val="Calibri"/>
      <family val="2"/>
      <scheme val="minor"/>
    </font>
    <font>
      <sz val="10"/>
      <name val="Arial"/>
      <family val="2"/>
    </font>
    <font>
      <b/>
      <sz val="16"/>
      <name val="Verdana"/>
      <family val="2"/>
    </font>
    <font>
      <b/>
      <sz val="14"/>
      <name val="Verdana"/>
      <family val="2"/>
    </font>
    <font>
      <sz val="14"/>
      <name val="Verdana"/>
      <family val="2"/>
    </font>
    <font>
      <sz val="14"/>
      <color rgb="FFFF0000"/>
      <name val="Verdana"/>
      <family val="2"/>
    </font>
    <font>
      <b/>
      <u/>
      <sz val="14"/>
      <name val="Verdana"/>
      <family val="2"/>
    </font>
    <font>
      <b/>
      <sz val="14"/>
      <color rgb="FFFF0000"/>
      <name val="Verdana"/>
      <family val="2"/>
    </font>
    <font>
      <sz val="14"/>
      <color indexed="12"/>
      <name val="Verdana"/>
      <family val="2"/>
    </font>
    <font>
      <sz val="14"/>
      <color rgb="FF00B050"/>
      <name val="Verdana"/>
      <family val="2"/>
    </font>
    <font>
      <b/>
      <sz val="14"/>
      <color rgb="FF00B050"/>
      <name val="Verdana"/>
      <family val="2"/>
    </font>
    <font>
      <b/>
      <sz val="12"/>
      <name val="Verdana"/>
      <family val="2"/>
    </font>
    <font>
      <b/>
      <sz val="14"/>
      <color indexed="12"/>
      <name val="Verdana"/>
      <family val="2"/>
    </font>
    <font>
      <b/>
      <i/>
      <sz val="14"/>
      <name val="Verdana"/>
      <family val="2"/>
    </font>
    <font>
      <b/>
      <i/>
      <sz val="10"/>
      <name val="Arial"/>
      <family val="2"/>
    </font>
    <font>
      <b/>
      <sz val="10"/>
      <name val="Arial"/>
      <family val="2"/>
    </font>
    <font>
      <u/>
      <sz val="10"/>
      <name val="Arial"/>
      <family val="2"/>
    </font>
    <font>
      <b/>
      <sz val="10"/>
      <name val="Helvetica"/>
      <family val="2"/>
    </font>
    <font>
      <b/>
      <sz val="11"/>
      <color rgb="FF0000CC"/>
      <name val="Verdana"/>
      <family val="2"/>
    </font>
    <font>
      <sz val="14"/>
      <color theme="1"/>
      <name val="Verdana"/>
      <family val="2"/>
    </font>
    <font>
      <b/>
      <sz val="16"/>
      <name val="Arial"/>
      <family val="2"/>
    </font>
    <font>
      <sz val="12"/>
      <name val="Arial"/>
      <family val="2"/>
    </font>
    <font>
      <b/>
      <sz val="12"/>
      <name val="Arial"/>
      <family val="2"/>
    </font>
    <font>
      <u/>
      <sz val="14"/>
      <name val="Arial"/>
      <family val="2"/>
    </font>
    <font>
      <sz val="8"/>
      <name val="Arial"/>
      <family val="2"/>
    </font>
    <font>
      <sz val="10"/>
      <color rgb="FFFF0000"/>
      <name val="Arial"/>
      <family val="2"/>
    </font>
    <font>
      <b/>
      <u/>
      <sz val="10"/>
      <name val="Verdana"/>
      <family val="2"/>
    </font>
    <font>
      <sz val="10"/>
      <name val="Verdana"/>
      <family val="2"/>
    </font>
    <font>
      <sz val="10"/>
      <color rgb="FFFF0000"/>
      <name val="Verdana"/>
      <family val="2"/>
    </font>
    <font>
      <b/>
      <sz val="14"/>
      <name val="Arial"/>
      <family val="2"/>
    </font>
    <font>
      <b/>
      <sz val="12"/>
      <color rgb="FFFF0000"/>
      <name val="Arial"/>
      <family val="2"/>
    </font>
    <font>
      <sz val="10"/>
      <color rgb="FF00B050"/>
      <name val="Verdana"/>
      <family val="2"/>
    </font>
    <font>
      <b/>
      <sz val="10"/>
      <color rgb="FFFF0000"/>
      <name val="Arial"/>
      <family val="2"/>
    </font>
    <font>
      <i/>
      <sz val="10"/>
      <name val="Arial"/>
      <family val="2"/>
    </font>
    <font>
      <i/>
      <sz val="10"/>
      <color rgb="FF0000FF"/>
      <name val="Arial"/>
      <family val="2"/>
    </font>
    <font>
      <b/>
      <sz val="12"/>
      <color rgb="FF00B050"/>
      <name val="Arial"/>
      <family val="2"/>
    </font>
    <font>
      <i/>
      <sz val="8"/>
      <name val="Arial"/>
      <family val="2"/>
    </font>
    <font>
      <sz val="11"/>
      <color indexed="81"/>
      <name val="Tahoma"/>
      <family val="2"/>
    </font>
    <font>
      <sz val="12"/>
      <color indexed="81"/>
      <name val="Tahoma"/>
      <family val="2"/>
    </font>
    <font>
      <sz val="14"/>
      <color theme="0"/>
      <name val="Calibri"/>
      <family val="2"/>
      <scheme val="minor"/>
    </font>
    <font>
      <b/>
      <sz val="11"/>
      <color theme="1"/>
      <name val="Calibri"/>
      <family val="2"/>
      <scheme val="minor"/>
    </font>
    <font>
      <u/>
      <sz val="11"/>
      <color theme="10"/>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i/>
      <sz val="14"/>
      <name val="Verdana"/>
      <family val="2"/>
    </font>
    <font>
      <b/>
      <u/>
      <sz val="14"/>
      <color rgb="FFFF0000"/>
      <name val="Verdana"/>
      <family val="2"/>
    </font>
    <font>
      <sz val="48"/>
      <color indexed="81"/>
      <name val="Tahoma"/>
      <family val="2"/>
    </font>
    <font>
      <b/>
      <sz val="48"/>
      <color indexed="81"/>
      <name val="Tahoma"/>
      <family val="2"/>
    </font>
    <font>
      <b/>
      <sz val="14"/>
      <color rgb="FFFF0000"/>
      <name val="Calibri"/>
      <family val="2"/>
      <scheme val="minor"/>
    </font>
    <font>
      <sz val="14"/>
      <color theme="5"/>
      <name val="Calibri"/>
      <family val="2"/>
      <scheme val="minor"/>
    </font>
    <font>
      <sz val="10"/>
      <color theme="0"/>
      <name val="Arial"/>
      <family val="2"/>
    </font>
    <font>
      <sz val="12"/>
      <color theme="0"/>
      <name val="Arial"/>
      <family val="2"/>
    </font>
    <font>
      <b/>
      <sz val="12"/>
      <color theme="0"/>
      <name val="Arial"/>
      <family val="2"/>
    </font>
    <font>
      <b/>
      <sz val="10"/>
      <color theme="0"/>
      <name val="Arial"/>
      <family val="2"/>
    </font>
    <font>
      <b/>
      <sz val="12"/>
      <color theme="5"/>
      <name val="Arial"/>
      <family val="2"/>
    </font>
    <font>
      <b/>
      <sz val="10"/>
      <color theme="5"/>
      <name val="Arial"/>
      <family val="2"/>
    </font>
    <font>
      <sz val="14"/>
      <name val="Calibri"/>
      <family val="2"/>
      <scheme val="minor"/>
    </font>
    <font>
      <sz val="65"/>
      <color theme="1"/>
      <name val="Calibri"/>
      <family val="2"/>
      <scheme val="minor"/>
    </font>
    <font>
      <b/>
      <sz val="65"/>
      <color theme="1"/>
      <name val="Calibri"/>
      <family val="2"/>
      <scheme val="minor"/>
    </font>
    <font>
      <sz val="65"/>
      <name val="Calibri"/>
      <family val="2"/>
      <scheme val="minor"/>
    </font>
    <font>
      <sz val="65"/>
      <color theme="0"/>
      <name val="Calibri"/>
      <family val="2"/>
      <scheme val="minor"/>
    </font>
    <font>
      <sz val="65"/>
      <color theme="0"/>
      <name val="Symbol"/>
      <family val="1"/>
      <charset val="2"/>
    </font>
    <font>
      <sz val="65"/>
      <color theme="5" tint="0.79998168889431442"/>
      <name val="Calibri"/>
      <family val="2"/>
      <scheme val="minor"/>
    </font>
    <font>
      <i/>
      <sz val="65"/>
      <color theme="1"/>
      <name val="Calibri"/>
      <family val="2"/>
      <scheme val="minor"/>
    </font>
    <font>
      <sz val="65"/>
      <color theme="1"/>
      <name val="Symbol"/>
      <family val="1"/>
      <charset val="2"/>
    </font>
    <font>
      <b/>
      <sz val="65"/>
      <color theme="5"/>
      <name val="Calibri"/>
      <family val="2"/>
      <scheme val="minor"/>
    </font>
    <font>
      <sz val="65"/>
      <color theme="1"/>
      <name val="Calibri"/>
      <family val="2"/>
    </font>
    <font>
      <sz val="65"/>
      <color theme="1"/>
      <name val="Arial"/>
      <family val="2"/>
    </font>
    <font>
      <b/>
      <i/>
      <sz val="65"/>
      <color theme="1"/>
      <name val="Calibri"/>
      <family val="2"/>
      <scheme val="minor"/>
    </font>
    <font>
      <b/>
      <sz val="65"/>
      <color theme="0"/>
      <name val="Calibri"/>
      <family val="2"/>
      <scheme val="minor"/>
    </font>
    <font>
      <b/>
      <i/>
      <sz val="65"/>
      <color theme="0"/>
      <name val="Calibri"/>
      <family val="2"/>
      <scheme val="minor"/>
    </font>
    <font>
      <sz val="65"/>
      <color rgb="FFFF0000"/>
      <name val="Calibri"/>
      <family val="2"/>
      <scheme val="minor"/>
    </font>
  </fonts>
  <fills count="24">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2"/>
        <bgColor indexed="64"/>
      </patternFill>
    </fill>
    <fill>
      <patternFill patternType="solid">
        <fgColor indexed="26"/>
        <bgColor indexed="9"/>
      </patternFill>
    </fill>
    <fill>
      <patternFill patternType="solid">
        <fgColor indexed="9"/>
        <bgColor indexed="26"/>
      </patternFill>
    </fill>
    <fill>
      <patternFill patternType="solid">
        <fgColor theme="4" tint="0.39997558519241921"/>
        <bgColor indexed="64"/>
      </patternFill>
    </fill>
    <fill>
      <patternFill patternType="solid">
        <fgColor indexed="31"/>
        <bgColor indexed="42"/>
      </patternFill>
    </fill>
    <fill>
      <patternFill patternType="solid">
        <fgColor theme="9" tint="0.79998168889431442"/>
        <bgColor indexed="64"/>
      </patternFill>
    </fill>
    <fill>
      <patternFill patternType="solid">
        <fgColor theme="7" tint="0.59999389629810485"/>
        <bgColor indexed="64"/>
      </patternFill>
    </fill>
    <fill>
      <patternFill patternType="solid">
        <fgColor rgb="FF92D050"/>
        <bgColor indexed="64"/>
      </patternFill>
    </fill>
    <fill>
      <patternFill patternType="solid">
        <fgColor theme="5" tint="0.79998168889431442"/>
        <bgColor indexed="9"/>
      </patternFill>
    </fill>
    <fill>
      <patternFill patternType="solid">
        <fgColor rgb="FFFFFF00"/>
        <bgColor indexed="64"/>
      </patternFill>
    </fill>
    <fill>
      <patternFill patternType="solid">
        <fgColor theme="5" tint="0.39997558519241921"/>
        <bgColor indexed="64"/>
      </patternFill>
    </fill>
    <fill>
      <patternFill patternType="solid">
        <fgColor theme="4"/>
        <bgColor theme="4"/>
      </patternFill>
    </fill>
    <fill>
      <patternFill patternType="solid">
        <fgColor theme="5"/>
        <bgColor indexed="64"/>
      </patternFill>
    </fill>
    <fill>
      <patternFill patternType="solid">
        <fgColor indexed="9"/>
        <bgColor indexed="64"/>
      </patternFill>
    </fill>
    <fill>
      <patternFill patternType="solid">
        <fgColor theme="5"/>
        <bgColor theme="5"/>
      </patternFill>
    </fill>
    <fill>
      <patternFill patternType="solid">
        <fgColor theme="0"/>
        <bgColor theme="5"/>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rgb="FF000000"/>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medium">
        <color indexed="8"/>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thin">
        <color indexed="8"/>
      </top>
      <bottom style="thin">
        <color indexed="8"/>
      </bottom>
      <diagonal/>
    </border>
    <border>
      <left/>
      <right style="medium">
        <color indexed="8"/>
      </right>
      <top/>
      <bottom style="thin">
        <color indexed="8"/>
      </bottom>
      <diagonal/>
    </border>
    <border>
      <left style="medium">
        <color indexed="8"/>
      </left>
      <right/>
      <top style="medium">
        <color indexed="8"/>
      </top>
      <bottom/>
      <diagonal/>
    </border>
    <border>
      <left/>
      <right/>
      <top style="medium">
        <color indexed="8"/>
      </top>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ck">
        <color indexed="8"/>
      </left>
      <right style="thick">
        <color indexed="8"/>
      </right>
      <top style="thick">
        <color indexed="8"/>
      </top>
      <bottom style="thick">
        <color indexed="8"/>
      </bottom>
      <diagonal/>
    </border>
    <border>
      <left/>
      <right/>
      <top style="thin">
        <color indexed="8"/>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style="double">
        <color indexed="64"/>
      </right>
      <top/>
      <bottom/>
      <diagonal/>
    </border>
    <border>
      <left style="double">
        <color indexed="64"/>
      </left>
      <right/>
      <top/>
      <bottom/>
      <diagonal/>
    </border>
    <border>
      <left style="thin">
        <color rgb="FFFF0000"/>
      </left>
      <right style="thin">
        <color rgb="FFFF0000"/>
      </right>
      <top style="thin">
        <color rgb="FFFF0000"/>
      </top>
      <bottom style="thin">
        <color rgb="FFFF0000"/>
      </bottom>
      <diagonal/>
    </border>
    <border>
      <left style="double">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double">
        <color indexed="64"/>
      </right>
      <top/>
      <bottom style="double">
        <color indexed="64"/>
      </bottom>
      <diagonal/>
    </border>
    <border>
      <left/>
      <right style="double">
        <color indexed="64"/>
      </right>
      <top style="thin">
        <color indexed="64"/>
      </top>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medium">
        <color indexed="8"/>
      </left>
      <right style="medium">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style="thin">
        <color indexed="8"/>
      </bottom>
      <diagonal/>
    </border>
    <border>
      <left style="medium">
        <color indexed="8"/>
      </left>
      <right/>
      <top/>
      <bottom style="thin">
        <color indexed="8"/>
      </bottom>
      <diagonal/>
    </border>
    <border>
      <left style="medium">
        <color indexed="64"/>
      </left>
      <right style="medium">
        <color indexed="64"/>
      </right>
      <top style="medium">
        <color indexed="64"/>
      </top>
      <bottom style="medium">
        <color indexed="64"/>
      </bottom>
      <diagonal/>
    </border>
    <border>
      <left/>
      <right style="medium">
        <color indexed="8"/>
      </right>
      <top style="medium">
        <color indexed="8"/>
      </top>
      <bottom/>
      <diagonal/>
    </border>
    <border>
      <left style="hair">
        <color indexed="64"/>
      </left>
      <right/>
      <top/>
      <bottom/>
      <diagonal/>
    </border>
    <border>
      <left style="hair">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theme="4"/>
      </left>
      <right/>
      <top style="thin">
        <color theme="4"/>
      </top>
      <bottom/>
      <diagonal/>
    </border>
    <border>
      <left style="thin">
        <color theme="5"/>
      </left>
      <right/>
      <top style="thin">
        <color theme="5"/>
      </top>
      <bottom/>
      <diagonal/>
    </border>
    <border>
      <left style="thin">
        <color indexed="64"/>
      </left>
      <right/>
      <top style="thin">
        <color theme="5"/>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right style="medium">
        <color indexed="64"/>
      </right>
      <top style="thin">
        <color theme="5"/>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theme="4"/>
      </bottom>
      <diagonal/>
    </border>
    <border>
      <left/>
      <right/>
      <top style="thin">
        <color theme="4"/>
      </top>
      <bottom/>
      <diagonal/>
    </border>
    <border>
      <left/>
      <right/>
      <top style="thin">
        <color theme="5"/>
      </top>
      <bottom/>
      <diagonal/>
    </border>
    <border>
      <left style="thin">
        <color theme="5"/>
      </left>
      <right/>
      <top style="thin">
        <color theme="5"/>
      </top>
      <bottom style="thin">
        <color theme="5"/>
      </bottom>
      <diagonal/>
    </border>
    <border>
      <left/>
      <right/>
      <top style="thin">
        <color theme="5"/>
      </top>
      <bottom style="thin">
        <color theme="5"/>
      </bottom>
      <diagonal/>
    </border>
    <border>
      <left style="thin">
        <color indexed="8"/>
      </left>
      <right/>
      <top style="thin">
        <color indexed="8"/>
      </top>
      <bottom/>
      <diagonal/>
    </border>
    <border>
      <left style="thin">
        <color indexed="8"/>
      </left>
      <right/>
      <top style="thin">
        <color indexed="64"/>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medium">
        <color indexed="8"/>
      </right>
      <top/>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thin">
        <color theme="4"/>
      </left>
      <right/>
      <top/>
      <bottom/>
      <diagonal/>
    </border>
    <border>
      <left style="thin">
        <color indexed="64"/>
      </left>
      <right style="double">
        <color indexed="64"/>
      </right>
      <top style="thin">
        <color indexed="64"/>
      </top>
      <bottom style="thin">
        <color indexed="64"/>
      </bottom>
      <diagonal/>
    </border>
    <border>
      <left style="thin">
        <color indexed="64"/>
      </left>
      <right/>
      <top style="medium">
        <color indexed="64"/>
      </top>
      <bottom style="thin">
        <color theme="5"/>
      </bottom>
      <diagonal/>
    </border>
    <border>
      <left/>
      <right style="thin">
        <color theme="5"/>
      </right>
      <top style="medium">
        <color indexed="64"/>
      </top>
      <bottom style="thin">
        <color theme="5"/>
      </bottom>
      <diagonal/>
    </border>
    <border>
      <left style="medium">
        <color indexed="64"/>
      </left>
      <right/>
      <top style="medium">
        <color indexed="64"/>
      </top>
      <bottom style="thin">
        <color theme="5"/>
      </bottom>
      <diagonal/>
    </border>
  </borders>
  <cellStyleXfs count="8">
    <xf numFmtId="0" fontId="0" fillId="0" borderId="0"/>
    <xf numFmtId="164" fontId="1" fillId="0" borderId="0" applyFont="0" applyFill="0" applyBorder="0" applyAlignment="0" applyProtection="0"/>
    <xf numFmtId="9" fontId="1" fillId="0" borderId="0" applyFont="0" applyFill="0" applyBorder="0" applyAlignment="0" applyProtection="0"/>
    <xf numFmtId="0" fontId="12" fillId="0" borderId="0"/>
    <xf numFmtId="164" fontId="12" fillId="0" borderId="0" applyFont="0" applyFill="0" applyBorder="0" applyAlignment="0" applyProtection="0"/>
    <xf numFmtId="9" fontId="12" fillId="0" borderId="0" applyFont="0" applyFill="0" applyBorder="0" applyAlignment="0" applyProtection="0"/>
    <xf numFmtId="165" fontId="1" fillId="0" borderId="0" applyFont="0" applyFill="0" applyBorder="0" applyAlignment="0" applyProtection="0"/>
    <xf numFmtId="0" fontId="52" fillId="0" borderId="0" applyNumberFormat="0" applyFill="0" applyBorder="0" applyAlignment="0" applyProtection="0"/>
  </cellStyleXfs>
  <cellXfs count="902">
    <xf numFmtId="0" fontId="0" fillId="0" borderId="0" xfId="0"/>
    <xf numFmtId="0" fontId="3" fillId="0" borderId="0" xfId="0" applyFont="1"/>
    <xf numFmtId="166" fontId="3" fillId="0" borderId="0" xfId="2" applyNumberFormat="1" applyFont="1"/>
    <xf numFmtId="0" fontId="6" fillId="0" borderId="0" xfId="0" applyFont="1" applyAlignment="1">
      <alignment horizontal="center" vertical="center" wrapText="1"/>
    </xf>
    <xf numFmtId="0" fontId="2" fillId="0" borderId="0" xfId="0" applyFont="1"/>
    <xf numFmtId="0" fontId="6" fillId="0" borderId="0" xfId="0" applyFont="1" applyAlignment="1">
      <alignment horizontal="left" vertical="center" wrapText="1"/>
    </xf>
    <xf numFmtId="0" fontId="6" fillId="0" borderId="8" xfId="0" applyFont="1" applyBorder="1" applyAlignment="1">
      <alignment horizontal="left" vertical="center" wrapText="1"/>
    </xf>
    <xf numFmtId="0" fontId="7" fillId="0" borderId="0" xfId="0" applyFont="1" applyAlignment="1">
      <alignment horizontal="left" vertical="center" wrapText="1"/>
    </xf>
    <xf numFmtId="0" fontId="3" fillId="0" borderId="0" xfId="0" applyFont="1" applyAlignment="1">
      <alignment horizontal="right"/>
    </xf>
    <xf numFmtId="0" fontId="8" fillId="0" borderId="0" xfId="0" applyFont="1"/>
    <xf numFmtId="0" fontId="8" fillId="0" borderId="1" xfId="0" applyFont="1" applyBorder="1"/>
    <xf numFmtId="0" fontId="8" fillId="0" borderId="1" xfId="0" applyFont="1" applyBorder="1" applyAlignment="1">
      <alignment horizontal="center"/>
    </xf>
    <xf numFmtId="166" fontId="8" fillId="2" borderId="1" xfId="2" applyNumberFormat="1" applyFont="1" applyFill="1" applyBorder="1" applyAlignment="1">
      <alignment horizontal="center" vertical="center"/>
    </xf>
    <xf numFmtId="0" fontId="10" fillId="0" borderId="1" xfId="0" applyFont="1" applyBorder="1" applyAlignment="1">
      <alignment horizontal="center" vertical="center"/>
    </xf>
    <xf numFmtId="164" fontId="8" fillId="6" borderId="1" xfId="0" applyNumberFormat="1" applyFont="1" applyFill="1" applyBorder="1" applyAlignment="1">
      <alignment horizontal="right" vertical="center"/>
    </xf>
    <xf numFmtId="0" fontId="9" fillId="0" borderId="1" xfId="0" applyFont="1" applyBorder="1" applyAlignment="1">
      <alignment horizontal="right"/>
    </xf>
    <xf numFmtId="164" fontId="8" fillId="6" borderId="1" xfId="1" applyFont="1" applyFill="1" applyBorder="1" applyAlignment="1">
      <alignment horizontal="right" vertical="center"/>
    </xf>
    <xf numFmtId="0" fontId="8" fillId="0" borderId="0" xfId="0" applyFont="1" applyBorder="1" applyAlignment="1">
      <alignment horizontal="center"/>
    </xf>
    <xf numFmtId="164" fontId="8" fillId="6" borderId="1" xfId="0" applyNumberFormat="1" applyFont="1" applyFill="1" applyBorder="1"/>
    <xf numFmtId="0" fontId="8" fillId="0" borderId="1" xfId="0" applyFont="1" applyFill="1" applyBorder="1"/>
    <xf numFmtId="0" fontId="8" fillId="6" borderId="1" xfId="0" applyFont="1" applyFill="1" applyBorder="1" applyAlignment="1">
      <alignment horizontal="center"/>
    </xf>
    <xf numFmtId="0" fontId="8" fillId="6" borderId="4" xfId="0" applyFont="1" applyFill="1" applyBorder="1" applyAlignment="1">
      <alignment horizontal="center" vertical="center"/>
    </xf>
    <xf numFmtId="164" fontId="8" fillId="4" borderId="0" xfId="1" applyFont="1" applyFill="1" applyBorder="1" applyAlignment="1">
      <alignment horizontal="right" vertical="center"/>
    </xf>
    <xf numFmtId="0" fontId="8" fillId="6" borderId="1" xfId="0" applyFont="1" applyFill="1" applyBorder="1"/>
    <xf numFmtId="0" fontId="14" fillId="0" borderId="0" xfId="3" applyFont="1" applyAlignment="1">
      <alignment horizontal="center" vertical="center"/>
    </xf>
    <xf numFmtId="0" fontId="15" fillId="0" borderId="0" xfId="3" applyFont="1" applyAlignment="1">
      <alignment vertical="center"/>
    </xf>
    <xf numFmtId="4" fontId="15" fillId="0" borderId="0" xfId="3" applyNumberFormat="1" applyFont="1" applyAlignment="1">
      <alignment horizontal="center" vertical="center"/>
    </xf>
    <xf numFmtId="0" fontId="15" fillId="0" borderId="0" xfId="3" applyFont="1" applyAlignment="1">
      <alignment horizontal="center" vertical="center"/>
    </xf>
    <xf numFmtId="0" fontId="14" fillId="0" borderId="17" xfId="3" applyFont="1" applyBorder="1" applyAlignment="1">
      <alignment horizontal="left" vertical="center" indent="1"/>
    </xf>
    <xf numFmtId="168" fontId="16" fillId="0" borderId="18" xfId="3" applyNumberFormat="1" applyFont="1" applyBorder="1" applyAlignment="1">
      <alignment horizontal="left" vertical="center" indent="1"/>
    </xf>
    <xf numFmtId="4" fontId="15" fillId="0" borderId="18" xfId="3" applyNumberFormat="1" applyFont="1" applyBorder="1" applyAlignment="1">
      <alignment horizontal="center" vertical="center"/>
    </xf>
    <xf numFmtId="0" fontId="15" fillId="0" borderId="19" xfId="3" applyFont="1" applyBorder="1" applyAlignment="1">
      <alignment horizontal="center" vertical="center"/>
    </xf>
    <xf numFmtId="0" fontId="14" fillId="0" borderId="0" xfId="3" applyFont="1" applyBorder="1" applyAlignment="1">
      <alignment horizontal="center" vertical="center"/>
    </xf>
    <xf numFmtId="0" fontId="15" fillId="0" borderId="0" xfId="3" applyFont="1" applyBorder="1" applyAlignment="1">
      <alignment vertical="center"/>
    </xf>
    <xf numFmtId="4" fontId="15" fillId="0" borderId="0" xfId="3" applyNumberFormat="1" applyFont="1" applyBorder="1" applyAlignment="1">
      <alignment horizontal="center" vertical="center"/>
    </xf>
    <xf numFmtId="0" fontId="15" fillId="0" borderId="0" xfId="3" applyFont="1" applyBorder="1" applyAlignment="1">
      <alignment horizontal="center" vertical="center"/>
    </xf>
    <xf numFmtId="0" fontId="15" fillId="0" borderId="20" xfId="3" applyFont="1" applyBorder="1" applyAlignment="1">
      <alignment horizontal="left" vertical="center" indent="1"/>
    </xf>
    <xf numFmtId="0" fontId="15" fillId="0" borderId="21" xfId="3" applyFont="1" applyBorder="1" applyAlignment="1">
      <alignment horizontal="left" vertical="center" indent="1"/>
    </xf>
    <xf numFmtId="4" fontId="15" fillId="3" borderId="1" xfId="3" applyNumberFormat="1" applyFont="1" applyFill="1" applyBorder="1" applyAlignment="1">
      <alignment horizontal="center" vertical="center"/>
    </xf>
    <xf numFmtId="0" fontId="15" fillId="0" borderId="1" xfId="3" applyFont="1" applyBorder="1" applyAlignment="1">
      <alignment horizontal="center" vertical="center"/>
    </xf>
    <xf numFmtId="0" fontId="18" fillId="0" borderId="0" xfId="3" applyFont="1" applyBorder="1" applyAlignment="1">
      <alignment vertical="center"/>
    </xf>
    <xf numFmtId="0" fontId="15" fillId="0" borderId="22" xfId="3" applyFont="1" applyBorder="1" applyAlignment="1">
      <alignment horizontal="left" vertical="center" indent="1"/>
    </xf>
    <xf numFmtId="0" fontId="15" fillId="0" borderId="0" xfId="3" applyFont="1" applyBorder="1" applyAlignment="1">
      <alignment horizontal="left" vertical="center" indent="1"/>
    </xf>
    <xf numFmtId="4" fontId="15" fillId="3" borderId="1" xfId="3" applyNumberFormat="1" applyFont="1" applyFill="1" applyBorder="1" applyAlignment="1">
      <alignment horizontal="right" vertical="center" indent="1"/>
    </xf>
    <xf numFmtId="4" fontId="15" fillId="0" borderId="1" xfId="3" applyNumberFormat="1" applyFont="1" applyBorder="1" applyAlignment="1">
      <alignment horizontal="center" vertical="center"/>
    </xf>
    <xf numFmtId="9" fontId="15" fillId="3" borderId="1" xfId="3" applyNumberFormat="1" applyFont="1" applyFill="1" applyBorder="1" applyAlignment="1">
      <alignment horizontal="left" vertical="center"/>
    </xf>
    <xf numFmtId="9" fontId="23" fillId="0" borderId="0" xfId="3" applyNumberFormat="1" applyFont="1" applyBorder="1" applyAlignment="1">
      <alignment horizontal="left" vertical="center" indent="1"/>
    </xf>
    <xf numFmtId="0" fontId="24" fillId="0" borderId="22" xfId="3" applyFont="1" applyBorder="1" applyAlignment="1">
      <alignment horizontal="left" vertical="center" indent="1"/>
    </xf>
    <xf numFmtId="0" fontId="24" fillId="0" borderId="0" xfId="3" applyFont="1" applyBorder="1" applyAlignment="1">
      <alignment horizontal="left" vertical="center" indent="1"/>
    </xf>
    <xf numFmtId="0" fontId="24" fillId="0" borderId="23" xfId="3" applyFont="1" applyBorder="1" applyAlignment="1">
      <alignment horizontal="left" vertical="center" indent="1"/>
    </xf>
    <xf numFmtId="10" fontId="15" fillId="0" borderId="1" xfId="3" applyNumberFormat="1" applyFont="1" applyBorder="1" applyAlignment="1">
      <alignment horizontal="center" vertical="center"/>
    </xf>
    <xf numFmtId="0" fontId="15" fillId="0" borderId="20" xfId="3" applyFont="1" applyBorder="1" applyAlignment="1">
      <alignment vertical="center"/>
    </xf>
    <xf numFmtId="0" fontId="15" fillId="0" borderId="21" xfId="3" applyFont="1" applyBorder="1" applyAlignment="1">
      <alignment vertical="center"/>
    </xf>
    <xf numFmtId="4" fontId="15" fillId="0" borderId="21" xfId="3" applyNumberFormat="1" applyFont="1" applyBorder="1" applyAlignment="1">
      <alignment horizontal="center" vertical="center"/>
    </xf>
    <xf numFmtId="0" fontId="15" fillId="0" borderId="25" xfId="3" applyFont="1" applyBorder="1" applyAlignment="1">
      <alignment horizontal="center" vertical="center"/>
    </xf>
    <xf numFmtId="0" fontId="17" fillId="0" borderId="0" xfId="3" applyFont="1" applyBorder="1" applyAlignment="1">
      <alignment horizontal="center" vertical="center" wrapText="1"/>
    </xf>
    <xf numFmtId="0" fontId="15" fillId="0" borderId="26" xfId="3" applyFont="1" applyBorder="1" applyAlignment="1">
      <alignment horizontal="center" vertical="center"/>
    </xf>
    <xf numFmtId="0" fontId="15" fillId="0" borderId="22" xfId="3" applyFont="1" applyBorder="1" applyAlignment="1">
      <alignment vertical="center"/>
    </xf>
    <xf numFmtId="4" fontId="14" fillId="0" borderId="0" xfId="3" applyNumberFormat="1" applyFont="1" applyBorder="1" applyAlignment="1">
      <alignment horizontal="left" indent="1"/>
    </xf>
    <xf numFmtId="4" fontId="20" fillId="0" borderId="0" xfId="3" applyNumberFormat="1" applyFont="1" applyBorder="1" applyAlignment="1">
      <alignment vertical="center"/>
    </xf>
    <xf numFmtId="0" fontId="14" fillId="0" borderId="0" xfId="3" applyFont="1" applyAlignment="1">
      <alignment horizontal="left" indent="3"/>
    </xf>
    <xf numFmtId="0" fontId="15" fillId="0" borderId="0" xfId="3" applyFont="1" applyBorder="1" applyAlignment="1">
      <alignment horizontal="left" vertical="center"/>
    </xf>
    <xf numFmtId="4" fontId="14" fillId="0" borderId="0" xfId="3" applyNumberFormat="1" applyFont="1" applyBorder="1" applyAlignment="1">
      <alignment horizontal="left" vertical="center" indent="1"/>
    </xf>
    <xf numFmtId="0" fontId="15" fillId="0" borderId="0" xfId="3" applyFont="1" applyBorder="1" applyAlignment="1">
      <alignment horizontal="right" vertical="center" indent="1"/>
    </xf>
    <xf numFmtId="0" fontId="15" fillId="0" borderId="22" xfId="3" applyFont="1" applyBorder="1" applyAlignment="1">
      <alignment horizontal="right" vertical="center"/>
    </xf>
    <xf numFmtId="0" fontId="14" fillId="0" borderId="0" xfId="3" applyFont="1" applyBorder="1" applyAlignment="1">
      <alignment horizontal="right" vertical="center" indent="1"/>
    </xf>
    <xf numFmtId="0" fontId="15" fillId="0" borderId="23" xfId="3" applyFont="1" applyBorder="1" applyAlignment="1">
      <alignment horizontal="right" vertical="center"/>
    </xf>
    <xf numFmtId="0" fontId="14" fillId="0" borderId="24" xfId="3" applyFont="1" applyBorder="1" applyAlignment="1">
      <alignment horizontal="right" vertical="center"/>
    </xf>
    <xf numFmtId="4" fontId="15" fillId="0" borderId="0" xfId="3" applyNumberFormat="1" applyFont="1" applyAlignment="1">
      <alignment vertical="center"/>
    </xf>
    <xf numFmtId="4" fontId="14" fillId="0" borderId="0" xfId="3" applyNumberFormat="1" applyFont="1" applyBorder="1" applyAlignment="1">
      <alignment vertical="center"/>
    </xf>
    <xf numFmtId="0" fontId="8" fillId="0" borderId="1" xfId="0" applyFont="1" applyBorder="1" applyAlignment="1">
      <alignment horizontal="center"/>
    </xf>
    <xf numFmtId="164" fontId="8" fillId="4" borderId="0" xfId="1" applyFont="1" applyFill="1" applyBorder="1"/>
    <xf numFmtId="164" fontId="8" fillId="6" borderId="12" xfId="1" applyFont="1" applyFill="1" applyBorder="1"/>
    <xf numFmtId="0" fontId="8" fillId="8" borderId="27" xfId="0" applyFont="1" applyFill="1" applyBorder="1"/>
    <xf numFmtId="0" fontId="8" fillId="8" borderId="28" xfId="0" applyFont="1" applyFill="1" applyBorder="1"/>
    <xf numFmtId="0" fontId="8" fillId="8" borderId="29" xfId="0" applyFont="1" applyFill="1" applyBorder="1"/>
    <xf numFmtId="0" fontId="12" fillId="0" borderId="0" xfId="3"/>
    <xf numFmtId="170" fontId="12" fillId="0" borderId="0" xfId="3" applyNumberFormat="1"/>
    <xf numFmtId="0" fontId="27" fillId="0" borderId="0" xfId="3" applyFont="1" applyAlignment="1">
      <alignment horizontal="center"/>
    </xf>
    <xf numFmtId="0" fontId="12" fillId="0" borderId="0" xfId="3" applyAlignment="1">
      <alignment horizontal="center"/>
    </xf>
    <xf numFmtId="170" fontId="12" fillId="0" borderId="0" xfId="3" applyNumberFormat="1" applyAlignment="1">
      <alignment horizontal="center"/>
    </xf>
    <xf numFmtId="0" fontId="28" fillId="9" borderId="31" xfId="3" applyFont="1" applyFill="1" applyBorder="1" applyAlignment="1">
      <alignment horizontal="center" vertical="center" wrapText="1"/>
    </xf>
    <xf numFmtId="0" fontId="12" fillId="0" borderId="32" xfId="3" applyBorder="1" applyAlignment="1">
      <alignment horizontal="center" vertical="center"/>
    </xf>
    <xf numFmtId="2" fontId="12" fillId="0" borderId="32" xfId="3" applyNumberFormat="1" applyBorder="1" applyAlignment="1">
      <alignment horizontal="center" vertical="center"/>
    </xf>
    <xf numFmtId="173" fontId="12" fillId="0" borderId="32" xfId="3" applyNumberFormat="1" applyBorder="1" applyAlignment="1">
      <alignment horizontal="center" vertical="center"/>
    </xf>
    <xf numFmtId="174" fontId="12" fillId="0" borderId="33" xfId="3" applyNumberFormat="1" applyBorder="1" applyAlignment="1">
      <alignment horizontal="center" vertical="center"/>
    </xf>
    <xf numFmtId="4" fontId="12" fillId="0" borderId="33" xfId="3" applyNumberFormat="1" applyBorder="1" applyAlignment="1">
      <alignment horizontal="center" vertical="center"/>
    </xf>
    <xf numFmtId="0" fontId="12" fillId="0" borderId="32" xfId="3" applyFill="1" applyBorder="1" applyAlignment="1">
      <alignment horizontal="center" vertical="center"/>
    </xf>
    <xf numFmtId="0" fontId="26" fillId="10" borderId="30" xfId="3" applyFont="1" applyFill="1" applyBorder="1" applyAlignment="1">
      <alignment horizontal="center" vertical="center"/>
    </xf>
    <xf numFmtId="171" fontId="26" fillId="10" borderId="30" xfId="3" applyNumberFormat="1" applyFont="1" applyFill="1" applyBorder="1" applyAlignment="1">
      <alignment horizontal="center" vertical="center"/>
    </xf>
    <xf numFmtId="172" fontId="26" fillId="10" borderId="31" xfId="3" applyNumberFormat="1" applyFont="1" applyFill="1" applyBorder="1" applyAlignment="1">
      <alignment vertical="center"/>
    </xf>
    <xf numFmtId="170" fontId="26" fillId="10" borderId="34" xfId="3" applyNumberFormat="1" applyFont="1" applyFill="1" applyBorder="1" applyAlignment="1">
      <alignment vertical="center"/>
    </xf>
    <xf numFmtId="170" fontId="26" fillId="10" borderId="35" xfId="3" applyNumberFormat="1" applyFont="1" applyFill="1" applyBorder="1" applyAlignment="1">
      <alignment horizontal="center" vertical="center"/>
    </xf>
    <xf numFmtId="172" fontId="26" fillId="10" borderId="35" xfId="3" applyNumberFormat="1" applyFont="1" applyFill="1" applyBorder="1" applyAlignment="1">
      <alignment vertical="center"/>
    </xf>
    <xf numFmtId="0" fontId="26" fillId="0" borderId="0" xfId="3" applyFont="1"/>
    <xf numFmtId="0" fontId="26" fillId="0" borderId="31" xfId="3" applyFont="1" applyBorder="1" applyAlignment="1">
      <alignment horizontal="center"/>
    </xf>
    <xf numFmtId="171" fontId="12" fillId="0" borderId="31" xfId="3" applyNumberFormat="1" applyFont="1" applyBorder="1" applyAlignment="1">
      <alignment horizontal="center"/>
    </xf>
    <xf numFmtId="172" fontId="12" fillId="0" borderId="31" xfId="3" applyNumberFormat="1" applyBorder="1"/>
    <xf numFmtId="170" fontId="12" fillId="0" borderId="0" xfId="3" applyNumberFormat="1" applyBorder="1" applyAlignment="1">
      <alignment horizontal="center"/>
    </xf>
    <xf numFmtId="172" fontId="12" fillId="0" borderId="0" xfId="3" applyNumberFormat="1" applyBorder="1"/>
    <xf numFmtId="171" fontId="26" fillId="0" borderId="31" xfId="3" applyNumberFormat="1" applyFont="1" applyBorder="1" applyAlignment="1">
      <alignment horizontal="center"/>
    </xf>
    <xf numFmtId="172" fontId="26" fillId="0" borderId="31" xfId="3" applyNumberFormat="1" applyFont="1" applyBorder="1"/>
    <xf numFmtId="0" fontId="12" fillId="0" borderId="0" xfId="3" applyBorder="1" applyAlignment="1">
      <alignment horizontal="center"/>
    </xf>
    <xf numFmtId="0" fontId="12" fillId="0" borderId="0" xfId="3" applyFont="1" applyAlignment="1">
      <alignment horizontal="left"/>
    </xf>
    <xf numFmtId="0" fontId="12" fillId="0" borderId="0" xfId="3" applyFont="1" applyBorder="1" applyAlignment="1">
      <alignment horizontal="left"/>
    </xf>
    <xf numFmtId="170" fontId="12" fillId="0" borderId="0" xfId="3" applyNumberFormat="1" applyBorder="1"/>
    <xf numFmtId="17" fontId="12" fillId="0" borderId="0" xfId="3" applyNumberFormat="1" applyFont="1" applyFill="1" applyBorder="1" applyAlignment="1">
      <alignment horizontal="left"/>
    </xf>
    <xf numFmtId="17" fontId="12" fillId="0" borderId="0" xfId="3" applyNumberFormat="1" applyFill="1" applyBorder="1" applyAlignment="1">
      <alignment horizontal="center"/>
    </xf>
    <xf numFmtId="17" fontId="12" fillId="0" borderId="0" xfId="3" applyNumberFormat="1" applyFill="1" applyBorder="1" applyAlignment="1">
      <alignment horizontal="left"/>
    </xf>
    <xf numFmtId="175" fontId="12" fillId="0" borderId="0" xfId="3" applyNumberFormat="1" applyFill="1" applyBorder="1" applyAlignment="1">
      <alignment horizontal="center"/>
    </xf>
    <xf numFmtId="176" fontId="12" fillId="0" borderId="0" xfId="3" applyNumberFormat="1" applyBorder="1" applyAlignment="1">
      <alignment horizontal="center" vertical="center"/>
    </xf>
    <xf numFmtId="0" fontId="12" fillId="0" borderId="0" xfId="3" applyAlignment="1">
      <alignment horizontal="left"/>
    </xf>
    <xf numFmtId="164" fontId="8" fillId="6" borderId="4" xfId="0" applyNumberFormat="1" applyFont="1" applyFill="1" applyBorder="1"/>
    <xf numFmtId="0" fontId="8" fillId="4" borderId="12" xfId="0" applyFont="1" applyFill="1" applyBorder="1" applyAlignment="1">
      <alignment horizontal="center"/>
    </xf>
    <xf numFmtId="0" fontId="8" fillId="6" borderId="37" xfId="0" applyFont="1" applyFill="1" applyBorder="1" applyAlignment="1">
      <alignment horizontal="center" vertical="center"/>
    </xf>
    <xf numFmtId="0" fontId="8" fillId="6" borderId="38" xfId="0" applyFont="1" applyFill="1" applyBorder="1" applyAlignment="1">
      <alignment horizontal="center" vertical="center"/>
    </xf>
    <xf numFmtId="166" fontId="8" fillId="6" borderId="39" xfId="0" applyNumberFormat="1" applyFont="1" applyFill="1" applyBorder="1" applyAlignment="1">
      <alignment horizontal="center" vertical="center"/>
    </xf>
    <xf numFmtId="164" fontId="8" fillId="6" borderId="40" xfId="0" applyNumberFormat="1" applyFont="1" applyFill="1" applyBorder="1"/>
    <xf numFmtId="164" fontId="8" fillId="6" borderId="41" xfId="0" applyNumberFormat="1" applyFont="1" applyFill="1" applyBorder="1"/>
    <xf numFmtId="0" fontId="9" fillId="0" borderId="0" xfId="0" applyFont="1" applyAlignment="1"/>
    <xf numFmtId="0" fontId="8" fillId="6" borderId="3" xfId="0" applyFont="1" applyFill="1" applyBorder="1"/>
    <xf numFmtId="0" fontId="0" fillId="4" borderId="0" xfId="0" applyFill="1"/>
    <xf numFmtId="0" fontId="24" fillId="0" borderId="0" xfId="3" applyFont="1" applyBorder="1" applyAlignment="1">
      <alignment horizontal="right" indent="1"/>
    </xf>
    <xf numFmtId="0" fontId="24" fillId="0" borderId="24" xfId="3" applyFont="1" applyBorder="1" applyAlignment="1">
      <alignment horizontal="right" inden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4" borderId="0" xfId="0" applyFont="1" applyFill="1" applyBorder="1" applyAlignment="1">
      <alignment horizontal="right"/>
    </xf>
    <xf numFmtId="0" fontId="9" fillId="2" borderId="0" xfId="0" applyFont="1" applyFill="1" applyBorder="1" applyAlignment="1">
      <alignment horizontal="center" vertical="center"/>
    </xf>
    <xf numFmtId="0" fontId="11" fillId="0" borderId="12" xfId="0" applyFont="1" applyBorder="1" applyAlignment="1">
      <alignment horizontal="center" vertical="center"/>
    </xf>
    <xf numFmtId="0" fontId="11" fillId="0" borderId="2" xfId="0" applyFont="1" applyBorder="1" applyAlignment="1">
      <alignment horizontal="center" vertical="center"/>
    </xf>
    <xf numFmtId="0" fontId="8" fillId="6" borderId="12" xfId="0" applyFont="1" applyFill="1" applyBorder="1" applyAlignment="1">
      <alignment horizontal="center"/>
    </xf>
    <xf numFmtId="0" fontId="8" fillId="4" borderId="6" xfId="0" applyFont="1" applyFill="1" applyBorder="1" applyAlignment="1">
      <alignment horizontal="center"/>
    </xf>
    <xf numFmtId="0" fontId="9" fillId="6" borderId="1" xfId="0" applyFont="1" applyFill="1" applyBorder="1" applyAlignment="1">
      <alignment horizontal="center" vertical="center"/>
    </xf>
    <xf numFmtId="10" fontId="15" fillId="0" borderId="11" xfId="3" applyNumberFormat="1" applyFont="1" applyBorder="1" applyAlignment="1">
      <alignment vertical="center"/>
    </xf>
    <xf numFmtId="0" fontId="9" fillId="0" borderId="1" xfId="0" applyFont="1" applyBorder="1" applyAlignment="1"/>
    <xf numFmtId="0" fontId="32" fillId="0" borderId="0" xfId="3" applyFont="1"/>
    <xf numFmtId="0" fontId="33" fillId="0" borderId="0" xfId="3" applyFont="1" applyAlignment="1">
      <alignment vertical="center"/>
    </xf>
    <xf numFmtId="0" fontId="32" fillId="0" borderId="0" xfId="3" applyFont="1" applyAlignment="1">
      <alignment vertical="center"/>
    </xf>
    <xf numFmtId="0" fontId="12" fillId="0" borderId="0" xfId="3" applyAlignment="1">
      <alignment vertical="center"/>
    </xf>
    <xf numFmtId="0" fontId="34" fillId="0" borderId="0" xfId="3" applyFont="1" applyAlignment="1">
      <alignment vertical="center"/>
    </xf>
    <xf numFmtId="0" fontId="32" fillId="0" borderId="0" xfId="3" applyFont="1" applyAlignment="1">
      <alignment horizontal="center" vertical="center"/>
    </xf>
    <xf numFmtId="0" fontId="9" fillId="6" borderId="1" xfId="0" applyFont="1" applyFill="1" applyBorder="1" applyAlignment="1">
      <alignment horizontal="center" wrapText="1"/>
    </xf>
    <xf numFmtId="10" fontId="15" fillId="0" borderId="1" xfId="3" applyNumberFormat="1" applyFont="1" applyBorder="1" applyAlignment="1">
      <alignment horizontal="center" vertical="center"/>
    </xf>
    <xf numFmtId="169" fontId="16" fillId="0" borderId="11" xfId="3" applyNumberFormat="1" applyFont="1" applyBorder="1" applyAlignment="1">
      <alignment vertical="center"/>
    </xf>
    <xf numFmtId="0" fontId="15" fillId="0" borderId="22" xfId="3" applyFont="1" applyBorder="1" applyAlignment="1">
      <alignment horizontal="left" vertical="top"/>
    </xf>
    <xf numFmtId="0" fontId="15" fillId="0" borderId="0" xfId="3" applyFont="1" applyBorder="1" applyAlignment="1">
      <alignment horizontal="left" vertical="top"/>
    </xf>
    <xf numFmtId="0" fontId="12" fillId="0" borderId="0" xfId="3" applyAlignment="1">
      <alignment horizontal="left" vertical="center"/>
    </xf>
    <xf numFmtId="0" fontId="38" fillId="0" borderId="0" xfId="3" applyFont="1" applyAlignment="1">
      <alignment vertical="center"/>
    </xf>
    <xf numFmtId="0" fontId="40" fillId="0" borderId="0" xfId="3" applyFont="1" applyAlignment="1">
      <alignment vertical="center"/>
    </xf>
    <xf numFmtId="49" fontId="41" fillId="0" borderId="0" xfId="3" applyNumberFormat="1" applyFont="1" applyAlignment="1" applyProtection="1">
      <alignment vertical="center"/>
      <protection locked="0"/>
    </xf>
    <xf numFmtId="0" fontId="42" fillId="0" borderId="0" xfId="3" applyFont="1" applyBorder="1" applyAlignment="1">
      <alignment horizontal="left" vertical="center"/>
    </xf>
    <xf numFmtId="0" fontId="26" fillId="0" borderId="51" xfId="3" applyFont="1" applyFill="1" applyBorder="1" applyAlignment="1">
      <alignment horizontal="center"/>
    </xf>
    <xf numFmtId="0" fontId="26" fillId="0" borderId="0" xfId="3" applyFont="1" applyFill="1" applyBorder="1" applyAlignment="1">
      <alignment horizontal="center"/>
    </xf>
    <xf numFmtId="0" fontId="26" fillId="0" borderId="0" xfId="3" applyFont="1" applyFill="1" applyBorder="1" applyAlignment="1">
      <alignment horizontal="left"/>
    </xf>
    <xf numFmtId="0" fontId="26" fillId="0" borderId="52" xfId="3" applyFont="1" applyFill="1" applyBorder="1" applyAlignment="1">
      <alignment horizontal="center"/>
    </xf>
    <xf numFmtId="0" fontId="12" fillId="0" borderId="0" xfId="3" applyFill="1"/>
    <xf numFmtId="0" fontId="26" fillId="0" borderId="0" xfId="3" applyFont="1" applyFill="1" applyBorder="1" applyAlignment="1">
      <alignment horizontal="right"/>
    </xf>
    <xf numFmtId="0" fontId="26" fillId="0" borderId="53" xfId="3" applyFont="1" applyFill="1" applyBorder="1" applyAlignment="1">
      <alignment horizontal="center"/>
    </xf>
    <xf numFmtId="0" fontId="12" fillId="0" borderId="0" xfId="3" applyFill="1" applyBorder="1"/>
    <xf numFmtId="0" fontId="26" fillId="0" borderId="53" xfId="3" applyFont="1" applyFill="1" applyBorder="1" applyAlignment="1">
      <alignment horizontal="left" indent="1"/>
    </xf>
    <xf numFmtId="0" fontId="26" fillId="0" borderId="0" xfId="3" applyFont="1" applyFill="1" applyBorder="1" applyAlignment="1">
      <alignment horizontal="left" indent="1"/>
    </xf>
    <xf numFmtId="0" fontId="12" fillId="0" borderId="55" xfId="3" applyBorder="1"/>
    <xf numFmtId="0" fontId="12" fillId="0" borderId="56" xfId="3" applyBorder="1"/>
    <xf numFmtId="0" fontId="12" fillId="0" borderId="57" xfId="3" applyBorder="1"/>
    <xf numFmtId="0" fontId="12" fillId="0" borderId="56" xfId="3" applyBorder="1" applyAlignment="1">
      <alignment horizontal="left"/>
    </xf>
    <xf numFmtId="0" fontId="12" fillId="0" borderId="58" xfId="3" applyBorder="1"/>
    <xf numFmtId="0" fontId="12" fillId="0" borderId="0" xfId="3" applyBorder="1"/>
    <xf numFmtId="0" fontId="44" fillId="0" borderId="55" xfId="3" applyFont="1" applyBorder="1" applyAlignment="1">
      <alignment horizontal="right"/>
    </xf>
    <xf numFmtId="0" fontId="44" fillId="0" borderId="56" xfId="3" applyFont="1" applyBorder="1" applyAlignment="1">
      <alignment horizontal="right"/>
    </xf>
    <xf numFmtId="0" fontId="44" fillId="0" borderId="56" xfId="3" applyFont="1" applyBorder="1" applyAlignment="1">
      <alignment horizontal="left"/>
    </xf>
    <xf numFmtId="0" fontId="44" fillId="0" borderId="58" xfId="3" applyFont="1" applyBorder="1" applyAlignment="1">
      <alignment horizontal="right"/>
    </xf>
    <xf numFmtId="0" fontId="12" fillId="0" borderId="53" xfId="3" applyFont="1" applyBorder="1" applyAlignment="1">
      <alignment horizontal="left"/>
    </xf>
    <xf numFmtId="0" fontId="36" fillId="0" borderId="0" xfId="3" applyFont="1" applyBorder="1" applyAlignment="1">
      <alignment horizontal="left"/>
    </xf>
    <xf numFmtId="0" fontId="12" fillId="0" borderId="0" xfId="3" applyFont="1" applyBorder="1" applyAlignment="1">
      <alignment horizontal="right"/>
    </xf>
    <xf numFmtId="14" fontId="36" fillId="0" borderId="0" xfId="3" applyNumberFormat="1" applyFont="1" applyBorder="1" applyAlignment="1" applyProtection="1">
      <alignment horizontal="right" indent="1"/>
      <protection locked="0"/>
    </xf>
    <xf numFmtId="14" fontId="12" fillId="0" borderId="0" xfId="3" applyNumberFormat="1" applyBorder="1" applyAlignment="1">
      <alignment horizontal="right"/>
    </xf>
    <xf numFmtId="0" fontId="12" fillId="0" borderId="52" xfId="3" applyBorder="1" applyAlignment="1">
      <alignment horizontal="right"/>
    </xf>
    <xf numFmtId="0" fontId="12" fillId="0" borderId="0" xfId="3" applyFont="1" applyFill="1"/>
    <xf numFmtId="0" fontId="12" fillId="0" borderId="53" xfId="3" applyFont="1" applyBorder="1" applyAlignment="1" applyProtection="1">
      <alignment vertical="center" wrapText="1"/>
      <protection locked="0"/>
    </xf>
    <xf numFmtId="0" fontId="12" fillId="0" borderId="0" xfId="3" applyFont="1" applyBorder="1" applyAlignment="1" applyProtection="1">
      <alignment vertical="center" wrapText="1"/>
      <protection locked="0"/>
    </xf>
    <xf numFmtId="0" fontId="12" fillId="0" borderId="52" xfId="3" applyFont="1" applyBorder="1" applyAlignment="1" applyProtection="1">
      <alignment vertical="center" wrapText="1"/>
      <protection locked="0"/>
    </xf>
    <xf numFmtId="0" fontId="12" fillId="0" borderId="0" xfId="3" applyBorder="1" applyAlignment="1">
      <alignment vertical="center"/>
    </xf>
    <xf numFmtId="0" fontId="12" fillId="0" borderId="0" xfId="3" applyFont="1" applyBorder="1" applyAlignment="1">
      <alignment horizontal="right" vertical="center"/>
    </xf>
    <xf numFmtId="0" fontId="12" fillId="0" borderId="0" xfId="3" applyFont="1" applyBorder="1" applyAlignment="1">
      <alignment horizontal="left" vertical="center"/>
    </xf>
    <xf numFmtId="167" fontId="12" fillId="0" borderId="0" xfId="3" applyNumberFormat="1" applyFont="1" applyBorder="1" applyAlignment="1">
      <alignment horizontal="right" vertical="center"/>
    </xf>
    <xf numFmtId="0" fontId="12" fillId="0" borderId="52" xfId="3" applyBorder="1" applyAlignment="1">
      <alignment horizontal="right" vertical="center"/>
    </xf>
    <xf numFmtId="9" fontId="12" fillId="0" borderId="0" xfId="3" applyNumberFormat="1" applyBorder="1" applyAlignment="1">
      <alignment horizontal="right" vertical="center"/>
    </xf>
    <xf numFmtId="0" fontId="36" fillId="0" borderId="0" xfId="3" applyFont="1" applyAlignment="1">
      <alignment vertical="center"/>
    </xf>
    <xf numFmtId="0" fontId="12" fillId="0" borderId="53" xfId="3" applyFont="1" applyFill="1" applyBorder="1" applyAlignment="1">
      <alignment horizontal="right" vertical="center"/>
    </xf>
    <xf numFmtId="0" fontId="12" fillId="0" borderId="0" xfId="3" applyFont="1" applyFill="1" applyBorder="1" applyAlignment="1">
      <alignment horizontal="right" vertical="center"/>
    </xf>
    <xf numFmtId="0" fontId="12" fillId="0" borderId="0" xfId="3" applyFont="1" applyFill="1" applyBorder="1" applyAlignment="1">
      <alignment horizontal="left" vertical="center"/>
    </xf>
    <xf numFmtId="0" fontId="12" fillId="0" borderId="53" xfId="3" applyBorder="1" applyAlignment="1">
      <alignment horizontal="right" vertical="center"/>
    </xf>
    <xf numFmtId="0" fontId="12" fillId="0" borderId="0" xfId="3" applyBorder="1" applyAlignment="1">
      <alignment horizontal="right" vertical="center"/>
    </xf>
    <xf numFmtId="0" fontId="12" fillId="0" borderId="0" xfId="3" applyBorder="1" applyAlignment="1">
      <alignment horizontal="left" vertical="center"/>
    </xf>
    <xf numFmtId="10" fontId="36" fillId="0" borderId="0" xfId="3" applyNumberFormat="1" applyFont="1" applyBorder="1" applyAlignment="1">
      <alignment horizontal="right" vertical="center"/>
    </xf>
    <xf numFmtId="0" fontId="12" fillId="0" borderId="53" xfId="3" applyFont="1" applyFill="1" applyBorder="1" applyAlignment="1"/>
    <xf numFmtId="0" fontId="12" fillId="0" borderId="0" xfId="3" applyFont="1" applyFill="1" applyBorder="1" applyAlignment="1"/>
    <xf numFmtId="0" fontId="12" fillId="0" borderId="52" xfId="3" applyFont="1" applyFill="1" applyBorder="1" applyAlignment="1"/>
    <xf numFmtId="167" fontId="36" fillId="0" borderId="0" xfId="5" applyNumberFormat="1" applyFont="1" applyBorder="1" applyAlignment="1" applyProtection="1">
      <alignment horizontal="right" vertical="center"/>
      <protection locked="0"/>
    </xf>
    <xf numFmtId="9" fontId="26" fillId="0" borderId="0" xfId="5" applyFont="1" applyBorder="1" applyAlignment="1">
      <alignment horizontal="right" vertical="center"/>
    </xf>
    <xf numFmtId="0" fontId="36" fillId="0" borderId="0" xfId="5" applyNumberFormat="1" applyFont="1" applyBorder="1" applyAlignment="1" applyProtection="1">
      <alignment horizontal="right" vertical="center"/>
      <protection locked="0"/>
    </xf>
    <xf numFmtId="0" fontId="12" fillId="0" borderId="55" xfId="3" applyFont="1" applyFill="1" applyBorder="1" applyAlignment="1">
      <alignment horizontal="right"/>
    </xf>
    <xf numFmtId="0" fontId="12" fillId="0" borderId="56" xfId="3" applyFont="1" applyFill="1" applyBorder="1" applyAlignment="1">
      <alignment horizontal="right"/>
    </xf>
    <xf numFmtId="0" fontId="12" fillId="0" borderId="56" xfId="3" applyFont="1" applyFill="1" applyBorder="1" applyAlignment="1">
      <alignment horizontal="left" vertical="center"/>
    </xf>
    <xf numFmtId="0" fontId="12" fillId="0" borderId="56" xfId="3" applyFont="1" applyFill="1" applyBorder="1" applyAlignment="1">
      <alignment horizontal="left"/>
    </xf>
    <xf numFmtId="0" fontId="12" fillId="0" borderId="56" xfId="3" applyFont="1" applyFill="1" applyBorder="1" applyAlignment="1">
      <alignment horizontal="right" vertical="center"/>
    </xf>
    <xf numFmtId="9" fontId="43" fillId="0" borderId="56" xfId="5" applyFont="1" applyBorder="1" applyAlignment="1" applyProtection="1">
      <alignment horizontal="right" indent="1"/>
      <protection locked="0"/>
    </xf>
    <xf numFmtId="9" fontId="26" fillId="0" borderId="56" xfId="5" applyFont="1" applyBorder="1" applyAlignment="1">
      <alignment horizontal="right"/>
    </xf>
    <xf numFmtId="0" fontId="12" fillId="0" borderId="58" xfId="3" applyBorder="1" applyAlignment="1">
      <alignment horizontal="right"/>
    </xf>
    <xf numFmtId="0" fontId="12" fillId="0" borderId="0" xfId="3" applyFont="1" applyFill="1" applyBorder="1" applyAlignment="1">
      <alignment horizontal="right"/>
    </xf>
    <xf numFmtId="0" fontId="12" fillId="0" borderId="0" xfId="3" applyFont="1" applyFill="1" applyBorder="1" applyAlignment="1">
      <alignment horizontal="left"/>
    </xf>
    <xf numFmtId="9" fontId="43" fillId="0" borderId="0" xfId="5" applyFont="1" applyBorder="1" applyAlignment="1" applyProtection="1">
      <alignment horizontal="right" indent="1"/>
      <protection locked="0"/>
    </xf>
    <xf numFmtId="9" fontId="26" fillId="0" borderId="0" xfId="5" applyFont="1" applyBorder="1" applyAlignment="1">
      <alignment horizontal="right"/>
    </xf>
    <xf numFmtId="0" fontId="12" fillId="0" borderId="0" xfId="3" applyBorder="1" applyAlignment="1">
      <alignment horizontal="right"/>
    </xf>
    <xf numFmtId="167" fontId="46" fillId="0" borderId="66" xfId="3" applyNumberFormat="1" applyFont="1" applyBorder="1" applyAlignment="1">
      <alignment horizontal="center" vertical="center"/>
    </xf>
    <xf numFmtId="0" fontId="47" fillId="0" borderId="0" xfId="3" applyFont="1"/>
    <xf numFmtId="0" fontId="12" fillId="0" borderId="0" xfId="3" applyFont="1" applyBorder="1" applyAlignment="1"/>
    <xf numFmtId="0" fontId="12" fillId="0" borderId="61" xfId="3" applyFont="1" applyFill="1" applyBorder="1" applyAlignment="1">
      <alignment vertical="center"/>
    </xf>
    <xf numFmtId="0" fontId="12" fillId="0" borderId="62" xfId="3" applyFont="1" applyFill="1" applyBorder="1" applyAlignment="1">
      <alignment vertical="center"/>
    </xf>
    <xf numFmtId="167" fontId="12" fillId="0" borderId="0" xfId="3" applyNumberFormat="1" applyBorder="1" applyAlignment="1">
      <alignment vertical="center"/>
    </xf>
    <xf numFmtId="0" fontId="12" fillId="0" borderId="1" xfId="3" applyBorder="1" applyAlignment="1">
      <alignment horizontal="center"/>
    </xf>
    <xf numFmtId="0" fontId="26" fillId="6" borderId="1" xfId="3" applyFont="1" applyFill="1" applyBorder="1" applyAlignment="1">
      <alignment horizontal="center" vertical="center"/>
    </xf>
    <xf numFmtId="0" fontId="8" fillId="0" borderId="1" xfId="0" applyFont="1" applyBorder="1" applyAlignment="1">
      <alignment horizontal="center"/>
    </xf>
    <xf numFmtId="0" fontId="24" fillId="0" borderId="22" xfId="3" applyFont="1" applyBorder="1" applyAlignment="1">
      <alignment horizontal="left" vertical="center" indent="1"/>
    </xf>
    <xf numFmtId="0" fontId="24" fillId="0" borderId="0" xfId="3" applyFont="1" applyBorder="1" applyAlignment="1">
      <alignment horizontal="left" vertical="center" indent="1"/>
    </xf>
    <xf numFmtId="0" fontId="26" fillId="0" borderId="0" xfId="3" applyFont="1" applyFill="1" applyBorder="1" applyAlignment="1">
      <alignment horizontal="center"/>
    </xf>
    <xf numFmtId="0" fontId="26" fillId="0" borderId="52" xfId="3" applyFont="1" applyFill="1" applyBorder="1" applyAlignment="1">
      <alignment horizontal="center"/>
    </xf>
    <xf numFmtId="0" fontId="26" fillId="0" borderId="1" xfId="3" applyFont="1" applyFill="1" applyBorder="1" applyAlignment="1">
      <alignment horizontal="center"/>
    </xf>
    <xf numFmtId="169" fontId="14" fillId="3" borderId="1" xfId="4" applyNumberFormat="1" applyFont="1" applyFill="1" applyBorder="1" applyAlignment="1">
      <alignment horizontal="right" vertical="center" indent="1"/>
    </xf>
    <xf numFmtId="4" fontId="14" fillId="3" borderId="1" xfId="3" applyNumberFormat="1" applyFont="1" applyFill="1" applyBorder="1" applyAlignment="1">
      <alignment horizontal="right" vertical="center" indent="1"/>
    </xf>
    <xf numFmtId="164" fontId="15" fillId="0" borderId="1" xfId="1" applyFont="1" applyBorder="1" applyAlignment="1">
      <alignment horizontal="center" vertical="center"/>
    </xf>
    <xf numFmtId="10" fontId="14" fillId="3" borderId="1" xfId="3" applyNumberFormat="1" applyFont="1" applyFill="1" applyBorder="1" applyAlignment="1">
      <alignment horizontal="center" vertical="center"/>
    </xf>
    <xf numFmtId="2" fontId="15" fillId="0" borderId="1" xfId="3" applyNumberFormat="1" applyFont="1" applyBorder="1" applyAlignment="1">
      <alignment horizontal="center" vertical="center"/>
    </xf>
    <xf numFmtId="0" fontId="15" fillId="0" borderId="1" xfId="3" applyNumberFormat="1" applyFont="1" applyBorder="1" applyAlignment="1">
      <alignment horizontal="center" vertical="center"/>
    </xf>
    <xf numFmtId="10" fontId="14" fillId="3" borderId="1" xfId="3" applyNumberFormat="1" applyFont="1" applyFill="1" applyBorder="1" applyAlignment="1">
      <alignment horizontal="right" vertical="center" indent="1"/>
    </xf>
    <xf numFmtId="164" fontId="14" fillId="8" borderId="1" xfId="1" applyFont="1" applyFill="1" applyBorder="1" applyAlignment="1">
      <alignment horizontal="center" vertical="center"/>
    </xf>
    <xf numFmtId="4" fontId="14" fillId="0" borderId="1" xfId="3" applyNumberFormat="1" applyFont="1" applyFill="1" applyBorder="1" applyAlignment="1">
      <alignment horizontal="center" vertical="center"/>
    </xf>
    <xf numFmtId="0" fontId="33" fillId="0" borderId="1" xfId="3" applyFont="1" applyBorder="1" applyAlignment="1">
      <alignment vertical="center"/>
    </xf>
    <xf numFmtId="9" fontId="28" fillId="16" borderId="67" xfId="2" applyFont="1" applyFill="1" applyBorder="1" applyAlignment="1">
      <alignment horizontal="center" vertical="center" wrapText="1"/>
    </xf>
    <xf numFmtId="170" fontId="28" fillId="9" borderId="71" xfId="3" applyNumberFormat="1" applyFont="1" applyFill="1" applyBorder="1" applyAlignment="1">
      <alignment horizontal="center" vertical="center" wrapText="1"/>
    </xf>
    <xf numFmtId="9" fontId="28" fillId="16" borderId="71" xfId="2" applyFont="1" applyFill="1" applyBorder="1" applyAlignment="1">
      <alignment horizontal="center" vertical="center" wrapText="1"/>
    </xf>
    <xf numFmtId="170" fontId="28" fillId="9" borderId="72" xfId="3" applyNumberFormat="1" applyFont="1" applyFill="1" applyBorder="1" applyAlignment="1">
      <alignment horizontal="center" vertical="center" wrapText="1"/>
    </xf>
    <xf numFmtId="164" fontId="8" fillId="4" borderId="11" xfId="1" applyFont="1" applyFill="1" applyBorder="1"/>
    <xf numFmtId="0" fontId="43" fillId="2" borderId="54" xfId="3" applyFont="1" applyFill="1" applyBorder="1" applyAlignment="1" applyProtection="1">
      <alignment horizontal="center"/>
      <protection locked="0"/>
    </xf>
    <xf numFmtId="0" fontId="8" fillId="2" borderId="0" xfId="0" applyFont="1" applyFill="1" applyBorder="1" applyAlignment="1" applyProtection="1">
      <alignment horizontal="center" vertical="center"/>
    </xf>
    <xf numFmtId="0" fontId="0" fillId="0" borderId="0" xfId="0" applyProtection="1"/>
    <xf numFmtId="17" fontId="8" fillId="0" borderId="1" xfId="0" applyNumberFormat="1" applyFont="1" applyBorder="1" applyAlignment="1" applyProtection="1">
      <alignment horizontal="center" vertical="center"/>
      <protection locked="0"/>
    </xf>
    <xf numFmtId="164" fontId="8" fillId="0" borderId="1" xfId="1" applyFont="1" applyBorder="1" applyAlignment="1" applyProtection="1">
      <alignment horizontal="right" vertical="center"/>
      <protection locked="0"/>
    </xf>
    <xf numFmtId="0" fontId="8" fillId="4" borderId="4" xfId="0" applyFont="1" applyFill="1" applyBorder="1" applyAlignment="1" applyProtection="1">
      <alignment horizontal="center"/>
      <protection locked="0"/>
    </xf>
    <xf numFmtId="164" fontId="8" fillId="4" borderId="16" xfId="1" applyFont="1" applyFill="1" applyBorder="1" applyProtection="1">
      <protection locked="0"/>
    </xf>
    <xf numFmtId="164" fontId="8" fillId="4" borderId="3" xfId="1" applyFont="1" applyFill="1" applyBorder="1" applyProtection="1">
      <protection locked="0"/>
    </xf>
    <xf numFmtId="0" fontId="8" fillId="2" borderId="3" xfId="0" applyFont="1" applyFill="1" applyBorder="1" applyProtection="1">
      <protection locked="0"/>
    </xf>
    <xf numFmtId="166" fontId="8" fillId="2" borderId="1" xfId="2" applyNumberFormat="1" applyFont="1" applyFill="1" applyBorder="1" applyAlignment="1" applyProtection="1">
      <alignment horizontal="center" vertical="center"/>
      <protection locked="0"/>
    </xf>
    <xf numFmtId="0" fontId="9"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9" fillId="2" borderId="1" xfId="0" applyFont="1" applyFill="1" applyBorder="1" applyAlignment="1" applyProtection="1">
      <alignment horizontal="center"/>
      <protection locked="0"/>
    </xf>
    <xf numFmtId="164" fontId="8" fillId="4" borderId="0" xfId="1" applyFont="1" applyFill="1" applyBorder="1" applyProtection="1"/>
    <xf numFmtId="164" fontId="9" fillId="6" borderId="0" xfId="2" applyNumberFormat="1" applyFont="1" applyFill="1" applyAlignment="1" applyProtection="1">
      <alignment horizontal="center"/>
    </xf>
    <xf numFmtId="9" fontId="9" fillId="0" borderId="0" xfId="2" applyFont="1" applyAlignment="1" applyProtection="1">
      <alignment horizontal="center"/>
    </xf>
    <xf numFmtId="9" fontId="0" fillId="0" borderId="0" xfId="2" applyFont="1" applyProtection="1"/>
    <xf numFmtId="0" fontId="8" fillId="0" borderId="0" xfId="0" applyFont="1" applyProtection="1"/>
    <xf numFmtId="0" fontId="30" fillId="6" borderId="0" xfId="0" applyFont="1" applyFill="1" applyAlignment="1" applyProtection="1">
      <alignment horizontal="center" vertical="center"/>
    </xf>
    <xf numFmtId="164" fontId="9" fillId="6" borderId="0" xfId="0" applyNumberFormat="1" applyFont="1" applyFill="1" applyAlignment="1" applyProtection="1"/>
    <xf numFmtId="0" fontId="8" fillId="0" borderId="1" xfId="0" applyFont="1" applyBorder="1" applyAlignment="1" applyProtection="1">
      <alignment horizontal="center"/>
    </xf>
    <xf numFmtId="0" fontId="8" fillId="0" borderId="1" xfId="0" applyFont="1" applyBorder="1" applyProtection="1"/>
    <xf numFmtId="9" fontId="8" fillId="6" borderId="1" xfId="2" applyFont="1" applyFill="1" applyBorder="1" applyAlignment="1" applyProtection="1">
      <alignment horizontal="center" vertical="center"/>
    </xf>
    <xf numFmtId="164" fontId="8" fillId="6" borderId="1" xfId="0" applyNumberFormat="1" applyFont="1" applyFill="1" applyBorder="1" applyAlignment="1" applyProtection="1">
      <alignment horizontal="center"/>
    </xf>
    <xf numFmtId="9" fontId="8" fillId="0" borderId="1" xfId="2" applyFont="1" applyBorder="1" applyAlignment="1" applyProtection="1">
      <alignment horizontal="center" vertical="center"/>
    </xf>
    <xf numFmtId="164" fontId="8" fillId="0" borderId="1" xfId="0" applyNumberFormat="1" applyFont="1" applyBorder="1" applyAlignment="1" applyProtection="1">
      <alignment horizontal="center"/>
    </xf>
    <xf numFmtId="9" fontId="8" fillId="4" borderId="1" xfId="2" applyFont="1" applyFill="1" applyBorder="1" applyAlignment="1" applyProtection="1">
      <alignment horizontal="center" vertical="center"/>
    </xf>
    <xf numFmtId="0" fontId="9" fillId="0" borderId="1" xfId="0" applyFont="1" applyBorder="1" applyProtection="1"/>
    <xf numFmtId="9" fontId="9" fillId="0" borderId="1" xfId="2" applyFont="1" applyBorder="1" applyAlignment="1" applyProtection="1">
      <alignment horizontal="center" vertical="center"/>
    </xf>
    <xf numFmtId="164" fontId="9" fillId="0" borderId="1" xfId="0" applyNumberFormat="1" applyFont="1" applyBorder="1" applyAlignment="1" applyProtection="1">
      <alignment horizontal="center"/>
    </xf>
    <xf numFmtId="164" fontId="8" fillId="6" borderId="1" xfId="1" applyFont="1" applyFill="1" applyBorder="1" applyAlignment="1" applyProtection="1">
      <alignment horizontal="center"/>
    </xf>
    <xf numFmtId="164" fontId="15" fillId="15" borderId="1" xfId="1" applyFont="1" applyFill="1" applyBorder="1" applyAlignment="1" applyProtection="1">
      <alignment horizontal="center" vertical="center"/>
      <protection locked="0"/>
    </xf>
    <xf numFmtId="164" fontId="15" fillId="15" borderId="1" xfId="1" applyFont="1" applyFill="1" applyBorder="1" applyAlignment="1" applyProtection="1">
      <alignment vertical="center"/>
      <protection locked="0"/>
    </xf>
    <xf numFmtId="0" fontId="12" fillId="0" borderId="1" xfId="3" applyFont="1" applyBorder="1" applyAlignment="1" applyProtection="1">
      <protection locked="0"/>
    </xf>
    <xf numFmtId="167" fontId="12" fillId="6" borderId="1" xfId="3" applyNumberFormat="1" applyFont="1" applyFill="1" applyBorder="1" applyAlignment="1" applyProtection="1">
      <alignment horizontal="right" vertical="center"/>
    </xf>
    <xf numFmtId="0" fontId="32" fillId="0" borderId="1" xfId="3" applyNumberFormat="1" applyFont="1" applyBorder="1" applyAlignment="1" applyProtection="1">
      <alignment horizontal="center" vertical="center"/>
      <protection locked="0"/>
    </xf>
    <xf numFmtId="0" fontId="26" fillId="6" borderId="1" xfId="3" applyFont="1" applyFill="1" applyBorder="1" applyAlignment="1">
      <alignment horizontal="left"/>
    </xf>
    <xf numFmtId="171" fontId="12" fillId="0" borderId="32" xfId="3" applyNumberFormat="1" applyBorder="1" applyAlignment="1" applyProtection="1">
      <alignment horizontal="center" vertical="center"/>
      <protection locked="0"/>
    </xf>
    <xf numFmtId="4" fontId="12" fillId="0" borderId="32" xfId="3" applyNumberFormat="1" applyBorder="1" applyAlignment="1" applyProtection="1">
      <alignment horizontal="center" vertical="center"/>
      <protection locked="0"/>
    </xf>
    <xf numFmtId="4" fontId="12" fillId="0" borderId="32" xfId="3" applyNumberFormat="1" applyFill="1" applyBorder="1" applyAlignment="1" applyProtection="1">
      <alignment horizontal="center" vertical="center"/>
      <protection locked="0"/>
    </xf>
    <xf numFmtId="164" fontId="8" fillId="4" borderId="12" xfId="1" applyFont="1" applyFill="1" applyBorder="1" applyProtection="1">
      <protection locked="0"/>
    </xf>
    <xf numFmtId="9" fontId="28" fillId="16" borderId="17" xfId="2" applyFont="1" applyFill="1" applyBorder="1" applyAlignment="1">
      <alignment horizontal="center" vertical="center" wrapText="1"/>
    </xf>
    <xf numFmtId="0" fontId="12" fillId="2" borderId="1" xfId="3" applyFill="1" applyBorder="1" applyAlignment="1">
      <alignment horizontal="center" vertical="center"/>
    </xf>
    <xf numFmtId="0" fontId="12" fillId="2" borderId="1" xfId="3" applyFill="1" applyBorder="1" applyAlignment="1" applyProtection="1">
      <alignment horizontal="center"/>
      <protection locked="0"/>
    </xf>
    <xf numFmtId="4" fontId="15" fillId="0" borderId="1" xfId="3" applyNumberFormat="1" applyFont="1" applyBorder="1" applyAlignment="1">
      <alignment horizontal="center" vertical="center"/>
    </xf>
    <xf numFmtId="9" fontId="21" fillId="3" borderId="0" xfId="2" applyFont="1" applyFill="1" applyBorder="1" applyAlignment="1">
      <alignment horizontal="right" vertical="center" indent="1"/>
    </xf>
    <xf numFmtId="9" fontId="15" fillId="0" borderId="0" xfId="2" applyFont="1" applyBorder="1" applyAlignment="1">
      <alignment horizontal="center" vertical="center"/>
    </xf>
    <xf numFmtId="164" fontId="15" fillId="0" borderId="0" xfId="3" applyNumberFormat="1" applyFont="1" applyAlignment="1">
      <alignment vertical="center"/>
    </xf>
    <xf numFmtId="165" fontId="15" fillId="0" borderId="1" xfId="6" applyFont="1" applyBorder="1" applyAlignment="1">
      <alignment horizontal="center" vertical="center"/>
    </xf>
    <xf numFmtId="164" fontId="8" fillId="4" borderId="1" xfId="1" applyFont="1" applyFill="1" applyBorder="1"/>
    <xf numFmtId="164" fontId="8" fillId="4" borderId="1" xfId="1" applyFont="1" applyFill="1" applyBorder="1" applyAlignment="1">
      <alignment horizontal="center" vertical="center"/>
    </xf>
    <xf numFmtId="164" fontId="8" fillId="2" borderId="1" xfId="1" applyFont="1" applyFill="1" applyBorder="1" applyProtection="1">
      <protection locked="0"/>
    </xf>
    <xf numFmtId="0" fontId="8" fillId="4" borderId="0" xfId="1" applyNumberFormat="1" applyFont="1" applyFill="1" applyBorder="1" applyProtection="1"/>
    <xf numFmtId="180" fontId="8" fillId="4" borderId="1" xfId="6" applyNumberFormat="1" applyFont="1" applyFill="1" applyBorder="1" applyProtection="1">
      <protection locked="0"/>
    </xf>
    <xf numFmtId="164" fontId="8" fillId="6" borderId="0" xfId="1" applyFont="1" applyFill="1" applyProtection="1">
      <protection locked="0"/>
    </xf>
    <xf numFmtId="0" fontId="9" fillId="0" borderId="5" xfId="0" applyFont="1" applyBorder="1" applyAlignment="1">
      <alignment vertical="center"/>
    </xf>
    <xf numFmtId="9" fontId="12" fillId="6" borderId="0" xfId="3" applyNumberFormat="1" applyFont="1" applyFill="1" applyBorder="1" applyAlignment="1" applyProtection="1">
      <alignment horizontal="center" vertical="center"/>
    </xf>
    <xf numFmtId="164" fontId="8" fillId="4" borderId="1" xfId="1" applyFont="1" applyFill="1" applyBorder="1" applyAlignment="1" applyProtection="1">
      <alignment horizontal="center" vertical="center"/>
      <protection locked="0"/>
    </xf>
    <xf numFmtId="0" fontId="8" fillId="4" borderId="1" xfId="1" applyNumberFormat="1" applyFont="1" applyFill="1" applyBorder="1" applyAlignment="1" applyProtection="1">
      <alignment horizontal="center" vertical="center"/>
      <protection locked="0"/>
    </xf>
    <xf numFmtId="17" fontId="12" fillId="0" borderId="32" xfId="3" applyNumberFormat="1" applyFont="1" applyBorder="1" applyAlignment="1" applyProtection="1">
      <alignment horizontal="center" vertical="center"/>
      <protection locked="0"/>
    </xf>
    <xf numFmtId="17" fontId="12" fillId="0" borderId="32" xfId="3" applyNumberFormat="1" applyFont="1" applyFill="1" applyBorder="1" applyAlignment="1" applyProtection="1">
      <alignment horizontal="center" vertical="center"/>
      <protection locked="0"/>
    </xf>
    <xf numFmtId="0" fontId="8" fillId="6" borderId="39" xfId="0" applyFont="1" applyFill="1" applyBorder="1" applyAlignment="1">
      <alignment horizontal="center" vertical="center"/>
    </xf>
    <xf numFmtId="0" fontId="8" fillId="6" borderId="73" xfId="0" applyFont="1" applyFill="1" applyBorder="1" applyAlignment="1">
      <alignment horizontal="center" vertical="center"/>
    </xf>
    <xf numFmtId="164" fontId="8" fillId="6" borderId="74" xfId="0" applyNumberFormat="1" applyFont="1" applyFill="1" applyBorder="1"/>
    <xf numFmtId="164" fontId="8" fillId="6" borderId="2" xfId="1" applyFont="1" applyFill="1" applyBorder="1" applyAlignment="1">
      <alignment horizontal="right" vertical="center"/>
    </xf>
    <xf numFmtId="164" fontId="8" fillId="6" borderId="2" xfId="1" applyFont="1" applyFill="1" applyBorder="1"/>
    <xf numFmtId="164" fontId="8" fillId="4" borderId="2" xfId="1" applyFont="1" applyFill="1" applyBorder="1" applyProtection="1">
      <protection locked="0"/>
    </xf>
    <xf numFmtId="167" fontId="12" fillId="13" borderId="1" xfId="5" applyNumberFormat="1" applyFont="1" applyFill="1" applyBorder="1" applyAlignment="1" applyProtection="1">
      <alignment horizontal="right" vertical="center"/>
      <protection locked="0"/>
    </xf>
    <xf numFmtId="17" fontId="26" fillId="6" borderId="1" xfId="3" applyNumberFormat="1" applyFont="1" applyFill="1" applyBorder="1" applyAlignment="1">
      <alignment horizontal="center" vertical="center"/>
    </xf>
    <xf numFmtId="164" fontId="50" fillId="4" borderId="0" xfId="1" applyFont="1" applyFill="1" applyBorder="1"/>
    <xf numFmtId="164" fontId="8" fillId="0" borderId="1" xfId="1" quotePrefix="1" applyFont="1" applyBorder="1" applyAlignment="1" applyProtection="1">
      <alignment horizontal="right" vertical="center"/>
      <protection locked="0"/>
    </xf>
    <xf numFmtId="0" fontId="52" fillId="4" borderId="0" xfId="7" applyFill="1"/>
    <xf numFmtId="0" fontId="53" fillId="4" borderId="0" xfId="0" applyFont="1" applyFill="1"/>
    <xf numFmtId="0" fontId="54" fillId="4" borderId="0" xfId="0" applyFont="1" applyFill="1"/>
    <xf numFmtId="166" fontId="11" fillId="6" borderId="2" xfId="0" applyNumberFormat="1" applyFont="1" applyFill="1" applyBorder="1" applyAlignment="1">
      <alignment horizontal="center"/>
    </xf>
    <xf numFmtId="166" fontId="8" fillId="6" borderId="9" xfId="0" applyNumberFormat="1" applyFont="1" applyFill="1" applyBorder="1" applyAlignment="1">
      <alignment horizontal="center" vertical="center"/>
    </xf>
    <xf numFmtId="0" fontId="11" fillId="6" borderId="12" xfId="0" applyFont="1" applyFill="1" applyBorder="1" applyAlignment="1">
      <alignment horizontal="center"/>
    </xf>
    <xf numFmtId="0" fontId="11" fillId="6" borderId="6" xfId="0" applyFont="1" applyFill="1" applyBorder="1" applyAlignment="1">
      <alignment horizontal="center"/>
    </xf>
    <xf numFmtId="164" fontId="15" fillId="4" borderId="0" xfId="1" applyFont="1" applyFill="1" applyBorder="1" applyAlignment="1" applyProtection="1">
      <alignment vertical="center"/>
      <protection locked="0"/>
    </xf>
    <xf numFmtId="164" fontId="8" fillId="6" borderId="1" xfId="1" applyFont="1" applyFill="1" applyBorder="1" applyAlignment="1">
      <alignment horizontal="right" vertical="center"/>
    </xf>
    <xf numFmtId="0" fontId="8" fillId="6" borderId="1" xfId="0" applyFont="1" applyFill="1" applyBorder="1" applyAlignment="1">
      <alignment horizontal="center"/>
    </xf>
    <xf numFmtId="166" fontId="11" fillId="6" borderId="13" xfId="0" applyNumberFormat="1" applyFont="1" applyFill="1" applyBorder="1" applyAlignment="1">
      <alignment horizontal="center"/>
    </xf>
    <xf numFmtId="166" fontId="8" fillId="6" borderId="11" xfId="0" applyNumberFormat="1" applyFont="1" applyFill="1" applyBorder="1" applyAlignment="1">
      <alignment horizontal="center" vertical="center"/>
    </xf>
    <xf numFmtId="0" fontId="8" fillId="6" borderId="4" xfId="0" applyFont="1" applyFill="1" applyBorder="1" applyAlignment="1">
      <alignment horizontal="center" vertical="center" wrapText="1"/>
    </xf>
    <xf numFmtId="0" fontId="8" fillId="6" borderId="12" xfId="0" applyFont="1" applyFill="1" applyBorder="1" applyAlignment="1">
      <alignment horizontal="center" vertical="center"/>
    </xf>
    <xf numFmtId="166" fontId="8" fillId="6" borderId="2" xfId="0" applyNumberFormat="1" applyFont="1" applyFill="1" applyBorder="1" applyAlignment="1">
      <alignment horizontal="center" vertical="center"/>
    </xf>
    <xf numFmtId="164" fontId="8" fillId="2" borderId="1" xfId="1" applyFont="1" applyFill="1" applyBorder="1" applyAlignment="1" applyProtection="1">
      <alignment horizontal="center"/>
      <protection locked="0"/>
    </xf>
    <xf numFmtId="0" fontId="8" fillId="4" borderId="0" xfId="1" applyNumberFormat="1" applyFont="1" applyFill="1" applyBorder="1" applyProtection="1">
      <protection locked="0"/>
    </xf>
    <xf numFmtId="0" fontId="9" fillId="0" borderId="14" xfId="0" applyFont="1" applyBorder="1" applyAlignment="1">
      <alignment vertical="center"/>
    </xf>
    <xf numFmtId="164" fontId="8" fillId="2" borderId="1" xfId="1" applyFont="1" applyFill="1" applyBorder="1" applyAlignment="1" applyProtection="1">
      <alignment horizontal="center" vertical="center"/>
      <protection locked="0"/>
    </xf>
    <xf numFmtId="9" fontId="9" fillId="0" borderId="0" xfId="2" applyFont="1" applyAlignment="1" applyProtection="1">
      <alignment horizontal="left" vertical="top"/>
    </xf>
    <xf numFmtId="0" fontId="11" fillId="0" borderId="1" xfId="0" applyFont="1" applyBorder="1" applyProtection="1"/>
    <xf numFmtId="164" fontId="8" fillId="0" borderId="1" xfId="0" applyNumberFormat="1" applyFont="1" applyBorder="1"/>
    <xf numFmtId="9" fontId="8" fillId="0" borderId="2" xfId="2" applyFont="1" applyBorder="1" applyAlignment="1">
      <alignment horizontal="center" vertical="center"/>
    </xf>
    <xf numFmtId="0" fontId="8" fillId="0" borderId="2" xfId="0" applyFont="1" applyBorder="1"/>
    <xf numFmtId="0" fontId="8" fillId="15" borderId="1" xfId="0" applyFont="1" applyFill="1" applyBorder="1"/>
    <xf numFmtId="0" fontId="8" fillId="15" borderId="4" xfId="0" applyFont="1" applyFill="1" applyBorder="1"/>
    <xf numFmtId="9" fontId="0" fillId="0" borderId="1" xfId="0" applyNumberFormat="1" applyBorder="1"/>
    <xf numFmtId="164" fontId="0" fillId="0" borderId="1" xfId="1" applyFont="1" applyBorder="1"/>
    <xf numFmtId="2" fontId="15" fillId="0" borderId="1" xfId="3" applyNumberFormat="1" applyFont="1" applyBorder="1" applyAlignment="1">
      <alignment horizontal="center" vertical="center"/>
    </xf>
    <xf numFmtId="2" fontId="15" fillId="0" borderId="1" xfId="3" applyNumberFormat="1" applyFont="1" applyBorder="1" applyAlignment="1">
      <alignment horizontal="center" vertical="center"/>
    </xf>
    <xf numFmtId="164" fontId="15" fillId="0" borderId="3" xfId="1" applyFont="1" applyBorder="1" applyAlignment="1">
      <alignment horizontal="center" vertical="center"/>
    </xf>
    <xf numFmtId="0" fontId="16" fillId="0" borderId="0" xfId="3" applyFont="1" applyAlignment="1">
      <alignment vertical="center"/>
    </xf>
    <xf numFmtId="4" fontId="18" fillId="6" borderId="1" xfId="3" applyNumberFormat="1" applyFont="1" applyFill="1" applyBorder="1" applyAlignment="1">
      <alignment horizontal="center" vertical="center"/>
    </xf>
    <xf numFmtId="4" fontId="18" fillId="6" borderId="0" xfId="3" applyNumberFormat="1" applyFont="1" applyFill="1" applyBorder="1" applyAlignment="1">
      <alignment horizontal="center" vertical="center"/>
    </xf>
    <xf numFmtId="181" fontId="16" fillId="0" borderId="0" xfId="3" applyNumberFormat="1" applyFont="1" applyAlignment="1">
      <alignment vertical="center"/>
    </xf>
    <xf numFmtId="0" fontId="16" fillId="0" borderId="0" xfId="3" applyFont="1" applyBorder="1" applyAlignment="1">
      <alignment vertical="center"/>
    </xf>
    <xf numFmtId="0" fontId="18" fillId="4" borderId="0" xfId="3" applyFont="1" applyFill="1" applyBorder="1" applyAlignment="1">
      <alignment horizontal="left" vertical="center"/>
    </xf>
    <xf numFmtId="164" fontId="16" fillId="0" borderId="0" xfId="3" applyNumberFormat="1" applyFont="1" applyAlignment="1">
      <alignment vertical="center"/>
    </xf>
    <xf numFmtId="10" fontId="16" fillId="0" borderId="0" xfId="2" applyNumberFormat="1" applyFont="1" applyAlignment="1">
      <alignment vertical="center"/>
    </xf>
    <xf numFmtId="2" fontId="16" fillId="0" borderId="0" xfId="3" applyNumberFormat="1" applyFont="1" applyAlignment="1">
      <alignment vertical="center"/>
    </xf>
    <xf numFmtId="9" fontId="12" fillId="0" borderId="0" xfId="3" applyNumberFormat="1"/>
    <xf numFmtId="0" fontId="32" fillId="0" borderId="0" xfId="3" applyFont="1" applyAlignment="1">
      <alignment horizontal="center" vertical="center"/>
    </xf>
    <xf numFmtId="0" fontId="32" fillId="0" borderId="0" xfId="3" applyFont="1" applyBorder="1" applyAlignment="1">
      <alignment vertical="center"/>
    </xf>
    <xf numFmtId="0" fontId="32" fillId="0" borderId="0" xfId="3" applyNumberFormat="1" applyFont="1" applyBorder="1" applyAlignment="1" applyProtection="1">
      <alignment horizontal="center" vertical="center"/>
      <protection locked="0"/>
    </xf>
    <xf numFmtId="164" fontId="0" fillId="0" borderId="0" xfId="0" applyNumberFormat="1"/>
    <xf numFmtId="0" fontId="8" fillId="0" borderId="4" xfId="0" applyFont="1" applyBorder="1"/>
    <xf numFmtId="0" fontId="8" fillId="0" borderId="11" xfId="0" applyFont="1" applyFill="1" applyBorder="1"/>
    <xf numFmtId="0" fontId="8" fillId="0" borderId="13" xfId="0" applyFont="1" applyFill="1" applyBorder="1"/>
    <xf numFmtId="164" fontId="8" fillId="2" borderId="1" xfId="1" applyFont="1" applyFill="1" applyBorder="1" applyAlignment="1" applyProtection="1">
      <alignment horizontal="center"/>
      <protection locked="0"/>
    </xf>
    <xf numFmtId="0" fontId="8" fillId="4" borderId="1" xfId="0" applyFont="1" applyFill="1" applyBorder="1" applyAlignment="1">
      <alignment horizontal="center"/>
    </xf>
    <xf numFmtId="164" fontId="8" fillId="0" borderId="0" xfId="0" applyNumberFormat="1" applyFont="1"/>
    <xf numFmtId="0" fontId="8" fillId="0" borderId="3" xfId="0" applyFont="1" applyBorder="1"/>
    <xf numFmtId="0" fontId="8" fillId="4" borderId="81" xfId="0" applyFont="1" applyFill="1" applyBorder="1" applyAlignment="1">
      <alignment horizontal="center"/>
    </xf>
    <xf numFmtId="166" fontId="8" fillId="6" borderId="13" xfId="0" applyNumberFormat="1" applyFont="1" applyFill="1" applyBorder="1" applyAlignment="1">
      <alignment horizontal="center" vertical="center"/>
    </xf>
    <xf numFmtId="164" fontId="8" fillId="6" borderId="2" xfId="0" applyNumberFormat="1" applyFont="1" applyFill="1" applyBorder="1"/>
    <xf numFmtId="0" fontId="8" fillId="6" borderId="81" xfId="0" applyFont="1" applyFill="1" applyBorder="1" applyAlignment="1">
      <alignment horizontal="center" vertical="center"/>
    </xf>
    <xf numFmtId="164" fontId="8" fillId="6" borderId="9" xfId="0" applyNumberFormat="1" applyFont="1" applyFill="1" applyBorder="1"/>
    <xf numFmtId="164" fontId="0" fillId="0" borderId="1" xfId="0" applyNumberFormat="1" applyBorder="1"/>
    <xf numFmtId="9" fontId="8" fillId="0" borderId="4" xfId="2" applyFont="1" applyBorder="1" applyAlignment="1" applyProtection="1">
      <alignment vertical="center"/>
    </xf>
    <xf numFmtId="9" fontId="8" fillId="0" borderId="5" xfId="2" applyFont="1" applyBorder="1" applyAlignment="1" applyProtection="1">
      <alignment vertical="center"/>
    </xf>
    <xf numFmtId="9" fontId="8" fillId="0" borderId="3" xfId="2" applyFont="1" applyBorder="1" applyAlignment="1" applyProtection="1">
      <alignment vertical="center"/>
    </xf>
    <xf numFmtId="0" fontId="8" fillId="0" borderId="4" xfId="0" applyFont="1" applyBorder="1" applyAlignment="1" applyProtection="1">
      <alignment horizontal="center"/>
    </xf>
    <xf numFmtId="164" fontId="8" fillId="6" borderId="4" xfId="0" applyNumberFormat="1" applyFont="1" applyFill="1" applyBorder="1" applyProtection="1"/>
    <xf numFmtId="164" fontId="8" fillId="4" borderId="4" xfId="1" applyFont="1" applyFill="1" applyBorder="1" applyProtection="1">
      <protection locked="0"/>
    </xf>
    <xf numFmtId="164" fontId="9" fillId="6" borderId="4" xfId="0" applyNumberFormat="1" applyFont="1" applyFill="1" applyBorder="1" applyProtection="1"/>
    <xf numFmtId="164" fontId="8" fillId="4" borderId="4" xfId="0" applyNumberFormat="1" applyFont="1" applyFill="1" applyBorder="1" applyProtection="1">
      <protection locked="0"/>
    </xf>
    <xf numFmtId="0" fontId="9" fillId="0" borderId="12" xfId="0" applyFont="1" applyBorder="1" applyProtection="1"/>
    <xf numFmtId="9" fontId="9" fillId="0" borderId="12" xfId="2" applyFont="1" applyBorder="1" applyAlignment="1" applyProtection="1">
      <alignment horizontal="center" vertical="center"/>
    </xf>
    <xf numFmtId="164" fontId="9" fillId="0" borderId="12" xfId="0" applyNumberFormat="1" applyFont="1" applyBorder="1" applyAlignment="1" applyProtection="1">
      <alignment horizontal="center"/>
    </xf>
    <xf numFmtId="164" fontId="9" fillId="6" borderId="81" xfId="0" applyNumberFormat="1" applyFont="1" applyFill="1" applyBorder="1" applyProtection="1"/>
    <xf numFmtId="0" fontId="61" fillId="0" borderId="0" xfId="0" applyFont="1" applyProtection="1"/>
    <xf numFmtId="180" fontId="8" fillId="4" borderId="0" xfId="6" applyNumberFormat="1" applyFont="1" applyFill="1" applyBorder="1" applyProtection="1"/>
    <xf numFmtId="0" fontId="8" fillId="0" borderId="1" xfId="0" applyFont="1" applyBorder="1" applyAlignment="1">
      <alignment horizontal="center"/>
    </xf>
    <xf numFmtId="164" fontId="8" fillId="4" borderId="1" xfId="1" applyFont="1" applyFill="1" applyBorder="1" applyAlignment="1">
      <alignment horizontal="center"/>
    </xf>
    <xf numFmtId="164" fontId="15" fillId="0" borderId="1" xfId="1" applyFont="1" applyBorder="1" applyAlignment="1">
      <alignment horizontal="center" vertical="center"/>
    </xf>
    <xf numFmtId="0" fontId="15" fillId="0" borderId="22" xfId="3" applyFont="1" applyBorder="1" applyAlignment="1">
      <alignment vertical="center"/>
    </xf>
    <xf numFmtId="0" fontId="15" fillId="0" borderId="0" xfId="3" applyFont="1" applyBorder="1" applyAlignment="1">
      <alignment vertical="center"/>
    </xf>
    <xf numFmtId="2" fontId="15" fillId="0" borderId="1" xfId="3" applyNumberFormat="1" applyFont="1" applyBorder="1" applyAlignment="1">
      <alignment horizontal="center" vertical="center"/>
    </xf>
    <xf numFmtId="0" fontId="17" fillId="0" borderId="0" xfId="3" applyFont="1" applyBorder="1" applyAlignment="1">
      <alignment horizontal="center" vertical="center" wrapText="1"/>
    </xf>
    <xf numFmtId="0" fontId="15" fillId="0" borderId="22" xfId="3" applyFont="1" applyBorder="1" applyAlignment="1">
      <alignment horizontal="left" vertical="center" indent="1"/>
    </xf>
    <xf numFmtId="0" fontId="15" fillId="0" borderId="0" xfId="3" applyFont="1" applyBorder="1" applyAlignment="1">
      <alignment horizontal="left" vertical="center" indent="1"/>
    </xf>
    <xf numFmtId="164" fontId="15" fillId="15" borderId="1" xfId="1" applyFont="1" applyFill="1" applyBorder="1" applyAlignment="1" applyProtection="1">
      <alignment horizontal="center" vertical="center"/>
      <protection locked="0"/>
    </xf>
    <xf numFmtId="164" fontId="15" fillId="0" borderId="3" xfId="1" applyFont="1" applyBorder="1" applyAlignment="1">
      <alignment horizontal="center" vertical="center"/>
    </xf>
    <xf numFmtId="0" fontId="18" fillId="4" borderId="0" xfId="3" applyFont="1" applyFill="1" applyBorder="1" applyAlignment="1">
      <alignment horizontal="left" vertical="center"/>
    </xf>
    <xf numFmtId="0" fontId="45" fillId="0" borderId="53" xfId="3" applyFont="1" applyFill="1" applyBorder="1" applyAlignment="1"/>
    <xf numFmtId="0" fontId="45" fillId="0" borderId="0" xfId="3" applyFont="1" applyFill="1" applyBorder="1" applyAlignment="1"/>
    <xf numFmtId="165" fontId="12" fillId="0" borderId="0" xfId="3" applyNumberFormat="1"/>
    <xf numFmtId="17" fontId="32" fillId="6" borderId="1" xfId="3" applyNumberFormat="1" applyFont="1" applyFill="1" applyBorder="1" applyAlignment="1">
      <alignment horizontal="center" vertical="center"/>
    </xf>
    <xf numFmtId="0" fontId="32" fillId="0" borderId="1" xfId="3" applyNumberFormat="1" applyFont="1" applyBorder="1" applyAlignment="1">
      <alignment horizontal="center" vertical="center"/>
    </xf>
    <xf numFmtId="0" fontId="12" fillId="6" borderId="1" xfId="3" applyNumberFormat="1" applyFont="1" applyFill="1" applyBorder="1" applyAlignment="1">
      <alignment horizontal="center" vertical="center"/>
    </xf>
    <xf numFmtId="0" fontId="32" fillId="0" borderId="1" xfId="3" applyNumberFormat="1" applyFont="1" applyBorder="1" applyAlignment="1">
      <alignment vertical="center"/>
    </xf>
    <xf numFmtId="0" fontId="62" fillId="4" borderId="0" xfId="3" applyFont="1" applyFill="1" applyBorder="1" applyAlignment="1">
      <alignment vertical="center"/>
    </xf>
    <xf numFmtId="0" fontId="12" fillId="0" borderId="1" xfId="3" applyBorder="1" applyAlignment="1">
      <alignment vertical="center"/>
    </xf>
    <xf numFmtId="0" fontId="26" fillId="22" borderId="84" xfId="3" applyNumberFormat="1" applyFont="1" applyFill="1" applyBorder="1" applyAlignment="1">
      <alignment vertical="center"/>
    </xf>
    <xf numFmtId="0" fontId="12" fillId="0" borderId="84" xfId="3" applyNumberFormat="1" applyFont="1" applyBorder="1" applyAlignment="1">
      <alignment vertical="center"/>
    </xf>
    <xf numFmtId="0" fontId="12" fillId="0" borderId="84" xfId="3" applyNumberFormat="1" applyFont="1" applyBorder="1" applyAlignment="1">
      <alignment horizontal="center" vertical="center"/>
    </xf>
    <xf numFmtId="0" fontId="12" fillId="0" borderId="47" xfId="3" applyNumberFormat="1" applyFont="1" applyBorder="1" applyAlignment="1"/>
    <xf numFmtId="0" fontId="12" fillId="0" borderId="84" xfId="3" applyNumberFormat="1" applyFont="1" applyBorder="1" applyAlignment="1"/>
    <xf numFmtId="0" fontId="32" fillId="0" borderId="99" xfId="3" applyNumberFormat="1" applyFont="1" applyBorder="1" applyAlignment="1"/>
    <xf numFmtId="0" fontId="12" fillId="0" borderId="100" xfId="3" applyNumberFormat="1" applyFont="1" applyBorder="1" applyAlignment="1"/>
    <xf numFmtId="0" fontId="32" fillId="0" borderId="101" xfId="3" applyNumberFormat="1" applyFont="1" applyBorder="1" applyAlignment="1"/>
    <xf numFmtId="0" fontId="12" fillId="0" borderId="1" xfId="3" applyNumberFormat="1" applyFont="1" applyBorder="1" applyAlignment="1">
      <alignment horizontal="center" vertical="center"/>
    </xf>
    <xf numFmtId="0" fontId="12" fillId="0" borderId="4" xfId="3" applyNumberFormat="1" applyFont="1" applyBorder="1" applyAlignment="1">
      <alignment horizontal="center" vertical="center"/>
    </xf>
    <xf numFmtId="0" fontId="26" fillId="22" borderId="81" xfId="3" applyNumberFormat="1" applyFont="1" applyFill="1" applyBorder="1" applyAlignment="1">
      <alignment horizontal="center" vertical="center" wrapText="1"/>
    </xf>
    <xf numFmtId="0" fontId="33" fillId="22" borderId="102" xfId="3" applyNumberFormat="1" applyFont="1" applyFill="1" applyBorder="1" applyAlignment="1">
      <alignment horizontal="center" vertical="center" wrapText="1"/>
    </xf>
    <xf numFmtId="9" fontId="32" fillId="6" borderId="103" xfId="3" applyNumberFormat="1" applyFont="1" applyFill="1" applyBorder="1" applyAlignment="1">
      <alignment horizontal="center" vertical="center" wrapText="1"/>
    </xf>
    <xf numFmtId="0" fontId="32" fillId="0" borderId="102" xfId="3" applyNumberFormat="1" applyFont="1" applyBorder="1" applyAlignment="1">
      <alignment horizontal="center" vertical="center" wrapText="1"/>
    </xf>
    <xf numFmtId="9" fontId="12" fillId="6" borderId="85" xfId="3" applyNumberFormat="1" applyFont="1" applyFill="1" applyBorder="1" applyAlignment="1">
      <alignment horizontal="center" vertical="center"/>
    </xf>
    <xf numFmtId="0" fontId="32" fillId="6" borderId="102" xfId="3" applyNumberFormat="1" applyFont="1" applyFill="1" applyBorder="1" applyAlignment="1">
      <alignment horizontal="center" vertical="center"/>
    </xf>
    <xf numFmtId="178" fontId="32" fillId="6" borderId="102" xfId="3" applyNumberFormat="1" applyFont="1" applyFill="1" applyBorder="1" applyAlignment="1">
      <alignment vertical="center"/>
    </xf>
    <xf numFmtId="176" fontId="32" fillId="0" borderId="102" xfId="3" applyNumberFormat="1" applyFont="1" applyBorder="1" applyAlignment="1">
      <alignment horizontal="center" vertical="center"/>
    </xf>
    <xf numFmtId="177" fontId="33" fillId="6" borderId="81" xfId="3" applyNumberFormat="1" applyFont="1" applyFill="1" applyBorder="1" applyAlignment="1">
      <alignment vertical="center"/>
    </xf>
    <xf numFmtId="177" fontId="32" fillId="6" borderId="81" xfId="3" applyNumberFormat="1" applyFont="1" applyFill="1" applyBorder="1" applyAlignment="1">
      <alignment vertical="center"/>
    </xf>
    <xf numFmtId="177" fontId="32" fillId="6" borderId="4" xfId="3" applyNumberFormat="1" applyFont="1" applyFill="1" applyBorder="1" applyAlignment="1">
      <alignment vertical="center"/>
    </xf>
    <xf numFmtId="0" fontId="66" fillId="22" borderId="81" xfId="3" applyNumberFormat="1" applyFont="1" applyFill="1" applyBorder="1" applyAlignment="1">
      <alignment vertical="center"/>
    </xf>
    <xf numFmtId="0" fontId="67" fillId="22" borderId="81" xfId="3" applyNumberFormat="1" applyFont="1" applyFill="1" applyBorder="1" applyAlignment="1">
      <alignment vertical="center"/>
    </xf>
    <xf numFmtId="0" fontId="32" fillId="0" borderId="81" xfId="3" applyNumberFormat="1" applyFont="1" applyBorder="1" applyAlignment="1">
      <alignment horizontal="center" vertical="center"/>
    </xf>
    <xf numFmtId="0" fontId="32" fillId="0" borderId="78" xfId="3" applyNumberFormat="1" applyFont="1" applyBorder="1" applyAlignment="1">
      <alignment horizontal="center" vertical="center"/>
    </xf>
    <xf numFmtId="0" fontId="12" fillId="6" borderId="81" xfId="3" applyNumberFormat="1" applyFont="1" applyFill="1" applyBorder="1" applyAlignment="1">
      <alignment horizontal="center" vertical="center"/>
    </xf>
    <xf numFmtId="177" fontId="32" fillId="6" borderId="102" xfId="3" applyNumberFormat="1" applyFont="1" applyFill="1" applyBorder="1" applyAlignment="1">
      <alignment horizontal="center" vertical="center"/>
    </xf>
    <xf numFmtId="183" fontId="8" fillId="4" borderId="1" xfId="1" applyNumberFormat="1" applyFont="1" applyFill="1" applyBorder="1" applyProtection="1">
      <protection locked="0"/>
    </xf>
    <xf numFmtId="0" fontId="65" fillId="4" borderId="84" xfId="3" applyNumberFormat="1" applyFont="1" applyFill="1" applyBorder="1" applyAlignment="1">
      <alignment vertical="center"/>
    </xf>
    <xf numFmtId="0" fontId="65" fillId="4" borderId="0" xfId="3" applyNumberFormat="1" applyFont="1" applyFill="1" applyBorder="1" applyAlignment="1">
      <alignment vertical="center"/>
    </xf>
    <xf numFmtId="17" fontId="63" fillId="4" borderId="0" xfId="3" applyNumberFormat="1" applyFont="1" applyFill="1" applyBorder="1" applyAlignment="1">
      <alignment vertical="center"/>
    </xf>
    <xf numFmtId="0" fontId="12" fillId="0" borderId="90" xfId="3" applyNumberFormat="1" applyFont="1" applyBorder="1" applyAlignment="1">
      <alignment vertical="center"/>
    </xf>
    <xf numFmtId="0" fontId="32" fillId="0" borderId="86" xfId="3" applyNumberFormat="1" applyFont="1" applyBorder="1" applyAlignment="1">
      <alignment horizontal="center" vertical="center"/>
    </xf>
    <xf numFmtId="14" fontId="32" fillId="6" borderId="86" xfId="3" applyNumberFormat="1" applyFont="1" applyFill="1" applyBorder="1" applyAlignment="1">
      <alignment horizontal="center" vertical="center"/>
    </xf>
    <xf numFmtId="0" fontId="12" fillId="0" borderId="91" xfId="3" applyNumberFormat="1" applyFont="1" applyBorder="1" applyAlignment="1">
      <alignment vertical="center"/>
    </xf>
    <xf numFmtId="0" fontId="12" fillId="0" borderId="92" xfId="3" applyNumberFormat="1" applyFont="1" applyBorder="1" applyAlignment="1">
      <alignment vertical="center"/>
    </xf>
    <xf numFmtId="0" fontId="32" fillId="0" borderId="88" xfId="3" applyNumberFormat="1" applyFont="1" applyBorder="1" applyAlignment="1">
      <alignment vertical="center"/>
    </xf>
    <xf numFmtId="0" fontId="32" fillId="6" borderId="88" xfId="3" applyNumberFormat="1" applyFont="1" applyFill="1" applyBorder="1" applyAlignment="1">
      <alignment horizontal="center" vertical="center"/>
    </xf>
    <xf numFmtId="0" fontId="12" fillId="0" borderId="20" xfId="3" applyNumberFormat="1" applyFont="1" applyBorder="1" applyAlignment="1">
      <alignment vertical="center"/>
    </xf>
    <xf numFmtId="0" fontId="32" fillId="0" borderId="93" xfId="3" applyNumberFormat="1" applyFont="1" applyBorder="1" applyAlignment="1">
      <alignment horizontal="center" vertical="center"/>
    </xf>
    <xf numFmtId="0" fontId="32" fillId="0" borderId="21" xfId="3" applyNumberFormat="1" applyFont="1" applyBorder="1" applyAlignment="1">
      <alignment horizontal="center" vertical="center"/>
    </xf>
    <xf numFmtId="14" fontId="32" fillId="6" borderId="93" xfId="3" applyNumberFormat="1" applyFont="1" applyFill="1" applyBorder="1" applyAlignment="1">
      <alignment horizontal="center" vertical="center"/>
    </xf>
    <xf numFmtId="0" fontId="12" fillId="0" borderId="104" xfId="3" applyNumberFormat="1" applyFont="1" applyBorder="1" applyAlignment="1">
      <alignment vertical="center"/>
    </xf>
    <xf numFmtId="0" fontId="12" fillId="0" borderId="105" xfId="3" applyNumberFormat="1" applyFont="1" applyBorder="1" applyAlignment="1">
      <alignment vertical="center"/>
    </xf>
    <xf numFmtId="0" fontId="32" fillId="0" borderId="95" xfId="3" applyNumberFormat="1" applyFont="1" applyBorder="1" applyAlignment="1">
      <alignment vertical="center"/>
    </xf>
    <xf numFmtId="17" fontId="32" fillId="6" borderId="95" xfId="3" applyNumberFormat="1" applyFont="1" applyFill="1" applyBorder="1" applyAlignment="1">
      <alignment vertical="center"/>
    </xf>
    <xf numFmtId="0" fontId="64" fillId="23" borderId="0" xfId="3" applyNumberFormat="1" applyFont="1" applyFill="1" applyBorder="1" applyAlignment="1">
      <alignment horizontal="center" vertical="center"/>
    </xf>
    <xf numFmtId="0" fontId="62" fillId="4" borderId="0" xfId="3" applyNumberFormat="1" applyFont="1" applyFill="1" applyBorder="1" applyAlignment="1">
      <alignment horizontal="right"/>
    </xf>
    <xf numFmtId="0" fontId="32" fillId="0" borderId="95" xfId="3" applyNumberFormat="1" applyFont="1" applyBorder="1" applyAlignment="1" applyProtection="1">
      <alignment horizontal="center" vertical="center"/>
      <protection locked="0"/>
    </xf>
    <xf numFmtId="179" fontId="32" fillId="6" borderId="88" xfId="3" applyNumberFormat="1" applyFont="1" applyFill="1" applyBorder="1" applyAlignment="1">
      <alignment horizontal="center" vertical="center"/>
    </xf>
    <xf numFmtId="0" fontId="62" fillId="0" borderId="0" xfId="3" applyNumberFormat="1" applyFont="1" applyBorder="1" applyAlignment="1"/>
    <xf numFmtId="165" fontId="62" fillId="0" borderId="0" xfId="3" applyNumberFormat="1" applyFont="1" applyBorder="1" applyAlignment="1"/>
    <xf numFmtId="165" fontId="62" fillId="0" borderId="0" xfId="6" applyNumberFormat="1" applyFont="1" applyBorder="1" applyAlignment="1">
      <alignment vertical="center"/>
    </xf>
    <xf numFmtId="0" fontId="62" fillId="0" borderId="0" xfId="3" applyFont="1"/>
    <xf numFmtId="4" fontId="62" fillId="0" borderId="0" xfId="3" applyNumberFormat="1" applyFont="1"/>
    <xf numFmtId="0" fontId="65" fillId="0" borderId="0" xfId="3" applyFont="1"/>
    <xf numFmtId="4" fontId="12" fillId="0" borderId="106" xfId="3" applyNumberFormat="1" applyBorder="1" applyAlignment="1">
      <alignment horizontal="center" vertical="center"/>
    </xf>
    <xf numFmtId="171" fontId="26" fillId="10" borderId="107" xfId="3" applyNumberFormat="1" applyFont="1" applyFill="1" applyBorder="1" applyAlignment="1">
      <alignment horizontal="center" vertical="center"/>
    </xf>
    <xf numFmtId="171" fontId="26" fillId="10" borderId="108" xfId="3" applyNumberFormat="1" applyFont="1" applyFill="1" applyBorder="1" applyAlignment="1">
      <alignment horizontal="center" vertical="center"/>
    </xf>
    <xf numFmtId="171" fontId="26" fillId="10" borderId="109" xfId="3" applyNumberFormat="1" applyFont="1" applyFill="1" applyBorder="1" applyAlignment="1">
      <alignment horizontal="center" vertical="center"/>
    </xf>
    <xf numFmtId="0" fontId="26" fillId="0" borderId="31" xfId="3" applyFont="1" applyBorder="1" applyAlignment="1">
      <alignment horizontal="center" vertical="center"/>
    </xf>
    <xf numFmtId="171" fontId="12" fillId="0" borderId="0" xfId="3" applyNumberFormat="1"/>
    <xf numFmtId="164" fontId="15" fillId="4" borderId="1" xfId="1" applyFont="1" applyFill="1" applyBorder="1" applyAlignment="1" applyProtection="1">
      <alignment horizontal="center" vertical="center"/>
      <protection locked="0"/>
    </xf>
    <xf numFmtId="10" fontId="16" fillId="0" borderId="0" xfId="3" applyNumberFormat="1" applyFont="1" applyAlignment="1">
      <alignment vertical="center"/>
    </xf>
    <xf numFmtId="167" fontId="12" fillId="0" borderId="0" xfId="3" applyNumberFormat="1" applyAlignment="1">
      <alignment vertical="center"/>
    </xf>
    <xf numFmtId="9" fontId="12" fillId="6" borderId="52" xfId="3" applyNumberFormat="1" applyFont="1" applyFill="1" applyBorder="1" applyAlignment="1" applyProtection="1">
      <alignment horizontal="center" vertical="center"/>
    </xf>
    <xf numFmtId="167" fontId="12" fillId="6" borderId="111" xfId="3" applyNumberFormat="1" applyFont="1" applyFill="1" applyBorder="1" applyAlignment="1" applyProtection="1">
      <alignment horizontal="right" vertical="center"/>
    </xf>
    <xf numFmtId="167" fontId="12" fillId="13" borderId="111" xfId="5" applyNumberFormat="1" applyFont="1" applyFill="1" applyBorder="1" applyAlignment="1" applyProtection="1">
      <alignment horizontal="right" vertical="center"/>
      <protection locked="0"/>
    </xf>
    <xf numFmtId="181" fontId="12" fillId="6" borderId="1" xfId="1" applyNumberFormat="1" applyFont="1" applyFill="1" applyBorder="1" applyAlignment="1" applyProtection="1">
      <alignment horizontal="center" vertical="center"/>
    </xf>
    <xf numFmtId="9" fontId="12" fillId="6" borderId="1" xfId="3" applyNumberFormat="1" applyFont="1" applyFill="1" applyBorder="1" applyAlignment="1" applyProtection="1">
      <alignment horizontal="center" vertical="center"/>
    </xf>
    <xf numFmtId="0" fontId="12" fillId="6" borderId="1" xfId="3" applyFont="1" applyFill="1" applyBorder="1" applyAlignment="1" applyProtection="1">
      <alignment horizontal="center" vertical="center"/>
    </xf>
    <xf numFmtId="9" fontId="12" fillId="6" borderId="1" xfId="2" applyFont="1" applyFill="1" applyBorder="1" applyAlignment="1" applyProtection="1">
      <alignment horizontal="center" vertical="center"/>
    </xf>
    <xf numFmtId="0" fontId="65" fillId="15" borderId="0" xfId="3" applyFont="1" applyFill="1" applyAlignment="1">
      <alignment horizontal="center" vertical="center"/>
    </xf>
    <xf numFmtId="0" fontId="8" fillId="2" borderId="1" xfId="1" applyNumberFormat="1" applyFont="1" applyFill="1" applyBorder="1" applyProtection="1">
      <protection locked="0"/>
    </xf>
    <xf numFmtId="164" fontId="8" fillId="4" borderId="1" xfId="1" applyFont="1" applyFill="1" applyBorder="1" applyAlignment="1">
      <alignment horizontal="center"/>
    </xf>
    <xf numFmtId="164" fontId="15" fillId="0" borderId="1" xfId="1" applyFont="1" applyBorder="1" applyAlignment="1">
      <alignment horizontal="center" vertical="center"/>
    </xf>
    <xf numFmtId="164" fontId="15" fillId="4" borderId="1" xfId="1" applyFont="1" applyFill="1" applyBorder="1" applyAlignment="1" applyProtection="1">
      <alignment horizontal="center" vertical="center"/>
      <protection locked="0"/>
    </xf>
    <xf numFmtId="165" fontId="36" fillId="0" borderId="0" xfId="3" applyNumberFormat="1" applyFont="1" applyBorder="1" applyAlignment="1">
      <alignment vertical="center"/>
    </xf>
    <xf numFmtId="180" fontId="8" fillId="6" borderId="0" xfId="6" applyNumberFormat="1" applyFont="1" applyFill="1" applyBorder="1" applyAlignment="1" applyProtection="1">
      <alignment horizontal="center" vertical="center"/>
    </xf>
    <xf numFmtId="164" fontId="8" fillId="0" borderId="78" xfId="0" applyNumberFormat="1" applyFont="1" applyBorder="1" applyAlignment="1">
      <alignment horizontal="center"/>
    </xf>
    <xf numFmtId="0" fontId="8" fillId="22" borderId="85" xfId="0" applyFont="1" applyFill="1" applyBorder="1" applyAlignment="1">
      <alignment horizontal="center"/>
    </xf>
    <xf numFmtId="0" fontId="8" fillId="22" borderId="81" xfId="0" applyFont="1" applyFill="1" applyBorder="1" applyAlignment="1">
      <alignment horizontal="center"/>
    </xf>
    <xf numFmtId="0" fontId="8" fillId="0" borderId="81" xfId="0" applyFont="1" applyBorder="1" applyAlignment="1">
      <alignment horizontal="center"/>
    </xf>
    <xf numFmtId="9" fontId="8" fillId="6" borderId="81" xfId="2" applyNumberFormat="1" applyFont="1" applyFill="1" applyBorder="1" applyAlignment="1">
      <alignment horizontal="center"/>
    </xf>
    <xf numFmtId="164" fontId="8" fillId="6" borderId="81" xfId="0" applyNumberFormat="1" applyFont="1" applyFill="1" applyBorder="1" applyAlignment="1">
      <alignment horizontal="center"/>
    </xf>
    <xf numFmtId="164" fontId="8" fillId="0" borderId="81" xfId="0" applyNumberFormat="1" applyFont="1" applyBorder="1" applyAlignment="1">
      <alignment horizontal="center"/>
    </xf>
    <xf numFmtId="9" fontId="8" fillId="4" borderId="78" xfId="2" applyNumberFormat="1" applyFont="1" applyFill="1" applyBorder="1" applyAlignment="1">
      <alignment horizontal="center"/>
    </xf>
    <xf numFmtId="164" fontId="8" fillId="6" borderId="81" xfId="1" applyNumberFormat="1" applyFont="1" applyFill="1" applyBorder="1" applyAlignment="1">
      <alignment horizontal="center"/>
    </xf>
    <xf numFmtId="164" fontId="8" fillId="6" borderId="78" xfId="0" applyNumberFormat="1" applyFont="1" applyFill="1" applyBorder="1" applyAlignment="1">
      <alignment horizontal="center"/>
    </xf>
    <xf numFmtId="164" fontId="8" fillId="6" borderId="78" xfId="1" applyNumberFormat="1" applyFont="1" applyFill="1" applyBorder="1" applyAlignment="1">
      <alignment horizontal="center"/>
    </xf>
    <xf numFmtId="0" fontId="68" fillId="22" borderId="0" xfId="0" applyFont="1" applyFill="1" applyBorder="1" applyAlignment="1">
      <alignment horizontal="center"/>
    </xf>
    <xf numFmtId="0" fontId="8" fillId="0" borderId="1" xfId="0" applyFont="1" applyBorder="1" applyAlignment="1">
      <alignment horizontal="center" wrapText="1"/>
    </xf>
    <xf numFmtId="9" fontId="8" fillId="4" borderId="82" xfId="2" applyNumberFormat="1" applyFont="1" applyFill="1" applyBorder="1" applyAlignment="1">
      <alignment horizontal="center"/>
    </xf>
    <xf numFmtId="9" fontId="8" fillId="0" borderId="11" xfId="2" applyNumberFormat="1" applyFont="1" applyBorder="1" applyAlignment="1">
      <alignment horizontal="center"/>
    </xf>
    <xf numFmtId="9" fontId="8" fillId="0" borderId="0" xfId="2" applyNumberFormat="1" applyFont="1" applyBorder="1" applyAlignment="1">
      <alignment horizontal="center"/>
    </xf>
    <xf numFmtId="9" fontId="8" fillId="0" borderId="15" xfId="2" applyNumberFormat="1" applyFont="1" applyBorder="1" applyAlignment="1">
      <alignment horizontal="center"/>
    </xf>
    <xf numFmtId="9" fontId="8" fillId="0" borderId="9" xfId="2" applyNumberFormat="1" applyFont="1" applyBorder="1" applyAlignment="1">
      <alignment horizontal="center"/>
    </xf>
    <xf numFmtId="164" fontId="8" fillId="0" borderId="10" xfId="0" applyNumberFormat="1" applyFont="1" applyBorder="1" applyAlignment="1">
      <alignment horizontal="center"/>
    </xf>
    <xf numFmtId="9" fontId="8" fillId="4" borderId="16" xfId="2" applyNumberFormat="1" applyFont="1" applyFill="1" applyBorder="1" applyAlignment="1">
      <alignment horizontal="center"/>
    </xf>
    <xf numFmtId="1" fontId="8" fillId="4" borderId="1" xfId="1" applyNumberFormat="1" applyFont="1" applyFill="1" applyBorder="1" applyAlignment="1" applyProtection="1">
      <alignment horizontal="center" vertical="center"/>
      <protection locked="0"/>
    </xf>
    <xf numFmtId="1" fontId="16" fillId="0" borderId="0" xfId="3" applyNumberFormat="1" applyFont="1" applyAlignment="1">
      <alignment vertical="center"/>
    </xf>
    <xf numFmtId="0" fontId="8" fillId="4" borderId="1" xfId="1" applyNumberFormat="1" applyFont="1" applyFill="1" applyBorder="1" applyAlignment="1" applyProtection="1">
      <alignment horizontal="center" vertical="center"/>
    </xf>
    <xf numFmtId="0" fontId="69" fillId="0" borderId="0" xfId="0" applyFont="1"/>
    <xf numFmtId="164" fontId="69" fillId="4" borderId="0" xfId="1" applyFont="1" applyFill="1" applyBorder="1"/>
    <xf numFmtId="164" fontId="69" fillId="4" borderId="0" xfId="0" applyNumberFormat="1" applyFont="1" applyFill="1" applyBorder="1" applyAlignment="1">
      <alignment horizontal="right" vertical="center"/>
    </xf>
    <xf numFmtId="0" fontId="69" fillId="0" borderId="1" xfId="0" applyFont="1" applyBorder="1"/>
    <xf numFmtId="164" fontId="71" fillId="4" borderId="0" xfId="1" applyFont="1" applyFill="1" applyBorder="1"/>
    <xf numFmtId="0" fontId="69" fillId="0" borderId="1" xfId="0" applyFont="1" applyBorder="1" applyAlignment="1">
      <alignment horizontal="center" vertical="center"/>
    </xf>
    <xf numFmtId="0" fontId="69" fillId="2" borderId="1" xfId="0" applyFont="1" applyFill="1" applyBorder="1" applyAlignment="1" applyProtection="1">
      <alignment horizontal="center" vertical="center"/>
      <protection locked="0"/>
    </xf>
    <xf numFmtId="0" fontId="69" fillId="0" borderId="1" xfId="0" applyFont="1" applyBorder="1" applyAlignment="1">
      <alignment horizontal="center"/>
    </xf>
    <xf numFmtId="0" fontId="69" fillId="4" borderId="0" xfId="0" applyFont="1" applyFill="1" applyAlignment="1">
      <alignment horizontal="center" vertical="center"/>
    </xf>
    <xf numFmtId="0" fontId="69" fillId="4" borderId="0" xfId="0" applyFont="1" applyFill="1" applyAlignment="1">
      <alignment horizontal="center"/>
    </xf>
    <xf numFmtId="0" fontId="72" fillId="4" borderId="16" xfId="0" applyFont="1" applyFill="1" applyBorder="1"/>
    <xf numFmtId="166" fontId="71" fillId="6" borderId="1" xfId="2" applyNumberFormat="1" applyFont="1" applyFill="1" applyBorder="1" applyAlignment="1">
      <alignment horizontal="center" vertical="center"/>
    </xf>
    <xf numFmtId="0" fontId="73" fillId="4" borderId="9" xfId="0" applyFont="1" applyFill="1" applyBorder="1" applyAlignment="1">
      <alignment horizontal="center" vertical="center"/>
    </xf>
    <xf numFmtId="0" fontId="71" fillId="6" borderId="16" xfId="0" applyFont="1" applyFill="1" applyBorder="1" applyAlignment="1">
      <alignment horizontal="center"/>
    </xf>
    <xf numFmtId="166" fontId="74" fillId="6" borderId="2" xfId="2" applyNumberFormat="1" applyFont="1" applyFill="1" applyBorder="1" applyAlignment="1">
      <alignment horizontal="center" vertical="center"/>
    </xf>
    <xf numFmtId="0" fontId="71" fillId="6" borderId="2" xfId="0" applyFont="1" applyFill="1" applyBorder="1" applyAlignment="1">
      <alignment horizontal="center" vertical="center"/>
    </xf>
    <xf numFmtId="0" fontId="69" fillId="6" borderId="3" xfId="0" applyFont="1" applyFill="1" applyBorder="1"/>
    <xf numFmtId="164" fontId="69" fillId="6" borderId="1" xfId="1" applyFont="1" applyFill="1" applyBorder="1" applyAlignment="1">
      <alignment horizontal="right" vertical="center"/>
    </xf>
    <xf numFmtId="164" fontId="69" fillId="6" borderId="1" xfId="0" applyNumberFormat="1" applyFont="1" applyFill="1" applyBorder="1" applyAlignment="1">
      <alignment horizontal="right" vertical="center"/>
    </xf>
    <xf numFmtId="0" fontId="69" fillId="0" borderId="0" xfId="0" applyFont="1" applyAlignment="1">
      <alignment horizontal="right" vertical="center"/>
    </xf>
    <xf numFmtId="0" fontId="70" fillId="6" borderId="3" xfId="0" applyFont="1" applyFill="1" applyBorder="1" applyAlignment="1">
      <alignment horizontal="right"/>
    </xf>
    <xf numFmtId="164" fontId="72" fillId="4" borderId="0" xfId="1" applyFont="1" applyFill="1" applyBorder="1"/>
    <xf numFmtId="0" fontId="70" fillId="6" borderId="82" xfId="0" applyFont="1" applyFill="1" applyBorder="1" applyAlignment="1">
      <alignment horizontal="right"/>
    </xf>
    <xf numFmtId="164" fontId="69" fillId="6" borderId="81" xfId="1" applyFont="1" applyFill="1" applyBorder="1" applyAlignment="1">
      <alignment horizontal="right" vertical="center"/>
    </xf>
    <xf numFmtId="164" fontId="69" fillId="6" borderId="82" xfId="1" applyFont="1" applyFill="1" applyBorder="1" applyAlignment="1">
      <alignment horizontal="right" vertical="center"/>
    </xf>
    <xf numFmtId="166" fontId="69" fillId="6" borderId="2" xfId="0" applyNumberFormat="1" applyFont="1" applyFill="1" applyBorder="1" applyAlignment="1">
      <alignment horizontal="center" vertical="center"/>
    </xf>
    <xf numFmtId="166" fontId="69" fillId="6" borderId="1" xfId="1" applyNumberFormat="1" applyFont="1" applyFill="1" applyBorder="1" applyAlignment="1">
      <alignment horizontal="center"/>
    </xf>
    <xf numFmtId="164" fontId="69" fillId="6" borderId="0" xfId="1" applyFont="1" applyFill="1" applyBorder="1"/>
    <xf numFmtId="164" fontId="69" fillId="4" borderId="10" xfId="1" applyFont="1" applyFill="1" applyBorder="1"/>
    <xf numFmtId="0" fontId="70" fillId="0" borderId="16" xfId="0" applyFont="1" applyBorder="1" applyAlignment="1">
      <alignment horizontal="center" vertical="center"/>
    </xf>
    <xf numFmtId="0" fontId="70" fillId="0" borderId="15" xfId="0" applyFont="1" applyBorder="1" applyAlignment="1">
      <alignment horizontal="center" vertical="center"/>
    </xf>
    <xf numFmtId="0" fontId="76" fillId="0" borderId="0" xfId="0" applyFont="1" applyBorder="1" applyAlignment="1">
      <alignment horizontal="center" vertical="center"/>
    </xf>
    <xf numFmtId="0" fontId="70" fillId="0" borderId="10" xfId="0" applyFont="1" applyBorder="1" applyAlignment="1">
      <alignment horizontal="center" vertical="center"/>
    </xf>
    <xf numFmtId="0" fontId="72" fillId="0" borderId="0" xfId="0" applyFont="1"/>
    <xf numFmtId="164" fontId="72" fillId="4" borderId="0" xfId="1" applyFont="1" applyFill="1" applyBorder="1" applyAlignment="1">
      <alignment horizontal="center" vertical="center"/>
    </xf>
    <xf numFmtId="0" fontId="70" fillId="6" borderId="3" xfId="0" applyFont="1" applyFill="1" applyBorder="1" applyAlignment="1">
      <alignment horizontal="center" vertical="center"/>
    </xf>
    <xf numFmtId="0" fontId="70" fillId="6" borderId="1" xfId="0" applyFont="1" applyFill="1" applyBorder="1" applyAlignment="1">
      <alignment horizontal="center" vertical="center"/>
    </xf>
    <xf numFmtId="181" fontId="70" fillId="6" borderId="1" xfId="0" applyNumberFormat="1" applyFont="1" applyFill="1" applyBorder="1" applyAlignment="1">
      <alignment horizontal="center" vertical="center"/>
    </xf>
    <xf numFmtId="181" fontId="70" fillId="0" borderId="1" xfId="1" applyNumberFormat="1" applyFont="1" applyBorder="1" applyAlignment="1" applyProtection="1">
      <alignment horizontal="center" vertical="center"/>
      <protection locked="0"/>
    </xf>
    <xf numFmtId="164" fontId="69" fillId="4" borderId="0" xfId="1" applyFont="1" applyFill="1" applyBorder="1" applyAlignment="1">
      <alignment horizontal="center" vertical="center"/>
    </xf>
    <xf numFmtId="181" fontId="70" fillId="6" borderId="1" xfId="1" applyNumberFormat="1" applyFont="1" applyFill="1" applyBorder="1" applyAlignment="1">
      <alignment horizontal="center" vertical="center"/>
    </xf>
    <xf numFmtId="181" fontId="69" fillId="4" borderId="0" xfId="1" applyNumberFormat="1" applyFont="1" applyFill="1" applyBorder="1"/>
    <xf numFmtId="0" fontId="70" fillId="6" borderId="82" xfId="0" applyFont="1" applyFill="1" applyBorder="1" applyAlignment="1">
      <alignment horizontal="center" vertical="center"/>
    </xf>
    <xf numFmtId="0" fontId="70" fillId="6" borderId="12" xfId="0" applyFont="1" applyFill="1" applyBorder="1" applyAlignment="1">
      <alignment horizontal="center" vertical="center"/>
    </xf>
    <xf numFmtId="181" fontId="70" fillId="6" borderId="12" xfId="0" applyNumberFormat="1" applyFont="1" applyFill="1" applyBorder="1" applyAlignment="1">
      <alignment horizontal="center" vertical="center"/>
    </xf>
    <xf numFmtId="181" fontId="70" fillId="0" borderId="12" xfId="1" applyNumberFormat="1" applyFont="1" applyBorder="1" applyAlignment="1" applyProtection="1">
      <alignment horizontal="center" vertical="center"/>
      <protection locked="0"/>
    </xf>
    <xf numFmtId="181" fontId="70" fillId="6" borderId="12" xfId="1" applyNumberFormat="1" applyFont="1" applyFill="1" applyBorder="1" applyAlignment="1">
      <alignment horizontal="center" vertical="center"/>
    </xf>
    <xf numFmtId="164" fontId="69" fillId="4" borderId="0" xfId="1" applyNumberFormat="1" applyFont="1" applyFill="1" applyBorder="1" applyAlignment="1">
      <alignment horizontal="center" vertical="center"/>
    </xf>
    <xf numFmtId="0" fontId="70" fillId="0" borderId="0" xfId="0" applyFont="1" applyBorder="1" applyAlignment="1">
      <alignment horizontal="center" vertical="center"/>
    </xf>
    <xf numFmtId="181" fontId="70" fillId="0" borderId="0" xfId="0" applyNumberFormat="1" applyFont="1" applyBorder="1" applyAlignment="1">
      <alignment horizontal="center" vertical="center"/>
    </xf>
    <xf numFmtId="181" fontId="70" fillId="0" borderId="0" xfId="1" applyNumberFormat="1" applyFont="1" applyBorder="1" applyAlignment="1">
      <alignment horizontal="center" vertical="center"/>
    </xf>
    <xf numFmtId="0" fontId="69" fillId="0" borderId="1" xfId="0" applyFont="1" applyBorder="1" applyAlignment="1">
      <alignment horizontal="center" vertical="center" wrapText="1"/>
    </xf>
    <xf numFmtId="166" fontId="69" fillId="0" borderId="1" xfId="0" applyNumberFormat="1" applyFont="1" applyBorder="1" applyAlignment="1">
      <alignment horizontal="center" vertical="center"/>
    </xf>
    <xf numFmtId="0" fontId="77" fillId="22" borderId="0" xfId="0" applyFont="1" applyFill="1" applyAlignment="1"/>
    <xf numFmtId="164" fontId="77" fillId="20" borderId="84" xfId="1" applyNumberFormat="1" applyFont="1" applyFill="1" applyBorder="1"/>
    <xf numFmtId="0" fontId="77" fillId="20" borderId="85" xfId="0" applyFont="1" applyFill="1" applyBorder="1" applyAlignment="1">
      <alignment vertical="center"/>
    </xf>
    <xf numFmtId="166" fontId="77" fillId="20" borderId="81" xfId="0" applyNumberFormat="1" applyFont="1" applyFill="1" applyBorder="1" applyAlignment="1">
      <alignment horizontal="center"/>
    </xf>
    <xf numFmtId="166" fontId="77" fillId="20" borderId="81" xfId="0" applyNumberFormat="1" applyFont="1" applyFill="1" applyBorder="1" applyAlignment="1">
      <alignment horizontal="center" vertical="center" wrapText="1"/>
    </xf>
    <xf numFmtId="0" fontId="77" fillId="20" borderId="11" xfId="0" applyFont="1" applyFill="1" applyBorder="1" applyAlignment="1">
      <alignment horizontal="center" vertical="center"/>
    </xf>
    <xf numFmtId="0" fontId="77" fillId="20" borderId="81" xfId="0" applyFont="1" applyFill="1" applyBorder="1" applyAlignment="1">
      <alignment vertical="center" wrapText="1"/>
    </xf>
    <xf numFmtId="0" fontId="77" fillId="20" borderId="12" xfId="0" applyFont="1" applyFill="1" applyBorder="1" applyAlignment="1">
      <alignment vertical="center" wrapText="1"/>
    </xf>
    <xf numFmtId="0" fontId="69" fillId="20" borderId="20" xfId="0" applyFont="1" applyFill="1" applyBorder="1" applyAlignment="1">
      <alignment horizontal="center" vertical="center" textRotation="90"/>
    </xf>
    <xf numFmtId="0" fontId="69" fillId="0" borderId="93" xfId="0" applyFont="1" applyBorder="1" applyAlignment="1">
      <alignment horizontal="center" vertical="center"/>
    </xf>
    <xf numFmtId="0" fontId="69" fillId="0" borderId="93" xfId="0" applyFont="1" applyBorder="1"/>
    <xf numFmtId="164" fontId="69" fillId="6" borderId="93" xfId="1" applyNumberFormat="1" applyFont="1" applyFill="1" applyBorder="1"/>
    <xf numFmtId="167" fontId="69" fillId="6" borderId="93" xfId="0" applyNumberFormat="1" applyFont="1" applyFill="1" applyBorder="1"/>
    <xf numFmtId="167" fontId="69" fillId="6" borderId="93" xfId="1" applyNumberFormat="1" applyFont="1" applyFill="1" applyBorder="1"/>
    <xf numFmtId="9" fontId="69" fillId="5" borderId="93" xfId="2" applyNumberFormat="1" applyFont="1" applyFill="1" applyBorder="1"/>
    <xf numFmtId="164" fontId="69" fillId="5" borderId="94" xfId="1" applyNumberFormat="1" applyFont="1" applyFill="1" applyBorder="1" applyAlignment="1"/>
    <xf numFmtId="164" fontId="69" fillId="4" borderId="0" xfId="1" applyFont="1" applyFill="1" applyBorder="1" applyAlignment="1"/>
    <xf numFmtId="0" fontId="69" fillId="20" borderId="22" xfId="0" applyFont="1" applyFill="1" applyBorder="1" applyAlignment="1">
      <alignment horizontal="center" vertical="center" textRotation="90"/>
    </xf>
    <xf numFmtId="0" fontId="69" fillId="0" borderId="81" xfId="0" applyFont="1" applyBorder="1" applyAlignment="1">
      <alignment horizontal="center" vertical="center"/>
    </xf>
    <xf numFmtId="0" fontId="69" fillId="0" borderId="81" xfId="0" applyFont="1" applyBorder="1" applyAlignment="1">
      <alignment horizontal="left" vertical="top" wrapText="1"/>
    </xf>
    <xf numFmtId="167" fontId="69" fillId="0" borderId="81" xfId="1" applyNumberFormat="1" applyFont="1" applyBorder="1"/>
    <xf numFmtId="167" fontId="71" fillId="4" borderId="81" xfId="1" applyNumberFormat="1" applyFont="1" applyFill="1" applyBorder="1"/>
    <xf numFmtId="164" fontId="69" fillId="6" borderId="81" xfId="1" applyNumberFormat="1" applyFont="1" applyFill="1" applyBorder="1"/>
    <xf numFmtId="9" fontId="69" fillId="5" borderId="81" xfId="2" applyNumberFormat="1" applyFont="1" applyFill="1" applyBorder="1"/>
    <xf numFmtId="164" fontId="69" fillId="5" borderId="87" xfId="1" applyNumberFormat="1" applyFont="1" applyFill="1" applyBorder="1" applyAlignment="1"/>
    <xf numFmtId="0" fontId="69" fillId="0" borderId="81" xfId="0" applyFont="1" applyBorder="1" applyAlignment="1">
      <alignment wrapText="1"/>
    </xf>
    <xf numFmtId="167" fontId="69" fillId="4" borderId="81" xfId="1" applyNumberFormat="1" applyFont="1" applyFill="1" applyBorder="1"/>
    <xf numFmtId="10" fontId="69" fillId="6" borderId="81" xfId="2" applyNumberFormat="1" applyFont="1" applyFill="1" applyBorder="1"/>
    <xf numFmtId="0" fontId="69" fillId="0" borderId="81" xfId="0" applyFont="1" applyBorder="1"/>
    <xf numFmtId="167" fontId="69" fillId="6" borderId="81" xfId="1" applyNumberFormat="1" applyFont="1" applyFill="1" applyBorder="1"/>
    <xf numFmtId="9" fontId="69" fillId="4" borderId="87" xfId="2" applyNumberFormat="1" applyFont="1" applyFill="1" applyBorder="1" applyAlignment="1"/>
    <xf numFmtId="0" fontId="69" fillId="3" borderId="81" xfId="0" applyFont="1" applyFill="1" applyBorder="1" applyAlignment="1">
      <alignment horizontal="center" vertical="center"/>
    </xf>
    <xf numFmtId="0" fontId="69" fillId="3" borderId="81" xfId="0" applyFont="1" applyFill="1" applyBorder="1"/>
    <xf numFmtId="0" fontId="69" fillId="3" borderId="81" xfId="0" applyFont="1" applyFill="1" applyBorder="1" applyAlignment="1">
      <alignment wrapText="1"/>
    </xf>
    <xf numFmtId="164" fontId="69" fillId="6" borderId="81" xfId="0" applyNumberFormat="1" applyFont="1" applyFill="1" applyBorder="1"/>
    <xf numFmtId="164" fontId="69" fillId="4" borderId="85" xfId="1" applyNumberFormat="1" applyFont="1" applyFill="1" applyBorder="1"/>
    <xf numFmtId="164" fontId="69" fillId="4" borderId="89" xfId="1" applyNumberFormat="1" applyFont="1" applyFill="1" applyBorder="1"/>
    <xf numFmtId="0" fontId="69" fillId="4" borderId="81" xfId="0" applyFont="1" applyFill="1" applyBorder="1"/>
    <xf numFmtId="181" fontId="69" fillId="6" borderId="81" xfId="1" applyNumberFormat="1" applyFont="1" applyFill="1" applyBorder="1"/>
    <xf numFmtId="0" fontId="69" fillId="0" borderId="81" xfId="0" applyFont="1" applyBorder="1" applyAlignment="1">
      <alignment vertical="center" wrapText="1"/>
    </xf>
    <xf numFmtId="164" fontId="69" fillId="6" borderId="81" xfId="0" applyNumberFormat="1" applyFont="1" applyFill="1" applyBorder="1" applyAlignment="1"/>
    <xf numFmtId="0" fontId="69" fillId="20" borderId="21" xfId="0" applyFont="1" applyFill="1" applyBorder="1" applyAlignment="1">
      <alignment horizontal="center" vertical="center" textRotation="90"/>
    </xf>
    <xf numFmtId="0" fontId="69" fillId="0" borderId="20" xfId="0" applyFont="1" applyBorder="1" applyAlignment="1">
      <alignment horizontal="center" vertical="center"/>
    </xf>
    <xf numFmtId="0" fontId="69" fillId="20" borderId="0" xfId="0" applyFont="1" applyFill="1" applyBorder="1" applyAlignment="1">
      <alignment horizontal="center" vertical="center" textRotation="90"/>
    </xf>
    <xf numFmtId="0" fontId="69" fillId="0" borderId="104" xfId="0" applyFont="1" applyBorder="1" applyAlignment="1">
      <alignment horizontal="center" vertical="center"/>
    </xf>
    <xf numFmtId="184" fontId="69" fillId="4" borderId="85" xfId="1" applyNumberFormat="1" applyFont="1" applyFill="1" applyBorder="1" applyAlignment="1">
      <alignment horizontal="center"/>
    </xf>
    <xf numFmtId="184" fontId="69" fillId="4" borderId="78" xfId="1" applyNumberFormat="1" applyFont="1" applyFill="1" applyBorder="1"/>
    <xf numFmtId="0" fontId="69" fillId="3" borderId="104" xfId="0" applyFont="1" applyFill="1" applyBorder="1" applyAlignment="1">
      <alignment horizontal="center" vertical="center"/>
    </xf>
    <xf numFmtId="164" fontId="69" fillId="6" borderId="81" xfId="1" applyNumberFormat="1" applyFont="1" applyFill="1" applyBorder="1" applyAlignment="1">
      <alignment horizontal="right"/>
    </xf>
    <xf numFmtId="0" fontId="69" fillId="3" borderId="114" xfId="0" applyFont="1" applyFill="1" applyBorder="1" applyAlignment="1">
      <alignment horizontal="center" vertical="center"/>
    </xf>
    <xf numFmtId="0" fontId="69" fillId="3" borderId="112" xfId="0" applyFont="1" applyFill="1" applyBorder="1"/>
    <xf numFmtId="164" fontId="69" fillId="6" borderId="112" xfId="0" applyNumberFormat="1" applyFont="1" applyFill="1" applyBorder="1" applyAlignment="1"/>
    <xf numFmtId="164" fontId="69" fillId="6" borderId="112" xfId="1" applyNumberFormat="1" applyFont="1" applyFill="1" applyBorder="1" applyAlignment="1"/>
    <xf numFmtId="164" fontId="69" fillId="21" borderId="112" xfId="1" applyNumberFormat="1" applyFont="1" applyFill="1" applyBorder="1" applyAlignment="1"/>
    <xf numFmtId="164" fontId="69" fillId="4" borderId="113" xfId="1" applyNumberFormat="1" applyFont="1" applyFill="1" applyBorder="1" applyAlignment="1"/>
    <xf numFmtId="0" fontId="69" fillId="0" borderId="0" xfId="0" applyFont="1" applyAlignment="1"/>
    <xf numFmtId="0" fontId="69" fillId="0" borderId="15" xfId="0" applyFont="1" applyBorder="1" applyAlignment="1"/>
    <xf numFmtId="0" fontId="69" fillId="2" borderId="1" xfId="0" applyNumberFormat="1" applyFont="1" applyFill="1" applyBorder="1"/>
    <xf numFmtId="164" fontId="69" fillId="6" borderId="1" xfId="1" applyNumberFormat="1" applyFont="1" applyFill="1" applyBorder="1" applyAlignment="1">
      <alignment horizontal="center"/>
    </xf>
    <xf numFmtId="184" fontId="69" fillId="4" borderId="11" xfId="0" applyNumberFormat="1" applyFont="1" applyFill="1" applyBorder="1" applyAlignment="1"/>
    <xf numFmtId="184" fontId="69" fillId="4" borderId="0" xfId="0" applyNumberFormat="1" applyFont="1" applyFill="1" applyBorder="1" applyAlignment="1"/>
    <xf numFmtId="49" fontId="69" fillId="0" borderId="1" xfId="0" applyNumberFormat="1" applyFont="1" applyBorder="1" applyAlignment="1">
      <alignment horizontal="center" vertical="center"/>
    </xf>
    <xf numFmtId="164" fontId="69" fillId="6" borderId="1" xfId="0" applyNumberFormat="1" applyFont="1" applyFill="1" applyBorder="1" applyAlignment="1"/>
    <xf numFmtId="0" fontId="69" fillId="6" borderId="1" xfId="0" applyFont="1" applyFill="1" applyBorder="1" applyAlignment="1"/>
    <xf numFmtId="164" fontId="69" fillId="6" borderId="1" xfId="1" applyFont="1" applyFill="1" applyBorder="1" applyAlignment="1">
      <alignment horizontal="center"/>
    </xf>
    <xf numFmtId="184" fontId="69" fillId="4" borderId="11" xfId="1" applyNumberFormat="1" applyFont="1" applyFill="1" applyBorder="1" applyAlignment="1"/>
    <xf numFmtId="164" fontId="69" fillId="2" borderId="1" xfId="0" applyNumberFormat="1" applyFont="1" applyFill="1" applyBorder="1" applyAlignment="1">
      <alignment horizontal="left" vertical="top"/>
    </xf>
    <xf numFmtId="184" fontId="69" fillId="4" borderId="0" xfId="1" applyNumberFormat="1" applyFont="1" applyFill="1" applyBorder="1"/>
    <xf numFmtId="0" fontId="69" fillId="2" borderId="1" xfId="0" applyFont="1" applyFill="1" applyBorder="1"/>
    <xf numFmtId="184" fontId="69" fillId="4" borderId="11" xfId="1" applyNumberFormat="1" applyFont="1" applyFill="1" applyBorder="1" applyAlignment="1">
      <alignment horizontal="center"/>
    </xf>
    <xf numFmtId="184" fontId="69" fillId="4" borderId="9" xfId="1" applyNumberFormat="1" applyFont="1" applyFill="1" applyBorder="1" applyAlignment="1"/>
    <xf numFmtId="184" fontId="69" fillId="4" borderId="10" xfId="1" applyNumberFormat="1" applyFont="1" applyFill="1" applyBorder="1"/>
    <xf numFmtId="164" fontId="69" fillId="4" borderId="0" xfId="1" applyFont="1" applyFill="1" applyBorder="1" applyAlignment="1">
      <alignment horizontal="center"/>
    </xf>
    <xf numFmtId="0" fontId="69" fillId="0" borderId="1" xfId="0" applyFont="1" applyFill="1" applyBorder="1"/>
    <xf numFmtId="164" fontId="69" fillId="3" borderId="96" xfId="1" applyFont="1" applyFill="1" applyBorder="1" applyAlignment="1" applyProtection="1">
      <protection locked="0"/>
    </xf>
    <xf numFmtId="164" fontId="69" fillId="0" borderId="3" xfId="1" applyFont="1" applyBorder="1" applyAlignment="1" applyProtection="1">
      <protection locked="0"/>
    </xf>
    <xf numFmtId="164" fontId="69" fillId="6" borderId="1" xfId="1" applyFont="1" applyFill="1" applyBorder="1" applyAlignment="1"/>
    <xf numFmtId="164" fontId="69" fillId="0" borderId="81" xfId="1" applyFont="1" applyBorder="1" applyAlignment="1" applyProtection="1">
      <protection locked="0"/>
    </xf>
    <xf numFmtId="164" fontId="69" fillId="0" borderId="78" xfId="1" applyFont="1" applyBorder="1" applyAlignment="1" applyProtection="1">
      <protection locked="0"/>
    </xf>
    <xf numFmtId="167" fontId="69" fillId="6" borderId="1" xfId="0" applyNumberFormat="1" applyFont="1" applyFill="1" applyBorder="1" applyAlignment="1"/>
    <xf numFmtId="164" fontId="69" fillId="4" borderId="15" xfId="1" applyFont="1" applyFill="1" applyBorder="1" applyAlignment="1"/>
    <xf numFmtId="0" fontId="70" fillId="2" borderId="1" xfId="0" applyNumberFormat="1" applyFont="1" applyFill="1" applyBorder="1"/>
    <xf numFmtId="164" fontId="69" fillId="6" borderId="1" xfId="1" applyFont="1" applyFill="1" applyBorder="1"/>
    <xf numFmtId="164" fontId="69" fillId="0" borderId="1" xfId="1" applyFont="1" applyBorder="1" applyAlignment="1" applyProtection="1">
      <protection locked="0"/>
    </xf>
    <xf numFmtId="164" fontId="71" fillId="4" borderId="78" xfId="1" applyFont="1" applyFill="1" applyBorder="1" applyAlignment="1"/>
    <xf numFmtId="167" fontId="69" fillId="6" borderId="3" xfId="0" applyNumberFormat="1" applyFont="1" applyFill="1" applyBorder="1" applyAlignment="1"/>
    <xf numFmtId="167" fontId="69" fillId="4" borderId="0" xfId="1" applyNumberFormat="1" applyFont="1" applyFill="1" applyBorder="1" applyAlignment="1"/>
    <xf numFmtId="164" fontId="71" fillId="4" borderId="0" xfId="1" applyFont="1" applyFill="1" applyBorder="1" applyAlignment="1"/>
    <xf numFmtId="167" fontId="71" fillId="4" borderId="0" xfId="1" applyNumberFormat="1" applyFont="1" applyFill="1" applyBorder="1" applyAlignment="1"/>
    <xf numFmtId="0" fontId="70" fillId="3" borderId="1" xfId="0" applyFont="1" applyFill="1" applyBorder="1" applyAlignment="1">
      <alignment horizontal="center" vertical="center"/>
    </xf>
    <xf numFmtId="0" fontId="70" fillId="3" borderId="1" xfId="0" applyFont="1" applyFill="1" applyBorder="1"/>
    <xf numFmtId="164" fontId="70" fillId="6" borderId="1" xfId="0" applyNumberFormat="1" applyFont="1" applyFill="1" applyBorder="1" applyAlignment="1"/>
    <xf numFmtId="164" fontId="71" fillId="4" borderId="0" xfId="1" applyFont="1" applyFill="1" applyBorder="1" applyAlignment="1">
      <alignment horizontal="center" vertical="center"/>
    </xf>
    <xf numFmtId="0" fontId="70" fillId="4" borderId="1" xfId="0" applyFont="1" applyFill="1" applyBorder="1" applyAlignment="1">
      <alignment horizontal="center" vertical="center"/>
    </xf>
    <xf numFmtId="0" fontId="70" fillId="4" borderId="1" xfId="0" applyFont="1" applyFill="1" applyBorder="1"/>
    <xf numFmtId="0" fontId="69" fillId="4" borderId="0" xfId="1" applyNumberFormat="1" applyFont="1" applyFill="1" applyBorder="1" applyAlignment="1">
      <alignment horizontal="center" vertical="center"/>
    </xf>
    <xf numFmtId="0" fontId="80" fillId="4" borderId="1" xfId="0" applyFont="1" applyFill="1" applyBorder="1" applyAlignment="1">
      <alignment horizontal="center" vertical="center"/>
    </xf>
    <xf numFmtId="0" fontId="80" fillId="4" borderId="1" xfId="0" applyFont="1" applyFill="1" applyBorder="1"/>
    <xf numFmtId="0" fontId="70" fillId="4" borderId="10" xfId="0" applyFont="1" applyFill="1" applyBorder="1" applyAlignment="1">
      <alignment horizontal="center" vertical="center"/>
    </xf>
    <xf numFmtId="0" fontId="70" fillId="4" borderId="16" xfId="0" applyFont="1" applyFill="1" applyBorder="1"/>
    <xf numFmtId="164" fontId="81" fillId="4" borderId="83" xfId="1" applyNumberFormat="1" applyFont="1" applyFill="1" applyBorder="1"/>
    <xf numFmtId="0" fontId="82" fillId="19" borderId="81" xfId="0" applyFont="1" applyFill="1" applyBorder="1" applyAlignment="1">
      <alignment horizontal="center" vertical="center"/>
    </xf>
    <xf numFmtId="182" fontId="82" fillId="19" borderId="81" xfId="0" applyNumberFormat="1" applyFont="1" applyFill="1" applyBorder="1" applyAlignment="1">
      <alignment horizontal="center" vertical="center" wrapText="1"/>
    </xf>
    <xf numFmtId="182" fontId="81" fillId="19" borderId="81" xfId="0" applyNumberFormat="1" applyFont="1" applyFill="1" applyBorder="1" applyAlignment="1">
      <alignment horizontal="center" vertical="center"/>
    </xf>
    <xf numFmtId="182" fontId="82" fillId="19" borderId="0" xfId="0" applyNumberFormat="1" applyFont="1" applyFill="1" applyBorder="1" applyAlignment="1">
      <alignment horizontal="center" vertical="center" wrapText="1"/>
    </xf>
    <xf numFmtId="0" fontId="69" fillId="6" borderId="1" xfId="0" applyFont="1" applyFill="1" applyBorder="1"/>
    <xf numFmtId="0" fontId="69" fillId="6" borderId="81" xfId="0" applyFont="1" applyFill="1" applyBorder="1" applyAlignment="1">
      <alignment horizontal="center"/>
    </xf>
    <xf numFmtId="181" fontId="69" fillId="6" borderId="81" xfId="1" applyNumberFormat="1" applyFont="1" applyFill="1" applyBorder="1" applyAlignment="1">
      <alignment horizontal="center"/>
    </xf>
    <xf numFmtId="181" fontId="69" fillId="0" borderId="1" xfId="0" applyNumberFormat="1" applyFont="1" applyBorder="1"/>
    <xf numFmtId="181" fontId="69" fillId="6" borderId="81" xfId="2" applyNumberFormat="1" applyFont="1" applyFill="1" applyBorder="1"/>
    <xf numFmtId="181" fontId="69" fillId="6" borderId="78" xfId="2" applyNumberFormat="1" applyFont="1" applyFill="1" applyBorder="1"/>
    <xf numFmtId="164" fontId="81" fillId="4" borderId="110" xfId="1" applyNumberFormat="1" applyFont="1" applyFill="1" applyBorder="1"/>
    <xf numFmtId="182" fontId="82" fillId="19" borderId="98" xfId="0" applyNumberFormat="1" applyFont="1" applyFill="1" applyBorder="1" applyAlignment="1">
      <alignment horizontal="center" vertical="center" wrapText="1"/>
    </xf>
    <xf numFmtId="0" fontId="69" fillId="6" borderId="81" xfId="0" applyFont="1" applyFill="1" applyBorder="1"/>
    <xf numFmtId="0" fontId="69" fillId="6" borderId="81" xfId="0" applyFont="1" applyFill="1" applyBorder="1" applyAlignment="1">
      <alignment horizontal="center" vertical="center"/>
    </xf>
    <xf numFmtId="181" fontId="69" fillId="6" borderId="81" xfId="0" applyNumberFormat="1" applyFont="1" applyFill="1" applyBorder="1"/>
    <xf numFmtId="181" fontId="69" fillId="4" borderId="81" xfId="0" applyNumberFormat="1" applyFont="1" applyFill="1" applyBorder="1"/>
    <xf numFmtId="0" fontId="83" fillId="4" borderId="0" xfId="0" applyFont="1" applyFill="1"/>
    <xf numFmtId="164" fontId="71" fillId="6" borderId="0" xfId="1" applyFont="1" applyFill="1" applyBorder="1"/>
    <xf numFmtId="0" fontId="69" fillId="6" borderId="0" xfId="0" applyFont="1" applyFill="1"/>
    <xf numFmtId="0" fontId="69" fillId="6" borderId="97" xfId="0" applyFont="1" applyFill="1" applyBorder="1"/>
    <xf numFmtId="0" fontId="69" fillId="6" borderId="97" xfId="0" applyFont="1" applyFill="1" applyBorder="1" applyAlignment="1">
      <alignment horizontal="center" vertical="center"/>
    </xf>
    <xf numFmtId="181" fontId="69" fillId="4" borderId="97" xfId="0" applyNumberFormat="1" applyFont="1" applyFill="1" applyBorder="1"/>
    <xf numFmtId="181" fontId="69" fillId="6" borderId="97" xfId="1" applyNumberFormat="1" applyFont="1" applyFill="1" applyBorder="1" applyAlignment="1">
      <alignment horizontal="center"/>
    </xf>
    <xf numFmtId="181" fontId="69" fillId="6" borderId="97" xfId="2" applyNumberFormat="1" applyFont="1" applyFill="1" applyBorder="1"/>
    <xf numFmtId="0" fontId="69" fillId="0" borderId="0" xfId="0" applyFont="1" applyAlignment="1">
      <alignment horizontal="center" vertical="center"/>
    </xf>
    <xf numFmtId="0" fontId="69" fillId="4" borderId="10" xfId="0" applyFont="1" applyFill="1" applyBorder="1" applyAlignment="1" applyProtection="1"/>
    <xf numFmtId="0" fontId="69" fillId="4" borderId="3" xfId="0" applyFont="1" applyFill="1" applyBorder="1" applyAlignment="1">
      <alignment horizontal="center" vertical="center"/>
    </xf>
    <xf numFmtId="0" fontId="69" fillId="4" borderId="1" xfId="0" applyFont="1" applyFill="1" applyBorder="1" applyAlignment="1">
      <alignment horizontal="center" vertical="center"/>
    </xf>
    <xf numFmtId="0" fontId="69" fillId="4" borderId="4" xfId="0" applyFont="1" applyFill="1" applyBorder="1" applyAlignment="1">
      <alignment horizontal="center" vertical="center"/>
    </xf>
    <xf numFmtId="0" fontId="69" fillId="4" borderId="3" xfId="0" applyFont="1" applyFill="1" applyBorder="1" applyProtection="1">
      <protection locked="0"/>
    </xf>
    <xf numFmtId="0" fontId="69" fillId="4" borderId="1" xfId="0" applyFont="1" applyFill="1" applyBorder="1" applyProtection="1">
      <protection locked="0"/>
    </xf>
    <xf numFmtId="167" fontId="69" fillId="4" borderId="1" xfId="0" applyNumberFormat="1" applyFont="1" applyFill="1" applyBorder="1" applyProtection="1">
      <protection locked="0"/>
    </xf>
    <xf numFmtId="167" fontId="69" fillId="4" borderId="4" xfId="0" applyNumberFormat="1" applyFont="1" applyFill="1" applyBorder="1" applyProtection="1">
      <protection locked="0"/>
    </xf>
    <xf numFmtId="0" fontId="69" fillId="4" borderId="82" xfId="0" applyFont="1" applyFill="1" applyBorder="1" applyProtection="1">
      <protection locked="0"/>
    </xf>
    <xf numFmtId="0" fontId="69" fillId="4" borderId="12" xfId="0" applyFont="1" applyFill="1" applyBorder="1" applyProtection="1">
      <protection locked="0"/>
    </xf>
    <xf numFmtId="167" fontId="69" fillId="4" borderId="12" xfId="0" applyNumberFormat="1" applyFont="1" applyFill="1" applyBorder="1" applyProtection="1">
      <protection locked="0"/>
    </xf>
    <xf numFmtId="167" fontId="69" fillId="4" borderId="81" xfId="0" applyNumberFormat="1" applyFont="1" applyFill="1" applyBorder="1" applyProtection="1">
      <protection locked="0"/>
    </xf>
    <xf numFmtId="4" fontId="12" fillId="0" borderId="0" xfId="3" applyNumberFormat="1" applyFont="1"/>
    <xf numFmtId="0" fontId="0" fillId="4" borderId="0" xfId="0" applyFill="1" applyAlignment="1">
      <alignment horizontal="center"/>
    </xf>
    <xf numFmtId="0" fontId="54" fillId="4" borderId="0" xfId="0" applyFont="1" applyFill="1" applyAlignment="1">
      <alignment horizontal="left" vertical="top" wrapText="1"/>
    </xf>
    <xf numFmtId="164" fontId="8" fillId="4" borderId="1" xfId="1" applyFont="1" applyFill="1" applyBorder="1" applyAlignment="1">
      <alignment horizontal="center"/>
    </xf>
    <xf numFmtId="164" fontId="8" fillId="2" borderId="1" xfId="1" applyFont="1" applyFill="1" applyBorder="1" applyAlignment="1" applyProtection="1">
      <alignment horizontal="center"/>
      <protection locked="0"/>
    </xf>
    <xf numFmtId="164" fontId="0" fillId="2" borderId="75" xfId="1" applyFont="1" applyFill="1" applyBorder="1" applyAlignment="1">
      <alignment horizontal="center" vertical="center" wrapText="1"/>
    </xf>
    <xf numFmtId="164" fontId="1" fillId="2" borderId="76" xfId="1" applyFont="1" applyFill="1" applyBorder="1" applyAlignment="1">
      <alignment horizontal="center" vertical="center" wrapText="1"/>
    </xf>
    <xf numFmtId="164" fontId="1" fillId="2" borderId="77" xfId="1" applyFont="1" applyFill="1" applyBorder="1" applyAlignment="1">
      <alignment horizontal="center" vertical="center" wrapText="1"/>
    </xf>
    <xf numFmtId="0" fontId="55" fillId="15" borderId="1" xfId="0" applyFont="1" applyFill="1" applyBorder="1" applyAlignment="1">
      <alignment horizontal="center"/>
    </xf>
    <xf numFmtId="0" fontId="8" fillId="17" borderId="1" xfId="0" applyFont="1" applyFill="1" applyBorder="1" applyAlignment="1">
      <alignment horizontal="center"/>
    </xf>
    <xf numFmtId="0" fontId="8" fillId="18" borderId="1" xfId="0" applyFont="1" applyFill="1" applyBorder="1" applyAlignment="1">
      <alignment horizontal="center"/>
    </xf>
    <xf numFmtId="0" fontId="8" fillId="0" borderId="1" xfId="0" applyFont="1" applyBorder="1" applyAlignment="1">
      <alignment horizontal="center"/>
    </xf>
    <xf numFmtId="0" fontId="8" fillId="15" borderId="78" xfId="0" applyFont="1" applyFill="1" applyBorder="1" applyAlignment="1">
      <alignment horizontal="center" wrapText="1"/>
    </xf>
    <xf numFmtId="0" fontId="8" fillId="15" borderId="0" xfId="0" applyFont="1" applyFill="1" applyBorder="1" applyAlignment="1">
      <alignment horizontal="center" wrapText="1"/>
    </xf>
    <xf numFmtId="0" fontId="9" fillId="15" borderId="78" xfId="0" applyFont="1" applyFill="1" applyBorder="1" applyAlignment="1">
      <alignment horizontal="center" wrapText="1"/>
    </xf>
    <xf numFmtId="0" fontId="9" fillId="15" borderId="0" xfId="0" applyFont="1" applyFill="1" applyBorder="1" applyAlignment="1">
      <alignment horizontal="center" wrapText="1"/>
    </xf>
    <xf numFmtId="0" fontId="8" fillId="2" borderId="4" xfId="0" applyFont="1" applyFill="1" applyBorder="1" applyAlignment="1" applyProtection="1">
      <alignment horizontal="center"/>
      <protection locked="0"/>
    </xf>
    <xf numFmtId="0" fontId="8" fillId="2" borderId="5" xfId="0" applyFont="1" applyFill="1" applyBorder="1" applyAlignment="1" applyProtection="1">
      <alignment horizontal="center"/>
      <protection locked="0"/>
    </xf>
    <xf numFmtId="0" fontId="8" fillId="0" borderId="4" xfId="0" applyNumberFormat="1" applyFont="1" applyBorder="1" applyAlignment="1" applyProtection="1">
      <alignment horizontal="center"/>
      <protection locked="0"/>
    </xf>
    <xf numFmtId="0" fontId="8" fillId="0" borderId="5" xfId="0" applyNumberFormat="1" applyFont="1" applyBorder="1" applyAlignment="1" applyProtection="1">
      <alignment horizontal="center"/>
      <protection locked="0"/>
    </xf>
    <xf numFmtId="0" fontId="8" fillId="0" borderId="4" xfId="0" applyFont="1" applyBorder="1" applyAlignment="1" applyProtection="1">
      <alignment horizontal="center"/>
      <protection locked="0"/>
    </xf>
    <xf numFmtId="0" fontId="8" fillId="0" borderId="5" xfId="0" applyFont="1" applyBorder="1" applyAlignment="1" applyProtection="1">
      <alignment horizontal="center"/>
      <protection locked="0"/>
    </xf>
    <xf numFmtId="0" fontId="8" fillId="0" borderId="1" xfId="0" applyFont="1" applyBorder="1" applyAlignment="1" applyProtection="1">
      <alignment horizontal="center"/>
      <protection locked="0"/>
    </xf>
    <xf numFmtId="0" fontId="8" fillId="8" borderId="12"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2" xfId="0" applyFont="1" applyFill="1" applyBorder="1" applyAlignment="1">
      <alignment horizontal="center" vertical="center" wrapText="1"/>
    </xf>
    <xf numFmtId="164" fontId="9" fillId="4" borderId="10" xfId="1" applyFont="1" applyFill="1" applyBorder="1" applyAlignment="1">
      <alignment horizontal="center"/>
    </xf>
    <xf numFmtId="164" fontId="8" fillId="6" borderId="1" xfId="1" applyFont="1" applyFill="1" applyBorder="1" applyAlignment="1">
      <alignment horizontal="right" vertical="center"/>
    </xf>
    <xf numFmtId="0" fontId="8" fillId="6" borderId="1" xfId="1" applyNumberFormat="1" applyFont="1" applyFill="1" applyBorder="1" applyAlignment="1">
      <alignment horizontal="center" vertical="center"/>
    </xf>
    <xf numFmtId="0" fontId="11" fillId="0" borderId="3" xfId="0" applyFont="1" applyBorder="1" applyAlignment="1">
      <alignment horizontal="center" vertical="center"/>
    </xf>
    <xf numFmtId="0" fontId="11" fillId="0" borderId="1" xfId="0" applyFont="1" applyBorder="1" applyAlignment="1">
      <alignment horizontal="center" vertical="center"/>
    </xf>
    <xf numFmtId="0" fontId="8" fillId="11" borderId="0" xfId="0" applyFont="1" applyFill="1" applyAlignment="1">
      <alignment horizontal="left" vertical="center"/>
    </xf>
    <xf numFmtId="0" fontId="8" fillId="0" borderId="42" xfId="0" applyFont="1" applyBorder="1" applyAlignment="1">
      <alignment horizontal="center" vertical="center" textRotation="90"/>
    </xf>
    <xf numFmtId="0" fontId="8" fillId="0" borderId="43" xfId="0" applyFont="1" applyBorder="1" applyAlignment="1">
      <alignment horizontal="center" vertical="center" textRotation="90"/>
    </xf>
    <xf numFmtId="0" fontId="8" fillId="0" borderId="36" xfId="0" applyFont="1" applyBorder="1" applyAlignment="1">
      <alignment horizontal="center" vertical="center" textRotation="90"/>
    </xf>
    <xf numFmtId="0" fontId="8" fillId="2" borderId="1" xfId="1" applyNumberFormat="1" applyFont="1" applyFill="1" applyBorder="1" applyAlignment="1" applyProtection="1">
      <alignment horizontal="center"/>
      <protection locked="0"/>
    </xf>
    <xf numFmtId="164" fontId="8" fillId="4" borderId="4" xfId="1" applyFont="1" applyFill="1" applyBorder="1" applyAlignment="1">
      <alignment horizontal="center"/>
    </xf>
    <xf numFmtId="164" fontId="8" fillId="4" borderId="5" xfId="1" applyFont="1" applyFill="1" applyBorder="1" applyAlignment="1">
      <alignment horizontal="center"/>
    </xf>
    <xf numFmtId="164" fontId="8" fillId="4" borderId="3" xfId="1" applyFont="1" applyFill="1" applyBorder="1" applyAlignment="1">
      <alignment horizontal="center"/>
    </xf>
    <xf numFmtId="0" fontId="8" fillId="2" borderId="4" xfId="1" applyNumberFormat="1" applyFont="1" applyFill="1" applyBorder="1" applyAlignment="1" applyProtection="1">
      <alignment horizontal="center"/>
      <protection locked="0"/>
    </xf>
    <xf numFmtId="0" fontId="8" fillId="2" borderId="78" xfId="1" applyNumberFormat="1" applyFont="1" applyFill="1" applyBorder="1" applyAlignment="1" applyProtection="1">
      <alignment horizontal="center"/>
      <protection locked="0"/>
    </xf>
    <xf numFmtId="0" fontId="8" fillId="2" borderId="3" xfId="1" applyNumberFormat="1" applyFont="1" applyFill="1" applyBorder="1" applyAlignment="1" applyProtection="1">
      <alignment horizontal="center"/>
      <protection locked="0"/>
    </xf>
    <xf numFmtId="0" fontId="8" fillId="0" borderId="22" xfId="0" applyFont="1" applyBorder="1" applyAlignment="1">
      <alignment horizontal="center" vertical="center" textRotation="90"/>
    </xf>
    <xf numFmtId="0" fontId="8" fillId="0" borderId="0" xfId="0" applyFont="1" applyBorder="1" applyAlignment="1">
      <alignment horizontal="center" vertical="center" textRotation="90"/>
    </xf>
    <xf numFmtId="0" fontId="8" fillId="0" borderId="15" xfId="0" applyFont="1" applyBorder="1" applyAlignment="1">
      <alignment horizontal="center" vertical="center" textRotation="90"/>
    </xf>
    <xf numFmtId="0" fontId="8" fillId="2" borderId="80" xfId="0" applyFont="1" applyFill="1" applyBorder="1" applyAlignment="1" applyProtection="1">
      <alignment horizontal="center"/>
      <protection locked="0"/>
    </xf>
    <xf numFmtId="0" fontId="8" fillId="2" borderId="3" xfId="0" applyFont="1" applyFill="1" applyBorder="1" applyAlignment="1" applyProtection="1">
      <alignment horizontal="center"/>
      <protection locked="0"/>
    </xf>
    <xf numFmtId="0" fontId="11" fillId="6" borderId="81" xfId="0" applyFont="1" applyFill="1" applyBorder="1" applyAlignment="1">
      <alignment horizontal="center"/>
    </xf>
    <xf numFmtId="0" fontId="11" fillId="6" borderId="78" xfId="0" applyFont="1" applyFill="1" applyBorder="1" applyAlignment="1">
      <alignment horizontal="center"/>
    </xf>
    <xf numFmtId="0" fontId="11" fillId="6" borderId="11" xfId="0" applyFont="1" applyFill="1" applyBorder="1" applyAlignment="1">
      <alignment horizontal="center"/>
    </xf>
    <xf numFmtId="0" fontId="11" fillId="6" borderId="0" xfId="0" applyFont="1" applyFill="1" applyBorder="1" applyAlignment="1">
      <alignment horizontal="center"/>
    </xf>
    <xf numFmtId="0" fontId="11" fillId="6" borderId="9" xfId="0" applyFont="1" applyFill="1" applyBorder="1" applyAlignment="1">
      <alignment horizontal="center"/>
    </xf>
    <xf numFmtId="0" fontId="11" fillId="6" borderId="10" xfId="0" applyFont="1" applyFill="1" applyBorder="1" applyAlignment="1">
      <alignment horizontal="center"/>
    </xf>
    <xf numFmtId="0" fontId="0" fillId="0" borderId="1" xfId="0" applyBorder="1" applyAlignment="1" applyProtection="1">
      <alignment horizontal="center"/>
      <protection locked="0"/>
    </xf>
    <xf numFmtId="164" fontId="8" fillId="4" borderId="0" xfId="1" applyFont="1" applyFill="1" applyBorder="1" applyAlignment="1" applyProtection="1">
      <alignment horizontal="center"/>
    </xf>
    <xf numFmtId="164" fontId="8" fillId="4" borderId="0" xfId="1" applyFont="1" applyFill="1" applyBorder="1" applyAlignment="1" applyProtection="1">
      <alignment horizontal="center" wrapText="1"/>
    </xf>
    <xf numFmtId="9" fontId="9" fillId="0" borderId="0" xfId="2" applyFont="1" applyAlignment="1" applyProtection="1">
      <alignment horizontal="left" vertical="top"/>
    </xf>
    <xf numFmtId="0" fontId="70" fillId="2" borderId="4" xfId="0" applyFont="1" applyFill="1" applyBorder="1" applyAlignment="1" applyProtection="1">
      <alignment horizontal="center"/>
      <protection locked="0"/>
    </xf>
    <xf numFmtId="0" fontId="70" fillId="2" borderId="3" xfId="0" applyFont="1" applyFill="1" applyBorder="1" applyAlignment="1" applyProtection="1">
      <alignment horizontal="center"/>
      <protection locked="0"/>
    </xf>
    <xf numFmtId="164" fontId="72" fillId="4" borderId="11" xfId="1" applyFont="1" applyFill="1" applyBorder="1" applyAlignment="1">
      <alignment horizontal="center"/>
    </xf>
    <xf numFmtId="164" fontId="72" fillId="4" borderId="0" xfId="1" applyFont="1" applyFill="1" applyBorder="1" applyAlignment="1">
      <alignment horizontal="center"/>
    </xf>
    <xf numFmtId="0" fontId="69" fillId="6" borderId="5" xfId="0" applyFont="1" applyFill="1" applyBorder="1" applyAlignment="1">
      <alignment horizontal="center"/>
    </xf>
    <xf numFmtId="0" fontId="69" fillId="6" borderId="3" xfId="0" applyFont="1" applyFill="1" applyBorder="1" applyAlignment="1">
      <alignment horizontal="center"/>
    </xf>
    <xf numFmtId="0" fontId="69" fillId="6" borderId="4" xfId="0" applyFont="1" applyFill="1" applyBorder="1" applyAlignment="1">
      <alignment horizontal="center"/>
    </xf>
    <xf numFmtId="0" fontId="70" fillId="0" borderId="0" xfId="0" applyFont="1" applyAlignment="1">
      <alignment horizontal="center"/>
    </xf>
    <xf numFmtId="164" fontId="69" fillId="0" borderId="1" xfId="1" applyFont="1" applyBorder="1" applyAlignment="1" applyProtection="1">
      <alignment horizontal="center"/>
      <protection locked="0"/>
    </xf>
    <xf numFmtId="164" fontId="80" fillId="6" borderId="1" xfId="0" applyNumberFormat="1" applyFont="1" applyFill="1" applyBorder="1" applyAlignment="1">
      <alignment horizontal="center"/>
    </xf>
    <xf numFmtId="0" fontId="70" fillId="0" borderId="12" xfId="0" applyFont="1" applyBorder="1" applyAlignment="1">
      <alignment horizontal="center" vertical="center"/>
    </xf>
    <xf numFmtId="0" fontId="70" fillId="0" borderId="1" xfId="0" applyFont="1" applyBorder="1" applyAlignment="1">
      <alignment horizontal="center" vertical="center"/>
    </xf>
    <xf numFmtId="164" fontId="70" fillId="6" borderId="4" xfId="0" applyNumberFormat="1" applyFont="1" applyFill="1" applyBorder="1" applyAlignment="1">
      <alignment horizontal="center"/>
    </xf>
    <xf numFmtId="164" fontId="70" fillId="6" borderId="3" xfId="0" applyNumberFormat="1" applyFont="1" applyFill="1" applyBorder="1" applyAlignment="1">
      <alignment horizontal="center"/>
    </xf>
    <xf numFmtId="164" fontId="70" fillId="4" borderId="1" xfId="0" applyNumberFormat="1" applyFont="1" applyFill="1" applyBorder="1" applyAlignment="1">
      <alignment horizontal="center"/>
    </xf>
    <xf numFmtId="164" fontId="70" fillId="6" borderId="1" xfId="0" applyNumberFormat="1" applyFont="1" applyFill="1" applyBorder="1" applyAlignment="1">
      <alignment horizontal="center"/>
    </xf>
    <xf numFmtId="0" fontId="69" fillId="0" borderId="1" xfId="0" applyFont="1" applyFill="1" applyBorder="1" applyAlignment="1">
      <alignment horizontal="center" vertical="center"/>
    </xf>
    <xf numFmtId="164" fontId="69" fillId="4" borderId="1" xfId="1" applyFont="1" applyFill="1" applyBorder="1" applyAlignment="1">
      <alignment horizontal="center" vertical="center"/>
    </xf>
    <xf numFmtId="0" fontId="75" fillId="0" borderId="9" xfId="0" applyFont="1" applyBorder="1" applyAlignment="1">
      <alignment horizontal="center"/>
    </xf>
    <xf numFmtId="0" fontId="75" fillId="0" borderId="10" xfId="0" applyFont="1" applyBorder="1" applyAlignment="1">
      <alignment horizontal="center"/>
    </xf>
    <xf numFmtId="0" fontId="75" fillId="0" borderId="16" xfId="0" applyFont="1" applyBorder="1" applyAlignment="1">
      <alignment horizontal="center"/>
    </xf>
    <xf numFmtId="0" fontId="70" fillId="0" borderId="81" xfId="0" applyFont="1" applyFill="1" applyBorder="1" applyAlignment="1">
      <alignment horizontal="center" vertical="center"/>
    </xf>
    <xf numFmtId="0" fontId="70" fillId="0" borderId="11" xfId="0" applyFont="1" applyFill="1" applyBorder="1" applyAlignment="1">
      <alignment horizontal="center" vertical="center"/>
    </xf>
    <xf numFmtId="0" fontId="69" fillId="0" borderId="12" xfId="0" applyFont="1" applyBorder="1" applyAlignment="1">
      <alignment horizontal="center" vertical="center"/>
    </xf>
    <xf numFmtId="0" fontId="69" fillId="0" borderId="2" xfId="0" applyFont="1" applyBorder="1" applyAlignment="1">
      <alignment horizontal="center" vertical="center"/>
    </xf>
    <xf numFmtId="0" fontId="69" fillId="0" borderId="12" xfId="0" applyFont="1" applyBorder="1" applyAlignment="1">
      <alignment horizontal="center" vertical="center" wrapText="1"/>
    </xf>
    <xf numFmtId="0" fontId="69" fillId="0" borderId="2" xfId="0" applyFont="1" applyBorder="1" applyAlignment="1">
      <alignment horizontal="center" vertical="center" wrapText="1"/>
    </xf>
    <xf numFmtId="0" fontId="15" fillId="0" borderId="22" xfId="3" applyFont="1" applyBorder="1" applyAlignment="1">
      <alignment horizontal="left" vertical="center" wrapText="1"/>
    </xf>
    <xf numFmtId="0" fontId="15" fillId="0" borderId="15" xfId="3" applyFont="1" applyBorder="1" applyAlignment="1">
      <alignment horizontal="left" vertical="center" wrapText="1"/>
    </xf>
    <xf numFmtId="164" fontId="15" fillId="0" borderId="4" xfId="1" applyFont="1" applyBorder="1" applyAlignment="1">
      <alignment horizontal="center" vertical="center"/>
    </xf>
    <xf numFmtId="164" fontId="15" fillId="0" borderId="5" xfId="1" applyFont="1" applyBorder="1" applyAlignment="1">
      <alignment horizontal="center" vertical="center"/>
    </xf>
    <xf numFmtId="0" fontId="19" fillId="0" borderId="0" xfId="3" applyFont="1" applyAlignment="1">
      <alignment horizontal="left" vertical="center" wrapText="1" indent="1"/>
    </xf>
    <xf numFmtId="0" fontId="15" fillId="0" borderId="0" xfId="3" applyFont="1" applyAlignment="1">
      <alignment horizontal="left" vertical="center" indent="1"/>
    </xf>
    <xf numFmtId="164" fontId="15" fillId="15" borderId="1" xfId="1" applyFont="1" applyFill="1" applyBorder="1" applyAlignment="1" applyProtection="1">
      <alignment horizontal="right" vertical="center" indent="1"/>
      <protection locked="0"/>
    </xf>
    <xf numFmtId="164" fontId="14" fillId="3" borderId="1" xfId="1" applyFont="1" applyFill="1" applyBorder="1" applyAlignment="1">
      <alignment horizontal="right" vertical="center" indent="1"/>
    </xf>
    <xf numFmtId="4" fontId="15" fillId="0" borderId="4" xfId="3" applyNumberFormat="1" applyFont="1" applyBorder="1" applyAlignment="1">
      <alignment horizontal="center" vertical="center"/>
    </xf>
    <xf numFmtId="4" fontId="15" fillId="0" borderId="3" xfId="3" applyNumberFormat="1" applyFont="1" applyBorder="1" applyAlignment="1">
      <alignment horizontal="center" vertical="center"/>
    </xf>
    <xf numFmtId="0" fontId="14" fillId="0" borderId="22" xfId="3" applyFont="1" applyBorder="1" applyAlignment="1">
      <alignment vertical="center"/>
    </xf>
    <xf numFmtId="0" fontId="14" fillId="0" borderId="0" xfId="3" applyFont="1" applyBorder="1" applyAlignment="1">
      <alignment vertical="center"/>
    </xf>
    <xf numFmtId="164" fontId="15" fillId="0" borderId="1" xfId="1" applyFont="1" applyBorder="1" applyAlignment="1">
      <alignment horizontal="center" vertical="center"/>
    </xf>
    <xf numFmtId="0" fontId="15" fillId="0" borderId="22" xfId="3" applyFont="1" applyBorder="1" applyAlignment="1">
      <alignment vertical="center"/>
    </xf>
    <xf numFmtId="0" fontId="15" fillId="0" borderId="0" xfId="3" applyFont="1" applyBorder="1" applyAlignment="1">
      <alignment vertical="center"/>
    </xf>
    <xf numFmtId="165" fontId="15" fillId="0" borderId="4" xfId="6" applyFont="1" applyBorder="1" applyAlignment="1">
      <alignment horizontal="center" vertical="center"/>
    </xf>
    <xf numFmtId="165" fontId="15" fillId="0" borderId="3" xfId="6" applyFont="1" applyBorder="1" applyAlignment="1">
      <alignment horizontal="center" vertical="center"/>
    </xf>
    <xf numFmtId="0" fontId="24" fillId="0" borderId="22" xfId="3" applyFont="1" applyBorder="1" applyAlignment="1">
      <alignment vertical="center"/>
    </xf>
    <xf numFmtId="0" fontId="24" fillId="0" borderId="0" xfId="3" applyFont="1" applyBorder="1" applyAlignment="1">
      <alignment vertical="center"/>
    </xf>
    <xf numFmtId="2" fontId="15" fillId="0" borderId="1" xfId="3" applyNumberFormat="1" applyFont="1" applyBorder="1" applyAlignment="1">
      <alignment horizontal="center" vertical="center"/>
    </xf>
    <xf numFmtId="0" fontId="17" fillId="0" borderId="22" xfId="3" applyFont="1" applyBorder="1" applyAlignment="1">
      <alignment horizontal="center" vertical="center" wrapText="1"/>
    </xf>
    <xf numFmtId="0" fontId="17" fillId="0" borderId="0" xfId="3" applyFont="1" applyBorder="1" applyAlignment="1">
      <alignment horizontal="center" vertical="center" wrapText="1"/>
    </xf>
    <xf numFmtId="0" fontId="21" fillId="0" borderId="0" xfId="3" applyFont="1" applyBorder="1" applyAlignment="1">
      <alignment horizontal="left" vertical="center" indent="1"/>
    </xf>
    <xf numFmtId="0" fontId="21" fillId="0" borderId="0" xfId="3" applyFont="1" applyAlignment="1">
      <alignment horizontal="left" vertical="center" indent="1"/>
    </xf>
    <xf numFmtId="0" fontId="14" fillId="0" borderId="0" xfId="3" applyFont="1" applyAlignment="1">
      <alignment horizontal="left" vertical="center" indent="1"/>
    </xf>
    <xf numFmtId="0" fontId="16" fillId="0" borderId="0" xfId="3" applyFont="1" applyAlignment="1">
      <alignment horizontal="left" vertical="center" indent="1"/>
    </xf>
    <xf numFmtId="4" fontId="14" fillId="0" borderId="4" xfId="3" applyNumberFormat="1" applyFont="1" applyFill="1" applyBorder="1" applyAlignment="1">
      <alignment horizontal="center" vertical="center"/>
    </xf>
    <xf numFmtId="4" fontId="14" fillId="0" borderId="3" xfId="3" applyNumberFormat="1" applyFont="1" applyFill="1" applyBorder="1" applyAlignment="1">
      <alignment horizontal="center" vertical="center"/>
    </xf>
    <xf numFmtId="164" fontId="15" fillId="0" borderId="6" xfId="1" applyFont="1" applyBorder="1" applyAlignment="1">
      <alignment horizontal="center" vertical="center" wrapText="1"/>
    </xf>
    <xf numFmtId="164" fontId="15" fillId="0" borderId="14" xfId="1" applyFont="1" applyBorder="1" applyAlignment="1">
      <alignment horizontal="center" vertical="center" wrapText="1"/>
    </xf>
    <xf numFmtId="164" fontId="15" fillId="0" borderId="11" xfId="1" applyFont="1" applyBorder="1" applyAlignment="1">
      <alignment horizontal="center" vertical="center" wrapText="1"/>
    </xf>
    <xf numFmtId="164" fontId="15" fillId="0" borderId="15" xfId="1" applyFont="1" applyBorder="1" applyAlignment="1">
      <alignment horizontal="center" vertical="center" wrapText="1"/>
    </xf>
    <xf numFmtId="164" fontId="15" fillId="0" borderId="9" xfId="1" applyFont="1" applyBorder="1" applyAlignment="1">
      <alignment horizontal="center" vertical="center" wrapText="1"/>
    </xf>
    <xf numFmtId="164" fontId="15" fillId="0" borderId="16" xfId="1" applyFont="1" applyBorder="1" applyAlignment="1">
      <alignment horizontal="center" vertical="center" wrapText="1"/>
    </xf>
    <xf numFmtId="164" fontId="15" fillId="0" borderId="12" xfId="1" applyFont="1" applyBorder="1" applyAlignment="1">
      <alignment horizontal="center" vertical="center" wrapText="1"/>
    </xf>
    <xf numFmtId="164" fontId="15" fillId="0" borderId="13" xfId="1" applyFont="1" applyBorder="1" applyAlignment="1">
      <alignment horizontal="center" vertical="center" wrapText="1"/>
    </xf>
    <xf numFmtId="164" fontId="15" fillId="0" borderId="2" xfId="1" applyFont="1" applyBorder="1" applyAlignment="1">
      <alignment horizontal="center" vertical="center" wrapText="1"/>
    </xf>
    <xf numFmtId="0" fontId="15" fillId="0" borderId="4" xfId="3" applyNumberFormat="1" applyFont="1" applyBorder="1" applyAlignment="1">
      <alignment horizontal="center" vertical="center"/>
    </xf>
    <xf numFmtId="0" fontId="15" fillId="0" borderId="3" xfId="3" applyNumberFormat="1" applyFont="1" applyBorder="1" applyAlignment="1">
      <alignment horizontal="center" vertical="center"/>
    </xf>
    <xf numFmtId="2" fontId="21" fillId="0" borderId="7" xfId="2" applyNumberFormat="1" applyFont="1" applyBorder="1" applyAlignment="1">
      <alignment horizontal="center" vertical="center"/>
    </xf>
    <xf numFmtId="4" fontId="15" fillId="3" borderId="12" xfId="3" applyNumberFormat="1" applyFont="1" applyFill="1" applyBorder="1" applyAlignment="1">
      <alignment horizontal="center" vertical="center"/>
    </xf>
    <xf numFmtId="4" fontId="15" fillId="3" borderId="13" xfId="3" applyNumberFormat="1" applyFont="1" applyFill="1" applyBorder="1" applyAlignment="1">
      <alignment horizontal="center" vertical="center"/>
    </xf>
    <xf numFmtId="4" fontId="15" fillId="3" borderId="2" xfId="3" applyNumberFormat="1" applyFont="1" applyFill="1" applyBorder="1" applyAlignment="1">
      <alignment horizontal="center" vertical="center"/>
    </xf>
    <xf numFmtId="0" fontId="15" fillId="0" borderId="22" xfId="3" applyFont="1" applyBorder="1" applyAlignment="1">
      <alignment horizontal="left" vertical="center" indent="1"/>
    </xf>
    <xf numFmtId="0" fontId="15" fillId="0" borderId="0" xfId="3" applyFont="1" applyBorder="1" applyAlignment="1">
      <alignment horizontal="left" vertical="center" indent="1"/>
    </xf>
    <xf numFmtId="0" fontId="22" fillId="0" borderId="22" xfId="3" applyFont="1" applyBorder="1" applyAlignment="1">
      <alignment vertical="center" wrapText="1"/>
    </xf>
    <xf numFmtId="0" fontId="22" fillId="0" borderId="0" xfId="3" applyFont="1" applyBorder="1" applyAlignment="1">
      <alignment vertical="center" wrapText="1"/>
    </xf>
    <xf numFmtId="0" fontId="15" fillId="0" borderId="22" xfId="3" applyFont="1" applyBorder="1" applyAlignment="1">
      <alignment vertical="center" wrapText="1"/>
    </xf>
    <xf numFmtId="0" fontId="15" fillId="0" borderId="0" xfId="3" applyFont="1" applyBorder="1" applyAlignment="1">
      <alignment vertical="center" wrapText="1"/>
    </xf>
    <xf numFmtId="164" fontId="15" fillId="4" borderId="1" xfId="1" applyFont="1" applyFill="1" applyBorder="1" applyAlignment="1" applyProtection="1">
      <alignment horizontal="center" vertical="center"/>
      <protection locked="0"/>
    </xf>
    <xf numFmtId="164" fontId="15" fillId="0" borderId="3" xfId="1" applyFont="1" applyBorder="1" applyAlignment="1">
      <alignment horizontal="center" vertical="center"/>
    </xf>
    <xf numFmtId="164" fontId="15" fillId="15" borderId="4" xfId="1" applyFont="1" applyFill="1" applyBorder="1" applyAlignment="1" applyProtection="1">
      <alignment horizontal="center" vertical="center"/>
      <protection locked="0"/>
    </xf>
    <xf numFmtId="164" fontId="15" fillId="15" borderId="3" xfId="1" applyFont="1" applyFill="1" applyBorder="1" applyAlignment="1" applyProtection="1">
      <alignment horizontal="center" vertical="center"/>
      <protection locked="0"/>
    </xf>
    <xf numFmtId="0" fontId="15" fillId="0" borderId="22" xfId="3" applyFont="1" applyBorder="1" applyAlignment="1">
      <alignment horizontal="left" vertical="top" wrapText="1"/>
    </xf>
    <xf numFmtId="0" fontId="15" fillId="0" borderId="15" xfId="3" applyFont="1" applyBorder="1" applyAlignment="1">
      <alignment horizontal="left" vertical="top" wrapText="1"/>
    </xf>
    <xf numFmtId="0" fontId="16" fillId="0" borderId="0" xfId="3" applyFont="1" applyAlignment="1">
      <alignment horizontal="left" vertical="center" wrapText="1"/>
    </xf>
    <xf numFmtId="164" fontId="15" fillId="0" borderId="1" xfId="1" applyNumberFormat="1" applyFont="1" applyBorder="1" applyAlignment="1">
      <alignment horizontal="center" vertical="center"/>
    </xf>
    <xf numFmtId="0" fontId="16" fillId="0" borderId="0" xfId="3" applyFont="1" applyBorder="1" applyAlignment="1">
      <alignment horizontal="left" vertical="center"/>
    </xf>
    <xf numFmtId="9" fontId="15" fillId="0" borderId="4" xfId="2" applyFont="1" applyBorder="1" applyAlignment="1">
      <alignment horizontal="center" vertical="center"/>
    </xf>
    <xf numFmtId="9" fontId="15" fillId="0" borderId="5" xfId="2" applyFont="1" applyBorder="1" applyAlignment="1">
      <alignment horizontal="center" vertical="center"/>
    </xf>
    <xf numFmtId="9" fontId="15" fillId="0" borderId="3" xfId="2" applyFont="1" applyBorder="1" applyAlignment="1">
      <alignment horizontal="center" vertical="center"/>
    </xf>
    <xf numFmtId="0" fontId="18" fillId="14" borderId="1" xfId="3" applyFont="1" applyFill="1" applyBorder="1" applyAlignment="1">
      <alignment horizontal="center" vertical="center" wrapText="1"/>
    </xf>
    <xf numFmtId="0" fontId="13" fillId="7" borderId="22" xfId="3" applyFont="1" applyFill="1" applyBorder="1" applyAlignment="1">
      <alignment horizontal="center" vertical="center" wrapText="1"/>
    </xf>
    <xf numFmtId="0" fontId="13" fillId="7" borderId="0" xfId="3" applyFont="1" applyFill="1" applyBorder="1" applyAlignment="1">
      <alignment horizontal="center" vertical="center" wrapText="1"/>
    </xf>
    <xf numFmtId="0" fontId="13" fillId="7" borderId="26" xfId="3" applyFont="1" applyFill="1" applyBorder="1" applyAlignment="1">
      <alignment horizontal="center" vertical="center" wrapText="1"/>
    </xf>
    <xf numFmtId="10" fontId="15" fillId="4" borderId="1" xfId="3" applyNumberFormat="1" applyFont="1" applyFill="1" applyBorder="1" applyAlignment="1">
      <alignment horizontal="center" vertical="center"/>
    </xf>
    <xf numFmtId="0" fontId="57" fillId="0" borderId="0" xfId="3" applyFont="1" applyBorder="1" applyAlignment="1">
      <alignment horizontal="left" vertical="center" indent="1"/>
    </xf>
    <xf numFmtId="0" fontId="18" fillId="4" borderId="0" xfId="3" applyFont="1" applyFill="1" applyBorder="1" applyAlignment="1">
      <alignment horizontal="left" vertical="center"/>
    </xf>
    <xf numFmtId="4" fontId="15" fillId="0" borderId="44" xfId="3" applyNumberFormat="1" applyFont="1" applyBorder="1" applyAlignment="1">
      <alignment horizontal="center" vertical="center"/>
    </xf>
    <xf numFmtId="4" fontId="15" fillId="0" borderId="45" xfId="3" applyNumberFormat="1" applyFont="1" applyBorder="1" applyAlignment="1">
      <alignment horizontal="center" vertical="center"/>
    </xf>
    <xf numFmtId="0" fontId="13" fillId="11" borderId="1" xfId="3" applyFont="1" applyFill="1" applyBorder="1" applyAlignment="1" applyProtection="1">
      <alignment horizontal="center" vertical="center" wrapText="1"/>
      <protection locked="0"/>
    </xf>
    <xf numFmtId="0" fontId="56" fillId="0" borderId="79" xfId="3" applyFont="1" applyBorder="1" applyAlignment="1">
      <alignment horizontal="center" vertical="center"/>
    </xf>
    <xf numFmtId="0" fontId="26" fillId="7" borderId="48" xfId="3" applyFont="1" applyFill="1" applyBorder="1" applyAlignment="1">
      <alignment horizontal="center"/>
    </xf>
    <xf numFmtId="0" fontId="26" fillId="7" borderId="49" xfId="3" applyFont="1" applyFill="1" applyBorder="1" applyAlignment="1">
      <alignment horizontal="center"/>
    </xf>
    <xf numFmtId="0" fontId="26" fillId="7" borderId="50" xfId="3" applyFont="1" applyFill="1" applyBorder="1" applyAlignment="1">
      <alignment horizontal="center"/>
    </xf>
    <xf numFmtId="0" fontId="26" fillId="7" borderId="48" xfId="3" applyFont="1" applyFill="1" applyBorder="1" applyAlignment="1">
      <alignment horizontal="center" vertical="center"/>
    </xf>
    <xf numFmtId="0" fontId="26" fillId="7" borderId="49" xfId="3" applyFont="1" applyFill="1" applyBorder="1" applyAlignment="1">
      <alignment horizontal="center" vertical="center"/>
    </xf>
    <xf numFmtId="0" fontId="26" fillId="7" borderId="50" xfId="3" applyFont="1" applyFill="1" applyBorder="1" applyAlignment="1">
      <alignment horizontal="center" vertical="center"/>
    </xf>
    <xf numFmtId="0" fontId="45" fillId="0" borderId="53" xfId="3" applyFont="1" applyFill="1" applyBorder="1" applyAlignment="1"/>
    <xf numFmtId="0" fontId="45" fillId="0" borderId="0" xfId="3" applyFont="1" applyFill="1" applyBorder="1" applyAlignment="1"/>
    <xf numFmtId="0" fontId="45" fillId="0" borderId="52" xfId="3" applyFont="1" applyFill="1" applyBorder="1" applyAlignment="1"/>
    <xf numFmtId="0" fontId="26" fillId="0" borderId="51" xfId="3" applyFont="1" applyBorder="1" applyAlignment="1">
      <alignment horizontal="center"/>
    </xf>
    <xf numFmtId="0" fontId="26" fillId="0" borderId="7" xfId="3" applyFont="1" applyBorder="1" applyAlignment="1">
      <alignment horizontal="center"/>
    </xf>
    <xf numFmtId="0" fontId="26" fillId="0" borderId="59" xfId="3" applyFont="1" applyBorder="1" applyAlignment="1">
      <alignment horizontal="center"/>
    </xf>
    <xf numFmtId="0" fontId="36" fillId="6" borderId="53" xfId="3" applyFont="1" applyFill="1" applyBorder="1" applyAlignment="1" applyProtection="1">
      <alignment horizontal="center" vertical="center"/>
    </xf>
    <xf numFmtId="0" fontId="36" fillId="6" borderId="0" xfId="3" applyFont="1" applyFill="1" applyBorder="1" applyAlignment="1" applyProtection="1">
      <alignment horizontal="center" vertical="center"/>
    </xf>
    <xf numFmtId="0" fontId="36" fillId="6" borderId="52" xfId="3" applyFont="1" applyFill="1" applyBorder="1" applyAlignment="1" applyProtection="1">
      <alignment horizontal="center" vertical="center"/>
    </xf>
    <xf numFmtId="0" fontId="12" fillId="0" borderId="53" xfId="3" applyFont="1" applyBorder="1" applyAlignment="1">
      <alignment horizontal="center"/>
    </xf>
    <xf numFmtId="0" fontId="12" fillId="0" borderId="15" xfId="3" applyFont="1" applyBorder="1" applyAlignment="1">
      <alignment horizontal="center"/>
    </xf>
    <xf numFmtId="0" fontId="33" fillId="7" borderId="63" xfId="3" applyFont="1" applyFill="1" applyBorder="1" applyAlignment="1">
      <alignment horizontal="center" vertical="center"/>
    </xf>
    <xf numFmtId="0" fontId="33" fillId="7" borderId="64" xfId="3" applyFont="1" applyFill="1" applyBorder="1" applyAlignment="1">
      <alignment horizontal="center" vertical="center"/>
    </xf>
    <xf numFmtId="0" fontId="33" fillId="7" borderId="65" xfId="3" applyFont="1" applyFill="1" applyBorder="1" applyAlignment="1">
      <alignment horizontal="center" vertical="center"/>
    </xf>
    <xf numFmtId="0" fontId="12" fillId="0" borderId="0" xfId="3" applyFont="1" applyAlignment="1" applyProtection="1">
      <alignment horizontal="left"/>
      <protection locked="0"/>
    </xf>
    <xf numFmtId="0" fontId="12" fillId="13" borderId="61" xfId="3" applyFont="1" applyFill="1" applyBorder="1" applyAlignment="1" applyProtection="1">
      <alignment horizontal="center" vertical="center"/>
      <protection locked="0"/>
    </xf>
    <xf numFmtId="0" fontId="12" fillId="0" borderId="60" xfId="3" applyFont="1" applyFill="1" applyBorder="1" applyAlignment="1">
      <alignment horizontal="center" vertical="center"/>
    </xf>
    <xf numFmtId="0" fontId="12" fillId="0" borderId="61" xfId="3" applyFont="1" applyFill="1" applyBorder="1" applyAlignment="1">
      <alignment horizontal="center" vertical="center"/>
    </xf>
    <xf numFmtId="10" fontId="12" fillId="6" borderId="1" xfId="3" applyNumberFormat="1" applyFont="1" applyFill="1" applyBorder="1" applyAlignment="1" applyProtection="1">
      <alignment horizontal="center" vertical="center"/>
    </xf>
    <xf numFmtId="0" fontId="12" fillId="6" borderId="1" xfId="3" applyFont="1" applyFill="1" applyBorder="1" applyAlignment="1" applyProtection="1">
      <alignment horizontal="center" vertical="center"/>
    </xf>
    <xf numFmtId="0" fontId="12" fillId="0" borderId="53" xfId="3" applyFont="1" applyBorder="1" applyAlignment="1" applyProtection="1">
      <alignment horizontal="left" vertical="center" wrapText="1"/>
      <protection locked="0"/>
    </xf>
    <xf numFmtId="0" fontId="12" fillId="0" borderId="0" xfId="3" applyFont="1" applyBorder="1" applyAlignment="1" applyProtection="1">
      <alignment horizontal="left" vertical="center" wrapText="1"/>
      <protection locked="0"/>
    </xf>
    <xf numFmtId="0" fontId="26" fillId="0" borderId="0" xfId="3" applyFont="1" applyAlignment="1">
      <alignment horizontal="center" vertical="center"/>
    </xf>
    <xf numFmtId="0" fontId="37" fillId="0" borderId="0" xfId="3" applyFont="1" applyAlignment="1">
      <alignment horizontal="left" vertical="center" indent="1"/>
    </xf>
    <xf numFmtId="0" fontId="39" fillId="0" borderId="0" xfId="3" applyFont="1" applyAlignment="1">
      <alignment horizontal="left" vertical="center" indent="1"/>
    </xf>
    <xf numFmtId="0" fontId="8" fillId="6" borderId="0" xfId="1" applyNumberFormat="1" applyFont="1" applyFill="1" applyBorder="1" applyAlignment="1">
      <alignment horizontal="center"/>
    </xf>
    <xf numFmtId="0" fontId="26" fillId="6" borderId="0" xfId="3" applyFont="1" applyFill="1" applyBorder="1" applyAlignment="1">
      <alignment horizontal="center"/>
    </xf>
    <xf numFmtId="0" fontId="26" fillId="6" borderId="52" xfId="3" applyFont="1" applyFill="1" applyBorder="1" applyAlignment="1">
      <alignment horizontal="center"/>
    </xf>
    <xf numFmtId="181" fontId="15" fillId="0" borderId="1" xfId="1" applyNumberFormat="1" applyFont="1" applyBorder="1" applyAlignment="1">
      <alignment horizontal="center" vertical="center"/>
    </xf>
    <xf numFmtId="0" fontId="31" fillId="12" borderId="46" xfId="3" applyFont="1" applyFill="1" applyBorder="1" applyAlignment="1">
      <alignment horizontal="center" vertical="center"/>
    </xf>
    <xf numFmtId="0" fontId="32" fillId="6" borderId="1" xfId="3" applyFont="1" applyFill="1" applyBorder="1" applyAlignment="1">
      <alignment horizontal="center" vertical="center"/>
    </xf>
    <xf numFmtId="0" fontId="32" fillId="6" borderId="1" xfId="3" applyNumberFormat="1" applyFont="1" applyFill="1" applyBorder="1" applyAlignment="1">
      <alignment horizontal="center" vertical="center"/>
    </xf>
    <xf numFmtId="0" fontId="25" fillId="0" borderId="0" xfId="3" applyFont="1" applyAlignment="1">
      <alignment horizontal="center"/>
    </xf>
    <xf numFmtId="0" fontId="25" fillId="0" borderId="0" xfId="3" applyFont="1" applyBorder="1" applyAlignment="1">
      <alignment horizontal="center"/>
    </xf>
    <xf numFmtId="0" fontId="28" fillId="9" borderId="68" xfId="3" applyFont="1" applyFill="1" applyBorder="1" applyAlignment="1">
      <alignment horizontal="center" vertical="center" wrapText="1"/>
    </xf>
    <xf numFmtId="0" fontId="28" fillId="9" borderId="69" xfId="3" applyFont="1" applyFill="1" applyBorder="1" applyAlignment="1">
      <alignment horizontal="center" vertical="center" wrapText="1"/>
    </xf>
    <xf numFmtId="170" fontId="28" fillId="9" borderId="68" xfId="3" applyNumberFormat="1" applyFont="1" applyFill="1" applyBorder="1" applyAlignment="1">
      <alignment horizontal="center" vertical="center" wrapText="1"/>
    </xf>
    <xf numFmtId="170" fontId="28" fillId="9" borderId="69" xfId="3" applyNumberFormat="1" applyFont="1" applyFill="1" applyBorder="1" applyAlignment="1">
      <alignment horizontal="center" vertical="center" wrapText="1"/>
    </xf>
    <xf numFmtId="170" fontId="28" fillId="9" borderId="34" xfId="3" applyNumberFormat="1" applyFont="1" applyFill="1" applyBorder="1" applyAlignment="1">
      <alignment horizontal="center" vertical="center" wrapText="1"/>
    </xf>
    <xf numFmtId="170" fontId="28" fillId="9" borderId="70" xfId="3" applyNumberFormat="1" applyFont="1" applyFill="1" applyBorder="1" applyAlignment="1">
      <alignment horizontal="center" vertical="center" wrapText="1"/>
    </xf>
  </cellXfs>
  <cellStyles count="8">
    <cellStyle name="Lien hypertexte" xfId="7" builtinId="8"/>
    <cellStyle name="Milliers" xfId="6" builtinId="3"/>
    <cellStyle name="Monétaire" xfId="1" builtinId="4"/>
    <cellStyle name="Monétaire 2" xfId="4" xr:uid="{00000000-0005-0000-0000-000003000000}"/>
    <cellStyle name="Normal" xfId="0" builtinId="0"/>
    <cellStyle name="Normal 2" xfId="3" xr:uid="{00000000-0005-0000-0000-000005000000}"/>
    <cellStyle name="Pourcentage" xfId="2" builtinId="5"/>
    <cellStyle name="Pourcentage 2" xfId="5" xr:uid="{00000000-0005-0000-0000-000007000000}"/>
  </cellStyles>
  <dxfs count="70">
    <dxf>
      <font>
        <strike val="0"/>
        <outline val="0"/>
        <shadow val="0"/>
        <u val="none"/>
        <vertAlign val="baseline"/>
        <sz val="10"/>
        <color theme="0"/>
        <name val="Arial"/>
        <scheme val="none"/>
      </font>
    </dxf>
    <dxf>
      <font>
        <strike val="0"/>
        <outline val="0"/>
        <shadow val="0"/>
        <u val="none"/>
        <vertAlign val="baseline"/>
        <sz val="10"/>
        <color theme="0"/>
        <name val="Arial"/>
        <scheme val="none"/>
      </font>
    </dxf>
    <dxf>
      <font>
        <b/>
        <strike val="0"/>
        <outline val="0"/>
        <shadow val="0"/>
        <u val="none"/>
        <vertAlign val="baseline"/>
        <sz val="10"/>
        <color theme="0"/>
        <name val="Arial"/>
        <scheme val="none"/>
      </font>
      <fill>
        <patternFill patternType="solid">
          <fgColor indexed="64"/>
          <bgColor rgb="FF92D050"/>
        </patternFill>
      </fill>
      <alignment horizontal="center" vertical="center" textRotation="0" wrapText="0" indent="0" justifyLastLine="0" shrinkToFit="0" readingOrder="0"/>
    </dxf>
    <dxf>
      <font>
        <strike val="0"/>
        <outline val="0"/>
        <shadow val="0"/>
        <u val="none"/>
        <vertAlign val="baseline"/>
        <sz val="10"/>
        <color theme="0"/>
        <name val="Arial"/>
        <scheme val="none"/>
      </font>
    </dxf>
    <dxf>
      <font>
        <strike val="0"/>
        <outline val="0"/>
        <shadow val="0"/>
        <u val="none"/>
        <vertAlign val="baseline"/>
        <sz val="10"/>
        <color theme="0"/>
        <name val="Arial"/>
        <scheme val="none"/>
      </font>
    </dxf>
    <dxf>
      <font>
        <b/>
        <strike val="0"/>
        <outline val="0"/>
        <shadow val="0"/>
        <u val="none"/>
        <vertAlign val="baseline"/>
        <sz val="10"/>
        <color theme="0"/>
        <name val="Arial"/>
        <scheme val="none"/>
      </font>
      <fill>
        <patternFill patternType="solid">
          <fgColor indexed="64"/>
          <bgColor rgb="FF92D050"/>
        </patternFill>
      </fill>
      <alignment horizontal="center" vertical="center" textRotation="0" wrapText="0" indent="0" justifyLastLine="0" shrinkToFit="0" readingOrder="0"/>
    </dxf>
    <dxf>
      <font>
        <b val="0"/>
        <i val="0"/>
        <strike val="0"/>
        <condense val="0"/>
        <extend val="0"/>
        <outline val="0"/>
        <shadow val="0"/>
        <u val="none"/>
        <vertAlign val="baseline"/>
        <sz val="10"/>
        <color theme="0"/>
        <name val="Arial"/>
        <scheme val="none"/>
      </font>
      <numFmt numFmtId="0" formatCode="General"/>
      <fill>
        <patternFill>
          <bgColor theme="0"/>
        </patternFill>
      </fill>
      <alignment horizontal="right" vertical="bottom" textRotation="0" wrapText="0" indent="0" justifyLastLine="0" shrinkToFit="0" readingOrder="0"/>
    </dxf>
    <dxf>
      <border diagonalUp="0" diagonalDown="0">
        <left style="thin">
          <color indexed="64"/>
        </left>
        <right/>
        <top/>
        <bottom/>
      </border>
    </dxf>
    <dxf>
      <font>
        <b/>
        <i val="0"/>
        <strike val="0"/>
        <condense val="0"/>
        <extend val="0"/>
        <outline val="0"/>
        <shadow val="0"/>
        <u val="none"/>
        <vertAlign val="baseline"/>
        <sz val="12"/>
        <color theme="0"/>
        <name val="Arial"/>
        <scheme val="none"/>
      </font>
      <numFmt numFmtId="0" formatCode="General"/>
      <fill>
        <patternFill patternType="solid">
          <fgColor theme="5"/>
          <bgColor theme="0"/>
        </patternFill>
      </fill>
      <alignment horizontal="center" vertical="center" textRotation="0" wrapText="0" indent="0" justifyLastLine="0" shrinkToFit="0" readingOrder="0"/>
    </dxf>
    <dxf>
      <font>
        <b/>
        <i val="0"/>
        <strike val="0"/>
        <condense val="0"/>
        <extend val="0"/>
        <outline val="0"/>
        <shadow val="0"/>
        <u val="none"/>
        <vertAlign val="baseline"/>
        <sz val="10"/>
        <color theme="0"/>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val="0"/>
        <i val="0"/>
        <strike val="0"/>
        <condense val="0"/>
        <extend val="0"/>
        <outline val="0"/>
        <shadow val="0"/>
        <u val="none"/>
        <vertAlign val="baseline"/>
        <sz val="10"/>
        <color theme="0"/>
        <name val="Arial"/>
        <scheme val="none"/>
      </font>
      <numFmt numFmtId="165" formatCode="_-* #,##0.00\ _€_-;\-* #,##0.00\ _€_-;_-* &quot;-&quot;??\ _€_-;_-@_-"/>
      <alignment horizontal="general" vertical="bottom" textRotation="0" wrapText="0" indent="0" justifyLastLine="0" shrinkToFit="0" readingOrder="0"/>
    </dxf>
    <dxf>
      <font>
        <b/>
        <i val="0"/>
        <strike val="0"/>
        <condense val="0"/>
        <extend val="0"/>
        <outline val="0"/>
        <shadow val="0"/>
        <u val="none"/>
        <vertAlign val="baseline"/>
        <sz val="10"/>
        <color theme="0"/>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val="0"/>
        <i val="0"/>
        <strike val="0"/>
        <condense val="0"/>
        <extend val="0"/>
        <outline val="0"/>
        <shadow val="0"/>
        <u val="none"/>
        <vertAlign val="baseline"/>
        <sz val="10"/>
        <color theme="0"/>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0"/>
        <name val="Arial"/>
        <scheme val="none"/>
      </font>
      <numFmt numFmtId="165" formatCode="_-* #,##0.00\ _€_-;\-* #,##0.00\ _€_-;_-* &quot;-&quot;??\ _€_-;_-@_-"/>
      <alignment horizontal="general" vertical="center" textRotation="0" wrapText="0" indent="0" justifyLastLine="0" shrinkToFit="0" readingOrder="0"/>
    </dxf>
    <dxf>
      <border diagonalUp="0" diagonalDown="0">
        <left style="thin">
          <color indexed="8"/>
        </left>
        <right/>
        <top/>
        <bottom/>
      </border>
    </dxf>
    <dxf>
      <font>
        <b val="0"/>
        <i val="0"/>
        <strike val="0"/>
        <condense val="0"/>
        <extend val="0"/>
        <outline val="0"/>
        <shadow val="0"/>
        <u val="none"/>
        <vertAlign val="baseline"/>
        <sz val="48"/>
        <color theme="1"/>
        <name val="Calibri"/>
        <scheme val="minor"/>
      </font>
      <fill>
        <patternFill patternType="solid">
          <fgColor indexed="64"/>
          <bgColor theme="0"/>
        </patternFill>
      </fill>
      <border diagonalUp="0" diagonalDown="0">
        <left/>
        <right style="medium">
          <color indexed="64"/>
        </right>
        <top/>
        <bottom/>
        <vertical/>
        <horizontal/>
      </border>
    </dxf>
    <dxf>
      <font>
        <b val="0"/>
        <i val="0"/>
        <strike val="0"/>
        <condense val="0"/>
        <extend val="0"/>
        <outline val="0"/>
        <shadow val="0"/>
        <u val="none"/>
        <vertAlign val="baseline"/>
        <sz val="10"/>
        <color theme="0"/>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65"/>
        <color theme="1"/>
        <name val="Calibri"/>
        <scheme val="minor"/>
      </font>
      <fill>
        <patternFill patternType="solid">
          <fgColor indexed="64"/>
          <bgColor theme="0"/>
        </patternFill>
      </fill>
    </dxf>
    <dxf>
      <border outline="0">
        <top style="thin">
          <color indexed="64"/>
        </top>
      </border>
    </dxf>
    <dxf>
      <font>
        <b val="0"/>
        <i val="0"/>
        <strike val="0"/>
        <condense val="0"/>
        <extend val="0"/>
        <outline val="0"/>
        <shadow val="0"/>
        <u val="none"/>
        <vertAlign val="baseline"/>
        <sz val="65"/>
        <color theme="1"/>
        <name val="Calibri"/>
        <scheme val="minor"/>
      </font>
      <fill>
        <patternFill patternType="solid">
          <fgColor indexed="64"/>
          <bgColor theme="0"/>
        </patternFill>
      </fill>
    </dxf>
    <dxf>
      <font>
        <b/>
        <i val="0"/>
        <strike val="0"/>
        <condense val="0"/>
        <extend val="0"/>
        <outline val="0"/>
        <shadow val="0"/>
        <u val="none"/>
        <vertAlign val="baseline"/>
        <sz val="65"/>
        <color theme="5"/>
        <name val="Calibri"/>
        <scheme val="minor"/>
      </font>
      <fill>
        <patternFill patternType="solid">
          <fgColor indexed="64"/>
          <bgColor theme="5"/>
        </patternFill>
      </fill>
      <alignment horizontal="center" vertical="center" textRotation="0" wrapText="0" indent="0" justifyLastLine="0" shrinkToFit="0" readingOrder="0"/>
    </dxf>
    <dxf>
      <font>
        <b val="0"/>
        <i val="0"/>
        <strike val="0"/>
        <condense val="0"/>
        <extend val="0"/>
        <outline val="0"/>
        <shadow val="0"/>
        <u val="none"/>
        <vertAlign val="baseline"/>
        <sz val="65"/>
        <color theme="1"/>
        <name val="Calibri"/>
        <scheme val="minor"/>
      </font>
      <numFmt numFmtId="181" formatCode="_-* #,##0.00\ [$€-40C]_-;\-* #,##0.00\ [$€-40C]_-;_-* &quot;-&quot;??\ [$€-40C]_-;_-@_-"/>
      <fill>
        <patternFill patternType="solid">
          <fgColor indexed="64"/>
          <bgColor theme="5" tint="0.79998168889431442"/>
        </patternFill>
      </fill>
      <border diagonalUp="0" diagonalDown="0" outline="0">
        <left/>
        <right/>
        <top style="thin">
          <color indexed="64"/>
        </top>
        <bottom/>
      </border>
    </dxf>
    <dxf>
      <border outline="0">
        <left style="thin">
          <color indexed="64"/>
        </left>
        <right style="thin">
          <color indexed="64"/>
        </right>
        <top style="thin">
          <color theme="4"/>
        </top>
      </border>
    </dxf>
    <dxf>
      <font>
        <b val="0"/>
        <i val="0"/>
        <strike val="0"/>
        <condense val="0"/>
        <extend val="0"/>
        <outline val="0"/>
        <shadow val="0"/>
        <u val="none"/>
        <vertAlign val="baseline"/>
        <sz val="65"/>
        <color theme="1"/>
        <name val="Calibri"/>
        <scheme val="minor"/>
      </font>
      <numFmt numFmtId="182" formatCode="#,##0.00\ _€"/>
      <fill>
        <patternFill patternType="solid">
          <fgColor indexed="64"/>
          <bgColor theme="5" tint="0.79998168889431442"/>
        </patternFill>
      </fill>
    </dxf>
    <dxf>
      <font>
        <b/>
        <i/>
        <strike val="0"/>
        <condense val="0"/>
        <extend val="0"/>
        <outline val="0"/>
        <shadow val="0"/>
        <u val="none"/>
        <vertAlign val="baseline"/>
        <sz val="65"/>
        <color theme="0"/>
        <name val="Calibri"/>
        <scheme val="minor"/>
      </font>
      <numFmt numFmtId="182" formatCode="#,##0.00\ _€"/>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65"/>
        <color theme="1"/>
        <name val="Calibri"/>
        <scheme val="minor"/>
      </font>
      <fill>
        <patternFill patternType="solid">
          <fgColor indexed="64"/>
          <bgColor theme="5" tint="0.79998168889431442"/>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65"/>
        <color theme="1"/>
        <name val="Calibri"/>
        <scheme val="minor"/>
      </font>
      <fill>
        <patternFill patternType="solid">
          <fgColor indexed="64"/>
          <bgColor theme="5" tint="0.79998168889431442"/>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65"/>
        <color theme="1"/>
        <name val="Calibri"/>
        <scheme val="minor"/>
      </font>
      <fill>
        <patternFill patternType="solid">
          <fgColor indexed="64"/>
          <bgColor theme="5" tint="0.79998168889431442"/>
        </patternFill>
      </fill>
      <alignment horizontal="right" vertical="bottom" textRotation="0" wrapText="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65"/>
      </font>
      <border outline="0">
        <left style="thin">
          <color indexed="64"/>
        </left>
        <top style="thin">
          <color indexed="64"/>
        </top>
        <bottom style="thin">
          <color indexed="64"/>
        </bottom>
      </border>
    </dxf>
    <dxf>
      <border outline="0">
        <bottom style="thin">
          <color indexed="64"/>
        </bottom>
      </border>
    </dxf>
    <dxf>
      <font>
        <strike val="0"/>
        <outline val="0"/>
        <shadow val="0"/>
        <u val="none"/>
        <vertAlign val="baseline"/>
        <sz val="65"/>
      </font>
    </dxf>
    <dxf>
      <font>
        <strike val="0"/>
        <outline val="0"/>
        <shadow val="0"/>
        <u val="none"/>
        <vertAlign val="baseline"/>
        <sz val="48"/>
        <color auto="1"/>
        <name val="Calibri"/>
        <scheme val="minor"/>
      </font>
      <fill>
        <patternFill>
          <fgColor indexed="64"/>
          <bgColor theme="5" tint="0.79998168889431442"/>
        </patternFill>
      </fill>
      <alignment horizontal="center" textRotation="0" wrapText="0" indent="0" justifyLastLine="0" shrinkToFit="0" readingOrder="0"/>
    </dxf>
    <dxf>
      <font>
        <b val="0"/>
        <i val="0"/>
        <strike val="0"/>
        <condense val="0"/>
        <extend val="0"/>
        <outline val="0"/>
        <shadow val="0"/>
        <u val="none"/>
        <vertAlign val="baseline"/>
        <sz val="65"/>
        <color theme="1"/>
        <name val="Calibri"/>
        <scheme val="minor"/>
      </font>
      <numFmt numFmtId="167" formatCode="#,##0.00\ &quot;€&quot;"/>
      <fill>
        <patternFill patternType="solid">
          <fgColor indexed="64"/>
          <bgColor theme="0"/>
        </patternFill>
      </fill>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65"/>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65"/>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65"/>
        <color theme="1"/>
        <name val="Calibri"/>
        <scheme val="minor"/>
      </font>
      <numFmt numFmtId="167" formatCode="#,##0.00\ &quot;€&quo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65"/>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65"/>
        <color theme="1"/>
        <name val="Calibri"/>
        <scheme val="minor"/>
      </font>
      <fill>
        <patternFill patternType="solid">
          <fgColor indexed="64"/>
          <bgColor theme="0"/>
        </patternFill>
      </fill>
      <border diagonalUp="0" diagonalDown="0" outline="0">
        <left/>
        <right style="thin">
          <color indexed="64"/>
        </right>
        <top style="thin">
          <color indexed="64"/>
        </top>
        <bottom style="thin">
          <color indexed="64"/>
        </bottom>
      </border>
      <protection locked="0" hidden="0"/>
    </dxf>
    <dxf>
      <font>
        <strike val="0"/>
        <outline val="0"/>
        <shadow val="0"/>
        <u val="none"/>
        <vertAlign val="baseline"/>
        <sz val="65"/>
      </font>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48"/>
        <color theme="1"/>
        <name val="Calibri"/>
        <scheme val="minor"/>
      </font>
      <fill>
        <patternFill patternType="solid">
          <fgColor indexed="64"/>
          <bgColor theme="0"/>
        </patternFill>
      </fill>
      <protection locked="0" hidden="0"/>
    </dxf>
    <dxf>
      <font>
        <strike val="0"/>
        <outline val="0"/>
        <shadow val="0"/>
        <u val="none"/>
        <vertAlign val="baseline"/>
        <sz val="65"/>
      </font>
      <numFmt numFmtId="181" formatCode="_-* #,##0.00\ [$€-40C]_-;\-* #,##0.00\ [$€-40C]_-;_-* &quot;-&quot;??\ [$€-40C]_-;_-@_-"/>
      <border outline="0">
        <bottom style="thin">
          <color indexed="64"/>
        </bottom>
      </border>
    </dxf>
    <dxf>
      <font>
        <b val="0"/>
        <i val="0"/>
        <strike val="0"/>
        <condense val="0"/>
        <extend val="0"/>
        <outline val="0"/>
        <shadow val="0"/>
        <u val="none"/>
        <vertAlign val="baseline"/>
        <sz val="48"/>
        <color theme="1"/>
        <name val="Calibri"/>
        <scheme val="minor"/>
      </font>
      <fill>
        <patternFill patternType="solid">
          <fgColor indexed="64"/>
          <bgColor theme="0"/>
        </patternFill>
      </fill>
      <alignment horizontal="general" vertical="bottom" textRotation="0" wrapText="0" indent="0" justifyLastLine="0" shrinkToFit="0" readingOrder="0"/>
      <protection locked="1" hidden="0"/>
    </dxf>
    <dxf>
      <font>
        <b/>
        <i val="0"/>
        <strike val="0"/>
        <condense val="0"/>
        <extend val="0"/>
        <outline val="0"/>
        <shadow val="0"/>
        <u val="none"/>
        <vertAlign val="baseline"/>
        <sz val="65"/>
        <color theme="1"/>
        <name val="Calibri"/>
        <scheme val="minor"/>
      </font>
      <numFmt numFmtId="181" formatCode="_-* #,##0.00\ [$€-40C]_-;\-* #,##0.00\ [$€-40C]_-;_-* &quot;-&quot;??\ [$€-40C]_-;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65"/>
      </font>
      <numFmt numFmtId="181" formatCode="_-* #,##0.00\ [$€-40C]_-;\-* #,##0.00\ [$€-40C]_-;_-* &quot;-&quot;??\ [$€-40C]_-;_-@_-"/>
      <fill>
        <patternFill>
          <fgColor indexed="64"/>
          <bgColor theme="5" tint="0.79998168889431442"/>
        </patternFill>
      </fill>
      <alignment horizontal="center" vertical="center" textRotation="0" wrapText="0" indent="0" justifyLastLine="0" shrinkToFit="0" readingOrder="0"/>
      <border outline="0">
        <left style="thin">
          <color indexed="64"/>
        </left>
      </border>
    </dxf>
    <dxf>
      <font>
        <strike val="0"/>
        <outline val="0"/>
        <shadow val="0"/>
        <u val="none"/>
        <vertAlign val="baseline"/>
        <sz val="65"/>
      </font>
      <numFmt numFmtId="181" formatCode="_-* #,##0.00\ [$€-40C]_-;\-* #,##0.00\ [$€-40C]_-;_-* &quot;-&quot;??\ [$€-40C]_-;_-@_-"/>
      <fill>
        <patternFill>
          <fgColor indexed="64"/>
          <bgColor theme="5" tint="0.79998168889431442"/>
        </patternFill>
      </fill>
      <alignment horizontal="center" vertical="center" textRotation="0" wrapText="0" indent="0" justifyLastLine="0" shrinkToFit="0" readingOrder="0"/>
      <border outline="0">
        <right style="thin">
          <color indexed="64"/>
        </right>
      </border>
    </dxf>
    <dxf>
      <font>
        <strike val="0"/>
        <outline val="0"/>
        <shadow val="0"/>
        <u val="none"/>
        <vertAlign val="baseline"/>
        <sz val="65"/>
      </font>
      <numFmt numFmtId="164" formatCode="_-* #,##0.00\ &quot;€&quot;_-;\-* #,##0.00\ &quot;€&quot;_-;_-* &quot;-&quot;??\ &quot;€&quot;_-;_-@_-"/>
      <alignment horizontal="center" vertical="center" textRotation="0" wrapText="0" indent="0" justifyLastLine="0" shrinkToFit="0" readingOrder="0"/>
      <border outline="0">
        <right style="thin">
          <color indexed="64"/>
        </right>
      </border>
    </dxf>
    <dxf>
      <font>
        <b/>
        <strike val="0"/>
        <outline val="0"/>
        <shadow val="0"/>
        <u val="none"/>
        <vertAlign val="baseline"/>
        <sz val="65"/>
      </font>
      <numFmt numFmtId="181" formatCode="_-* #,##0.00\ [$€-40C]_-;\-* #,##0.00\ [$€-40C]_-;_-* &quot;-&quot;??\ [$€-40C]_-;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strike val="0"/>
        <outline val="0"/>
        <shadow val="0"/>
        <u val="none"/>
        <vertAlign val="baseline"/>
        <sz val="65"/>
      </font>
      <numFmt numFmtId="181" formatCode="_-* #,##0.00\ [$€-40C]_-;\-* #,##0.00\ [$€-40C]_-;_-* &quot;-&quot;??\ [$€-40C]_-;_-@_-"/>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font>
        <b/>
        <i val="0"/>
        <strike val="0"/>
        <condense val="0"/>
        <extend val="0"/>
        <outline val="0"/>
        <shadow val="0"/>
        <u val="none"/>
        <vertAlign val="baseline"/>
        <sz val="65"/>
        <color theme="1"/>
        <name val="Calibri"/>
        <scheme val="minor"/>
      </font>
      <numFmt numFmtId="181" formatCode="_-* #,##0.00\ [$€-40C]_-;\-* #,##0.00\ [$€-40C]_-;_-* &quot;-&quot;??\ [$€-40C]_-;_-@_-"/>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65"/>
        <color theme="1"/>
        <name val="Calibri"/>
        <scheme val="minor"/>
      </font>
      <numFmt numFmtId="181" formatCode="_-* #,##0.00\ [$€-40C]_-;\-* #,##0.00\ [$€-40C]_-;_-* &quot;-&quot;??\ [$€-40C]_-;_-@_-"/>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65"/>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65"/>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65"/>
        <color theme="1"/>
        <name val="Calibri"/>
        <scheme val="minor"/>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65"/>
        <color theme="0"/>
        <name val="Calibri"/>
        <scheme val="minor"/>
      </font>
      <alignment horizontal="center" vertical="center" textRotation="0" wrapText="0" indent="0" justifyLastLine="0" shrinkToFit="0" readingOrder="0"/>
    </dxf>
    <dxf>
      <font>
        <strike val="0"/>
        <outline val="0"/>
        <shadow val="0"/>
        <u val="none"/>
        <vertAlign val="baseline"/>
        <sz val="65"/>
      </font>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48"/>
      </font>
      <alignment horizontal="center" vertical="center" textRotation="0" wrapText="0" indent="0" justifyLastLine="0" shrinkToFit="0" readingOrder="0"/>
    </dxf>
    <dxf>
      <font>
        <strike val="0"/>
        <outline val="0"/>
        <shadow val="0"/>
        <u val="none"/>
        <vertAlign val="baseline"/>
        <sz val="65"/>
      </font>
      <numFmt numFmtId="164" formatCode="_-* #,##0.00\ &quot;€&quot;_-;\-* #,##0.00\ &quot;€&quot;_-;_-* &quot;-&quot;??\ &quot;€&quot;_-;_-@_-"/>
      <border outline="0">
        <bottom style="thin">
          <color indexed="64"/>
        </bottom>
      </border>
    </dxf>
    <dxf>
      <font>
        <strike val="0"/>
        <outline val="0"/>
        <shadow val="0"/>
        <u val="none"/>
        <vertAlign val="baseline"/>
        <sz val="48"/>
      </font>
    </dxf>
    <dxf>
      <font>
        <b val="0"/>
        <i val="0"/>
        <strike val="0"/>
        <condense val="0"/>
        <extend val="0"/>
        <outline val="0"/>
        <shadow val="0"/>
        <u val="none"/>
        <vertAlign val="baseline"/>
        <sz val="65"/>
        <color theme="1"/>
        <name val="Calibri"/>
        <scheme val="minor"/>
      </font>
      <numFmt numFmtId="164" formatCode="_-* #,##0.00\ &quot;€&quot;_-;\-* #,##0.00\ &quot;€&quot;_-;_-* &quot;-&quot;??\ &quot;€&quot;_-;_-@_-"/>
      <fill>
        <patternFill patternType="solid">
          <fgColor indexed="64"/>
          <bgColor theme="5" tint="0.79998168889431442"/>
        </patternFill>
      </fill>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4"/>
        <color theme="1"/>
        <name val="Calibri"/>
        <scheme val="minor"/>
      </font>
      <border diagonalUp="0" diagonalDown="0">
        <left style="thin">
          <color indexed="64"/>
        </left>
        <right style="thin">
          <color indexed="64"/>
        </right>
        <top style="thin">
          <color indexed="64"/>
        </top>
        <bottom style="thin">
          <color indexed="64"/>
        </bottom>
        <vertical/>
        <horizontal/>
      </border>
      <protection locked="1" hidden="0"/>
    </dxf>
    <dxf>
      <border outline="0">
        <right style="thin">
          <color indexed="64"/>
        </right>
        <bottom style="thin">
          <color indexed="64"/>
        </bottom>
      </border>
    </dxf>
    <dxf>
      <font>
        <b val="0"/>
        <i val="0"/>
        <strike val="0"/>
        <condense val="0"/>
        <extend val="0"/>
        <outline val="0"/>
        <shadow val="0"/>
        <u val="none"/>
        <vertAlign val="baseline"/>
        <sz val="14"/>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4"/>
        <color theme="1"/>
        <name val="Calibri"/>
        <scheme val="minor"/>
      </font>
      <numFmt numFmtId="164" formatCode="_-* #,##0.00\ &quot;€&quot;_-;\-* #,##0.00\ &quot;€&quot;_-;_-* &quot;-&quot;??\ &quot;€&quot;_-;_-@_-"/>
      <fill>
        <patternFill patternType="solid">
          <fgColor indexed="64"/>
          <bgColor theme="5" tint="0.79998168889431442"/>
        </patternFill>
      </fill>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Calibri"/>
        <scheme val="minor"/>
      </font>
      <numFmt numFmtId="164" formatCode="_-* #,##0.00\ &quot;€&quot;_-;\-* #,##0.00\ &quot;€&quot;_-;_-* &quot;-&quot;??\ &quot;€&quot;_-;_-@_-"/>
      <fill>
        <patternFill patternType="solid">
          <fgColor indexed="64"/>
          <bgColor theme="5" tint="0.79998168889431442"/>
        </patternFill>
      </fill>
      <alignment horizontal="center" vertical="bottom" textRotation="0" wrapText="0" indent="0" justifyLastLine="0" shrinkToFit="0" readingOrder="0"/>
      <border diagonalUp="0" diagonalDown="0">
        <left/>
        <right/>
        <top style="thin">
          <color indexed="64"/>
        </top>
        <bottom/>
        <vertical/>
        <horizontal/>
      </border>
    </dxf>
    <dxf>
      <border outline="0">
        <left style="thin">
          <color indexed="64"/>
        </left>
        <right style="thin">
          <color indexed="64"/>
        </right>
        <top style="thin">
          <color indexed="64"/>
        </top>
        <bottom style="thin">
          <color theme="5"/>
        </bottom>
      </border>
    </dxf>
    <dxf>
      <font>
        <b val="0"/>
        <i val="0"/>
        <strike val="0"/>
        <condense val="0"/>
        <extend val="0"/>
        <outline val="0"/>
        <shadow val="0"/>
        <u val="none"/>
        <vertAlign val="baseline"/>
        <sz val="14"/>
        <color theme="1"/>
        <name val="Calibri"/>
        <scheme val="minor"/>
      </font>
      <fill>
        <patternFill patternType="solid">
          <fgColor indexed="64"/>
          <bgColor theme="5" tint="0.79998168889431442"/>
        </patternFill>
      </fill>
      <alignment horizontal="center" vertical="bottom" textRotation="0" wrapText="0" indent="0" justifyLastLine="0" shrinkToFit="0" readingOrder="0"/>
    </dxf>
    <dxf>
      <font>
        <b val="0"/>
        <i val="0"/>
        <strike val="0"/>
        <condense val="0"/>
        <extend val="0"/>
        <outline val="0"/>
        <shadow val="0"/>
        <u val="none"/>
        <vertAlign val="baseline"/>
        <sz val="14"/>
        <color auto="1"/>
        <name val="Calibri"/>
        <scheme val="minor"/>
      </font>
      <fill>
        <patternFill patternType="solid">
          <fgColor theme="5"/>
          <bgColor theme="5"/>
        </patternFill>
      </fill>
      <alignment horizontal="center" vertical="bottom" textRotation="0" wrapText="0" indent="0" justifyLastLine="0" shrinkToFit="0" readingOrder="0"/>
    </dxf>
    <dxf>
      <border diagonalUp="0" diagonalDown="0">
        <left/>
        <right/>
        <top/>
        <bottom/>
        <vertical/>
        <horizontal/>
      </border>
    </dxf>
  </dxfs>
  <tableStyles count="1" defaultTableStyle="TableStyleMedium2" defaultPivotStyle="PivotStyleLight16">
    <tableStyle name="Style de tableau 1" pivot="0" count="1" xr9:uid="{00000000-0011-0000-FFFF-FFFF00000000}">
      <tableStyleElement type="wholeTable" dxfId="69"/>
    </tableStyle>
  </tableStyles>
  <colors>
    <mruColors>
      <color rgb="FFF3A9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13606</xdr:colOff>
      <xdr:row>35</xdr:row>
      <xdr:rowOff>136071</xdr:rowOff>
    </xdr:from>
    <xdr:to>
      <xdr:col>10</xdr:col>
      <xdr:colOff>663940</xdr:colOff>
      <xdr:row>50</xdr:row>
      <xdr:rowOff>156132</xdr:rowOff>
    </xdr:to>
    <xdr:pic>
      <xdr:nvPicPr>
        <xdr:cNvPr id="36" name="Image 35">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1"/>
        <a:stretch>
          <a:fillRect/>
        </a:stretch>
      </xdr:blipFill>
      <xdr:spPr>
        <a:xfrm>
          <a:off x="13606" y="7463517"/>
          <a:ext cx="8413209" cy="2877561"/>
        </a:xfrm>
        <a:prstGeom prst="rect">
          <a:avLst/>
        </a:prstGeom>
      </xdr:spPr>
    </xdr:pic>
    <xdr:clientData/>
  </xdr:twoCellAnchor>
  <xdr:twoCellAnchor>
    <xdr:from>
      <xdr:col>12</xdr:col>
      <xdr:colOff>129267</xdr:colOff>
      <xdr:row>32</xdr:row>
      <xdr:rowOff>102054</xdr:rowOff>
    </xdr:from>
    <xdr:to>
      <xdr:col>15</xdr:col>
      <xdr:colOff>170089</xdr:colOff>
      <xdr:row>34</xdr:row>
      <xdr:rowOff>183697</xdr:rowOff>
    </xdr:to>
    <xdr:sp macro="" textlink="">
      <xdr:nvSpPr>
        <xdr:cNvPr id="10" name="Rectangle 9">
          <a:extLst>
            <a:ext uri="{FF2B5EF4-FFF2-40B4-BE49-F238E27FC236}">
              <a16:creationId xmlns:a16="http://schemas.microsoft.com/office/drawing/2014/main" id="{00000000-0008-0000-0100-00000A000000}"/>
            </a:ext>
          </a:extLst>
        </xdr:cNvPr>
        <xdr:cNvSpPr/>
      </xdr:nvSpPr>
      <xdr:spPr>
        <a:xfrm>
          <a:off x="9273267" y="6858000"/>
          <a:ext cx="2326822" cy="46264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Y</a:t>
          </a:r>
          <a:r>
            <a:rPr lang="fr-FR" sz="1100" baseline="0"/>
            <a:t>-a-t-il une avance sur la tranche considérée ?</a:t>
          </a:r>
          <a:endParaRPr lang="fr-FR" sz="1100"/>
        </a:p>
      </xdr:txBody>
    </xdr:sp>
    <xdr:clientData/>
  </xdr:twoCellAnchor>
  <xdr:twoCellAnchor>
    <xdr:from>
      <xdr:col>12</xdr:col>
      <xdr:colOff>129268</xdr:colOff>
      <xdr:row>35</xdr:row>
      <xdr:rowOff>47625</xdr:rowOff>
    </xdr:from>
    <xdr:to>
      <xdr:col>15</xdr:col>
      <xdr:colOff>170089</xdr:colOff>
      <xdr:row>37</xdr:row>
      <xdr:rowOff>108858</xdr:rowOff>
    </xdr:to>
    <xdr:sp macro="" textlink="">
      <xdr:nvSpPr>
        <xdr:cNvPr id="11" name="Rectangle 10">
          <a:extLst>
            <a:ext uri="{FF2B5EF4-FFF2-40B4-BE49-F238E27FC236}">
              <a16:creationId xmlns:a16="http://schemas.microsoft.com/office/drawing/2014/main" id="{00000000-0008-0000-0100-00000B000000}"/>
            </a:ext>
          </a:extLst>
        </xdr:cNvPr>
        <xdr:cNvSpPr/>
      </xdr:nvSpPr>
      <xdr:spPr>
        <a:xfrm>
          <a:off x="9273268" y="7375071"/>
          <a:ext cx="2326821" cy="44223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Le</a:t>
          </a:r>
          <a:r>
            <a:rPr lang="fr-FR" sz="1100" baseline="0"/>
            <a:t> contrat donne t-il lieu à une RG / une GAPD / aucune garantie ?</a:t>
          </a:r>
          <a:endParaRPr lang="fr-FR" sz="1100"/>
        </a:p>
      </xdr:txBody>
    </xdr:sp>
    <xdr:clientData/>
  </xdr:twoCellAnchor>
  <xdr:twoCellAnchor>
    <xdr:from>
      <xdr:col>12</xdr:col>
      <xdr:colOff>129268</xdr:colOff>
      <xdr:row>37</xdr:row>
      <xdr:rowOff>170089</xdr:rowOff>
    </xdr:from>
    <xdr:to>
      <xdr:col>15</xdr:col>
      <xdr:colOff>170089</xdr:colOff>
      <xdr:row>40</xdr:row>
      <xdr:rowOff>40822</xdr:rowOff>
    </xdr:to>
    <xdr:sp macro="" textlink="">
      <xdr:nvSpPr>
        <xdr:cNvPr id="12" name="Rectangle 11">
          <a:extLst>
            <a:ext uri="{FF2B5EF4-FFF2-40B4-BE49-F238E27FC236}">
              <a16:creationId xmlns:a16="http://schemas.microsoft.com/office/drawing/2014/main" id="{00000000-0008-0000-0100-00000C000000}"/>
            </a:ext>
          </a:extLst>
        </xdr:cNvPr>
        <xdr:cNvSpPr/>
      </xdr:nvSpPr>
      <xdr:spPr>
        <a:xfrm>
          <a:off x="9273268" y="7878535"/>
          <a:ext cx="2326821" cy="44223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La garantie initiale</a:t>
          </a:r>
          <a:r>
            <a:rPr lang="fr-FR" sz="1100" baseline="0"/>
            <a:t> a été modifiée en cours d'éxecution ?</a:t>
          </a:r>
          <a:endParaRPr lang="fr-FR" sz="1100"/>
        </a:p>
      </xdr:txBody>
    </xdr:sp>
    <xdr:clientData/>
  </xdr:twoCellAnchor>
  <xdr:twoCellAnchor>
    <xdr:from>
      <xdr:col>5</xdr:col>
      <xdr:colOff>517071</xdr:colOff>
      <xdr:row>33</xdr:row>
      <xdr:rowOff>142876</xdr:rowOff>
    </xdr:from>
    <xdr:to>
      <xdr:col>12</xdr:col>
      <xdr:colOff>129267</xdr:colOff>
      <xdr:row>36</xdr:row>
      <xdr:rowOff>142875</xdr:rowOff>
    </xdr:to>
    <xdr:cxnSp macro="">
      <xdr:nvCxnSpPr>
        <xdr:cNvPr id="14" name="Connecteur droit avec flèche 13">
          <a:extLst>
            <a:ext uri="{FF2B5EF4-FFF2-40B4-BE49-F238E27FC236}">
              <a16:creationId xmlns:a16="http://schemas.microsoft.com/office/drawing/2014/main" id="{00000000-0008-0000-0100-00000E000000}"/>
            </a:ext>
          </a:extLst>
        </xdr:cNvPr>
        <xdr:cNvCxnSpPr>
          <a:stCxn id="10" idx="1"/>
        </xdr:cNvCxnSpPr>
      </xdr:nvCxnSpPr>
      <xdr:spPr>
        <a:xfrm flipH="1">
          <a:off x="4327071" y="7089322"/>
          <a:ext cx="4946196" cy="571499"/>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292554</xdr:colOff>
      <xdr:row>36</xdr:row>
      <xdr:rowOff>149679</xdr:rowOff>
    </xdr:from>
    <xdr:to>
      <xdr:col>12</xdr:col>
      <xdr:colOff>163285</xdr:colOff>
      <xdr:row>36</xdr:row>
      <xdr:rowOff>163287</xdr:rowOff>
    </xdr:to>
    <xdr:cxnSp macro="">
      <xdr:nvCxnSpPr>
        <xdr:cNvPr id="15" name="Connecteur droit avec flèche 14">
          <a:extLst>
            <a:ext uri="{FF2B5EF4-FFF2-40B4-BE49-F238E27FC236}">
              <a16:creationId xmlns:a16="http://schemas.microsoft.com/office/drawing/2014/main" id="{00000000-0008-0000-0100-00000F000000}"/>
            </a:ext>
          </a:extLst>
        </xdr:cNvPr>
        <xdr:cNvCxnSpPr/>
      </xdr:nvCxnSpPr>
      <xdr:spPr>
        <a:xfrm flipH="1" flipV="1">
          <a:off x="5626554" y="7667625"/>
          <a:ext cx="3680731" cy="13608"/>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625929</xdr:colOff>
      <xdr:row>37</xdr:row>
      <xdr:rowOff>20411</xdr:rowOff>
    </xdr:from>
    <xdr:to>
      <xdr:col>12</xdr:col>
      <xdr:colOff>102055</xdr:colOff>
      <xdr:row>38</xdr:row>
      <xdr:rowOff>183698</xdr:rowOff>
    </xdr:to>
    <xdr:cxnSp macro="">
      <xdr:nvCxnSpPr>
        <xdr:cNvPr id="18" name="Connecteur droit avec flèche 17">
          <a:extLst>
            <a:ext uri="{FF2B5EF4-FFF2-40B4-BE49-F238E27FC236}">
              <a16:creationId xmlns:a16="http://schemas.microsoft.com/office/drawing/2014/main" id="{00000000-0008-0000-0100-000012000000}"/>
            </a:ext>
          </a:extLst>
        </xdr:cNvPr>
        <xdr:cNvCxnSpPr/>
      </xdr:nvCxnSpPr>
      <xdr:spPr>
        <a:xfrm flipH="1" flipV="1">
          <a:off x="8245929" y="7728857"/>
          <a:ext cx="1000126" cy="353787"/>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136071</xdr:colOff>
      <xdr:row>40</xdr:row>
      <xdr:rowOff>115661</xdr:rowOff>
    </xdr:from>
    <xdr:to>
      <xdr:col>15</xdr:col>
      <xdr:colOff>176892</xdr:colOff>
      <xdr:row>42</xdr:row>
      <xdr:rowOff>176894</xdr:rowOff>
    </xdr:to>
    <xdr:sp macro="" textlink="">
      <xdr:nvSpPr>
        <xdr:cNvPr id="21" name="Rectangle 20">
          <a:extLst>
            <a:ext uri="{FF2B5EF4-FFF2-40B4-BE49-F238E27FC236}">
              <a16:creationId xmlns:a16="http://schemas.microsoft.com/office/drawing/2014/main" id="{00000000-0008-0000-0100-000015000000}"/>
            </a:ext>
          </a:extLst>
        </xdr:cNvPr>
        <xdr:cNvSpPr/>
      </xdr:nvSpPr>
      <xdr:spPr>
        <a:xfrm>
          <a:off x="9280071" y="8395607"/>
          <a:ext cx="2326821" cy="44223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Quel est le régime</a:t>
          </a:r>
          <a:r>
            <a:rPr lang="fr-FR" sz="1100" baseline="0"/>
            <a:t> de liquidation de la TVA du sous traitant ?</a:t>
          </a:r>
          <a:endParaRPr lang="fr-FR" sz="1100"/>
        </a:p>
      </xdr:txBody>
    </xdr:sp>
    <xdr:clientData/>
  </xdr:twoCellAnchor>
  <xdr:twoCellAnchor>
    <xdr:from>
      <xdr:col>12</xdr:col>
      <xdr:colOff>136071</xdr:colOff>
      <xdr:row>43</xdr:row>
      <xdr:rowOff>47626</xdr:rowOff>
    </xdr:from>
    <xdr:to>
      <xdr:col>15</xdr:col>
      <xdr:colOff>176892</xdr:colOff>
      <xdr:row>44</xdr:row>
      <xdr:rowOff>115662</xdr:rowOff>
    </xdr:to>
    <xdr:sp macro="" textlink="">
      <xdr:nvSpPr>
        <xdr:cNvPr id="22" name="Rectangle 21">
          <a:extLst>
            <a:ext uri="{FF2B5EF4-FFF2-40B4-BE49-F238E27FC236}">
              <a16:creationId xmlns:a16="http://schemas.microsoft.com/office/drawing/2014/main" id="{00000000-0008-0000-0100-000016000000}"/>
            </a:ext>
          </a:extLst>
        </xdr:cNvPr>
        <xdr:cNvSpPr/>
      </xdr:nvSpPr>
      <xdr:spPr>
        <a:xfrm>
          <a:off x="9280071" y="8899072"/>
          <a:ext cx="2326821" cy="258536"/>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Quel est le montant sous-traité</a:t>
          </a:r>
          <a:r>
            <a:rPr lang="fr-FR" sz="1100" baseline="0"/>
            <a:t> </a:t>
          </a:r>
          <a:r>
            <a:rPr lang="fr-FR" sz="1100"/>
            <a:t>?</a:t>
          </a:r>
        </a:p>
      </xdr:txBody>
    </xdr:sp>
    <xdr:clientData/>
  </xdr:twoCellAnchor>
  <xdr:twoCellAnchor>
    <xdr:from>
      <xdr:col>12</xdr:col>
      <xdr:colOff>136072</xdr:colOff>
      <xdr:row>44</xdr:row>
      <xdr:rowOff>170089</xdr:rowOff>
    </xdr:from>
    <xdr:to>
      <xdr:col>15</xdr:col>
      <xdr:colOff>176893</xdr:colOff>
      <xdr:row>49</xdr:row>
      <xdr:rowOff>6804</xdr:rowOff>
    </xdr:to>
    <xdr:sp macro="" textlink="">
      <xdr:nvSpPr>
        <xdr:cNvPr id="23" name="Rectangle 22">
          <a:extLst>
            <a:ext uri="{FF2B5EF4-FFF2-40B4-BE49-F238E27FC236}">
              <a16:creationId xmlns:a16="http://schemas.microsoft.com/office/drawing/2014/main" id="{00000000-0008-0000-0100-000017000000}"/>
            </a:ext>
          </a:extLst>
        </xdr:cNvPr>
        <xdr:cNvSpPr/>
      </xdr:nvSpPr>
      <xdr:spPr>
        <a:xfrm>
          <a:off x="9280072" y="9212035"/>
          <a:ext cx="2326821" cy="78921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Le sous-traitant</a:t>
          </a:r>
          <a:r>
            <a:rPr lang="fr-FR" sz="1100" baseline="0"/>
            <a:t> a-t-il été déclaré à la notification ?si oui implique que l'avance a été caclulé en tenant compte du montat sous-traité</a:t>
          </a:r>
          <a:endParaRPr lang="fr-FR" sz="1100"/>
        </a:p>
      </xdr:txBody>
    </xdr:sp>
    <xdr:clientData/>
  </xdr:twoCellAnchor>
  <xdr:twoCellAnchor>
    <xdr:from>
      <xdr:col>1</xdr:col>
      <xdr:colOff>591911</xdr:colOff>
      <xdr:row>40</xdr:row>
      <xdr:rowOff>122465</xdr:rowOff>
    </xdr:from>
    <xdr:to>
      <xdr:col>12</xdr:col>
      <xdr:colOff>115660</xdr:colOff>
      <xdr:row>40</xdr:row>
      <xdr:rowOff>136072</xdr:rowOff>
    </xdr:to>
    <xdr:cxnSp macro="">
      <xdr:nvCxnSpPr>
        <xdr:cNvPr id="25" name="Connecteur droit avec flèche 24">
          <a:extLst>
            <a:ext uri="{FF2B5EF4-FFF2-40B4-BE49-F238E27FC236}">
              <a16:creationId xmlns:a16="http://schemas.microsoft.com/office/drawing/2014/main" id="{00000000-0008-0000-0100-000019000000}"/>
            </a:ext>
          </a:extLst>
        </xdr:cNvPr>
        <xdr:cNvCxnSpPr/>
      </xdr:nvCxnSpPr>
      <xdr:spPr>
        <a:xfrm flipH="1" flipV="1">
          <a:off x="1353911" y="8402411"/>
          <a:ext cx="7905749" cy="13607"/>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102054</xdr:colOff>
      <xdr:row>41</xdr:row>
      <xdr:rowOff>142875</xdr:rowOff>
    </xdr:from>
    <xdr:to>
      <xdr:col>12</xdr:col>
      <xdr:colOff>136072</xdr:colOff>
      <xdr:row>43</xdr:row>
      <xdr:rowOff>149679</xdr:rowOff>
    </xdr:to>
    <xdr:cxnSp macro="">
      <xdr:nvCxnSpPr>
        <xdr:cNvPr id="27" name="Connecteur droit avec flèche 26">
          <a:extLst>
            <a:ext uri="{FF2B5EF4-FFF2-40B4-BE49-F238E27FC236}">
              <a16:creationId xmlns:a16="http://schemas.microsoft.com/office/drawing/2014/main" id="{00000000-0008-0000-0100-00001B000000}"/>
            </a:ext>
          </a:extLst>
        </xdr:cNvPr>
        <xdr:cNvCxnSpPr/>
      </xdr:nvCxnSpPr>
      <xdr:spPr>
        <a:xfrm flipH="1" flipV="1">
          <a:off x="5436054" y="8613321"/>
          <a:ext cx="3844018" cy="387804"/>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360589</xdr:colOff>
      <xdr:row>43</xdr:row>
      <xdr:rowOff>74840</xdr:rowOff>
    </xdr:from>
    <xdr:to>
      <xdr:col>12</xdr:col>
      <xdr:colOff>129268</xdr:colOff>
      <xdr:row>46</xdr:row>
      <xdr:rowOff>163287</xdr:rowOff>
    </xdr:to>
    <xdr:cxnSp macro="">
      <xdr:nvCxnSpPr>
        <xdr:cNvPr id="29" name="Connecteur droit avec flèche 28">
          <a:extLst>
            <a:ext uri="{FF2B5EF4-FFF2-40B4-BE49-F238E27FC236}">
              <a16:creationId xmlns:a16="http://schemas.microsoft.com/office/drawing/2014/main" id="{00000000-0008-0000-0100-00001D000000}"/>
            </a:ext>
          </a:extLst>
        </xdr:cNvPr>
        <xdr:cNvCxnSpPr/>
      </xdr:nvCxnSpPr>
      <xdr:spPr>
        <a:xfrm flipH="1" flipV="1">
          <a:off x="7218589" y="8926286"/>
          <a:ext cx="2054679" cy="659947"/>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161925</xdr:colOff>
      <xdr:row>0</xdr:row>
      <xdr:rowOff>161925</xdr:rowOff>
    </xdr:from>
    <xdr:to>
      <xdr:col>0</xdr:col>
      <xdr:colOff>2419385</xdr:colOff>
      <xdr:row>4</xdr:row>
      <xdr:rowOff>180975</xdr:rowOff>
    </xdr:to>
    <xdr:pic>
      <xdr:nvPicPr>
        <xdr:cNvPr id="2" name="Imag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61925" y="161925"/>
          <a:ext cx="2257460" cy="9715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161925</xdr:colOff>
      <xdr:row>0</xdr:row>
      <xdr:rowOff>161925</xdr:rowOff>
    </xdr:from>
    <xdr:to>
      <xdr:col>2</xdr:col>
      <xdr:colOff>247685</xdr:colOff>
      <xdr:row>4</xdr:row>
      <xdr:rowOff>180975</xdr:rowOff>
    </xdr:to>
    <xdr:pic>
      <xdr:nvPicPr>
        <xdr:cNvPr id="2" name="Imag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61925" y="161925"/>
          <a:ext cx="2257460" cy="971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59531</xdr:colOff>
      <xdr:row>0</xdr:row>
      <xdr:rowOff>47624</xdr:rowOff>
    </xdr:from>
    <xdr:to>
      <xdr:col>2</xdr:col>
      <xdr:colOff>8146039</xdr:colOff>
      <xdr:row>5</xdr:row>
      <xdr:rowOff>123111</xdr:rowOff>
    </xdr:to>
    <xdr:pic>
      <xdr:nvPicPr>
        <xdr:cNvPr id="3" name="Imag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531" y="47624"/>
          <a:ext cx="11632405" cy="5314237"/>
        </a:xfrm>
        <a:prstGeom prst="rect">
          <a:avLst/>
        </a:prstGeom>
      </xdr:spPr>
    </xdr:pic>
    <xdr:clientData/>
  </xdr:twoCellAnchor>
  <xdr:oneCellAnchor>
    <xdr:from>
      <xdr:col>7</xdr:col>
      <xdr:colOff>2333625</xdr:colOff>
      <xdr:row>11</xdr:row>
      <xdr:rowOff>476250</xdr:rowOff>
    </xdr:from>
    <xdr:ext cx="184731" cy="264560"/>
    <xdr:sp macro="" textlink="">
      <xdr:nvSpPr>
        <xdr:cNvPr id="5" name="ZoneTexte 4">
          <a:extLst>
            <a:ext uri="{FF2B5EF4-FFF2-40B4-BE49-F238E27FC236}">
              <a16:creationId xmlns:a16="http://schemas.microsoft.com/office/drawing/2014/main" id="{00000000-0008-0000-0500-000005000000}"/>
            </a:ext>
          </a:extLst>
        </xdr:cNvPr>
        <xdr:cNvSpPr txBox="1"/>
      </xdr:nvSpPr>
      <xdr:spPr>
        <a:xfrm>
          <a:off x="53435250" y="1200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9</xdr:col>
      <xdr:colOff>5286375</xdr:colOff>
      <xdr:row>0</xdr:row>
      <xdr:rowOff>762000</xdr:rowOff>
    </xdr:from>
    <xdr:to>
      <xdr:col>12</xdr:col>
      <xdr:colOff>3714750</xdr:colOff>
      <xdr:row>8</xdr:row>
      <xdr:rowOff>190500</xdr:rowOff>
    </xdr:to>
    <xdr:sp macro="[0]!Macro1" textlink="">
      <xdr:nvSpPr>
        <xdr:cNvPr id="6" name="Triangle isocèle 5">
          <a:extLst>
            <a:ext uri="{FF2B5EF4-FFF2-40B4-BE49-F238E27FC236}">
              <a16:creationId xmlns:a16="http://schemas.microsoft.com/office/drawing/2014/main" id="{00000000-0008-0000-0500-000006000000}"/>
            </a:ext>
          </a:extLst>
        </xdr:cNvPr>
        <xdr:cNvSpPr/>
      </xdr:nvSpPr>
      <xdr:spPr>
        <a:xfrm rot="10800000">
          <a:off x="68389500" y="762000"/>
          <a:ext cx="10287000" cy="7810500"/>
        </a:xfrm>
        <a:prstGeom prst="triangle">
          <a:avLst>
            <a:gd name="adj" fmla="val 4907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904875</xdr:colOff>
      <xdr:row>1</xdr:row>
      <xdr:rowOff>1</xdr:rowOff>
    </xdr:from>
    <xdr:to>
      <xdr:col>12</xdr:col>
      <xdr:colOff>2143125</xdr:colOff>
      <xdr:row>2</xdr:row>
      <xdr:rowOff>381000</xdr:rowOff>
    </xdr:to>
    <xdr:sp macro="" textlink="">
      <xdr:nvSpPr>
        <xdr:cNvPr id="7" name="ZoneTexte 6">
          <a:extLst>
            <a:ext uri="{FF2B5EF4-FFF2-40B4-BE49-F238E27FC236}">
              <a16:creationId xmlns:a16="http://schemas.microsoft.com/office/drawing/2014/main" id="{00000000-0008-0000-0500-000007000000}"/>
            </a:ext>
          </a:extLst>
        </xdr:cNvPr>
        <xdr:cNvSpPr txBox="1"/>
      </xdr:nvSpPr>
      <xdr:spPr>
        <a:xfrm>
          <a:off x="70104000" y="1047751"/>
          <a:ext cx="7000875" cy="1428749"/>
        </a:xfrm>
        <a:prstGeom prst="rect">
          <a:avLst/>
        </a:prstGeom>
        <a:solidFill>
          <a:schemeClr val="accent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6000"/>
            <a:t>utiliser les filtres auto</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2095500</xdr:colOff>
      <xdr:row>4</xdr:row>
      <xdr:rowOff>228600</xdr:rowOff>
    </xdr:to>
    <xdr:pic>
      <xdr:nvPicPr>
        <xdr:cNvPr id="2" name="Imag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09550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ruser2\Users\SARRAZIND\Bureau\NOUVEAU%20CP\CPP_vtravail_V6-1%20provioir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 val="DONNEES"/>
      <sheetName val="CALCUL AVANCE TITULAIRE"/>
      <sheetName val="CALCUL AVANCE COTRAITANT"/>
      <sheetName val="CPP TITULAIRE-ST"/>
      <sheetName val="RECUP AVANCE TITULAIRE "/>
      <sheetName val="RESTITUTION AVANCE SUITE DC4"/>
      <sheetName val="CPP CO-TRAITANT-ST"/>
      <sheetName val="RECUP AVANCE O-TRAITANT"/>
      <sheetName val="ACTUALISATION"/>
      <sheetName val="REVISION"/>
      <sheetName val="RECAP CPP"/>
    </sheetNames>
    <sheetDataSet>
      <sheetData sheetId="0">
        <row r="2">
          <cell r="M2" t="str">
            <v>au Lycée "ÉDOUARD BRANLY"</v>
          </cell>
        </row>
        <row r="3">
          <cell r="M3" t="str">
            <v>au Lycée "LE VERGER"</v>
          </cell>
        </row>
        <row r="4">
          <cell r="M4" t="str">
            <v>au Lycée "MARCELIN BERTHELOT"</v>
          </cell>
        </row>
        <row r="5">
          <cell r="M5" t="str">
            <v>au Lycée "ANDRÉ THEURIET"</v>
          </cell>
        </row>
        <row r="6">
          <cell r="M6" t="str">
            <v>au Lycée "LES TERRES ROUGES"</v>
          </cell>
        </row>
        <row r="7">
          <cell r="M7" t="str">
            <v>au Lycée "PILOTE INNOVANT INTERNATIONAL"</v>
          </cell>
        </row>
        <row r="8">
          <cell r="M8" t="str">
            <v>au Lycée "GUY CHAUVET"</v>
          </cell>
        </row>
        <row r="9">
          <cell r="M9" t="str">
            <v>au Lycée "MARC GODRIE"</v>
          </cell>
        </row>
        <row r="10">
          <cell r="M10" t="str">
            <v>à l' EREA "ANNE FRANK"</v>
          </cell>
        </row>
        <row r="11">
          <cell r="M11" t="str">
            <v>au Lycée "JEAN-MARIE BOULOUX"</v>
          </cell>
        </row>
        <row r="12">
          <cell r="M12" t="str">
            <v>au Lycée "JEAN MOULIN"</v>
          </cell>
        </row>
        <row r="13">
          <cell r="M13" t="str">
            <v>au Lycée "RAOUL MORTIER"</v>
          </cell>
        </row>
        <row r="14">
          <cell r="M14" t="str">
            <v>au Lycée "ALIÉNOR D'AQUITAINE"</v>
          </cell>
        </row>
        <row r="15">
          <cell r="M15" t="str">
            <v>au Lycée "AUGUSTE PERRET"</v>
          </cell>
        </row>
        <row r="16">
          <cell r="M16" t="str">
            <v>au Lycée "CAMILLE GUÉRIN"</v>
          </cell>
        </row>
        <row r="17">
          <cell r="M17" t="str">
            <v>au Lycée "KYOTO"</v>
          </cell>
        </row>
        <row r="18">
          <cell r="M18" t="str">
            <v>au Lycée "LE BOIS D'AMOUR"</v>
          </cell>
        </row>
        <row r="19">
          <cell r="M19" t="str">
            <v>au Lycée "LE DOLMEN"</v>
          </cell>
        </row>
        <row r="20">
          <cell r="M20" t="str">
            <v>au Lycée "NELSON MANDELA"</v>
          </cell>
        </row>
        <row r="21">
          <cell r="M21" t="str">
            <v>au Lycée "RÉAUMUR"</v>
          </cell>
        </row>
        <row r="22">
          <cell r="M22" t="str">
            <v>au Lycée "VICTOR HUGO"</v>
          </cell>
        </row>
        <row r="23">
          <cell r="M23" t="str">
            <v>au Lycée "XAVIER BERNARD"</v>
          </cell>
        </row>
        <row r="24">
          <cell r="M24" t="str">
            <v>au Lycée "DANIÈLE MATHIRON"</v>
          </cell>
        </row>
        <row r="25">
          <cell r="M25" t="str">
            <v>au lycée "LÉONARD DE VINCI"</v>
          </cell>
        </row>
        <row r="26">
          <cell r="M26" t="str">
            <v>au lycée "LES SICAUDIÈRES"</v>
          </cell>
        </row>
        <row r="27">
          <cell r="M27" t="str">
            <v>au lycée "MAURICE GENEVOIX"/"SIMONE SIGNORET"</v>
          </cell>
        </row>
        <row r="28">
          <cell r="M28" t="str">
            <v>au lycée "JEAN-FRANCOIS CAIL"</v>
          </cell>
        </row>
        <row r="29">
          <cell r="M29" t="str">
            <v>au lycée "JACQUES BUJAULT"</v>
          </cell>
        </row>
        <row r="30">
          <cell r="M30" t="str">
            <v>au lycée "JOSEPH DESFONTAINES"</v>
          </cell>
        </row>
        <row r="31">
          <cell r="M31" t="str">
            <v>au lycée "GASTON BARRÉ"</v>
          </cell>
        </row>
        <row r="32">
          <cell r="M32" t="str">
            <v>au lycée "GASTON CHAISSAC"</v>
          </cell>
        </row>
        <row r="33">
          <cell r="M33" t="str">
            <v>au lycée "JEAN MACÉ"</v>
          </cell>
        </row>
        <row r="34">
          <cell r="M34" t="str">
            <v>au lycée "LA VENISE VERTE"</v>
          </cell>
        </row>
        <row r="35">
          <cell r="M35" t="str">
            <v>au lycée "PAUL GUERIN"</v>
          </cell>
        </row>
        <row r="36">
          <cell r="M36" t="str">
            <v>au lycée "THOMAS-JEAN MAIN"</v>
          </cell>
        </row>
        <row r="37">
          <cell r="M37" t="str">
            <v>au lycée "ERNEST PÉROCHON"</v>
          </cell>
        </row>
        <row r="38">
          <cell r="M38" t="str">
            <v>au lycée "LES GRIPPEAUX"</v>
          </cell>
        </row>
        <row r="39">
          <cell r="M39" t="str">
            <v>à l' EREA "FRANCOISE DOLTO"</v>
          </cell>
        </row>
        <row r="40">
          <cell r="M40" t="str">
            <v>au lycée "HAUT VAL DE SÈVRE"</v>
          </cell>
        </row>
        <row r="41">
          <cell r="M41" t="str">
            <v>au lycée "J.MOULIN"(79)</v>
          </cell>
        </row>
        <row r="42">
          <cell r="M42" t="str">
            <v>au Lycée "DE LA MER ET DU LITTORAL"</v>
          </cell>
        </row>
        <row r="43">
          <cell r="M43" t="str">
            <v>au Lycée "JEAN HYPPOLITE"</v>
          </cell>
        </row>
        <row r="44">
          <cell r="M44" t="str">
            <v>au Lycée "LE RENAUDIN"</v>
          </cell>
        </row>
        <row r="45">
          <cell r="M45" t="str">
            <v>au Lycée "JEAN DAUTET"</v>
          </cell>
        </row>
        <row r="46">
          <cell r="M46" t="str">
            <v>au Lycée "LÉONCE VIELJEUX"</v>
          </cell>
        </row>
        <row r="47">
          <cell r="M47" t="str">
            <v>au Lycée "HOTELIER DU PARC DE LA FRANCOPHONIE"</v>
          </cell>
        </row>
        <row r="48">
          <cell r="M48" t="str">
            <v>au Lycée "PIERRE DORIOLE"</v>
          </cell>
        </row>
        <row r="49">
          <cell r="M49" t="str">
            <v>au Lycée "RENÉ-JOSUÉ VALIN"</v>
          </cell>
        </row>
        <row r="50">
          <cell r="M50" t="str">
            <v>au Lycée "ROMPSAY"</v>
          </cell>
        </row>
        <row r="51">
          <cell r="M51" t="str">
            <v>au Lycée "ANTOINE DE SAINT EXUPÉRY"</v>
          </cell>
        </row>
        <row r="52">
          <cell r="M52" t="str">
            <v>au Lycée "EMILE COMBES"</v>
          </cell>
        </row>
        <row r="53">
          <cell r="M53" t="str">
            <v>au Lycée "GILLES JAMAIN"</v>
          </cell>
        </row>
        <row r="54">
          <cell r="M54" t="str">
            <v>au Lycée "MARCEL DASSAULT"</v>
          </cell>
        </row>
        <row r="55">
          <cell r="M55" t="str">
            <v>au Lycée "MAURICE MERLEAU PONTY"</v>
          </cell>
        </row>
        <row r="56">
          <cell r="M56" t="str">
            <v>au Lycée de "L'ATLANTIQUE"</v>
          </cell>
        </row>
        <row r="57">
          <cell r="M57" t="str">
            <v>au Lycée "CORDOUAN"</v>
          </cell>
        </row>
        <row r="58">
          <cell r="M58" t="str">
            <v>au Lycée "BELLEVUE"</v>
          </cell>
        </row>
        <row r="59">
          <cell r="M59" t="str">
            <v>au Lycée "BERNARD PALISSY"</v>
          </cell>
        </row>
        <row r="60">
          <cell r="M60" t="str">
            <v>au Lycée "LE PETIT CHADIGNAC"</v>
          </cell>
        </row>
        <row r="61">
          <cell r="M61" t="str">
            <v>à l' EREA "THÉODORE MONOD"</v>
          </cell>
        </row>
        <row r="62">
          <cell r="M62" t="str">
            <v>au Lycée "BLAISE PASCAL"</v>
          </cell>
        </row>
        <row r="63">
          <cell r="M63" t="str">
            <v>au Lycée "LOUIS-AUDOUIN DUBREUIL"</v>
          </cell>
        </row>
        <row r="64">
          <cell r="M64" t="str">
            <v>au Lycée "ENILIA-ENSMIC"</v>
          </cell>
        </row>
        <row r="65">
          <cell r="M65" t="str">
            <v>au Lycée "GEORGES DESCLAUDES"</v>
          </cell>
        </row>
        <row r="66">
          <cell r="M66" t="str">
            <v>au Lycée "MARITIME ET ACQUACOLE"</v>
          </cell>
        </row>
        <row r="67">
          <cell r="M67" t="str">
            <v>au Lycée "PAYS D'AUNIS"</v>
          </cell>
        </row>
        <row r="68">
          <cell r="M68" t="str">
            <v>au lycée "CHARLES-AUGUSTIN COULOMB"</v>
          </cell>
        </row>
        <row r="69">
          <cell r="M69" t="str">
            <v>au lycée "GUEZ DE BALZAC"</v>
          </cell>
        </row>
        <row r="70">
          <cell r="M70" t="str">
            <v>au lycée "DE L'IMAGE ET DU SON"</v>
          </cell>
        </row>
        <row r="71">
          <cell r="M71" t="str">
            <v>au lycée "JEAN ROSTAND"</v>
          </cell>
        </row>
        <row r="72">
          <cell r="M72" t="str">
            <v>au lycée "MARGUERITE DE VALOIS"</v>
          </cell>
        </row>
        <row r="73">
          <cell r="M73" t="str">
            <v>au lycée "DE SILLAC"</v>
          </cell>
        </row>
        <row r="74">
          <cell r="M74" t="str">
            <v>au lycée "ÉLIE VINET"</v>
          </cell>
        </row>
        <row r="75">
          <cell r="M75" t="str">
            <v>au lycée "FÉLIX GAILLARD"</v>
          </cell>
        </row>
        <row r="76">
          <cell r="M76" t="str">
            <v>au lycée "PIERRE-ANDRÉ CHABANNE"</v>
          </cell>
        </row>
        <row r="77">
          <cell r="M77" t="str">
            <v>au lycée "JEAN MONNET"</v>
          </cell>
        </row>
        <row r="78">
          <cell r="M78" t="str">
            <v>au lycée "LOUIS DELAGE"</v>
          </cell>
        </row>
        <row r="79">
          <cell r="M79" t="str">
            <v>au lycée "ÉMILE ROUX"</v>
          </cell>
        </row>
        <row r="80">
          <cell r="M80" t="str">
            <v>au lycée "L'OISELLERIE"</v>
          </cell>
        </row>
        <row r="81">
          <cell r="M81" t="str">
            <v>à l' EREA "LES CHIRONS"</v>
          </cell>
        </row>
        <row r="82">
          <cell r="M82" t="str">
            <v>au lycée "JEAN CAILLAUD"</v>
          </cell>
        </row>
        <row r="83">
          <cell r="M83" t="str">
            <v>au lycée "LOUISE MICHEL"</v>
          </cell>
        </row>
        <row r="84">
          <cell r="M84" t="str">
            <v>au lycée "JEAN-ALBERT GRÉGOIRE"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F32:F54" totalsRowShown="0" headerRowDxfId="68" dataDxfId="67" tableBorderDxfId="66">
  <autoFilter ref="F32:F54" xr:uid="{00000000-0009-0000-0100-000001000000}">
    <filterColumn colId="0">
      <customFilters>
        <customFilter operator="greaterThan" val="0"/>
      </customFilters>
    </filterColumn>
  </autoFilter>
  <tableColumns count="1">
    <tableColumn id="1" xr3:uid="{00000000-0010-0000-0000-000001000000}" name="total ht" dataDxfId="65"/>
  </tableColumns>
  <tableStyleInfo name="TableStyleLight1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1000000}" name="Tableau7" displayName="Tableau7" ref="A32:F52" totalsRowShown="0" headerRowDxfId="64" tableBorderDxfId="63">
  <autoFilter ref="A32:F52" xr:uid="{00000000-0009-0000-0100-000007000000}">
    <filterColumn colId="0">
      <customFilters>
        <customFilter operator="greaterThan" val="0"/>
      </customFilters>
    </filterColumn>
    <filterColumn colId="5">
      <customFilters>
        <customFilter operator="greaterThan" val="0"/>
      </customFilters>
    </filterColumn>
  </autoFilter>
  <tableColumns count="6">
    <tableColumn id="1" xr3:uid="{00000000-0010-0000-0100-000001000000}" name="Colonne1" dataDxfId="62"/>
    <tableColumn id="2" xr3:uid="{00000000-0010-0000-0100-000002000000}" name="taux TVA"/>
    <tableColumn id="3" xr3:uid="{00000000-0010-0000-0100-000003000000}" name="montant"/>
    <tableColumn id="4" xr3:uid="{00000000-0010-0000-0100-000004000000}" name="Colonne2"/>
    <tableColumn id="5" xr3:uid="{00000000-0010-0000-0100-000005000000}" name="taux avance"/>
    <tableColumn id="6" xr3:uid="{00000000-0010-0000-0100-000006000000}" name="total ht" dataDxfId="61"/>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au4" displayName="Tableau4" ref="B28:M140" totalsRowShown="0" headerRowDxfId="60" dataDxfId="58" headerRowBorderDxfId="59" tableBorderDxfId="57" totalsRowBorderDxfId="56">
  <autoFilter ref="B28:M140" xr:uid="{00000000-0009-0000-0100-000004000000}">
    <filterColumn colId="6">
      <customFilters>
        <customFilter operator="greaterThan" val="0"/>
      </customFilters>
    </filterColumn>
  </autoFilter>
  <tableColumns count="12">
    <tableColumn id="10" xr3:uid="{00000000-0010-0000-0200-00000A000000}" name="Colonne1" dataDxfId="55">
      <calculatedColumnFormula>Tableau4[[#This Row],[Tranche]]&amp;" "&amp;Tableau4[[#This Row],[type (titulaire / ST)]]</calculatedColumnFormula>
    </tableColumn>
    <tableColumn id="1" xr3:uid="{00000000-0010-0000-0200-000001000000}" name="Tranche" dataDxfId="54">
      <calculatedColumnFormula>DONNEES!A224</calculatedColumnFormula>
    </tableColumn>
    <tableColumn id="2" xr3:uid="{00000000-0010-0000-0200-000002000000}" name="type (titulaire / ST)" dataDxfId="53">
      <calculatedColumnFormula>DONNEES!C224</calculatedColumnFormula>
    </tableColumn>
    <tableColumn id="3" xr3:uid="{00000000-0010-0000-0200-000003000000}" name="nom" dataDxfId="52">
      <calculatedColumnFormula>DONNEES!D224</calculatedColumnFormula>
    </tableColumn>
    <tableColumn id="4" xr3:uid="{00000000-0010-0000-0200-000004000000}" name="montant HT" dataDxfId="51">
      <calculatedColumnFormula>DONNEES!E224</calculatedColumnFormula>
    </tableColumn>
    <tableColumn id="5" xr3:uid="{00000000-0010-0000-0200-000005000000}" name=" montant HT" dataDxfId="50">
      <calculatedColumnFormula>SUM(C29+D29+E29+F29)</calculatedColumnFormula>
    </tableColumn>
    <tableColumn id="6" xr3:uid="{00000000-0010-0000-0200-000006000000}" name="S HT" dataDxfId="49" dataCellStyle="Monétaire">
      <calculatedColumnFormula>F29+G29</calculatedColumnFormula>
    </tableColumn>
    <tableColumn id="7" xr3:uid="{00000000-0010-0000-0200-000007000000}" name="montant HT2" dataDxfId="48" dataCellStyle="Monétaire"/>
    <tableColumn id="8" xr3:uid="{00000000-0010-0000-0200-000008000000}" name=" montant HT3" dataDxfId="47" dataCellStyle="Monétaire"/>
    <tableColumn id="9" xr3:uid="{00000000-0010-0000-0200-000009000000}" name=" montant HT4" dataDxfId="46"/>
    <tableColumn id="11" xr3:uid="{00000000-0010-0000-0200-00000B000000}" name=" montant HT5" dataDxfId="45">
      <calculatedColumnFormula>Tableau4[[#This Row],[montant HT2]]</calculatedColumnFormula>
    </tableColumn>
    <tableColumn id="12" xr3:uid="{00000000-0010-0000-0200-00000C000000}" name=" montant HT6" dataDxfId="44">
      <calculatedColumnFormula>Tableau4[[#This Row],[ montant HT3]]</calculatedColumnFormula>
    </tableColumn>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ableau2" displayName="Tableau2" ref="C358:H399" totalsRowShown="0" headerRowDxfId="43" dataDxfId="41" headerRowBorderDxfId="42" tableBorderDxfId="40" totalsRowBorderDxfId="39">
  <autoFilter ref="C358:H399" xr:uid="{00000000-0009-0000-0100-000002000000}">
    <filterColumn colId="5">
      <customFilters>
        <customFilter operator="greaterThan" val="0"/>
      </customFilters>
    </filterColumn>
  </autoFilter>
  <tableColumns count="6">
    <tableColumn id="1" xr3:uid="{00000000-0010-0000-0300-000001000000}" name="Mandats antérieurs" dataDxfId="38"/>
    <tableColumn id="2" xr3:uid="{00000000-0010-0000-0300-000002000000}" name="Colonne1" dataDxfId="37"/>
    <tableColumn id="3" xr3:uid="{00000000-0010-0000-0300-000003000000}" name="Colonne2" dataDxfId="36"/>
    <tableColumn id="4" xr3:uid="{00000000-0010-0000-0300-000004000000}" name="Titres de recettes antérieurs (pour info)" dataDxfId="35"/>
    <tableColumn id="5" xr3:uid="{00000000-0010-0000-0300-000005000000}" name="Colonne3" dataDxfId="34"/>
    <tableColumn id="6" xr3:uid="{00000000-0010-0000-0300-000006000000}" name="Colonne4" dataDxfId="33"/>
  </tableColumns>
  <tableStyleInfo name="TableStyleLight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4000000}" name="Tableau3" displayName="Tableau3" ref="C11:F24" totalsRowShown="0" headerRowDxfId="32" dataDxfId="30" headerRowBorderDxfId="31" tableBorderDxfId="29">
  <autoFilter ref="C11:F24" xr:uid="{00000000-0009-0000-0100-000003000000}">
    <filterColumn colId="3">
      <customFilters>
        <customFilter operator="greaterThan" val="0"/>
      </customFilters>
    </filterColumn>
  </autoFilter>
  <tableColumns count="4">
    <tableColumn id="1" xr3:uid="{00000000-0010-0000-0400-000001000000}" name="Taux de TVA" dataDxfId="28"/>
    <tableColumn id="2" xr3:uid="{00000000-0010-0000-0400-000002000000}" name="20,0%" dataDxfId="27" dataCellStyle="Monétaire"/>
    <tableColumn id="3" xr3:uid="{00000000-0010-0000-0400-000003000000}" name="10,0%" dataDxfId="26" dataCellStyle="Monétaire"/>
    <tableColumn id="4" xr3:uid="{00000000-0010-0000-0400-000004000000}" name="total HT" dataDxfId="25" dataCellStyle="Monétaire"/>
  </tableColumns>
  <tableStyleInfo name="TableStyleLight1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5000000}" name="Tableau21" displayName="Tableau21" ref="J263:J356" totalsRowShown="0" headerRowDxfId="24" dataDxfId="23" tableBorderDxfId="22" dataCellStyle="Pourcentage">
  <autoFilter ref="J263:J356" xr:uid="{00000000-0009-0000-0100-000015000000}">
    <filterColumn colId="0">
      <customFilters>
        <customFilter operator="notEqual" val="0"/>
      </customFilters>
    </filterColumn>
  </autoFilter>
  <tableColumns count="1">
    <tableColumn id="1" xr3:uid="{00000000-0010-0000-0500-000001000000}" name="marché HT" dataDxfId="21" dataCellStyle="Pourcentage">
      <calculatedColumnFormula>H41</calculatedColumnFormula>
    </tableColumn>
  </tableColumns>
  <tableStyleInfo name="TableStyleLight1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6000000}" name="Tableau5" displayName="Tableau5" ref="H146:H259" totalsRowShown="0" headerRowDxfId="20" dataDxfId="19" tableBorderDxfId="18" dataCellStyle="Monétaire">
  <autoFilter ref="H146:H259" xr:uid="{00000000-0009-0000-0100-000005000000}">
    <filterColumn colId="0">
      <customFilters>
        <customFilter operator="greaterThan" val="0"/>
      </customFilters>
    </filterColumn>
  </autoFilter>
  <tableColumns count="1">
    <tableColumn id="1" xr3:uid="{00000000-0010-0000-0600-000001000000}" name="total" dataDxfId="17" dataCellStyle="Monétaire"/>
  </tableColumns>
  <tableStyleInfo name="TableStyleLight10"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7000000}" name="Tableau14" displayName="Tableau14" ref="J38:J50" totalsRowShown="0" headerRowDxfId="16" dataDxfId="15" tableBorderDxfId="14" headerRowCellStyle="Normal 2" dataCellStyle="Normal 2">
  <autoFilter ref="J38:J50" xr:uid="{00000000-0009-0000-0100-00000E000000}">
    <filterColumn colId="0">
      <customFilters>
        <customFilter operator="greaterThan" val="0"/>
      </customFilters>
    </filterColumn>
  </autoFilter>
  <tableColumns count="1">
    <tableColumn id="1" xr3:uid="{00000000-0010-0000-0700-000001000000}" name="TOTAL" dataDxfId="13" dataCellStyle="Normal 2"/>
  </tableColumns>
  <tableStyleInfo name="TableStyleLight3"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8000000}" name="Tableau15" displayName="Tableau15" ref="J55:J67" totalsRowShown="0" headerRowDxfId="12" dataDxfId="11" headerRowCellStyle="Normal 2" dataCellStyle="Normal 2">
  <autoFilter ref="J55:J67" xr:uid="{00000000-0009-0000-0100-00000F000000}">
    <filterColumn colId="0">
      <customFilters>
        <customFilter operator="greaterThan" val="0"/>
      </customFilters>
    </filterColumn>
  </autoFilter>
  <tableColumns count="1">
    <tableColumn id="1" xr3:uid="{00000000-0010-0000-0800-000001000000}" name="TOTAL" dataDxfId="10" dataCellStyle="Normal 2"/>
  </tableColumns>
  <tableStyleInfo name="TableStyleLight3"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9000000}" name="Tableau16" displayName="Tableau16" ref="E13:E35" totalsRowShown="0" headerRowDxfId="9" dataDxfId="8" tableBorderDxfId="7" headerRowCellStyle="Normal 2" dataCellStyle="Normal 2">
  <autoFilter ref="E13:E35" xr:uid="{00000000-0009-0000-0100-000010000000}"/>
  <tableColumns count="1">
    <tableColumn id="1" xr3:uid="{00000000-0010-0000-0900-000001000000}" name="Colonne4" dataDxfId="6" dataCellStyle="Normal 2"/>
  </tableColumns>
  <tableStyleInfo name="Style de tableau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A000000}" name="Tableau19" displayName="Tableau19" ref="L5:L49" totalsRowShown="0" headerRowDxfId="5" dataDxfId="4" headerRowCellStyle="Normal 2">
  <autoFilter ref="L5:L49" xr:uid="{00000000-0009-0000-0100-000013000000}">
    <filterColumn colId="0">
      <customFilters>
        <customFilter operator="greaterThan" val="0"/>
      </customFilters>
    </filterColumn>
  </autoFilter>
  <tableColumns count="1">
    <tableColumn id="1" xr3:uid="{00000000-0010-0000-0A00-000001000000}" name="filtre" dataDxfId="3"/>
  </tableColumns>
  <tableStyleInfo name="Style de tableau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B000000}" name="Tableau1921" displayName="Tableau1921" ref="L61:L105" totalsRowShown="0" headerRowDxfId="2" dataDxfId="1" headerRowCellStyle="Normal 2">
  <autoFilter ref="L61:L105" xr:uid="{00000000-0009-0000-0100-000014000000}">
    <filterColumn colId="0">
      <customFilters>
        <customFilter operator="greaterThan" val="0"/>
      </customFilters>
    </filterColumn>
  </autoFilter>
  <tableColumns count="1">
    <tableColumn id="1" xr3:uid="{00000000-0010-0000-0B00-000001000000}" name="filtre" dataDxfId="0"/>
  </tableColumns>
  <tableStyleInfo name="Style de tableau 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crfconstructionspoitiers@nouvelle-aquitaine.fr" TargetMode="External"/><Relationship Id="rId2" Type="http://schemas.openxmlformats.org/officeDocument/2006/relationships/hyperlink" Target="mailto:crfconstructionslimoge@nouvelle-aquitaine.fr" TargetMode="External"/><Relationship Id="rId1" Type="http://schemas.openxmlformats.org/officeDocument/2006/relationships/hyperlink" Target="https://support.office.com/fr-fr/article/activer-ou-d%C3%A9sactiver-les-macros-dans-les-fichiers-office-12b036fd-d140-4e74-b45e-16fed1a7e5c6"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table" Target="../tables/table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2.xml"/></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vmlDrawing" Target="../drawings/vmlDrawing4.vml"/><Relationship Id="rId7" Type="http://schemas.openxmlformats.org/officeDocument/2006/relationships/table" Target="../tables/table6.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 Id="rId9" Type="http://schemas.openxmlformats.org/officeDocument/2006/relationships/comments" Target="../comments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5.xml"/><Relationship Id="rId1" Type="http://schemas.openxmlformats.org/officeDocument/2006/relationships/printerSettings" Target="../printerSettings/printerSettings9.bin"/><Relationship Id="rId5" Type="http://schemas.openxmlformats.org/officeDocument/2006/relationships/table" Target="../tables/table10.xml"/><Relationship Id="rId4"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table" Target="../tables/table1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2"/>
  <dimension ref="A1:U128"/>
  <sheetViews>
    <sheetView topLeftCell="A2" workbookViewId="0">
      <selection activeCell="E1" sqref="E1"/>
    </sheetView>
  </sheetViews>
  <sheetFormatPr baseColWidth="10" defaultRowHeight="12.75"/>
  <cols>
    <col min="1" max="9" width="11.42578125" style="1"/>
    <col min="10" max="10" width="2.7109375" style="4" bestFit="1" customWidth="1"/>
    <col min="11" max="11" width="5.28515625" style="4" bestFit="1" customWidth="1"/>
    <col min="12" max="12" width="11.42578125" style="4"/>
    <col min="13" max="13" width="22.7109375" style="4" customWidth="1"/>
    <col min="14" max="15" width="11.42578125" style="1"/>
    <col min="16" max="16" width="23.85546875" style="1" bestFit="1" customWidth="1"/>
    <col min="17" max="18" width="11.42578125" style="1"/>
    <col min="19" max="19" width="18.5703125" style="1" bestFit="1" customWidth="1"/>
    <col min="20" max="16384" width="11.42578125" style="1"/>
  </cols>
  <sheetData>
    <row r="1" spans="1:21">
      <c r="A1" s="2">
        <v>0</v>
      </c>
      <c r="C1" s="1" t="s">
        <v>158</v>
      </c>
      <c r="D1" s="1" t="s">
        <v>337</v>
      </c>
      <c r="E1" s="1" t="s">
        <v>184</v>
      </c>
      <c r="F1" s="1" t="s">
        <v>28</v>
      </c>
      <c r="G1" s="1">
        <v>2017</v>
      </c>
      <c r="H1" s="1" t="s">
        <v>201</v>
      </c>
      <c r="I1" s="1" t="s">
        <v>195</v>
      </c>
      <c r="J1" s="3"/>
      <c r="L1" s="5"/>
      <c r="M1" s="5"/>
      <c r="O1" s="1">
        <v>20</v>
      </c>
      <c r="P1" s="1" t="s">
        <v>179</v>
      </c>
      <c r="Q1" s="1" t="s">
        <v>218</v>
      </c>
      <c r="S1" s="1" t="s">
        <v>228</v>
      </c>
      <c r="U1" s="1">
        <v>0</v>
      </c>
    </row>
    <row r="2" spans="1:21" ht="22.5">
      <c r="A2" s="2">
        <v>5.5E-2</v>
      </c>
      <c r="C2" s="1" t="s">
        <v>55</v>
      </c>
      <c r="D2" s="1" t="s">
        <v>41</v>
      </c>
      <c r="E2" s="1">
        <v>1</v>
      </c>
      <c r="F2" s="1" t="s">
        <v>29</v>
      </c>
      <c r="G2" s="1">
        <v>2018</v>
      </c>
      <c r="H2" s="1" t="s">
        <v>202</v>
      </c>
      <c r="I2" s="1" t="s">
        <v>194</v>
      </c>
      <c r="J2" s="3" t="s">
        <v>177</v>
      </c>
      <c r="K2" s="3" t="s">
        <v>70</v>
      </c>
      <c r="L2" s="6" t="s">
        <v>71</v>
      </c>
      <c r="M2" s="5" t="str">
        <f>J2&amp;" "&amp;K2&amp;" "&amp;L2</f>
        <v>au Lycée "ÉDOUARD BRANLY"</v>
      </c>
      <c r="O2" s="1">
        <v>25</v>
      </c>
      <c r="P2" s="1" t="s">
        <v>180</v>
      </c>
      <c r="Q2" s="1" t="s">
        <v>219</v>
      </c>
      <c r="S2" s="1" t="s">
        <v>229</v>
      </c>
      <c r="U2" s="1">
        <v>1</v>
      </c>
    </row>
    <row r="3" spans="1:21">
      <c r="A3" s="2">
        <v>7.0000000000000007E-2</v>
      </c>
      <c r="D3" s="1" t="s">
        <v>42</v>
      </c>
      <c r="E3" s="1">
        <v>2</v>
      </c>
      <c r="F3" s="1" t="s">
        <v>30</v>
      </c>
      <c r="G3" s="1">
        <v>2019</v>
      </c>
      <c r="J3" s="3" t="s">
        <v>177</v>
      </c>
      <c r="K3" s="3" t="s">
        <v>70</v>
      </c>
      <c r="L3" s="5" t="s">
        <v>72</v>
      </c>
      <c r="M3" s="5" t="str">
        <f t="shared" ref="M3:M66" si="0">J3&amp;" "&amp;K3&amp;" "&amp;L3</f>
        <v>au Lycée "LE VERGER"</v>
      </c>
      <c r="O3" s="1">
        <v>30</v>
      </c>
      <c r="P3" s="1" t="s">
        <v>293</v>
      </c>
      <c r="Q3" s="1" t="s">
        <v>220</v>
      </c>
      <c r="S3" s="1" t="s">
        <v>230</v>
      </c>
      <c r="U3" s="1">
        <v>2</v>
      </c>
    </row>
    <row r="4" spans="1:21" ht="22.5">
      <c r="A4" s="2">
        <v>0.1</v>
      </c>
      <c r="C4" s="1" t="s">
        <v>159</v>
      </c>
      <c r="D4" s="1" t="s">
        <v>44</v>
      </c>
      <c r="E4" s="1">
        <v>3</v>
      </c>
      <c r="F4" s="1" t="s">
        <v>31</v>
      </c>
      <c r="G4" s="1">
        <v>2020</v>
      </c>
      <c r="J4" s="3" t="s">
        <v>177</v>
      </c>
      <c r="K4" s="3" t="s">
        <v>70</v>
      </c>
      <c r="L4" s="6" t="s">
        <v>73</v>
      </c>
      <c r="M4" s="5" t="str">
        <f t="shared" si="0"/>
        <v>au Lycée "MARCELIN BERTHELOT"</v>
      </c>
      <c r="O4" s="1">
        <v>35</v>
      </c>
      <c r="P4" s="1" t="s">
        <v>294</v>
      </c>
      <c r="Q4" s="1" t="s">
        <v>221</v>
      </c>
      <c r="S4" s="1" t="s">
        <v>429</v>
      </c>
      <c r="U4" s="1">
        <v>3</v>
      </c>
    </row>
    <row r="5" spans="1:21" ht="22.5">
      <c r="A5" s="2">
        <v>0.19600000000000001</v>
      </c>
      <c r="C5" s="1" t="s">
        <v>160</v>
      </c>
      <c r="D5" s="1" t="s">
        <v>45</v>
      </c>
      <c r="E5" s="1">
        <v>4</v>
      </c>
      <c r="F5" s="1" t="s">
        <v>32</v>
      </c>
      <c r="G5" s="1">
        <v>2021</v>
      </c>
      <c r="J5" s="3" t="s">
        <v>177</v>
      </c>
      <c r="K5" s="3" t="s">
        <v>70</v>
      </c>
      <c r="L5" s="6" t="s">
        <v>74</v>
      </c>
      <c r="M5" s="5" t="str">
        <f t="shared" si="0"/>
        <v>au Lycée "ANDRÉ THEURIET"</v>
      </c>
      <c r="P5" s="1" t="s">
        <v>181</v>
      </c>
      <c r="Q5" s="1" t="s">
        <v>222</v>
      </c>
      <c r="S5" s="1" t="s">
        <v>430</v>
      </c>
      <c r="U5" s="1">
        <v>4</v>
      </c>
    </row>
    <row r="6" spans="1:21" ht="22.5">
      <c r="A6" s="2">
        <v>0.2</v>
      </c>
      <c r="E6" s="1">
        <v>5</v>
      </c>
      <c r="F6" s="1" t="s">
        <v>33</v>
      </c>
      <c r="G6" s="1">
        <v>2022</v>
      </c>
      <c r="J6" s="3" t="s">
        <v>177</v>
      </c>
      <c r="K6" s="3" t="s">
        <v>70</v>
      </c>
      <c r="L6" s="6" t="s">
        <v>75</v>
      </c>
      <c r="M6" s="5" t="str">
        <f t="shared" si="0"/>
        <v>au Lycée "LES TERRES ROUGES"</v>
      </c>
      <c r="P6" s="1" t="s">
        <v>182</v>
      </c>
      <c r="Q6" s="1" t="s">
        <v>428</v>
      </c>
      <c r="S6" s="1" t="s">
        <v>431</v>
      </c>
      <c r="U6" s="1">
        <v>5</v>
      </c>
    </row>
    <row r="7" spans="1:21" ht="45">
      <c r="E7" s="1">
        <v>6</v>
      </c>
      <c r="F7" s="1" t="s">
        <v>34</v>
      </c>
      <c r="G7" s="1">
        <v>2023</v>
      </c>
      <c r="J7" s="3" t="s">
        <v>177</v>
      </c>
      <c r="K7" s="3" t="s">
        <v>70</v>
      </c>
      <c r="L7" s="6" t="s">
        <v>76</v>
      </c>
      <c r="M7" s="5" t="str">
        <f t="shared" si="0"/>
        <v>au Lycée "PILOTE INNOVANT INTERNATIONAL"</v>
      </c>
      <c r="P7" s="1" t="s">
        <v>295</v>
      </c>
      <c r="S7" s="1" t="s">
        <v>432</v>
      </c>
      <c r="U7" s="1">
        <v>6</v>
      </c>
    </row>
    <row r="8" spans="1:21" ht="22.5">
      <c r="A8" s="1" t="s">
        <v>337</v>
      </c>
      <c r="E8" s="1">
        <v>7</v>
      </c>
      <c r="F8" s="1" t="s">
        <v>35</v>
      </c>
      <c r="G8" s="1">
        <v>2024</v>
      </c>
      <c r="J8" s="3" t="s">
        <v>177</v>
      </c>
      <c r="K8" s="3" t="s">
        <v>70</v>
      </c>
      <c r="L8" s="6" t="s">
        <v>77</v>
      </c>
      <c r="M8" s="5" t="str">
        <f t="shared" si="0"/>
        <v>au Lycée "GUY CHAUVET"</v>
      </c>
      <c r="S8" s="1" t="s">
        <v>231</v>
      </c>
      <c r="U8" s="1">
        <v>7</v>
      </c>
    </row>
    <row r="9" spans="1:21" ht="22.5">
      <c r="A9" s="1" t="s">
        <v>344</v>
      </c>
      <c r="E9" s="1">
        <v>8</v>
      </c>
      <c r="F9" s="1" t="s">
        <v>36</v>
      </c>
      <c r="J9" s="3" t="s">
        <v>177</v>
      </c>
      <c r="K9" s="3" t="s">
        <v>70</v>
      </c>
      <c r="L9" s="6" t="s">
        <v>78</v>
      </c>
      <c r="M9" s="5" t="str">
        <f t="shared" si="0"/>
        <v>au Lycée "MARC GODRIE"</v>
      </c>
      <c r="P9" s="1" t="s">
        <v>186</v>
      </c>
      <c r="U9" s="1">
        <v>8</v>
      </c>
    </row>
    <row r="10" spans="1:21" ht="22.5">
      <c r="A10" s="1" t="s">
        <v>345</v>
      </c>
      <c r="E10" s="1">
        <v>9</v>
      </c>
      <c r="F10" s="1" t="s">
        <v>37</v>
      </c>
      <c r="J10" s="3" t="s">
        <v>178</v>
      </c>
      <c r="K10" s="3" t="s">
        <v>79</v>
      </c>
      <c r="L10" s="6" t="s">
        <v>80</v>
      </c>
      <c r="M10" s="5" t="str">
        <f t="shared" si="0"/>
        <v>à l' EREA "ANNE FRANK"</v>
      </c>
      <c r="P10" s="1" t="s">
        <v>185</v>
      </c>
      <c r="U10" s="1">
        <v>9</v>
      </c>
    </row>
    <row r="11" spans="1:21" ht="22.5">
      <c r="A11" s="1" t="s">
        <v>580</v>
      </c>
      <c r="E11" s="1">
        <v>10</v>
      </c>
      <c r="F11" s="1" t="s">
        <v>38</v>
      </c>
      <c r="J11" s="3" t="s">
        <v>177</v>
      </c>
      <c r="K11" s="3" t="s">
        <v>70</v>
      </c>
      <c r="L11" s="6" t="s">
        <v>81</v>
      </c>
      <c r="M11" s="5" t="str">
        <f t="shared" si="0"/>
        <v>au Lycée "JEAN-MARIE BOULOUX"</v>
      </c>
      <c r="P11" s="1" t="s">
        <v>422</v>
      </c>
      <c r="U11" s="1">
        <v>10</v>
      </c>
    </row>
    <row r="12" spans="1:21" ht="22.5">
      <c r="A12" s="1" t="s">
        <v>581</v>
      </c>
      <c r="E12" s="1">
        <v>11</v>
      </c>
      <c r="F12" s="1" t="s">
        <v>39</v>
      </c>
      <c r="J12" s="3" t="s">
        <v>177</v>
      </c>
      <c r="K12" s="3" t="s">
        <v>70</v>
      </c>
      <c r="L12" s="6" t="s">
        <v>82</v>
      </c>
      <c r="M12" s="5" t="str">
        <f t="shared" si="0"/>
        <v>au Lycée "JEAN MOULIN"</v>
      </c>
    </row>
    <row r="13" spans="1:21" ht="22.5">
      <c r="E13" s="1">
        <v>12</v>
      </c>
      <c r="J13" s="3" t="s">
        <v>177</v>
      </c>
      <c r="K13" s="3" t="s">
        <v>70</v>
      </c>
      <c r="L13" s="6" t="s">
        <v>83</v>
      </c>
      <c r="M13" s="5" t="str">
        <f t="shared" si="0"/>
        <v>au Lycée "RAOUL MORTIER"</v>
      </c>
      <c r="S13" s="1" t="s">
        <v>578</v>
      </c>
    </row>
    <row r="14" spans="1:21" ht="22.5">
      <c r="A14" s="1" t="s">
        <v>51</v>
      </c>
      <c r="E14" s="1">
        <v>13</v>
      </c>
      <c r="J14" s="3" t="s">
        <v>177</v>
      </c>
      <c r="K14" s="3" t="s">
        <v>70</v>
      </c>
      <c r="L14" s="6" t="s">
        <v>84</v>
      </c>
      <c r="M14" s="5" t="str">
        <f t="shared" si="0"/>
        <v>au Lycée "ALIÉNOR D'AQUITAINE"</v>
      </c>
      <c r="S14" s="1" t="s">
        <v>576</v>
      </c>
    </row>
    <row r="15" spans="1:21" ht="22.5">
      <c r="A15" s="1" t="s">
        <v>53</v>
      </c>
      <c r="E15" s="1">
        <v>14</v>
      </c>
      <c r="J15" s="3" t="s">
        <v>177</v>
      </c>
      <c r="K15" s="3" t="s">
        <v>70</v>
      </c>
      <c r="L15" s="5" t="s">
        <v>85</v>
      </c>
      <c r="M15" s="5" t="str">
        <f t="shared" si="0"/>
        <v>au Lycée "AUGUSTE PERRET"</v>
      </c>
      <c r="S15" s="1" t="s">
        <v>577</v>
      </c>
    </row>
    <row r="16" spans="1:21" ht="22.5">
      <c r="A16" s="1" t="s">
        <v>52</v>
      </c>
      <c r="E16" s="1">
        <v>15</v>
      </c>
      <c r="J16" s="3" t="s">
        <v>177</v>
      </c>
      <c r="K16" s="3" t="s">
        <v>70</v>
      </c>
      <c r="L16" s="6" t="s">
        <v>86</v>
      </c>
      <c r="M16" s="5" t="str">
        <f t="shared" si="0"/>
        <v>au Lycée "CAMILLE GUÉRIN"</v>
      </c>
      <c r="S16" s="1" t="s">
        <v>579</v>
      </c>
    </row>
    <row r="17" spans="1:16">
      <c r="E17" s="1">
        <v>16</v>
      </c>
      <c r="J17" s="3" t="s">
        <v>177</v>
      </c>
      <c r="K17" s="3" t="s">
        <v>70</v>
      </c>
      <c r="L17" s="5" t="s">
        <v>87</v>
      </c>
      <c r="M17" s="5" t="str">
        <f t="shared" si="0"/>
        <v>au Lycée "KYOTO"</v>
      </c>
    </row>
    <row r="18" spans="1:16" ht="22.5">
      <c r="E18" s="1">
        <v>17</v>
      </c>
      <c r="J18" s="3" t="s">
        <v>177</v>
      </c>
      <c r="K18" s="3" t="s">
        <v>70</v>
      </c>
      <c r="L18" s="6" t="s">
        <v>88</v>
      </c>
      <c r="M18" s="5" t="str">
        <f t="shared" si="0"/>
        <v>au Lycée "LE BOIS D'AMOUR"</v>
      </c>
    </row>
    <row r="19" spans="1:16">
      <c r="E19" s="1">
        <v>18</v>
      </c>
      <c r="J19" s="3" t="s">
        <v>177</v>
      </c>
      <c r="K19" s="3" t="s">
        <v>70</v>
      </c>
      <c r="L19" s="6" t="s">
        <v>89</v>
      </c>
      <c r="M19" s="5" t="str">
        <f t="shared" si="0"/>
        <v>au Lycée "LE DOLMEN"</v>
      </c>
    </row>
    <row r="20" spans="1:16" ht="22.5">
      <c r="A20" s="1" t="s">
        <v>346</v>
      </c>
      <c r="E20" s="1">
        <v>19</v>
      </c>
      <c r="J20" s="3" t="s">
        <v>177</v>
      </c>
      <c r="K20" s="3" t="s">
        <v>70</v>
      </c>
      <c r="L20" s="6" t="s">
        <v>90</v>
      </c>
      <c r="M20" s="5" t="str">
        <f t="shared" si="0"/>
        <v>au Lycée "NELSON MANDELA"</v>
      </c>
      <c r="P20" s="1" t="s">
        <v>462</v>
      </c>
    </row>
    <row r="21" spans="1:16">
      <c r="A21" s="1" t="s">
        <v>582</v>
      </c>
      <c r="E21" s="1">
        <v>20</v>
      </c>
      <c r="J21" s="3" t="s">
        <v>177</v>
      </c>
      <c r="K21" s="3" t="s">
        <v>70</v>
      </c>
      <c r="L21" s="6" t="s">
        <v>91</v>
      </c>
      <c r="M21" s="5" t="str">
        <f t="shared" si="0"/>
        <v>au Lycée "RÉAUMUR"</v>
      </c>
      <c r="P21" s="1" t="s">
        <v>595</v>
      </c>
    </row>
    <row r="22" spans="1:16" ht="22.5">
      <c r="E22" s="1">
        <v>21</v>
      </c>
      <c r="J22" s="3" t="s">
        <v>177</v>
      </c>
      <c r="K22" s="3" t="s">
        <v>70</v>
      </c>
      <c r="L22" s="6" t="s">
        <v>92</v>
      </c>
      <c r="M22" s="5" t="str">
        <f t="shared" si="0"/>
        <v>au Lycée "VICTOR HUGO"</v>
      </c>
      <c r="P22" s="1" t="s">
        <v>463</v>
      </c>
    </row>
    <row r="23" spans="1:16" ht="22.5">
      <c r="A23" s="1" t="s">
        <v>337</v>
      </c>
      <c r="E23" s="1">
        <v>22</v>
      </c>
      <c r="J23" s="3" t="s">
        <v>177</v>
      </c>
      <c r="K23" s="3" t="s">
        <v>70</v>
      </c>
      <c r="L23" s="5" t="s">
        <v>93</v>
      </c>
      <c r="M23" s="5" t="str">
        <f t="shared" si="0"/>
        <v>au Lycée "XAVIER BERNARD"</v>
      </c>
      <c r="P23" s="1" t="s">
        <v>596</v>
      </c>
    </row>
    <row r="24" spans="1:16" ht="22.5">
      <c r="A24" s="1" t="s">
        <v>347</v>
      </c>
      <c r="E24" s="1">
        <v>23</v>
      </c>
      <c r="J24" s="3" t="s">
        <v>177</v>
      </c>
      <c r="K24" s="3" t="s">
        <v>70</v>
      </c>
      <c r="L24" s="6" t="s">
        <v>94</v>
      </c>
      <c r="M24" s="5" t="str">
        <f t="shared" si="0"/>
        <v>au Lycée "DANIÈLE MATHIRON"</v>
      </c>
      <c r="P24" s="1" t="s">
        <v>464</v>
      </c>
    </row>
    <row r="25" spans="1:16" ht="22.5">
      <c r="A25" s="1" t="s">
        <v>348</v>
      </c>
      <c r="E25" s="1">
        <v>24</v>
      </c>
      <c r="J25" s="3" t="s">
        <v>177</v>
      </c>
      <c r="K25" s="3" t="s">
        <v>95</v>
      </c>
      <c r="L25" s="6" t="s">
        <v>96</v>
      </c>
      <c r="M25" s="5" t="str">
        <f t="shared" si="0"/>
        <v>au lycée "LÉONARD DE VINCI"</v>
      </c>
      <c r="P25" s="1" t="s">
        <v>597</v>
      </c>
    </row>
    <row r="26" spans="1:16" ht="22.5">
      <c r="A26" s="1" t="s">
        <v>583</v>
      </c>
      <c r="E26" s="1">
        <v>25</v>
      </c>
      <c r="J26" s="3" t="s">
        <v>177</v>
      </c>
      <c r="K26" s="3" t="s">
        <v>95</v>
      </c>
      <c r="L26" s="6" t="s">
        <v>97</v>
      </c>
      <c r="M26" s="5" t="str">
        <f t="shared" si="0"/>
        <v>au lycée "LES SICAUDIÈRES"</v>
      </c>
      <c r="P26" s="1" t="s">
        <v>465</v>
      </c>
    </row>
    <row r="27" spans="1:16" ht="45">
      <c r="A27" s="1" t="s">
        <v>584</v>
      </c>
      <c r="E27" s="1">
        <v>26</v>
      </c>
      <c r="J27" s="3" t="s">
        <v>177</v>
      </c>
      <c r="K27" s="3" t="s">
        <v>95</v>
      </c>
      <c r="L27" s="6" t="s">
        <v>98</v>
      </c>
      <c r="M27" s="5" t="str">
        <f t="shared" si="0"/>
        <v>au lycée "MAURICE GENEVOIX"/"SIMONE SIGNORET"</v>
      </c>
      <c r="P27" s="1" t="s">
        <v>598</v>
      </c>
    </row>
    <row r="28" spans="1:16" ht="33.75">
      <c r="A28" s="1" t="s">
        <v>349</v>
      </c>
      <c r="E28" s="1">
        <v>27</v>
      </c>
      <c r="J28" s="3" t="s">
        <v>177</v>
      </c>
      <c r="K28" s="3" t="s">
        <v>95</v>
      </c>
      <c r="L28" s="6" t="s">
        <v>99</v>
      </c>
      <c r="M28" s="5" t="str">
        <f t="shared" si="0"/>
        <v>au lycée "JEAN-FRANCOIS CAIL"</v>
      </c>
      <c r="P28" s="1" t="s">
        <v>466</v>
      </c>
    </row>
    <row r="29" spans="1:16" ht="22.5">
      <c r="A29" s="1" t="s">
        <v>337</v>
      </c>
      <c r="E29" s="1">
        <v>28</v>
      </c>
      <c r="J29" s="3" t="s">
        <v>177</v>
      </c>
      <c r="K29" s="3" t="s">
        <v>95</v>
      </c>
      <c r="L29" s="6" t="s">
        <v>100</v>
      </c>
      <c r="M29" s="5" t="str">
        <f t="shared" si="0"/>
        <v>au lycée "JACQUES BUJAULT"</v>
      </c>
      <c r="P29" s="1" t="s">
        <v>599</v>
      </c>
    </row>
    <row r="30" spans="1:16" ht="33.75">
      <c r="A30" s="1" t="s">
        <v>350</v>
      </c>
      <c r="E30" s="1">
        <v>29</v>
      </c>
      <c r="J30" s="3" t="s">
        <v>177</v>
      </c>
      <c r="K30" s="3" t="s">
        <v>95</v>
      </c>
      <c r="L30" s="6" t="s">
        <v>101</v>
      </c>
      <c r="M30" s="5" t="str">
        <f t="shared" si="0"/>
        <v>au lycée "JOSEPH DESFONTAINES"</v>
      </c>
      <c r="P30" s="1" t="s">
        <v>467</v>
      </c>
    </row>
    <row r="31" spans="1:16" ht="22.5">
      <c r="A31" s="1" t="s">
        <v>351</v>
      </c>
      <c r="E31" s="1">
        <v>30</v>
      </c>
      <c r="J31" s="3" t="s">
        <v>177</v>
      </c>
      <c r="K31" s="3" t="s">
        <v>95</v>
      </c>
      <c r="L31" s="5" t="s">
        <v>102</v>
      </c>
      <c r="M31" s="5" t="str">
        <f t="shared" si="0"/>
        <v>au lycée "GASTON BARRÉ"</v>
      </c>
      <c r="P31" s="1" t="s">
        <v>600</v>
      </c>
    </row>
    <row r="32" spans="1:16" ht="22.5">
      <c r="A32" s="1" t="s">
        <v>585</v>
      </c>
      <c r="E32" s="8" t="s">
        <v>156</v>
      </c>
      <c r="J32" s="3" t="s">
        <v>177</v>
      </c>
      <c r="K32" s="3" t="s">
        <v>95</v>
      </c>
      <c r="L32" s="5" t="s">
        <v>103</v>
      </c>
      <c r="M32" s="5" t="str">
        <f t="shared" si="0"/>
        <v>au lycée "GASTON CHAISSAC"</v>
      </c>
    </row>
    <row r="33" spans="1:17">
      <c r="A33" s="1" t="s">
        <v>586</v>
      </c>
      <c r="E33" s="1" t="s">
        <v>340</v>
      </c>
      <c r="J33" s="3" t="s">
        <v>177</v>
      </c>
      <c r="K33" s="3" t="s">
        <v>95</v>
      </c>
      <c r="L33" s="6" t="s">
        <v>104</v>
      </c>
      <c r="M33" s="5" t="str">
        <f t="shared" si="0"/>
        <v>au lycée "JEAN MACÉ"</v>
      </c>
    </row>
    <row r="34" spans="1:17" ht="22.5">
      <c r="A34" s="1" t="s">
        <v>352</v>
      </c>
      <c r="J34" s="3" t="s">
        <v>177</v>
      </c>
      <c r="K34" s="3" t="s">
        <v>95</v>
      </c>
      <c r="L34" s="6" t="s">
        <v>105</v>
      </c>
      <c r="M34" s="5" t="str">
        <f t="shared" si="0"/>
        <v>au lycée "LA VENISE VERTE"</v>
      </c>
    </row>
    <row r="35" spans="1:17" ht="22.5">
      <c r="A35" s="1" t="s">
        <v>337</v>
      </c>
      <c r="E35" s="1" t="s">
        <v>360</v>
      </c>
      <c r="J35" s="3" t="s">
        <v>177</v>
      </c>
      <c r="K35" s="3" t="s">
        <v>95</v>
      </c>
      <c r="L35" s="6" t="s">
        <v>106</v>
      </c>
      <c r="M35" s="5" t="str">
        <f t="shared" si="0"/>
        <v>au lycée "PAUL GUERIN"</v>
      </c>
    </row>
    <row r="36" spans="1:17" ht="22.5">
      <c r="A36" s="1" t="s">
        <v>353</v>
      </c>
      <c r="E36" s="1" t="s">
        <v>356</v>
      </c>
      <c r="J36" s="3" t="s">
        <v>177</v>
      </c>
      <c r="K36" s="3" t="s">
        <v>95</v>
      </c>
      <c r="L36" s="6" t="s">
        <v>107</v>
      </c>
      <c r="M36" s="5" t="str">
        <f t="shared" si="0"/>
        <v>au lycée "THOMAS-JEAN MAIN"</v>
      </c>
    </row>
    <row r="37" spans="1:17" ht="22.5">
      <c r="A37" s="1" t="s">
        <v>354</v>
      </c>
      <c r="E37" s="1" t="s">
        <v>357</v>
      </c>
      <c r="J37" s="3" t="s">
        <v>177</v>
      </c>
      <c r="K37" s="3" t="s">
        <v>95</v>
      </c>
      <c r="L37" s="6" t="s">
        <v>108</v>
      </c>
      <c r="M37" s="5" t="str">
        <f t="shared" si="0"/>
        <v>au lycée "ERNEST PÉROCHON"</v>
      </c>
    </row>
    <row r="38" spans="1:17" ht="22.5">
      <c r="A38" s="1" t="s">
        <v>587</v>
      </c>
      <c r="E38" s="1" t="s">
        <v>358</v>
      </c>
      <c r="J38" s="3" t="s">
        <v>177</v>
      </c>
      <c r="K38" s="3" t="s">
        <v>95</v>
      </c>
      <c r="L38" s="6" t="s">
        <v>109</v>
      </c>
      <c r="M38" s="5" t="str">
        <f t="shared" si="0"/>
        <v>au lycée "LES GRIPPEAUX"</v>
      </c>
    </row>
    <row r="39" spans="1:17" ht="22.5">
      <c r="A39" s="1" t="s">
        <v>590</v>
      </c>
      <c r="E39" s="1" t="s">
        <v>415</v>
      </c>
      <c r="J39" s="3" t="s">
        <v>178</v>
      </c>
      <c r="K39" s="3" t="s">
        <v>79</v>
      </c>
      <c r="L39" s="5" t="s">
        <v>110</v>
      </c>
      <c r="M39" s="5" t="str">
        <f t="shared" si="0"/>
        <v>à l' EREA "FRANCOISE DOLTO"</v>
      </c>
    </row>
    <row r="40" spans="1:17" ht="22.5">
      <c r="E40" s="1" t="s">
        <v>416</v>
      </c>
      <c r="J40" s="3" t="s">
        <v>177</v>
      </c>
      <c r="K40" s="3" t="s">
        <v>95</v>
      </c>
      <c r="L40" s="6" t="s">
        <v>111</v>
      </c>
      <c r="M40" s="5" t="str">
        <f t="shared" si="0"/>
        <v>au lycée "HAUT VAL DE SÈVRE"</v>
      </c>
    </row>
    <row r="41" spans="1:17" ht="22.5">
      <c r="A41" s="1" t="s">
        <v>405</v>
      </c>
      <c r="E41" s="1" t="s">
        <v>417</v>
      </c>
      <c r="J41" s="3" t="s">
        <v>177</v>
      </c>
      <c r="K41" s="3" t="s">
        <v>95</v>
      </c>
      <c r="L41" s="6" t="s">
        <v>112</v>
      </c>
      <c r="M41" s="5" t="str">
        <f t="shared" si="0"/>
        <v>au lycée "J.MOULIN"(79)</v>
      </c>
      <c r="P41" s="1">
        <v>0.125</v>
      </c>
      <c r="Q41" s="1" t="s">
        <v>337</v>
      </c>
    </row>
    <row r="42" spans="1:17" ht="22.5">
      <c r="A42" s="1" t="s">
        <v>406</v>
      </c>
      <c r="J42" s="3" t="s">
        <v>177</v>
      </c>
      <c r="K42" s="3" t="s">
        <v>70</v>
      </c>
      <c r="L42" s="6" t="s">
        <v>113</v>
      </c>
      <c r="M42" s="5" t="str">
        <f t="shared" si="0"/>
        <v>au Lycée "DE LA MER ET DU LITTORAL"</v>
      </c>
      <c r="P42" s="1">
        <v>0.15</v>
      </c>
      <c r="Q42" s="1" t="s">
        <v>341</v>
      </c>
    </row>
    <row r="43" spans="1:17" ht="22.5">
      <c r="A43" s="1" t="s">
        <v>588</v>
      </c>
      <c r="J43" s="3" t="s">
        <v>177</v>
      </c>
      <c r="K43" s="3" t="s">
        <v>70</v>
      </c>
      <c r="L43" s="6" t="s">
        <v>114</v>
      </c>
      <c r="M43" s="5" t="str">
        <f t="shared" si="0"/>
        <v>au Lycée "JEAN HYPPOLITE"</v>
      </c>
      <c r="Q43" s="1" t="s">
        <v>46</v>
      </c>
    </row>
    <row r="44" spans="1:17" ht="22.5">
      <c r="A44" s="1" t="s">
        <v>589</v>
      </c>
      <c r="J44" s="3" t="s">
        <v>177</v>
      </c>
      <c r="K44" s="3" t="s">
        <v>70</v>
      </c>
      <c r="L44" s="6" t="s">
        <v>115</v>
      </c>
      <c r="M44" s="5" t="str">
        <f t="shared" si="0"/>
        <v>au Lycée "LE RENAUDIN"</v>
      </c>
    </row>
    <row r="45" spans="1:17" ht="22.5">
      <c r="J45" s="3" t="s">
        <v>177</v>
      </c>
      <c r="K45" s="3" t="s">
        <v>70</v>
      </c>
      <c r="L45" s="6" t="s">
        <v>116</v>
      </c>
      <c r="M45" s="5" t="str">
        <f t="shared" si="0"/>
        <v>au Lycée "JEAN DAUTET"</v>
      </c>
    </row>
    <row r="46" spans="1:17" ht="22.5">
      <c r="A46" s="1" t="s">
        <v>407</v>
      </c>
      <c r="J46" s="3" t="s">
        <v>177</v>
      </c>
      <c r="K46" s="3" t="s">
        <v>70</v>
      </c>
      <c r="L46" s="6" t="s">
        <v>117</v>
      </c>
      <c r="M46" s="5" t="str">
        <f t="shared" si="0"/>
        <v>au Lycée "LÉONCE VIELJEUX"</v>
      </c>
    </row>
    <row r="47" spans="1:17" ht="45">
      <c r="A47" s="1" t="s">
        <v>408</v>
      </c>
      <c r="J47" s="3" t="s">
        <v>177</v>
      </c>
      <c r="K47" s="3" t="s">
        <v>70</v>
      </c>
      <c r="L47" s="5" t="s">
        <v>118</v>
      </c>
      <c r="M47" s="5" t="str">
        <f t="shared" si="0"/>
        <v>au Lycée "HOTELIER DU PARC DE LA FRANCOPHONIE"</v>
      </c>
    </row>
    <row r="48" spans="1:17" ht="22.5">
      <c r="A48" s="1" t="s">
        <v>591</v>
      </c>
      <c r="J48" s="3" t="s">
        <v>177</v>
      </c>
      <c r="K48" s="3" t="s">
        <v>70</v>
      </c>
      <c r="L48" s="6" t="s">
        <v>119</v>
      </c>
      <c r="M48" s="5" t="str">
        <f t="shared" si="0"/>
        <v>au Lycée "PIERRE DORIOLE"</v>
      </c>
    </row>
    <row r="49" spans="1:13" ht="22.5">
      <c r="A49" s="1" t="s">
        <v>592</v>
      </c>
      <c r="J49" s="3" t="s">
        <v>177</v>
      </c>
      <c r="K49" s="3" t="s">
        <v>70</v>
      </c>
      <c r="L49" s="6" t="s">
        <v>120</v>
      </c>
      <c r="M49" s="5" t="str">
        <f t="shared" si="0"/>
        <v>au Lycée "RENÉ-JOSUÉ VALIN"</v>
      </c>
    </row>
    <row r="50" spans="1:13">
      <c r="J50" s="3" t="s">
        <v>177</v>
      </c>
      <c r="K50" s="3" t="s">
        <v>70</v>
      </c>
      <c r="L50" s="6" t="s">
        <v>121</v>
      </c>
      <c r="M50" s="5" t="str">
        <f t="shared" si="0"/>
        <v>au Lycée "ROMPSAY"</v>
      </c>
    </row>
    <row r="51" spans="1:13" ht="33.75">
      <c r="A51" s="1" t="s">
        <v>409</v>
      </c>
      <c r="J51" s="3" t="s">
        <v>177</v>
      </c>
      <c r="K51" s="3" t="s">
        <v>70</v>
      </c>
      <c r="L51" s="6" t="s">
        <v>122</v>
      </c>
      <c r="M51" s="5" t="str">
        <f t="shared" si="0"/>
        <v>au Lycée "ANTOINE DE SAINT EXUPÉRY"</v>
      </c>
    </row>
    <row r="52" spans="1:13" ht="22.5">
      <c r="A52" s="1" t="s">
        <v>410</v>
      </c>
      <c r="J52" s="3" t="s">
        <v>177</v>
      </c>
      <c r="K52" s="3" t="s">
        <v>70</v>
      </c>
      <c r="L52" s="6" t="s">
        <v>123</v>
      </c>
      <c r="M52" s="5" t="str">
        <f t="shared" si="0"/>
        <v>au Lycée "EMILE COMBES"</v>
      </c>
    </row>
    <row r="53" spans="1:13" ht="22.5">
      <c r="A53" s="1" t="s">
        <v>593</v>
      </c>
      <c r="J53" s="3" t="s">
        <v>177</v>
      </c>
      <c r="K53" s="3" t="s">
        <v>70</v>
      </c>
      <c r="L53" s="6" t="s">
        <v>124</v>
      </c>
      <c r="M53" s="5" t="str">
        <f t="shared" si="0"/>
        <v>au Lycée "GILLES JAMAIN"</v>
      </c>
    </row>
    <row r="54" spans="1:13" ht="22.5">
      <c r="A54" s="1" t="s">
        <v>594</v>
      </c>
      <c r="J54" s="3" t="s">
        <v>177</v>
      </c>
      <c r="K54" s="3" t="s">
        <v>70</v>
      </c>
      <c r="L54" s="6" t="s">
        <v>125</v>
      </c>
      <c r="M54" s="5" t="str">
        <f t="shared" si="0"/>
        <v>au Lycée "MARCEL DASSAULT"</v>
      </c>
    </row>
    <row r="55" spans="1:13" ht="33.75">
      <c r="J55" s="3" t="s">
        <v>177</v>
      </c>
      <c r="K55" s="3" t="s">
        <v>70</v>
      </c>
      <c r="L55" s="6" t="s">
        <v>126</v>
      </c>
      <c r="M55" s="5" t="str">
        <f t="shared" si="0"/>
        <v>au Lycée "MAURICE MERLEAU PONTY"</v>
      </c>
    </row>
    <row r="56" spans="1:13" ht="33.75">
      <c r="A56" s="1" t="s">
        <v>412</v>
      </c>
      <c r="J56" s="3" t="s">
        <v>177</v>
      </c>
      <c r="K56" s="3" t="s">
        <v>70</v>
      </c>
      <c r="L56" s="5" t="s">
        <v>127</v>
      </c>
      <c r="M56" s="5" t="str">
        <f t="shared" si="0"/>
        <v>au Lycée de "L'ATLANTIQUE"</v>
      </c>
    </row>
    <row r="57" spans="1:13">
      <c r="A57" s="1" t="s">
        <v>413</v>
      </c>
      <c r="J57" s="3" t="s">
        <v>177</v>
      </c>
      <c r="K57" s="3" t="s">
        <v>70</v>
      </c>
      <c r="L57" s="6" t="s">
        <v>128</v>
      </c>
      <c r="M57" s="5" t="str">
        <f t="shared" si="0"/>
        <v>au Lycée "CORDOUAN"</v>
      </c>
    </row>
    <row r="58" spans="1:13">
      <c r="A58" s="1" t="s">
        <v>601</v>
      </c>
      <c r="J58" s="3" t="s">
        <v>177</v>
      </c>
      <c r="K58" s="3" t="s">
        <v>70</v>
      </c>
      <c r="L58" s="6" t="s">
        <v>129</v>
      </c>
      <c r="M58" s="5" t="str">
        <f t="shared" si="0"/>
        <v>au Lycée "BELLEVUE"</v>
      </c>
    </row>
    <row r="59" spans="1:13" ht="22.5">
      <c r="A59" s="1" t="s">
        <v>602</v>
      </c>
      <c r="J59" s="3" t="s">
        <v>177</v>
      </c>
      <c r="K59" s="3" t="s">
        <v>70</v>
      </c>
      <c r="L59" s="6" t="s">
        <v>130</v>
      </c>
      <c r="M59" s="5" t="str">
        <f t="shared" si="0"/>
        <v>au Lycée "BERNARD PALISSY"</v>
      </c>
    </row>
    <row r="60" spans="1:13" ht="22.5">
      <c r="J60" s="3" t="s">
        <v>177</v>
      </c>
      <c r="K60" s="3" t="s">
        <v>70</v>
      </c>
      <c r="L60" s="6" t="s">
        <v>131</v>
      </c>
      <c r="M60" s="5" t="str">
        <f t="shared" si="0"/>
        <v>au Lycée "LE PETIT CHADIGNAC"</v>
      </c>
    </row>
    <row r="61" spans="1:13" ht="22.5">
      <c r="J61" s="3" t="s">
        <v>178</v>
      </c>
      <c r="K61" s="3" t="s">
        <v>79</v>
      </c>
      <c r="L61" s="5" t="s">
        <v>132</v>
      </c>
      <c r="M61" s="5" t="str">
        <f t="shared" si="0"/>
        <v>à l' EREA "THÉODORE MONOD"</v>
      </c>
    </row>
    <row r="62" spans="1:13" ht="22.5">
      <c r="J62" s="3" t="s">
        <v>177</v>
      </c>
      <c r="K62" s="3" t="s">
        <v>70</v>
      </c>
      <c r="L62" s="7" t="s">
        <v>133</v>
      </c>
      <c r="M62" s="5" t="str">
        <f t="shared" si="0"/>
        <v>au Lycée "BLAISE PASCAL"</v>
      </c>
    </row>
    <row r="63" spans="1:13" ht="33.75">
      <c r="J63" s="3" t="s">
        <v>177</v>
      </c>
      <c r="K63" s="3" t="s">
        <v>70</v>
      </c>
      <c r="L63" s="6" t="s">
        <v>134</v>
      </c>
      <c r="M63" s="5" t="str">
        <f t="shared" si="0"/>
        <v>au Lycée "LOUIS-AUDOUIN DUBREUIL"</v>
      </c>
    </row>
    <row r="64" spans="1:13" ht="22.5">
      <c r="J64" s="3" t="s">
        <v>177</v>
      </c>
      <c r="K64" s="3" t="s">
        <v>70</v>
      </c>
      <c r="L64" s="5" t="s">
        <v>135</v>
      </c>
      <c r="M64" s="5" t="str">
        <f t="shared" si="0"/>
        <v>au Lycée "ENILIA-ENSMIC"</v>
      </c>
    </row>
    <row r="65" spans="10:13" ht="22.5">
      <c r="J65" s="3" t="s">
        <v>177</v>
      </c>
      <c r="K65" s="3" t="s">
        <v>70</v>
      </c>
      <c r="L65" s="5" t="s">
        <v>136</v>
      </c>
      <c r="M65" s="5" t="str">
        <f t="shared" si="0"/>
        <v>au Lycée "GEORGES DESCLAUDES"</v>
      </c>
    </row>
    <row r="66" spans="10:13" ht="22.5">
      <c r="J66" s="3" t="s">
        <v>177</v>
      </c>
      <c r="K66" s="3" t="s">
        <v>70</v>
      </c>
      <c r="L66" s="5" t="s">
        <v>137</v>
      </c>
      <c r="M66" s="5" t="str">
        <f t="shared" si="0"/>
        <v>au Lycée "MARITIME ET ACQUACOLE"</v>
      </c>
    </row>
    <row r="67" spans="10:13" ht="22.5">
      <c r="J67" s="3" t="s">
        <v>177</v>
      </c>
      <c r="K67" s="3" t="s">
        <v>70</v>
      </c>
      <c r="L67" s="5" t="s">
        <v>138</v>
      </c>
      <c r="M67" s="5" t="str">
        <f t="shared" ref="M67:M128" si="1">J67&amp;" "&amp;K67&amp;" "&amp;L67</f>
        <v>au Lycée "PAYS D'AUNIS"</v>
      </c>
    </row>
    <row r="68" spans="10:13" ht="33.75">
      <c r="J68" s="3" t="s">
        <v>177</v>
      </c>
      <c r="K68" s="3" t="s">
        <v>95</v>
      </c>
      <c r="L68" s="6" t="s">
        <v>139</v>
      </c>
      <c r="M68" s="5" t="str">
        <f t="shared" si="1"/>
        <v>au lycée "CHARLES-AUGUSTIN COULOMB"</v>
      </c>
    </row>
    <row r="69" spans="10:13" ht="22.5">
      <c r="J69" s="3" t="s">
        <v>177</v>
      </c>
      <c r="K69" s="3" t="s">
        <v>95</v>
      </c>
      <c r="L69" s="6" t="s">
        <v>140</v>
      </c>
      <c r="M69" s="5" t="str">
        <f t="shared" si="1"/>
        <v>au lycée "GUEZ DE BALZAC"</v>
      </c>
    </row>
    <row r="70" spans="10:13" ht="22.5">
      <c r="J70" s="3" t="s">
        <v>177</v>
      </c>
      <c r="K70" s="3" t="s">
        <v>95</v>
      </c>
      <c r="L70" s="6" t="s">
        <v>141</v>
      </c>
      <c r="M70" s="5" t="str">
        <f t="shared" si="1"/>
        <v>au lycée "DE L'IMAGE ET DU SON"</v>
      </c>
    </row>
    <row r="71" spans="10:13" ht="22.5">
      <c r="J71" s="3" t="s">
        <v>177</v>
      </c>
      <c r="K71" s="3" t="s">
        <v>95</v>
      </c>
      <c r="L71" s="6" t="s">
        <v>142</v>
      </c>
      <c r="M71" s="5" t="str">
        <f t="shared" si="1"/>
        <v>au lycée "JEAN ROSTAND"</v>
      </c>
    </row>
    <row r="72" spans="10:13" ht="22.5">
      <c r="J72" s="3" t="s">
        <v>177</v>
      </c>
      <c r="K72" s="3" t="s">
        <v>95</v>
      </c>
      <c r="L72" s="6" t="s">
        <v>143</v>
      </c>
      <c r="M72" s="5" t="str">
        <f t="shared" si="1"/>
        <v>au lycée "MARGUERITE DE VALOIS"</v>
      </c>
    </row>
    <row r="73" spans="10:13">
      <c r="J73" s="3" t="s">
        <v>177</v>
      </c>
      <c r="K73" s="3" t="s">
        <v>95</v>
      </c>
      <c r="L73" s="6" t="s">
        <v>144</v>
      </c>
      <c r="M73" s="5" t="str">
        <f t="shared" si="1"/>
        <v>au lycée "DE SILLAC"</v>
      </c>
    </row>
    <row r="74" spans="10:13">
      <c r="J74" s="3" t="s">
        <v>177</v>
      </c>
      <c r="K74" s="3" t="s">
        <v>95</v>
      </c>
      <c r="L74" s="6" t="s">
        <v>145</v>
      </c>
      <c r="M74" s="5" t="str">
        <f t="shared" si="1"/>
        <v>au lycée "ÉLIE VINET"</v>
      </c>
    </row>
    <row r="75" spans="10:13" ht="22.5">
      <c r="J75" s="3" t="s">
        <v>177</v>
      </c>
      <c r="K75" s="3" t="s">
        <v>95</v>
      </c>
      <c r="L75" s="6" t="s">
        <v>146</v>
      </c>
      <c r="M75" s="5" t="str">
        <f t="shared" si="1"/>
        <v>au lycée "FÉLIX GAILLARD"</v>
      </c>
    </row>
    <row r="76" spans="10:13" ht="33.75">
      <c r="J76" s="3" t="s">
        <v>177</v>
      </c>
      <c r="K76" s="3" t="s">
        <v>95</v>
      </c>
      <c r="L76" s="6" t="s">
        <v>147</v>
      </c>
      <c r="M76" s="5" t="str">
        <f t="shared" si="1"/>
        <v>au lycée "PIERRE-ANDRÉ CHABANNE"</v>
      </c>
    </row>
    <row r="77" spans="10:13" ht="22.5">
      <c r="J77" s="3" t="s">
        <v>177</v>
      </c>
      <c r="K77" s="3" t="s">
        <v>95</v>
      </c>
      <c r="L77" s="6" t="s">
        <v>148</v>
      </c>
      <c r="M77" s="5" t="str">
        <f t="shared" si="1"/>
        <v>au lycée "JEAN MONNET"</v>
      </c>
    </row>
    <row r="78" spans="10:13" ht="22.5">
      <c r="J78" s="3" t="s">
        <v>177</v>
      </c>
      <c r="K78" s="3" t="s">
        <v>95</v>
      </c>
      <c r="L78" s="6" t="s">
        <v>149</v>
      </c>
      <c r="M78" s="5" t="str">
        <f t="shared" si="1"/>
        <v>au lycée "LOUIS DELAGE"</v>
      </c>
    </row>
    <row r="79" spans="10:13">
      <c r="J79" s="3" t="s">
        <v>177</v>
      </c>
      <c r="K79" s="3" t="s">
        <v>95</v>
      </c>
      <c r="L79" s="6" t="s">
        <v>150</v>
      </c>
      <c r="M79" s="5" t="str">
        <f t="shared" si="1"/>
        <v>au lycée "ÉMILE ROUX"</v>
      </c>
    </row>
    <row r="80" spans="10:13">
      <c r="J80" s="3" t="s">
        <v>177</v>
      </c>
      <c r="K80" s="3" t="s">
        <v>95</v>
      </c>
      <c r="L80" s="6" t="s">
        <v>151</v>
      </c>
      <c r="M80" s="5" t="str">
        <f t="shared" si="1"/>
        <v>au lycée "L'OISELLERIE"</v>
      </c>
    </row>
    <row r="81" spans="10:13" ht="22.5">
      <c r="J81" s="3" t="s">
        <v>178</v>
      </c>
      <c r="K81" s="3" t="s">
        <v>79</v>
      </c>
      <c r="L81" s="5" t="s">
        <v>152</v>
      </c>
      <c r="M81" s="5" t="str">
        <f t="shared" si="1"/>
        <v>à l' EREA "LES CHIRONS"</v>
      </c>
    </row>
    <row r="82" spans="10:13" ht="22.5">
      <c r="J82" s="3" t="s">
        <v>177</v>
      </c>
      <c r="K82" s="3" t="s">
        <v>95</v>
      </c>
      <c r="L82" s="6" t="s">
        <v>153</v>
      </c>
      <c r="M82" s="5" t="str">
        <f t="shared" si="1"/>
        <v>au lycée "JEAN CAILLAUD"</v>
      </c>
    </row>
    <row r="83" spans="10:13" ht="22.5">
      <c r="J83" s="3" t="s">
        <v>177</v>
      </c>
      <c r="K83" s="3" t="s">
        <v>95</v>
      </c>
      <c r="L83" s="6" t="s">
        <v>154</v>
      </c>
      <c r="M83" s="5" t="str">
        <f t="shared" si="1"/>
        <v>au lycée "LOUISE MICHEL"</v>
      </c>
    </row>
    <row r="84" spans="10:13" ht="33.75">
      <c r="J84" s="3" t="s">
        <v>177</v>
      </c>
      <c r="K84" s="3" t="s">
        <v>95</v>
      </c>
      <c r="L84" s="6" t="s">
        <v>155</v>
      </c>
      <c r="M84" s="5" t="str">
        <f t="shared" si="1"/>
        <v>au lycée "JEAN-ALBERT GRÉGOIRE"</v>
      </c>
    </row>
    <row r="85" spans="10:13">
      <c r="J85" s="3" t="s">
        <v>177</v>
      </c>
      <c r="K85" s="3" t="s">
        <v>95</v>
      </c>
      <c r="L85" s="4" t="s">
        <v>296</v>
      </c>
      <c r="M85" s="4" t="str">
        <f t="shared" si="1"/>
        <v>au lycée "D'ARSONVAL"</v>
      </c>
    </row>
    <row r="86" spans="10:13">
      <c r="J86" s="3" t="s">
        <v>177</v>
      </c>
      <c r="K86" s="3" t="s">
        <v>95</v>
      </c>
      <c r="L86" s="4" t="s">
        <v>297</v>
      </c>
      <c r="M86" s="4" t="str">
        <f t="shared" si="1"/>
        <v>au lycée "MARCEL BARBENCEYS"</v>
      </c>
    </row>
    <row r="87" spans="10:13">
      <c r="J87" s="3" t="s">
        <v>177</v>
      </c>
      <c r="K87" s="3" t="s">
        <v>95</v>
      </c>
      <c r="L87" s="4" t="s">
        <v>298</v>
      </c>
      <c r="M87" s="4" t="str">
        <f t="shared" si="1"/>
        <v>au lycée "BORT ARTENSE"</v>
      </c>
    </row>
    <row r="88" spans="10:13">
      <c r="J88" s="3" t="s">
        <v>177</v>
      </c>
      <c r="K88" s="3" t="s">
        <v>95</v>
      </c>
      <c r="L88" s="4" t="s">
        <v>299</v>
      </c>
      <c r="M88" s="4" t="str">
        <f t="shared" si="1"/>
        <v>au lycée "GEORGES CABANIS"</v>
      </c>
    </row>
    <row r="89" spans="10:13">
      <c r="J89" s="3" t="s">
        <v>177</v>
      </c>
      <c r="K89" s="3" t="s">
        <v>95</v>
      </c>
      <c r="L89" s="4" t="s">
        <v>300</v>
      </c>
      <c r="M89" s="4" t="str">
        <f t="shared" si="1"/>
        <v>au lycée "PIERRE CARAMINOT"</v>
      </c>
    </row>
    <row r="90" spans="10:13">
      <c r="J90" s="3" t="s">
        <v>177</v>
      </c>
      <c r="K90" s="3" t="s">
        <v>95</v>
      </c>
      <c r="L90" s="4" t="s">
        <v>301</v>
      </c>
      <c r="M90" s="4" t="str">
        <f t="shared" si="1"/>
        <v>au lycée "RENE CASSIN"</v>
      </c>
    </row>
    <row r="91" spans="10:13">
      <c r="J91" s="3" t="s">
        <v>177</v>
      </c>
      <c r="K91" s="3" t="s">
        <v>95</v>
      </c>
      <c r="L91" s="4" t="s">
        <v>302</v>
      </c>
      <c r="M91" s="4" t="str">
        <f t="shared" si="1"/>
        <v>au lycée "DANTON"</v>
      </c>
    </row>
    <row r="92" spans="10:13">
      <c r="J92" s="3" t="s">
        <v>177</v>
      </c>
      <c r="K92" s="3" t="s">
        <v>95</v>
      </c>
      <c r="L92" s="4" t="s">
        <v>303</v>
      </c>
      <c r="M92" s="4" t="str">
        <f t="shared" si="1"/>
        <v>au lycée "LAVOISIER"</v>
      </c>
    </row>
    <row r="93" spans="10:13">
      <c r="J93" s="3" t="s">
        <v>177</v>
      </c>
      <c r="K93" s="3" t="s">
        <v>95</v>
      </c>
      <c r="L93" s="4" t="s">
        <v>304</v>
      </c>
      <c r="M93" s="4" t="str">
        <f t="shared" si="1"/>
        <v>au lycée "DES MILLES SOURCES"</v>
      </c>
    </row>
    <row r="94" spans="10:13">
      <c r="J94" s="3" t="s">
        <v>177</v>
      </c>
      <c r="K94" s="3" t="s">
        <v>95</v>
      </c>
      <c r="L94" s="4" t="s">
        <v>305</v>
      </c>
      <c r="M94" s="4" t="str">
        <f t="shared" si="1"/>
        <v>au lycée "EDMOND PERRIER"</v>
      </c>
    </row>
    <row r="95" spans="10:13">
      <c r="J95" s="3" t="s">
        <v>177</v>
      </c>
      <c r="K95" s="3" t="s">
        <v>95</v>
      </c>
      <c r="L95" s="4" t="s">
        <v>306</v>
      </c>
      <c r="M95" s="4" t="str">
        <f t="shared" si="1"/>
        <v>au lycée "BERNART DE VENTADOUR"</v>
      </c>
    </row>
    <row r="96" spans="10:13">
      <c r="J96" s="3" t="s">
        <v>177</v>
      </c>
      <c r="K96" s="3" t="s">
        <v>95</v>
      </c>
      <c r="L96" s="4" t="s">
        <v>307</v>
      </c>
      <c r="M96" s="4" t="str">
        <f t="shared" si="1"/>
        <v>au lycée "BRIVE-VOUTEZAC"</v>
      </c>
    </row>
    <row r="97" spans="10:13">
      <c r="J97" s="3" t="s">
        <v>177</v>
      </c>
      <c r="K97" s="3" t="s">
        <v>95</v>
      </c>
      <c r="L97" s="4" t="s">
        <v>308</v>
      </c>
      <c r="M97" s="4" t="str">
        <f t="shared" si="1"/>
        <v>au lycée "DE HAUTE CORREZE"</v>
      </c>
    </row>
    <row r="98" spans="10:13">
      <c r="J98" s="3" t="s">
        <v>177</v>
      </c>
      <c r="K98" s="3" t="s">
        <v>95</v>
      </c>
      <c r="L98" s="4" t="s">
        <v>309</v>
      </c>
      <c r="M98" s="4" t="str">
        <f t="shared" si="1"/>
        <v>au lycée "EDGARD PISANI"</v>
      </c>
    </row>
    <row r="99" spans="10:13">
      <c r="J99" s="3" t="s">
        <v>177</v>
      </c>
      <c r="K99" s="3" t="s">
        <v>95</v>
      </c>
      <c r="L99" s="4" t="s">
        <v>310</v>
      </c>
      <c r="M99" s="4" t="str">
        <f t="shared" si="1"/>
        <v>au lycée "PIERRE BOURDAN"</v>
      </c>
    </row>
    <row r="100" spans="10:13">
      <c r="J100" s="3" t="s">
        <v>177</v>
      </c>
      <c r="K100" s="3" t="s">
        <v>95</v>
      </c>
      <c r="L100" s="4" t="s">
        <v>311</v>
      </c>
      <c r="M100" s="4" t="str">
        <f t="shared" si="1"/>
        <v>au lycée "JEAN FAVARD"</v>
      </c>
    </row>
    <row r="101" spans="10:13">
      <c r="J101" s="3" t="s">
        <v>177</v>
      </c>
      <c r="K101" s="3" t="s">
        <v>95</v>
      </c>
      <c r="L101" s="4" t="s">
        <v>312</v>
      </c>
      <c r="M101" s="4" t="str">
        <f t="shared" si="1"/>
        <v>au lycée "DES METIERS ET DU BATIMENT DE FELLETIN"</v>
      </c>
    </row>
    <row r="102" spans="10:13">
      <c r="J102" s="3" t="s">
        <v>177</v>
      </c>
      <c r="K102" s="3" t="s">
        <v>95</v>
      </c>
      <c r="L102" s="4" t="s">
        <v>313</v>
      </c>
      <c r="M102" s="4" t="str">
        <f t="shared" si="1"/>
        <v>au lycée "DELHPINE GAY"</v>
      </c>
    </row>
    <row r="103" spans="10:13">
      <c r="J103" s="3" t="s">
        <v>177</v>
      </c>
      <c r="K103" s="3" t="s">
        <v>95</v>
      </c>
      <c r="L103" s="4" t="s">
        <v>314</v>
      </c>
      <c r="M103" s="4" t="str">
        <f t="shared" si="1"/>
        <v>au lycée "EUGENE JAMOT"</v>
      </c>
    </row>
    <row r="104" spans="10:13">
      <c r="J104" s="3" t="s">
        <v>177</v>
      </c>
      <c r="K104" s="3" t="s">
        <v>95</v>
      </c>
      <c r="L104" s="4" t="s">
        <v>315</v>
      </c>
      <c r="M104" s="4" t="str">
        <f t="shared" si="1"/>
        <v>au lycée "JEAN JAURES"</v>
      </c>
    </row>
    <row r="105" spans="10:13">
      <c r="J105" s="3" t="s">
        <v>177</v>
      </c>
      <c r="K105" s="3" t="s">
        <v>95</v>
      </c>
      <c r="L105" s="4" t="s">
        <v>316</v>
      </c>
      <c r="M105" s="4" t="str">
        <f t="shared" si="1"/>
        <v>au lycée "RAYMOND LOEWY"</v>
      </c>
    </row>
    <row r="106" spans="10:13">
      <c r="J106" s="3" t="s">
        <v>177</v>
      </c>
      <c r="K106" s="3" t="s">
        <v>95</v>
      </c>
      <c r="L106" s="4" t="s">
        <v>317</v>
      </c>
      <c r="M106" s="4" t="str">
        <f t="shared" si="1"/>
        <v>au lycée "GASTON ROUSSILAT"</v>
      </c>
    </row>
    <row r="107" spans="10:13">
      <c r="J107" s="3" t="s">
        <v>177</v>
      </c>
      <c r="K107" s="3" t="s">
        <v>95</v>
      </c>
      <c r="L107" s="4" t="s">
        <v>318</v>
      </c>
      <c r="M107" s="4" t="str">
        <f t="shared" si="1"/>
        <v>au lycée "D'AHUN"</v>
      </c>
    </row>
    <row r="108" spans="10:13">
      <c r="J108" s="3" t="s">
        <v>177</v>
      </c>
      <c r="K108" s="3" t="s">
        <v>95</v>
      </c>
      <c r="L108" s="4" t="s">
        <v>319</v>
      </c>
      <c r="M108" s="4" t="str">
        <f t="shared" si="1"/>
        <v>au lycée "MARYSE BASTIE"</v>
      </c>
    </row>
    <row r="109" spans="10:13">
      <c r="J109" s="3" t="s">
        <v>177</v>
      </c>
      <c r="K109" s="3" t="s">
        <v>95</v>
      </c>
      <c r="L109" s="4" t="s">
        <v>320</v>
      </c>
      <c r="M109" s="4" t="str">
        <f t="shared" si="1"/>
        <v>au lycée "BAPTISTE DARNET"</v>
      </c>
    </row>
    <row r="110" spans="10:13">
      <c r="J110" s="3" t="s">
        <v>177</v>
      </c>
      <c r="K110" s="3" t="s">
        <v>95</v>
      </c>
      <c r="L110" s="4" t="s">
        <v>321</v>
      </c>
      <c r="M110" s="4" t="str">
        <f t="shared" si="1"/>
        <v>au lycée "DAUTRY"</v>
      </c>
    </row>
    <row r="111" spans="10:13">
      <c r="J111" s="3" t="s">
        <v>177</v>
      </c>
      <c r="K111" s="3" t="s">
        <v>95</v>
      </c>
      <c r="L111" s="4" t="s">
        <v>322</v>
      </c>
      <c r="M111" s="4" t="str">
        <f t="shared" si="1"/>
        <v>au lycée "PAUL EUARD"</v>
      </c>
    </row>
    <row r="112" spans="10:13">
      <c r="J112" s="3" t="s">
        <v>177</v>
      </c>
      <c r="K112" s="3" t="s">
        <v>95</v>
      </c>
      <c r="L112" s="4" t="s">
        <v>323</v>
      </c>
      <c r="M112" s="4" t="str">
        <f t="shared" si="1"/>
        <v>au lycée "GAY LUSSAC"</v>
      </c>
    </row>
    <row r="113" spans="10:13">
      <c r="J113" s="3" t="s">
        <v>177</v>
      </c>
      <c r="K113" s="3" t="s">
        <v>95</v>
      </c>
      <c r="L113" s="4" t="s">
        <v>324</v>
      </c>
      <c r="M113" s="4" t="str">
        <f t="shared" si="1"/>
        <v>au lycée "JEAN GIRAUOUX"</v>
      </c>
    </row>
    <row r="114" spans="10:13">
      <c r="J114" s="3" t="s">
        <v>177</v>
      </c>
      <c r="K114" s="3" t="s">
        <v>95</v>
      </c>
      <c r="L114" s="4" t="s">
        <v>325</v>
      </c>
      <c r="M114" s="4" t="str">
        <f t="shared" si="1"/>
        <v>au lycée "LEONARD LIMOSIN"</v>
      </c>
    </row>
    <row r="115" spans="10:13">
      <c r="J115" s="3" t="s">
        <v>177</v>
      </c>
      <c r="K115" s="3" t="s">
        <v>95</v>
      </c>
      <c r="L115" s="4" t="s">
        <v>326</v>
      </c>
      <c r="M115" s="4" t="str">
        <f t="shared" si="1"/>
        <v>au lycée "LE MAS JAMBOST"</v>
      </c>
    </row>
    <row r="116" spans="10:13">
      <c r="J116" s="3" t="s">
        <v>177</v>
      </c>
      <c r="K116" s="3" t="s">
        <v>95</v>
      </c>
      <c r="L116" s="4" t="s">
        <v>148</v>
      </c>
      <c r="M116" s="4" t="str">
        <f t="shared" si="1"/>
        <v>au lycée "JEAN MONNET"</v>
      </c>
    </row>
    <row r="117" spans="10:13">
      <c r="J117" s="3" t="s">
        <v>177</v>
      </c>
      <c r="K117" s="3" t="s">
        <v>95</v>
      </c>
      <c r="L117" s="4" t="s">
        <v>327</v>
      </c>
      <c r="M117" s="4" t="str">
        <f t="shared" si="1"/>
        <v>au lycée "MARTIN NADAUD"</v>
      </c>
    </row>
    <row r="118" spans="10:13">
      <c r="J118" s="3" t="s">
        <v>177</v>
      </c>
      <c r="K118" s="3" t="s">
        <v>95</v>
      </c>
      <c r="L118" s="4" t="s">
        <v>328</v>
      </c>
      <c r="M118" s="4" t="str">
        <f t="shared" si="1"/>
        <v>au lycée "MARCEL PAGNOL"</v>
      </c>
    </row>
    <row r="119" spans="10:13">
      <c r="J119" s="3" t="s">
        <v>177</v>
      </c>
      <c r="K119" s="3" t="s">
        <v>95</v>
      </c>
      <c r="L119" s="4" t="s">
        <v>130</v>
      </c>
      <c r="M119" s="4" t="str">
        <f t="shared" si="1"/>
        <v>au lycée "BERNARD PALISSY"</v>
      </c>
    </row>
    <row r="120" spans="10:13">
      <c r="J120" s="3" t="s">
        <v>177</v>
      </c>
      <c r="K120" s="3" t="s">
        <v>95</v>
      </c>
      <c r="L120" s="4" t="s">
        <v>329</v>
      </c>
      <c r="M120" s="4" t="str">
        <f t="shared" si="1"/>
        <v>au lycée "AUGUSTE RENOIR"</v>
      </c>
    </row>
    <row r="121" spans="10:13">
      <c r="J121" s="3" t="s">
        <v>177</v>
      </c>
      <c r="K121" s="3" t="s">
        <v>95</v>
      </c>
      <c r="L121" s="4" t="s">
        <v>122</v>
      </c>
      <c r="M121" s="4" t="str">
        <f t="shared" si="1"/>
        <v>au lycée "ANTOINE DE SAINT EXUPÉRY"</v>
      </c>
    </row>
    <row r="122" spans="10:13">
      <c r="J122" s="3" t="s">
        <v>177</v>
      </c>
      <c r="K122" s="3" t="s">
        <v>95</v>
      </c>
      <c r="L122" s="4" t="s">
        <v>330</v>
      </c>
      <c r="M122" s="4" t="str">
        <f t="shared" si="1"/>
        <v>au lycée "GEORGES SAND"</v>
      </c>
    </row>
    <row r="123" spans="10:13">
      <c r="J123" s="3" t="s">
        <v>177</v>
      </c>
      <c r="K123" s="3" t="s">
        <v>95</v>
      </c>
      <c r="L123" s="4" t="s">
        <v>331</v>
      </c>
      <c r="M123" s="4" t="str">
        <f t="shared" si="1"/>
        <v>au lycée "TURGOT"</v>
      </c>
    </row>
    <row r="124" spans="10:13">
      <c r="J124" s="3" t="s">
        <v>177</v>
      </c>
      <c r="K124" s="3" t="s">
        <v>95</v>
      </c>
      <c r="L124" s="4" t="s">
        <v>332</v>
      </c>
      <c r="M124" s="4" t="str">
        <f t="shared" si="1"/>
        <v>au lycée "EDOUARD VAILLANT"</v>
      </c>
    </row>
    <row r="125" spans="10:13">
      <c r="J125" s="3" t="s">
        <v>177</v>
      </c>
      <c r="K125" s="3" t="s">
        <v>95</v>
      </c>
      <c r="L125" s="4" t="s">
        <v>333</v>
      </c>
      <c r="M125" s="4" t="str">
        <f t="shared" si="1"/>
        <v>au lycée "SUZANNE VALANDON"</v>
      </c>
    </row>
    <row r="126" spans="10:13">
      <c r="J126" s="3" t="s">
        <v>177</v>
      </c>
      <c r="K126" s="3" t="s">
        <v>95</v>
      </c>
      <c r="L126" s="4" t="s">
        <v>334</v>
      </c>
      <c r="M126" s="4" t="str">
        <f t="shared" si="1"/>
        <v>au lycée "DE SAINT YRIEZIX DE LA PERCHE"</v>
      </c>
    </row>
    <row r="127" spans="10:13">
      <c r="J127" s="3" t="s">
        <v>177</v>
      </c>
      <c r="K127" s="3" t="s">
        <v>95</v>
      </c>
      <c r="L127" s="4" t="s">
        <v>335</v>
      </c>
      <c r="M127" s="4" t="str">
        <f t="shared" si="1"/>
        <v>au lycée "DE LIMOGES ET DU NORD HAUTE VIENNE" (MAGNAC LAVAL")</v>
      </c>
    </row>
    <row r="128" spans="10:13">
      <c r="J128" s="3" t="s">
        <v>177</v>
      </c>
      <c r="K128" s="3" t="s">
        <v>95</v>
      </c>
      <c r="L128" s="4" t="s">
        <v>336</v>
      </c>
      <c r="M128" s="4" t="str">
        <f t="shared" si="1"/>
        <v>au lycée "DE LIMOGES ET DU NORD HAUTE VIENNE" (LES VASEIX")</v>
      </c>
    </row>
  </sheetData>
  <sheetProtection algorithmName="SHA-512" hashValue="O6BZUlWaMCxVG/gedQy2WAXXo6ivxAkewpOz0hZqg0or3KNGkaiiVU0QzITop/IL+kHdgm0cGrWVXuwTWGIO5Q==" saltValue="hNx9KPuuTqqoW2k6U4qhQg=="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3">
    <tabColor rgb="FF7030A0"/>
  </sheetPr>
  <dimension ref="A1:L35"/>
  <sheetViews>
    <sheetView zoomScale="140" zoomScaleNormal="140" workbookViewId="0">
      <selection activeCell="A4" sqref="A4"/>
    </sheetView>
  </sheetViews>
  <sheetFormatPr baseColWidth="10" defaultRowHeight="15"/>
  <cols>
    <col min="1" max="1" width="11.42578125" style="121"/>
    <col min="2" max="2" width="13" style="121" customWidth="1"/>
    <col min="3" max="3" width="12" style="121" customWidth="1"/>
    <col min="4" max="16384" width="11.42578125" style="121"/>
  </cols>
  <sheetData>
    <row r="1" spans="1:11">
      <c r="A1" s="701" t="s">
        <v>362</v>
      </c>
      <c r="B1" s="701"/>
      <c r="C1" s="701"/>
      <c r="D1" s="701"/>
      <c r="E1" s="701"/>
      <c r="F1" s="701"/>
      <c r="G1" s="701"/>
      <c r="H1" s="701"/>
      <c r="I1" s="701"/>
      <c r="J1" s="701"/>
      <c r="K1" s="701"/>
    </row>
    <row r="3" spans="1:11">
      <c r="A3" s="121" t="s">
        <v>363</v>
      </c>
    </row>
    <row r="4" spans="1:11">
      <c r="A4" s="314" t="s">
        <v>364</v>
      </c>
    </row>
    <row r="6" spans="1:11">
      <c r="A6" s="121" t="s">
        <v>365</v>
      </c>
    </row>
    <row r="7" spans="1:11">
      <c r="A7" s="121" t="s">
        <v>366</v>
      </c>
    </row>
    <row r="8" spans="1:11">
      <c r="A8" s="121" t="s">
        <v>367</v>
      </c>
    </row>
    <row r="9" spans="1:11">
      <c r="A9" s="121" t="s">
        <v>368</v>
      </c>
    </row>
    <row r="10" spans="1:11" ht="18.75">
      <c r="B10" s="121" t="s">
        <v>369</v>
      </c>
      <c r="C10" s="254"/>
      <c r="D10" s="121" t="s">
        <v>370</v>
      </c>
    </row>
    <row r="11" spans="1:11" ht="18.75">
      <c r="B11" s="121" t="s">
        <v>371</v>
      </c>
      <c r="C11" s="14"/>
      <c r="D11" s="121" t="s">
        <v>372</v>
      </c>
    </row>
    <row r="12" spans="1:11" ht="18">
      <c r="B12" s="121" t="s">
        <v>371</v>
      </c>
      <c r="C12" s="275"/>
      <c r="D12" s="121" t="s">
        <v>395</v>
      </c>
    </row>
    <row r="13" spans="1:11" ht="18">
      <c r="C13" s="321"/>
    </row>
    <row r="14" spans="1:11">
      <c r="A14" s="315" t="s">
        <v>373</v>
      </c>
    </row>
    <row r="15" spans="1:11">
      <c r="A15" s="121" t="s">
        <v>374</v>
      </c>
    </row>
    <row r="16" spans="1:11">
      <c r="A16" s="121" t="s">
        <v>375</v>
      </c>
    </row>
    <row r="17" spans="1:12">
      <c r="A17" s="121" t="s">
        <v>376</v>
      </c>
    </row>
    <row r="18" spans="1:12">
      <c r="A18" s="316" t="s">
        <v>385</v>
      </c>
    </row>
    <row r="19" spans="1:12">
      <c r="A19" s="121" t="s">
        <v>377</v>
      </c>
    </row>
    <row r="20" spans="1:12">
      <c r="B20" s="121" t="s">
        <v>378</v>
      </c>
      <c r="D20" s="314" t="s">
        <v>379</v>
      </c>
    </row>
    <row r="21" spans="1:12">
      <c r="B21" s="121" t="s">
        <v>380</v>
      </c>
      <c r="D21" s="314" t="s">
        <v>381</v>
      </c>
    </row>
    <row r="22" spans="1:12">
      <c r="A22" s="121" t="s">
        <v>382</v>
      </c>
    </row>
    <row r="23" spans="1:12">
      <c r="A23" s="121" t="s">
        <v>383</v>
      </c>
    </row>
    <row r="24" spans="1:12" ht="53.25" customHeight="1">
      <c r="A24" s="702" t="s">
        <v>384</v>
      </c>
      <c r="B24" s="702"/>
      <c r="C24" s="702"/>
      <c r="D24" s="702"/>
      <c r="E24" s="702"/>
      <c r="F24" s="702"/>
      <c r="G24" s="702"/>
      <c r="H24" s="702"/>
      <c r="I24" s="702"/>
      <c r="J24" s="702"/>
      <c r="K24" s="702"/>
      <c r="L24" s="702"/>
    </row>
    <row r="25" spans="1:12">
      <c r="A25" s="121" t="s">
        <v>386</v>
      </c>
    </row>
    <row r="26" spans="1:12">
      <c r="A26" s="316" t="s">
        <v>387</v>
      </c>
    </row>
    <row r="27" spans="1:12">
      <c r="A27" s="316" t="s">
        <v>388</v>
      </c>
    </row>
    <row r="29" spans="1:12">
      <c r="A29" s="121" t="s">
        <v>389</v>
      </c>
    </row>
    <row r="30" spans="1:12">
      <c r="A30" s="121" t="s">
        <v>390</v>
      </c>
    </row>
    <row r="31" spans="1:12">
      <c r="A31" s="121" t="s">
        <v>391</v>
      </c>
    </row>
    <row r="32" spans="1:12">
      <c r="A32" s="121" t="s">
        <v>392</v>
      </c>
    </row>
    <row r="33" spans="1:1">
      <c r="A33" s="121" t="s">
        <v>393</v>
      </c>
    </row>
    <row r="35" spans="1:1">
      <c r="A35" s="121" t="s">
        <v>394</v>
      </c>
    </row>
  </sheetData>
  <sheetProtection algorithmName="SHA-512" hashValue="P0dGaKi103LlPeaQ9mjjUDgedM8ylLHjtWyTABOLQPoqrq4jJABOrX5htz81zDQyN3ITUTJOn87NakQxXX63rw==" saltValue="7ioU8Osqqra/l7nl2k9efg==" spinCount="100000" sheet="1" objects="1" scenarios="1"/>
  <mergeCells count="2">
    <mergeCell ref="A1:K1"/>
    <mergeCell ref="A24:L24"/>
  </mergeCells>
  <hyperlinks>
    <hyperlink ref="A4" r:id="rId1" xr:uid="{00000000-0004-0000-0100-000000000000}"/>
    <hyperlink ref="D20" r:id="rId2" xr:uid="{00000000-0004-0000-0100-000001000000}"/>
    <hyperlink ref="D21" r:id="rId3" xr:uid="{00000000-0004-0000-0100-000002000000}"/>
  </hyperlinks>
  <pageMargins left="0.7" right="0.7" top="0.75" bottom="0.75" header="0.3" footer="0.3"/>
  <pageSetup paperSize="9" scale="47" orientation="portrait" r:id="rId4"/>
  <drawing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tabColor rgb="FFFF0000"/>
  </sheetPr>
  <dimension ref="A1:U337"/>
  <sheetViews>
    <sheetView zoomScaleNormal="100" workbookViewId="0">
      <selection activeCell="F38" sqref="F38"/>
    </sheetView>
  </sheetViews>
  <sheetFormatPr baseColWidth="10" defaultRowHeight="18.75" outlineLevelRow="1" outlineLevelCol="1"/>
  <cols>
    <col min="1" max="1" width="6.85546875" customWidth="1"/>
    <col min="2" max="2" width="41.5703125" customWidth="1"/>
    <col min="3" max="3" width="27.140625" customWidth="1"/>
    <col min="4" max="4" width="39.140625" hidden="1" customWidth="1"/>
    <col min="5" max="5" width="25.140625" customWidth="1"/>
    <col min="6" max="6" width="24.140625" customWidth="1"/>
    <col min="7" max="7" width="28.42578125" bestFit="1" customWidth="1"/>
    <col min="8" max="8" width="30" customWidth="1"/>
    <col min="9" max="9" width="26.28515625" customWidth="1"/>
    <col min="10" max="10" width="19.140625" style="71" customWidth="1"/>
    <col min="11" max="11" width="11.42578125" style="71"/>
    <col min="12" max="12" width="11.42578125" style="71" customWidth="1" outlineLevel="1"/>
    <col min="13" max="13" width="11.42578125" customWidth="1" outlineLevel="1"/>
    <col min="14" max="14" width="17.85546875" customWidth="1" outlineLevel="1"/>
    <col min="15" max="15" width="17.28515625" customWidth="1" outlineLevel="1"/>
    <col min="16" max="16" width="17.85546875" customWidth="1" outlineLevel="1"/>
    <col min="17" max="17" width="16.42578125" customWidth="1" outlineLevel="1"/>
    <col min="18" max="18" width="13.28515625" customWidth="1" outlineLevel="1"/>
    <col min="19" max="19" width="16.42578125" customWidth="1" outlineLevel="1"/>
    <col min="20" max="21" width="11.42578125" customWidth="1" outlineLevel="1"/>
    <col min="24" max="24" width="43.5703125" bestFit="1" customWidth="1"/>
    <col min="25" max="25" width="28.7109375" customWidth="1"/>
    <col min="26" max="26" width="11.140625" bestFit="1" customWidth="1"/>
    <col min="27" max="29" width="19.85546875" bestFit="1" customWidth="1"/>
    <col min="30" max="30" width="43.5703125" bestFit="1" customWidth="1"/>
    <col min="31" max="31" width="28.7109375" customWidth="1"/>
    <col min="32" max="32" width="14.28515625" bestFit="1" customWidth="1"/>
    <col min="34" max="35" width="19.85546875" bestFit="1" customWidth="1"/>
  </cols>
  <sheetData>
    <row r="1" spans="1:19">
      <c r="A1" s="71"/>
      <c r="B1" s="10" t="s">
        <v>176</v>
      </c>
      <c r="C1" s="254" t="s">
        <v>182</v>
      </c>
      <c r="D1" s="244"/>
      <c r="E1" s="386" t="s">
        <v>574</v>
      </c>
      <c r="F1" s="753"/>
      <c r="G1" s="753"/>
      <c r="H1" s="242"/>
      <c r="I1" s="71"/>
      <c r="M1" s="9"/>
      <c r="N1" s="9"/>
      <c r="O1" s="9"/>
      <c r="P1" s="9"/>
      <c r="Q1" s="9"/>
      <c r="R1" s="9"/>
      <c r="S1" s="9"/>
    </row>
    <row r="2" spans="1:19" s="9" customFormat="1" ht="18" customHeight="1">
      <c r="A2" s="71"/>
      <c r="B2" s="10" t="s">
        <v>57</v>
      </c>
      <c r="C2" s="716" t="s">
        <v>679</v>
      </c>
      <c r="D2" s="717"/>
      <c r="E2" s="717"/>
      <c r="F2" s="717"/>
      <c r="G2" s="717"/>
      <c r="H2" s="242"/>
      <c r="I2" s="71"/>
      <c r="J2" s="71"/>
      <c r="K2" s="71"/>
      <c r="L2" s="71"/>
      <c r="M2" s="708" t="s">
        <v>435</v>
      </c>
      <c r="N2" s="708"/>
      <c r="O2" s="708"/>
      <c r="P2" s="708"/>
      <c r="Q2" s="708"/>
      <c r="R2" s="708"/>
      <c r="S2" s="708"/>
    </row>
    <row r="3" spans="1:19" s="9" customFormat="1" ht="18" customHeight="1">
      <c r="A3" s="71"/>
      <c r="B3" s="10" t="s">
        <v>2</v>
      </c>
      <c r="C3" s="718" t="s">
        <v>680</v>
      </c>
      <c r="D3" s="719"/>
      <c r="E3" s="719"/>
      <c r="F3" s="719"/>
      <c r="G3" s="719"/>
      <c r="H3" s="242"/>
      <c r="I3" s="71"/>
      <c r="J3" s="71"/>
      <c r="K3" s="71"/>
      <c r="L3" s="71"/>
      <c r="M3" s="10"/>
      <c r="N3" s="709" t="s">
        <v>1</v>
      </c>
      <c r="O3" s="709"/>
      <c r="P3" s="709"/>
      <c r="Q3" s="710" t="s">
        <v>209</v>
      </c>
      <c r="R3" s="710"/>
      <c r="S3" s="710"/>
    </row>
    <row r="4" spans="1:19" s="9" customFormat="1" ht="18" customHeight="1">
      <c r="A4" s="71"/>
      <c r="B4" s="10" t="s">
        <v>215</v>
      </c>
      <c r="C4" s="720" t="s">
        <v>681</v>
      </c>
      <c r="D4" s="721"/>
      <c r="E4" s="721"/>
      <c r="F4" s="721"/>
      <c r="G4" s="721"/>
      <c r="H4" s="242"/>
      <c r="I4" s="71"/>
      <c r="J4" s="71"/>
      <c r="K4" s="71"/>
      <c r="L4" s="71"/>
      <c r="M4" s="338"/>
      <c r="N4" s="336">
        <f>E40</f>
        <v>0.2</v>
      </c>
      <c r="O4" s="336">
        <f>F40</f>
        <v>0.1</v>
      </c>
      <c r="P4" s="336" t="s">
        <v>418</v>
      </c>
      <c r="Q4" s="336">
        <f>E51</f>
        <v>0.2</v>
      </c>
      <c r="R4" s="336">
        <f>F51</f>
        <v>0.1</v>
      </c>
      <c r="S4" s="337" t="s">
        <v>418</v>
      </c>
    </row>
    <row r="5" spans="1:19" s="9" customFormat="1" ht="18" customHeight="1">
      <c r="A5" s="71"/>
      <c r="B5" s="10" t="s">
        <v>3</v>
      </c>
      <c r="C5" s="720" t="s">
        <v>682</v>
      </c>
      <c r="D5" s="721"/>
      <c r="E5" s="721"/>
      <c r="F5" s="721"/>
      <c r="G5" s="721"/>
      <c r="H5" s="242"/>
      <c r="I5" s="330"/>
      <c r="K5" s="71"/>
      <c r="L5" s="71"/>
      <c r="M5" s="338" t="s">
        <v>355</v>
      </c>
      <c r="N5" s="335">
        <f>IF(F38="OUI",E41-SUMIF($I$42:$I$47,"OUI",($G$42:$G$47)),0)</f>
        <v>40000</v>
      </c>
      <c r="O5" s="335">
        <f>IF(F38="OUI",F41-SUMIF($I$42:$I$47,"OUI",($H$42:$H$47)),0)</f>
        <v>40000</v>
      </c>
      <c r="P5" s="335">
        <f>N5+O5</f>
        <v>80000</v>
      </c>
      <c r="Q5" s="335">
        <f>IF(F49="OUI",E52-SUMIF($I$53:$I$58,"OUI",($G$53:$G$58)),0)</f>
        <v>0</v>
      </c>
      <c r="R5" s="335">
        <f>IF(F49="OUI",F52-SUMIF($I$53:$I$58,"OUI",($H$53:$H$58)),0)</f>
        <v>0</v>
      </c>
      <c r="S5" s="335">
        <f>Q5+R5</f>
        <v>0</v>
      </c>
    </row>
    <row r="6" spans="1:19" s="9" customFormat="1" ht="18" customHeight="1">
      <c r="B6" s="10" t="s">
        <v>397</v>
      </c>
      <c r="C6" s="722" t="s">
        <v>683</v>
      </c>
      <c r="D6" s="722"/>
      <c r="E6" s="722"/>
      <c r="F6" s="722"/>
      <c r="G6" s="722"/>
      <c r="J6" s="71"/>
      <c r="K6" s="71"/>
      <c r="L6" s="71"/>
      <c r="M6" s="338" t="s">
        <v>356</v>
      </c>
      <c r="N6" s="335">
        <f>IF(F61="OUI",E64-SUMIF($I$65:$I$70,"OUI",($G$65:$G$70)),0)</f>
        <v>0</v>
      </c>
      <c r="O6" s="335">
        <f>IF(F61="OUI",F64-SUMIF($I$65:$I$70,"OUI",($H$65:$H$70)),0)</f>
        <v>0</v>
      </c>
      <c r="P6" s="335">
        <f t="shared" ref="P6:P12" si="0">N6+O6</f>
        <v>0</v>
      </c>
      <c r="Q6" s="335">
        <f>IF(F72="OUI",E75-SUMIF($I$76:$I$81,"OUI",($G$76:$G$81)),0)</f>
        <v>0</v>
      </c>
      <c r="R6" s="335">
        <f>IF(F72="OUI",F75-SUMIF($I$76:$I$81,"OUI",($H$76:$H$81)),0)</f>
        <v>0</v>
      </c>
      <c r="S6" s="335">
        <f t="shared" ref="S6:S12" si="1">Q6+R6</f>
        <v>0</v>
      </c>
    </row>
    <row r="7" spans="1:19" s="9" customFormat="1" ht="18" customHeight="1">
      <c r="A7" s="71"/>
      <c r="B7" s="10" t="s">
        <v>4</v>
      </c>
      <c r="C7" s="720" t="s">
        <v>684</v>
      </c>
      <c r="D7" s="721"/>
      <c r="E7" s="721"/>
      <c r="F7" s="721"/>
      <c r="G7" s="721"/>
      <c r="H7" s="292" t="s">
        <v>414</v>
      </c>
      <c r="I7" s="480"/>
      <c r="J7" s="71"/>
      <c r="K7" s="71"/>
      <c r="L7" s="71"/>
      <c r="M7" s="338" t="s">
        <v>357</v>
      </c>
      <c r="N7" s="335">
        <f>IF(F84="OUI",E87-SUMIF($I$88:$I$93,"OUI",($G$88:$G$93)),0)</f>
        <v>0</v>
      </c>
      <c r="O7" s="335">
        <f>IF(F84="OUI",F87-SUMIF($I$88:$I$93,"OUI",($H$88:$H$93)),0)</f>
        <v>0</v>
      </c>
      <c r="P7" s="335">
        <f t="shared" si="0"/>
        <v>0</v>
      </c>
      <c r="Q7" s="335">
        <f>IF(F95="OUI",E98-SUMIF($I$99:$I$104,"OUI",($G$99:$G$104)),0)</f>
        <v>0</v>
      </c>
      <c r="R7" s="335">
        <f>IF(F95="OUI",F98-SUMIF($I$99:$I$104,"OUI",($H$99:$H$104)),0)</f>
        <v>0</v>
      </c>
      <c r="S7" s="335">
        <f t="shared" si="1"/>
        <v>0</v>
      </c>
    </row>
    <row r="8" spans="1:19" s="9" customFormat="1" ht="18" customHeight="1">
      <c r="A8" s="71"/>
      <c r="B8" s="10" t="s">
        <v>575</v>
      </c>
      <c r="C8" s="716"/>
      <c r="D8" s="717"/>
      <c r="E8" s="717"/>
      <c r="F8" s="717"/>
      <c r="G8" s="717"/>
      <c r="H8" s="242"/>
      <c r="I8" s="71"/>
      <c r="J8" s="71"/>
      <c r="K8" s="71"/>
      <c r="L8" s="71"/>
      <c r="M8" s="338" t="s">
        <v>358</v>
      </c>
      <c r="N8" s="335">
        <f>IF(F107="OUI",E110-SUMIF($I$111:$I$116,"OUI",($G$111:$G$116)),0)</f>
        <v>0</v>
      </c>
      <c r="O8" s="335">
        <f>IF(F107="OUI",F110-SUMIF($I$111:$I$116,"OUI",($H$111:$H$116)),0)</f>
        <v>0</v>
      </c>
      <c r="P8" s="335">
        <f t="shared" si="0"/>
        <v>0</v>
      </c>
      <c r="Q8" s="335">
        <f>IF(F118="OUI",E121-SUMIF($I$122:$I$127,"OUI",($G$122:$G$127)),0)</f>
        <v>0</v>
      </c>
      <c r="R8" s="335">
        <f>IF(F118="OUI",F121-SUMIF($I$122:$I$127,"OUI",($H$122:$H$127)),0)</f>
        <v>0</v>
      </c>
      <c r="S8" s="335">
        <f t="shared" si="1"/>
        <v>0</v>
      </c>
    </row>
    <row r="9" spans="1:19" s="9" customFormat="1" ht="18" customHeight="1">
      <c r="A9" s="71"/>
      <c r="B9" s="71"/>
      <c r="C9" s="71"/>
      <c r="D9" s="17"/>
      <c r="E9" s="17"/>
      <c r="F9" s="17"/>
      <c r="G9" s="71"/>
      <c r="H9" s="71"/>
      <c r="I9" s="71"/>
      <c r="J9" s="71"/>
      <c r="K9" s="71"/>
      <c r="L9" s="71"/>
      <c r="M9" s="338" t="s">
        <v>415</v>
      </c>
      <c r="N9" s="335">
        <f>IF(F130="OUI",E133-SUMIF($I$134:$I$139,"OUI",($G$134:$G$139)),0)</f>
        <v>0</v>
      </c>
      <c r="O9" s="335">
        <f>IF(F130="OUI",F133-SUMIF($I$134:$I$139,"OUI",($H$134:$H$139)),0)</f>
        <v>0</v>
      </c>
      <c r="P9" s="335">
        <f t="shared" si="0"/>
        <v>0</v>
      </c>
      <c r="Q9" s="335">
        <f>IF(F141="OUI",E144-SUMIF($I$145:$I$150,"OUI",($G$145:$G$150)),0)</f>
        <v>0</v>
      </c>
      <c r="R9" s="335">
        <f>IF(F141="OUI",F144-SUMIF($I$145:$I$150,"OUI",($H$145:$H$150)),0)</f>
        <v>0</v>
      </c>
      <c r="S9" s="335">
        <f t="shared" si="1"/>
        <v>0</v>
      </c>
    </row>
    <row r="10" spans="1:19" s="9" customFormat="1" ht="18" customHeight="1">
      <c r="A10" s="71"/>
      <c r="B10" s="124" t="s">
        <v>660</v>
      </c>
      <c r="C10" s="296">
        <v>12</v>
      </c>
      <c r="D10" s="17"/>
      <c r="E10" s="70" t="s">
        <v>216</v>
      </c>
      <c r="F10" s="70" t="s">
        <v>217</v>
      </c>
      <c r="G10" s="71"/>
      <c r="H10" s="71"/>
      <c r="I10" s="71"/>
      <c r="J10" s="71"/>
      <c r="K10" s="71"/>
      <c r="L10" s="71"/>
      <c r="M10" s="338" t="s">
        <v>416</v>
      </c>
      <c r="N10" s="335">
        <f>IF(F153="OUI",E156-SUMIF($I$157:$I$162,"OUI",($G$157:$G$162)),0)</f>
        <v>0</v>
      </c>
      <c r="O10" s="335">
        <f>IF(F153="OUI",F156-SUMIF($I$157:$I$162,"OUI",($H$157:$H$162)),0)</f>
        <v>0</v>
      </c>
      <c r="P10" s="335">
        <f t="shared" si="0"/>
        <v>0</v>
      </c>
      <c r="Q10" s="335">
        <f>IF(F164="OUI",E167-SUMIF($I$168:$I$173,"OUI",($G$168:$G$173)),0)</f>
        <v>0</v>
      </c>
      <c r="R10" s="335">
        <f>IF(F164="OUI",F167-SUMIF($I$168:$I$173,"OUI",($H$168:$H$173)),0)</f>
        <v>0</v>
      </c>
      <c r="S10" s="335">
        <f t="shared" si="1"/>
        <v>0</v>
      </c>
    </row>
    <row r="11" spans="1:19" s="9" customFormat="1" ht="18" customHeight="1">
      <c r="A11" s="71"/>
      <c r="B11" s="124" t="s">
        <v>184</v>
      </c>
      <c r="C11" s="253" t="s">
        <v>201</v>
      </c>
      <c r="D11" s="127"/>
      <c r="E11" s="255"/>
      <c r="F11" s="255"/>
      <c r="G11" s="71"/>
      <c r="H11" s="71"/>
      <c r="I11" s="71"/>
      <c r="J11" s="71"/>
      <c r="K11" s="71"/>
      <c r="L11" s="71"/>
      <c r="M11" s="338" t="s">
        <v>417</v>
      </c>
      <c r="N11" s="335">
        <f>IF(F176="OUI",E179-SUMIF($I$180:$I$185,"OUI",($G$180:$G$185)),0)</f>
        <v>0</v>
      </c>
      <c r="O11" s="335">
        <f>IF(F176="OUI",F179-SUMIF($I$180:$I$185,"OUI",($H$180:$H$185)),0)</f>
        <v>0</v>
      </c>
      <c r="P11" s="335">
        <f t="shared" si="0"/>
        <v>0</v>
      </c>
      <c r="Q11" s="335">
        <f>IF(F187="OUI",E190-SUMIF($I$191:$I$196,"OUI",($G$191:$G$196)),0)</f>
        <v>0</v>
      </c>
      <c r="R11" s="335">
        <f>IF(F187="OUI",F190-SUMIF($I$191:$I$196,"OUI",($H$191:$H$196)),0)</f>
        <v>0</v>
      </c>
      <c r="S11" s="335">
        <f t="shared" si="1"/>
        <v>0</v>
      </c>
    </row>
    <row r="12" spans="1:19" s="9" customFormat="1" ht="18" customHeight="1">
      <c r="A12" s="71"/>
      <c r="B12" s="124" t="s">
        <v>361</v>
      </c>
      <c r="C12" s="253" t="s">
        <v>186</v>
      </c>
      <c r="D12" s="127"/>
      <c r="E12" s="298"/>
      <c r="F12" s="298"/>
      <c r="G12" s="71"/>
      <c r="H12" s="71"/>
      <c r="I12" s="71"/>
      <c r="J12" s="71"/>
      <c r="K12" s="71"/>
      <c r="L12" s="71"/>
      <c r="M12" s="338" t="s">
        <v>418</v>
      </c>
      <c r="N12" s="335">
        <f>SUM(N5:N11)</f>
        <v>40000</v>
      </c>
      <c r="O12" s="335">
        <f>SUM(O5:O11)</f>
        <v>40000</v>
      </c>
      <c r="P12" s="335">
        <f t="shared" si="0"/>
        <v>80000</v>
      </c>
      <c r="Q12" s="335">
        <f>SUM(Q5:Q11)</f>
        <v>0</v>
      </c>
      <c r="R12" s="335">
        <f>SUM(R5:R11)</f>
        <v>0</v>
      </c>
      <c r="S12" s="335">
        <f t="shared" si="1"/>
        <v>0</v>
      </c>
    </row>
    <row r="13" spans="1:19" s="9" customFormat="1" ht="38.25" customHeight="1">
      <c r="A13" s="71"/>
      <c r="B13" s="331" t="str">
        <f>IF(C12="REVISION","ELEMENTS DE REVISION",IF(C12="ACTUALISATION","ELEMENTS POUR ACTUALISATION",""))</f>
        <v>ELEMENTS DE REVISION</v>
      </c>
      <c r="C13" s="141" t="str">
        <f>IF(C12="REVISION","Mois M0  format mm/aa",IF(C12="ACTUALISATION","Mois M0  format mm/aa"," "))</f>
        <v>Mois M0  format mm/aa</v>
      </c>
      <c r="D13" s="125"/>
      <c r="E13" s="246">
        <v>43435</v>
      </c>
      <c r="F13" s="326" t="str">
        <f>IF(C12="REVISION","indice de révison",IF(C12="ACTUALISATION","indice d'actualisation"," "))</f>
        <v>indice de révison</v>
      </c>
      <c r="G13" s="300" t="s">
        <v>685</v>
      </c>
      <c r="H13" s="326" t="str">
        <f>IF(C12="REVISION","part fixe","")</f>
        <v>part fixe</v>
      </c>
      <c r="I13" s="253">
        <v>0.15</v>
      </c>
      <c r="J13" s="71"/>
      <c r="K13" s="71"/>
      <c r="L13" s="71"/>
    </row>
    <row r="14" spans="1:19" s="9" customFormat="1" ht="18" customHeight="1">
      <c r="A14" s="71"/>
      <c r="B14" s="71"/>
      <c r="C14" s="71"/>
      <c r="D14" s="71"/>
      <c r="E14" s="17"/>
      <c r="F14" s="21" t="str">
        <f>IF(C12="REVISION","indice du Mo",IF(C12="ACTUALISATION","indice du Mo"," "))</f>
        <v>indice du Mo</v>
      </c>
      <c r="G14" s="301">
        <v>102</v>
      </c>
      <c r="H14" s="21" t="str">
        <f>IF(C12="REVISION","part variable","")</f>
        <v>part variable</v>
      </c>
      <c r="I14" s="508">
        <f>IF(I13=0.125,0.875,0.85)</f>
        <v>0.85</v>
      </c>
      <c r="J14" s="71"/>
      <c r="K14" s="71"/>
      <c r="L14" s="71"/>
      <c r="N14" s="711" t="str">
        <f>N3</f>
        <v>Titulaire</v>
      </c>
      <c r="O14" s="711"/>
      <c r="P14" s="711" t="s">
        <v>209</v>
      </c>
      <c r="Q14" s="711"/>
      <c r="R14"/>
      <c r="S14"/>
    </row>
    <row r="15" spans="1:19" s="9" customFormat="1" ht="18" customHeight="1">
      <c r="A15" s="71"/>
      <c r="B15" s="71"/>
      <c r="C15" s="71"/>
      <c r="D15" s="71"/>
      <c r="E15" s="71"/>
      <c r="F15" s="71"/>
      <c r="G15" s="71"/>
      <c r="H15" s="71"/>
      <c r="I15" s="71"/>
      <c r="J15" s="71"/>
      <c r="K15" s="71"/>
      <c r="L15" s="71"/>
      <c r="M15"/>
      <c r="N15" s="340">
        <f>N4</f>
        <v>0.2</v>
      </c>
      <c r="O15" s="340">
        <f>O4</f>
        <v>0.1</v>
      </c>
      <c r="P15" s="340">
        <f>Q4</f>
        <v>0.2</v>
      </c>
      <c r="Q15" s="340">
        <f>R4</f>
        <v>0.1</v>
      </c>
      <c r="R15"/>
      <c r="S15"/>
    </row>
    <row r="16" spans="1:19" s="9" customFormat="1" ht="18" customHeight="1">
      <c r="A16" s="71"/>
      <c r="B16" s="726" t="s">
        <v>476</v>
      </c>
      <c r="C16" s="726"/>
      <c r="D16" s="726"/>
      <c r="E16" s="726"/>
      <c r="F16" s="726"/>
      <c r="G16" s="71"/>
      <c r="H16" s="71"/>
      <c r="I16" s="71"/>
      <c r="J16" s="71"/>
      <c r="K16" s="71"/>
      <c r="L16" s="71"/>
      <c r="M16" s="339" t="s">
        <v>355</v>
      </c>
      <c r="N16" s="341">
        <f>IF($F$38="OUI",G41,"")</f>
        <v>40000</v>
      </c>
      <c r="O16" s="341">
        <f>IF($F$38="OUI",H41,"")</f>
        <v>40000</v>
      </c>
      <c r="P16" s="341" t="str">
        <f>IF($F$49="OUI",G52,"")</f>
        <v/>
      </c>
      <c r="Q16" s="341" t="str">
        <f>IF($F$49="OUI",H52,"")</f>
        <v/>
      </c>
      <c r="R16"/>
      <c r="S16"/>
    </row>
    <row r="17" spans="1:19" s="9" customFormat="1" ht="18" customHeight="1">
      <c r="A17" s="71"/>
      <c r="B17" s="10" t="s">
        <v>8</v>
      </c>
      <c r="C17" s="252">
        <v>0.2</v>
      </c>
      <c r="D17" s="12"/>
      <c r="E17" s="252">
        <v>0.1</v>
      </c>
      <c r="F17" s="13" t="s">
        <v>50</v>
      </c>
      <c r="G17" s="387" t="s">
        <v>640</v>
      </c>
      <c r="I17" s="71"/>
      <c r="J17" s="71"/>
      <c r="K17" s="71"/>
      <c r="L17" s="71"/>
      <c r="M17" s="339" t="s">
        <v>356</v>
      </c>
      <c r="N17" s="341" t="str">
        <f>IF($F$61="OUI",G64,"")</f>
        <v/>
      </c>
      <c r="O17" s="341" t="str">
        <f>IF($F$61="OUI",H64,"")</f>
        <v/>
      </c>
      <c r="P17" s="341" t="str">
        <f>IF($F$72="OUI",G75,"")</f>
        <v/>
      </c>
      <c r="Q17" s="341" t="str">
        <f>IF($F$72="OUI",H75,"")</f>
        <v/>
      </c>
      <c r="R17"/>
      <c r="S17"/>
    </row>
    <row r="18" spans="1:19" s="9" customFormat="1" ht="18" customHeight="1">
      <c r="A18" s="71"/>
      <c r="B18" s="10" t="s">
        <v>9</v>
      </c>
      <c r="C18" s="313">
        <v>50000</v>
      </c>
      <c r="D18" s="247"/>
      <c r="E18" s="247">
        <v>40000</v>
      </c>
      <c r="F18" s="14">
        <f t="shared" ref="F18:F27" si="2">C18+E18</f>
        <v>90000</v>
      </c>
      <c r="G18" s="434"/>
      <c r="H18" s="481" t="s">
        <v>661</v>
      </c>
      <c r="I18" s="71"/>
      <c r="J18" s="71"/>
      <c r="K18" s="71"/>
      <c r="L18" s="71"/>
      <c r="M18" s="339" t="s">
        <v>357</v>
      </c>
      <c r="N18" s="341" t="str">
        <f>IF($F$84="OUI",G87,"")</f>
        <v/>
      </c>
      <c r="O18" s="341" t="str">
        <f>IF($F$84="OUI",H87,"")</f>
        <v/>
      </c>
      <c r="P18" s="341" t="str">
        <f>IF($F$95="OUI",G98,"")</f>
        <v/>
      </c>
      <c r="Q18" s="341" t="str">
        <f>IF($F$95="OUI",H98,"")</f>
        <v/>
      </c>
      <c r="R18"/>
      <c r="S18"/>
    </row>
    <row r="19" spans="1:19" s="9" customFormat="1" ht="18" customHeight="1">
      <c r="A19" s="71"/>
      <c r="B19" s="10" t="s">
        <v>10</v>
      </c>
      <c r="C19" s="247"/>
      <c r="D19" s="247"/>
      <c r="E19" s="247"/>
      <c r="F19" s="14">
        <f t="shared" si="2"/>
        <v>0</v>
      </c>
      <c r="G19" s="434"/>
      <c r="H19" s="506"/>
      <c r="I19" s="71"/>
      <c r="J19" s="71"/>
      <c r="K19" s="71"/>
      <c r="L19" s="71"/>
      <c r="M19" s="339" t="s">
        <v>358</v>
      </c>
      <c r="N19" s="341" t="str">
        <f>IF($F$107="OUI",G110,"")</f>
        <v/>
      </c>
      <c r="O19" s="341" t="str">
        <f>IF($F$107="OUI",H110,"")</f>
        <v/>
      </c>
      <c r="P19" s="341" t="str">
        <f>IF($F$118="OUI",G121,"")</f>
        <v/>
      </c>
      <c r="Q19" s="341" t="str">
        <f>IF($F$118="OUI",H121,"")</f>
        <v/>
      </c>
      <c r="R19"/>
      <c r="S19"/>
    </row>
    <row r="20" spans="1:19" s="9" customFormat="1" ht="18" customHeight="1">
      <c r="A20" s="71"/>
      <c r="B20" s="10" t="s">
        <v>11</v>
      </c>
      <c r="C20" s="247"/>
      <c r="D20" s="247"/>
      <c r="E20" s="247"/>
      <c r="F20" s="14">
        <f t="shared" si="2"/>
        <v>0</v>
      </c>
      <c r="G20" s="434"/>
      <c r="H20" s="506"/>
      <c r="I20" s="71"/>
      <c r="J20" s="71"/>
      <c r="K20" s="71"/>
      <c r="L20" s="71"/>
      <c r="M20" s="339" t="s">
        <v>415</v>
      </c>
      <c r="N20" s="341" t="str">
        <f>IF($F$130="OUI",G133,"")</f>
        <v/>
      </c>
      <c r="O20" s="341" t="str">
        <f>IF($F$130="OUI",H133,"")</f>
        <v/>
      </c>
      <c r="P20" s="341" t="str">
        <f>IF($F$141="OUI",G144,"")</f>
        <v/>
      </c>
      <c r="Q20" s="341" t="str">
        <f>IF($F$141="OUI",H144,"")</f>
        <v/>
      </c>
      <c r="R20"/>
      <c r="S20"/>
    </row>
    <row r="21" spans="1:19" s="9" customFormat="1" ht="18" customHeight="1">
      <c r="A21" s="71"/>
      <c r="B21" s="10" t="s">
        <v>12</v>
      </c>
      <c r="C21" s="247"/>
      <c r="D21" s="247"/>
      <c r="E21" s="247"/>
      <c r="F21" s="14">
        <f t="shared" si="2"/>
        <v>0</v>
      </c>
      <c r="G21" s="434"/>
      <c r="H21" s="506"/>
      <c r="I21" s="71"/>
      <c r="J21" s="71"/>
      <c r="K21" s="71"/>
      <c r="L21" s="71"/>
      <c r="M21" s="339" t="s">
        <v>416</v>
      </c>
      <c r="N21" s="341" t="str">
        <f>IF($F$153="OUI",G156,"")</f>
        <v/>
      </c>
      <c r="O21" s="341" t="str">
        <f>IF($F$153="OUI",H156,"")</f>
        <v/>
      </c>
      <c r="P21" s="341" t="str">
        <f>IF($F$164="OUI",G167,"")</f>
        <v/>
      </c>
      <c r="Q21" s="341" t="str">
        <f>IF($F$164="OUI",H167,"")</f>
        <v/>
      </c>
      <c r="R21"/>
      <c r="S21"/>
    </row>
    <row r="22" spans="1:19" s="9" customFormat="1" ht="18" customHeight="1">
      <c r="A22" s="71"/>
      <c r="B22" s="10" t="s">
        <v>398</v>
      </c>
      <c r="C22" s="247"/>
      <c r="D22" s="247"/>
      <c r="E22" s="247"/>
      <c r="F22" s="14">
        <f t="shared" si="2"/>
        <v>0</v>
      </c>
      <c r="G22" s="434"/>
      <c r="H22" s="506"/>
      <c r="I22" s="71"/>
      <c r="J22" s="71"/>
      <c r="K22" s="71"/>
      <c r="L22" s="71"/>
      <c r="M22" s="339" t="s">
        <v>417</v>
      </c>
      <c r="N22" s="341" t="str">
        <f>IF($F$176="OUI",G179,"")</f>
        <v/>
      </c>
      <c r="O22" s="341" t="str">
        <f>IF($F$176="OUI",H179,"")</f>
        <v/>
      </c>
      <c r="P22" s="341" t="str">
        <f>IF($F$187="OUI",G190,"")</f>
        <v/>
      </c>
      <c r="Q22" s="341" t="str">
        <f>IF($F$187="OUI",H190,"")</f>
        <v/>
      </c>
      <c r="R22"/>
      <c r="S22"/>
    </row>
    <row r="23" spans="1:19" s="9" customFormat="1" ht="18" customHeight="1">
      <c r="A23" s="71"/>
      <c r="B23" s="10" t="s">
        <v>399</v>
      </c>
      <c r="C23" s="247"/>
      <c r="D23" s="247"/>
      <c r="E23" s="247"/>
      <c r="F23" s="14">
        <f t="shared" si="2"/>
        <v>0</v>
      </c>
      <c r="G23" s="434"/>
      <c r="H23" s="506"/>
      <c r="I23" s="71"/>
      <c r="J23" s="71"/>
      <c r="K23" s="71"/>
      <c r="L23" s="71"/>
      <c r="M23" s="712" t="s">
        <v>438</v>
      </c>
      <c r="N23" s="712"/>
      <c r="O23" s="712"/>
      <c r="P23" s="712"/>
      <c r="Q23" s="712"/>
      <c r="R23"/>
      <c r="S23"/>
    </row>
    <row r="24" spans="1:19" s="9" customFormat="1" ht="18" customHeight="1">
      <c r="A24" s="71"/>
      <c r="B24" s="10" t="s">
        <v>400</v>
      </c>
      <c r="C24" s="247"/>
      <c r="D24" s="247"/>
      <c r="E24" s="247"/>
      <c r="F24" s="14">
        <f t="shared" si="2"/>
        <v>0</v>
      </c>
      <c r="G24" s="434"/>
      <c r="H24" s="506"/>
      <c r="I24" s="71"/>
      <c r="J24" s="71"/>
      <c r="K24" s="71"/>
      <c r="L24" s="71"/>
      <c r="M24" s="713"/>
      <c r="N24" s="713"/>
      <c r="O24" s="713"/>
      <c r="P24" s="713"/>
      <c r="Q24" s="713"/>
      <c r="R24"/>
      <c r="S24"/>
    </row>
    <row r="25" spans="1:19" s="9" customFormat="1" ht="18" customHeight="1">
      <c r="A25" s="71"/>
      <c r="B25" s="10" t="s">
        <v>13</v>
      </c>
      <c r="C25" s="247"/>
      <c r="D25" s="247"/>
      <c r="E25" s="247"/>
      <c r="F25" s="14">
        <f t="shared" si="2"/>
        <v>0</v>
      </c>
      <c r="G25" s="312" t="b">
        <f t="shared" ref="G25" si="3">IF(AND(F25&gt;0,F25&lt;25000),"OUI",IF(F25&gt;=25000,"AVANCE"))</f>
        <v>0</v>
      </c>
      <c r="H25" s="71"/>
      <c r="I25" s="71"/>
      <c r="J25" s="71"/>
      <c r="K25" s="71"/>
      <c r="L25" s="71"/>
      <c r="M25"/>
      <c r="N25"/>
      <c r="O25"/>
      <c r="P25"/>
      <c r="Q25"/>
      <c r="R25"/>
      <c r="S25"/>
    </row>
    <row r="26" spans="1:19" s="9" customFormat="1" ht="18" customHeight="1">
      <c r="A26" s="71"/>
      <c r="B26" s="10" t="s">
        <v>58</v>
      </c>
      <c r="C26" s="247"/>
      <c r="D26" s="247"/>
      <c r="E26" s="247"/>
      <c r="F26" s="14">
        <f t="shared" si="2"/>
        <v>0</v>
      </c>
      <c r="G26" s="312" t="b">
        <f>IF(F25&gt;0,"OUI")</f>
        <v>0</v>
      </c>
      <c r="H26" s="71"/>
      <c r="I26" s="71"/>
      <c r="J26" s="71"/>
      <c r="K26" s="71"/>
      <c r="L26" s="71"/>
      <c r="N26" s="711" t="str">
        <f>N14</f>
        <v>Titulaire</v>
      </c>
      <c r="O26" s="711"/>
      <c r="P26" s="711" t="str">
        <f>P14</f>
        <v>Cotraitant</v>
      </c>
      <c r="Q26" s="711"/>
      <c r="R26"/>
      <c r="S26"/>
    </row>
    <row r="27" spans="1:19" s="9" customFormat="1" ht="18" customHeight="1">
      <c r="A27" s="71"/>
      <c r="B27" s="15" t="s">
        <v>14</v>
      </c>
      <c r="C27" s="16">
        <f>SUM(C18:C25)-C26</f>
        <v>50000</v>
      </c>
      <c r="D27" s="16"/>
      <c r="E27" s="16">
        <f>SUM(E18:E25)-E26</f>
        <v>40000</v>
      </c>
      <c r="F27" s="14">
        <f t="shared" si="2"/>
        <v>90000</v>
      </c>
      <c r="G27" s="71"/>
      <c r="H27" s="71"/>
      <c r="I27" s="71"/>
      <c r="J27" s="71"/>
      <c r="K27" s="71"/>
      <c r="L27" s="71"/>
      <c r="M27"/>
      <c r="N27" s="340">
        <f>N15</f>
        <v>0.2</v>
      </c>
      <c r="O27" s="340">
        <f>O15</f>
        <v>0.1</v>
      </c>
      <c r="P27" s="340">
        <f>P15</f>
        <v>0.2</v>
      </c>
      <c r="Q27" s="340">
        <f>Q15</f>
        <v>0.1</v>
      </c>
      <c r="R27"/>
      <c r="S27"/>
    </row>
    <row r="28" spans="1:19" s="9" customFormat="1" ht="18" customHeight="1">
      <c r="A28" s="71"/>
      <c r="B28" s="15" t="s">
        <v>15</v>
      </c>
      <c r="C28" s="16">
        <f>C27*C17</f>
        <v>10000</v>
      </c>
      <c r="D28" s="16"/>
      <c r="E28" s="16">
        <f>E27*E17</f>
        <v>4000</v>
      </c>
      <c r="F28" s="71"/>
      <c r="G28" s="71"/>
      <c r="H28" s="71"/>
      <c r="I28" s="71"/>
      <c r="J28" s="71"/>
      <c r="K28" s="71"/>
      <c r="L28" s="71"/>
      <c r="M28" s="339" t="s">
        <v>355</v>
      </c>
      <c r="N28" s="341">
        <f>E41+SUMIF($B$203:$B$209,"Tranche Ferme",G203:G209)</f>
        <v>40000</v>
      </c>
      <c r="O28" s="341">
        <f>F41+SUMIF($B$203:$B$209,"Tranche Ferme",H203:H209)</f>
        <v>40000</v>
      </c>
      <c r="P28" s="341">
        <f>E52+SUMIF($B$215:$B$221,"Tranche Ferme",$G$215:$G$221)</f>
        <v>10000</v>
      </c>
      <c r="Q28" s="341">
        <f>F52+SUMIF($B$215:$B$221,"Tranche Ferme",$H$215:$H$221)</f>
        <v>0</v>
      </c>
      <c r="R28"/>
      <c r="S28"/>
    </row>
    <row r="29" spans="1:19" s="9" customFormat="1" ht="18" customHeight="1">
      <c r="A29" s="71"/>
      <c r="B29" s="15" t="s">
        <v>16</v>
      </c>
      <c r="C29" s="16">
        <f>C27+C28</f>
        <v>60000</v>
      </c>
      <c r="D29" s="16"/>
      <c r="E29" s="16">
        <f>E27+E28</f>
        <v>44000</v>
      </c>
      <c r="F29" s="71"/>
      <c r="G29" s="71"/>
      <c r="H29" s="71"/>
      <c r="I29" s="71"/>
      <c r="J29" s="71"/>
      <c r="K29" s="71"/>
      <c r="L29" s="71"/>
      <c r="M29" s="339" t="s">
        <v>356</v>
      </c>
      <c r="N29" s="341">
        <f>E64+SUMIF($B$203:$B$209,"Tranche Optionnelle 1",G203:G209)</f>
        <v>0</v>
      </c>
      <c r="O29" s="341">
        <f>F64+SUMIF($B$203:$B$209,"Tranche Optionnelle 1",$H$203:$H$209)</f>
        <v>0</v>
      </c>
      <c r="P29" s="341">
        <f>E75+SUMIF($B$215:$B$221,"Tranche Optionnelle 1",$G$215:$G$221)</f>
        <v>0</v>
      </c>
      <c r="Q29" s="341">
        <f>F75+SUMIF($B$215:$B$221,"Tranche Optionnelle 1",$H$215:$H$221)</f>
        <v>0</v>
      </c>
      <c r="R29"/>
      <c r="S29"/>
    </row>
    <row r="30" spans="1:19" s="9" customFormat="1" ht="18" customHeight="1">
      <c r="A30" s="71"/>
      <c r="B30" s="15" t="s">
        <v>17</v>
      </c>
      <c r="C30" s="727">
        <f>C29+E29</f>
        <v>104000</v>
      </c>
      <c r="D30" s="727"/>
      <c r="E30" s="727"/>
      <c r="F30" s="71"/>
      <c r="G30" s="71"/>
      <c r="H30" s="71"/>
      <c r="I30" s="71"/>
      <c r="J30" s="71"/>
      <c r="K30" s="71"/>
      <c r="L30" s="71"/>
      <c r="M30" s="339" t="s">
        <v>357</v>
      </c>
      <c r="N30" s="341">
        <f>E87+SUMIF($B$203:$B$209,"Tranche Optionnelle 2",$G$203:$G$209)</f>
        <v>0</v>
      </c>
      <c r="O30" s="341">
        <f>F87+SUMIF($B$203:$B$209,"Tranche Optionnelle 2",$H$203:$H$209)</f>
        <v>0</v>
      </c>
      <c r="P30" s="341">
        <f>E98+SUMIF($B$215:$B$221,"Tranche Optionnelle 2",$G$215:$G$221)</f>
        <v>0</v>
      </c>
      <c r="Q30" s="341">
        <f>F98+SUMIF($B$215:$B$221,"Tranche Optionnelle 2",$H$215:$H$221)</f>
        <v>0</v>
      </c>
      <c r="R30"/>
      <c r="S30"/>
    </row>
    <row r="31" spans="1:19" s="9" customFormat="1" ht="18" customHeight="1">
      <c r="A31" s="71"/>
      <c r="B31" s="126"/>
      <c r="C31" s="22"/>
      <c r="D31" s="22"/>
      <c r="E31" s="22"/>
      <c r="F31" s="71"/>
      <c r="G31" s="71"/>
      <c r="H31" s="71"/>
      <c r="I31" s="71"/>
      <c r="J31" s="71"/>
      <c r="K31" s="71"/>
      <c r="L31" s="71"/>
      <c r="M31" s="339" t="s">
        <v>358</v>
      </c>
      <c r="N31" s="341">
        <f>E110+SUMIF($B$203:$B$209,"Tranche Optionnelle 3",$G$203:$G$209)</f>
        <v>0</v>
      </c>
      <c r="O31" s="341">
        <f>F110+SUMIF($B$203:$B$209,"Tranche Optionnelle 3",$H$203:$H$209)</f>
        <v>0</v>
      </c>
      <c r="P31" s="341">
        <f>E121+SUMIF($B$215:$B$221,"Tranche Optionnelle 3",$G$215:$G$221)</f>
        <v>0</v>
      </c>
      <c r="Q31" s="341">
        <f>F121+SUMIF($B$215:$B$221,"Tranche Optionnelle 3",$H$215:$H$221)</f>
        <v>0</v>
      </c>
      <c r="R31"/>
      <c r="S31"/>
    </row>
    <row r="32" spans="1:19" s="9" customFormat="1" ht="18" customHeight="1">
      <c r="A32" s="71"/>
      <c r="B32" s="730" t="s">
        <v>26</v>
      </c>
      <c r="C32" s="730" t="s">
        <v>27</v>
      </c>
      <c r="D32" s="730"/>
      <c r="E32" s="730"/>
      <c r="F32" s="319" t="s">
        <v>227</v>
      </c>
      <c r="G32" s="320" t="s">
        <v>227</v>
      </c>
      <c r="H32" s="327" t="s">
        <v>183</v>
      </c>
      <c r="I32" s="327" t="s">
        <v>183</v>
      </c>
      <c r="J32" s="71"/>
      <c r="K32" s="71"/>
      <c r="L32" s="71"/>
      <c r="M32" s="339" t="s">
        <v>415</v>
      </c>
      <c r="N32" s="341">
        <f>E133+SUMIF($B$203:$B$209,"Tranche Optionnelle 4",$G$203:$G$209)</f>
        <v>0</v>
      </c>
      <c r="O32" s="341">
        <f>F133+SUMIF($B$203:$B$209,"Tranche Optionnelle 4",$H$203:$H$209)</f>
        <v>0</v>
      </c>
      <c r="P32" s="341">
        <f>E144+SUMIF($B$215:$B$221,"Tranche Optionnelle 4",$G$215:$G$221)</f>
        <v>0</v>
      </c>
      <c r="Q32" s="341">
        <f>F144+SUMIF($B$215:$B$221,"Tranche Optionnelle 4",$H$215:$H$221)</f>
        <v>0</v>
      </c>
      <c r="R32"/>
      <c r="S32"/>
    </row>
    <row r="33" spans="1:19" s="9" customFormat="1" ht="24" customHeight="1">
      <c r="A33" s="71"/>
      <c r="B33" s="730"/>
      <c r="C33" s="730"/>
      <c r="D33" s="730"/>
      <c r="E33" s="730"/>
      <c r="F33" s="324">
        <f>C17</f>
        <v>0.2</v>
      </c>
      <c r="G33" s="325">
        <f>E17</f>
        <v>0.1</v>
      </c>
      <c r="H33" s="328" t="str">
        <f>"TVA"&amp;" "&amp;$C$17*100&amp;"%"</f>
        <v>TVA 20%</v>
      </c>
      <c r="I33" s="328" t="str">
        <f>"TVA"&amp;" "&amp;$E$17*100&amp;"%"</f>
        <v>TVA 10%</v>
      </c>
      <c r="J33" s="71"/>
      <c r="K33" s="71"/>
      <c r="L33" s="71"/>
      <c r="M33" s="339" t="s">
        <v>416</v>
      </c>
      <c r="N33" s="341">
        <f>E156+SUMIF($B$203:$B$209,"Tranche Optionnelle 5",$G$203:$G$209)</f>
        <v>0</v>
      </c>
      <c r="O33" s="341">
        <f>F156+SUMIF($B$203:$B$209,"Tranche Optionnelle 5",$H$203:$H$209)</f>
        <v>0</v>
      </c>
      <c r="P33" s="341">
        <f>E167+SUMIF($B$215:$B$221,"Tranche Optionnelle 5",$G$215:$G$221)</f>
        <v>0</v>
      </c>
      <c r="Q33" s="341">
        <f>F167+SUMIF($B$215:$B$221,"Tranche Optionnelle 5",$H$215:$H$221)</f>
        <v>0</v>
      </c>
      <c r="R33"/>
      <c r="S33"/>
    </row>
    <row r="34" spans="1:19" s="9" customFormat="1" ht="18" customHeight="1">
      <c r="A34" s="71"/>
      <c r="B34" s="132" t="s">
        <v>1</v>
      </c>
      <c r="C34" s="728" t="str">
        <f>C5</f>
        <v>ERREBA</v>
      </c>
      <c r="D34" s="728"/>
      <c r="E34" s="728"/>
      <c r="F34" s="16">
        <f>SUMIF($B$41:$B$221,"Titulaire",($E$41:$E$221))</f>
        <v>40000</v>
      </c>
      <c r="G34" s="16">
        <f>SUMIF($B$41:$B$221,"Titulaire",($F$41:$F$221))</f>
        <v>40000</v>
      </c>
      <c r="H34" s="307">
        <f>SUMIF($B$41:$B$221,"Titulaire",($G$41:$G$221))</f>
        <v>40000</v>
      </c>
      <c r="I34" s="308">
        <f>SUMIF($B$41:$B$221,"Titulaire",($H$41:$H$221))</f>
        <v>40000</v>
      </c>
      <c r="J34" s="71"/>
      <c r="K34" s="71"/>
      <c r="L34" s="71"/>
      <c r="M34" s="339" t="s">
        <v>417</v>
      </c>
      <c r="N34" s="341">
        <f>E179+SUMIF($B$203:$B$209,"Tranche Optionnelle 6",$G$203:$G$209)</f>
        <v>0</v>
      </c>
      <c r="O34" s="341">
        <f>F179+SUMIF($B$203:$B$209,"Tranche Optionnelle 6",$H$203:$H$209)</f>
        <v>0</v>
      </c>
      <c r="P34" s="341">
        <f>E190+SUMIF($B$215:$B$221,"Tranche Optionnelle 6",$G$215:$G$221)</f>
        <v>0</v>
      </c>
      <c r="Q34" s="341">
        <f>F190+SUMIF($B$215:$B$221,"Tranche Optionnelle 6",$H$215:$H$221)</f>
        <v>0</v>
      </c>
      <c r="R34"/>
      <c r="S34"/>
    </row>
    <row r="35" spans="1:19" s="9" customFormat="1" ht="18" customHeight="1">
      <c r="A35" s="71"/>
      <c r="B35" s="132" t="s">
        <v>397</v>
      </c>
      <c r="C35" s="728" t="str">
        <f>C6</f>
        <v>SPIE</v>
      </c>
      <c r="D35" s="728"/>
      <c r="E35" s="728"/>
      <c r="F35" s="322">
        <f>SUMIF($B$41:$B$221,"Cotraitant 1",($E$41:$E$221))</f>
        <v>10000</v>
      </c>
      <c r="G35" s="322">
        <f>SUMIF($B$41:$B$221,"Cotraitant 1",($F$41:$F$221))</f>
        <v>0</v>
      </c>
      <c r="H35" s="307">
        <f>SUMIF($B$41:$B$221,"Cotraitant 1",($G$41:$G$221))</f>
        <v>10000</v>
      </c>
      <c r="I35" s="308">
        <f>SUMIF($B$41:$B$221,"Cotraitant 1",($H$41:$H$221))</f>
        <v>0</v>
      </c>
      <c r="J35" s="71"/>
      <c r="K35" s="71"/>
      <c r="L35" s="71"/>
      <c r="M35" s="714" t="s">
        <v>446</v>
      </c>
      <c r="N35" s="714"/>
      <c r="O35" s="714"/>
      <c r="P35" s="714"/>
      <c r="Q35" s="714"/>
      <c r="R35"/>
      <c r="S35"/>
    </row>
    <row r="36" spans="1:19" s="9" customFormat="1" ht="18" customHeight="1">
      <c r="A36" s="71"/>
      <c r="B36" s="71"/>
      <c r="C36" s="71"/>
      <c r="D36" s="71"/>
      <c r="E36" s="71"/>
      <c r="F36" s="71"/>
      <c r="G36" s="71"/>
      <c r="H36" s="71"/>
      <c r="I36" s="71"/>
      <c r="J36" s="71"/>
      <c r="K36" s="71"/>
      <c r="L36" s="71"/>
      <c r="M36" s="715"/>
      <c r="N36" s="715"/>
      <c r="O36" s="715"/>
      <c r="P36" s="715"/>
      <c r="Q36" s="715"/>
      <c r="R36"/>
      <c r="S36"/>
    </row>
    <row r="37" spans="1:19" s="9" customFormat="1" ht="18" customHeight="1">
      <c r="A37" s="71"/>
      <c r="B37" s="119" t="s">
        <v>25</v>
      </c>
      <c r="C37" s="13" t="s">
        <v>232</v>
      </c>
      <c r="D37" s="134"/>
      <c r="E37" s="11" t="s">
        <v>233</v>
      </c>
      <c r="F37" s="293" t="s">
        <v>291</v>
      </c>
      <c r="G37" s="703" t="s">
        <v>342</v>
      </c>
      <c r="H37" s="703"/>
      <c r="I37" s="703" t="s">
        <v>343</v>
      </c>
      <c r="J37" s="703"/>
      <c r="K37" s="71"/>
      <c r="L37" s="71"/>
    </row>
    <row r="38" spans="1:19" s="9" customFormat="1" ht="18" customHeight="1" thickBot="1">
      <c r="A38" s="731" t="s">
        <v>206</v>
      </c>
      <c r="B38" s="731"/>
      <c r="C38" s="18">
        <f>F18</f>
        <v>90000</v>
      </c>
      <c r="D38" s="23"/>
      <c r="E38" s="18">
        <f>C38-(E41+F41+E52+F52)</f>
        <v>0</v>
      </c>
      <c r="F38" s="332" t="s">
        <v>201</v>
      </c>
      <c r="G38" s="735" t="s">
        <v>580</v>
      </c>
      <c r="H38" s="735"/>
      <c r="I38" s="704"/>
      <c r="J38" s="704"/>
      <c r="K38" s="71"/>
      <c r="L38" s="71"/>
    </row>
    <row r="39" spans="1:19" s="9" customFormat="1" ht="18" customHeight="1">
      <c r="A39" s="732" t="s">
        <v>206</v>
      </c>
      <c r="B39" s="729" t="s">
        <v>26</v>
      </c>
      <c r="C39" s="730" t="s">
        <v>27</v>
      </c>
      <c r="D39" s="128"/>
      <c r="E39" s="319" t="s">
        <v>204</v>
      </c>
      <c r="F39" s="320" t="str">
        <f>E39</f>
        <v>Montant intial TVA</v>
      </c>
      <c r="G39" s="304" t="s">
        <v>183</v>
      </c>
      <c r="H39" s="305" t="s">
        <v>183</v>
      </c>
      <c r="I39" s="705" t="s">
        <v>423</v>
      </c>
      <c r="J39" s="71"/>
      <c r="K39" s="71"/>
      <c r="L39" s="71"/>
    </row>
    <row r="40" spans="1:19" s="9" customFormat="1" ht="18" customHeight="1">
      <c r="A40" s="733"/>
      <c r="B40" s="729"/>
      <c r="C40" s="730"/>
      <c r="D40" s="129"/>
      <c r="E40" s="317">
        <f>$C$17</f>
        <v>0.2</v>
      </c>
      <c r="F40" s="318">
        <f>$E$17</f>
        <v>0.1</v>
      </c>
      <c r="G40" s="116" t="str">
        <f>"TVA"&amp;" "&amp;$C$17*100&amp;"%"</f>
        <v>TVA 20%</v>
      </c>
      <c r="H40" s="116" t="str">
        <f>"TVA"&amp;" "&amp;$E$17*100&amp;"%"</f>
        <v>TVA 10%</v>
      </c>
      <c r="I40" s="706"/>
      <c r="J40" s="71"/>
      <c r="K40" s="71"/>
      <c r="L40" s="71"/>
    </row>
    <row r="41" spans="1:19" s="9" customFormat="1" ht="18" customHeight="1" thickBot="1">
      <c r="A41" s="733"/>
      <c r="B41" s="120" t="s">
        <v>1</v>
      </c>
      <c r="C41" s="20" t="str">
        <f>$C$5</f>
        <v>ERREBA</v>
      </c>
      <c r="D41" s="130"/>
      <c r="E41" s="72">
        <f>C18-E52</f>
        <v>40000</v>
      </c>
      <c r="F41" s="112">
        <f>E18-F52</f>
        <v>40000</v>
      </c>
      <c r="G41" s="117">
        <f>E41-SUM(G42:G47)</f>
        <v>40000</v>
      </c>
      <c r="H41" s="306">
        <f>F41-SUM(H42:H47)</f>
        <v>40000</v>
      </c>
      <c r="I41" s="707"/>
      <c r="J41" s="71"/>
      <c r="K41" s="71"/>
      <c r="L41" s="71"/>
    </row>
    <row r="42" spans="1:19" s="9" customFormat="1" ht="18" customHeight="1">
      <c r="A42" s="733"/>
      <c r="B42" s="251"/>
      <c r="C42" s="248"/>
      <c r="D42" s="131" t="str">
        <f t="shared" ref="D42:D47" si="4">B42&amp;" "&amp;C42&amp;" "&amp;"("&amp;$B$41&amp;")"</f>
        <v xml:space="preserve">  (Titulaire)</v>
      </c>
      <c r="E42" s="73"/>
      <c r="F42" s="723" t="s">
        <v>205</v>
      </c>
      <c r="G42" s="249"/>
      <c r="H42" s="249"/>
      <c r="I42" s="309"/>
      <c r="J42" s="71"/>
      <c r="K42" s="71" t="s">
        <v>478</v>
      </c>
      <c r="L42" s="71"/>
    </row>
    <row r="43" spans="1:19" s="9" customFormat="1" ht="18" customHeight="1">
      <c r="A43" s="733"/>
      <c r="B43" s="251"/>
      <c r="C43" s="248"/>
      <c r="D43" s="131" t="str">
        <f t="shared" si="4"/>
        <v xml:space="preserve">  (Titulaire)</v>
      </c>
      <c r="E43" s="74"/>
      <c r="F43" s="724"/>
      <c r="G43" s="249"/>
      <c r="H43" s="250"/>
      <c r="I43" s="309"/>
      <c r="J43" s="71"/>
      <c r="K43" s="71"/>
      <c r="L43" s="71"/>
    </row>
    <row r="44" spans="1:19" s="9" customFormat="1" ht="18" customHeight="1">
      <c r="A44" s="733"/>
      <c r="B44" s="251"/>
      <c r="C44" s="248"/>
      <c r="D44" s="131" t="str">
        <f t="shared" si="4"/>
        <v xml:space="preserve">  (Titulaire)</v>
      </c>
      <c r="E44" s="74"/>
      <c r="F44" s="724"/>
      <c r="G44" s="249"/>
      <c r="H44" s="250"/>
      <c r="I44" s="309"/>
      <c r="J44" s="71"/>
      <c r="K44" s="71"/>
      <c r="L44" s="71"/>
    </row>
    <row r="45" spans="1:19" s="9" customFormat="1" ht="18" customHeight="1">
      <c r="A45" s="733"/>
      <c r="B45" s="251"/>
      <c r="C45" s="248"/>
      <c r="D45" s="131" t="str">
        <f t="shared" si="4"/>
        <v xml:space="preserve">  (Titulaire)</v>
      </c>
      <c r="E45" s="74"/>
      <c r="F45" s="724"/>
      <c r="G45" s="249"/>
      <c r="H45" s="250"/>
      <c r="I45" s="309"/>
      <c r="J45" s="71"/>
      <c r="K45" s="71"/>
      <c r="L45" s="71"/>
    </row>
    <row r="46" spans="1:19" s="9" customFormat="1" ht="18" customHeight="1">
      <c r="A46" s="733"/>
      <c r="B46" s="251"/>
      <c r="C46" s="248"/>
      <c r="D46" s="131" t="str">
        <f t="shared" si="4"/>
        <v xml:space="preserve">  (Titulaire)</v>
      </c>
      <c r="E46" s="74"/>
      <c r="F46" s="724"/>
      <c r="G46" s="249"/>
      <c r="H46" s="250"/>
      <c r="I46" s="309"/>
      <c r="J46" s="71"/>
      <c r="K46" s="71"/>
      <c r="L46" s="71"/>
    </row>
    <row r="47" spans="1:19" s="9" customFormat="1" ht="18" customHeight="1" thickBot="1">
      <c r="A47" s="734"/>
      <c r="B47" s="251"/>
      <c r="C47" s="248"/>
      <c r="D47" s="363" t="str">
        <f t="shared" si="4"/>
        <v xml:space="preserve">  (Titulaire)</v>
      </c>
      <c r="E47" s="75"/>
      <c r="F47" s="725"/>
      <c r="G47" s="249"/>
      <c r="H47" s="250"/>
      <c r="I47" s="309"/>
      <c r="J47" s="71"/>
      <c r="K47" s="71"/>
      <c r="L47" s="71"/>
    </row>
    <row r="48" spans="1:19" s="9" customFormat="1" ht="18" customHeight="1">
      <c r="A48" s="742"/>
      <c r="B48" s="743"/>
      <c r="C48" s="743"/>
      <c r="D48" s="743"/>
      <c r="E48" s="744"/>
      <c r="F48" s="293" t="s">
        <v>291</v>
      </c>
      <c r="G48" s="703" t="s">
        <v>342</v>
      </c>
      <c r="H48" s="703"/>
      <c r="I48" s="703" t="s">
        <v>343</v>
      </c>
      <c r="J48" s="703"/>
      <c r="K48" s="71"/>
      <c r="L48" s="71"/>
    </row>
    <row r="49" spans="1:12" s="9" customFormat="1" ht="18" customHeight="1" thickBot="1">
      <c r="A49" s="742"/>
      <c r="B49" s="743"/>
      <c r="C49" s="743"/>
      <c r="D49" s="743"/>
      <c r="E49" s="744"/>
      <c r="F49" s="332"/>
      <c r="G49" s="735"/>
      <c r="H49" s="735"/>
      <c r="I49" s="704"/>
      <c r="J49" s="704"/>
      <c r="K49" s="71"/>
      <c r="L49" s="71"/>
    </row>
    <row r="50" spans="1:12" s="9" customFormat="1" ht="18" customHeight="1">
      <c r="A50" s="732" t="s">
        <v>206</v>
      </c>
      <c r="B50" s="729" t="s">
        <v>26</v>
      </c>
      <c r="C50" s="730" t="s">
        <v>27</v>
      </c>
      <c r="D50" s="128"/>
      <c r="E50" s="319" t="s">
        <v>204</v>
      </c>
      <c r="F50" s="320" t="str">
        <f>E50</f>
        <v>Montant intial TVA</v>
      </c>
      <c r="G50" s="114" t="s">
        <v>183</v>
      </c>
      <c r="H50" s="115" t="s">
        <v>183</v>
      </c>
      <c r="I50" s="705" t="s">
        <v>423</v>
      </c>
      <c r="J50" s="71"/>
      <c r="K50" s="71"/>
      <c r="L50" s="71"/>
    </row>
    <row r="51" spans="1:12" s="9" customFormat="1" ht="18" customHeight="1">
      <c r="A51" s="733"/>
      <c r="B51" s="729"/>
      <c r="C51" s="730"/>
      <c r="D51" s="129"/>
      <c r="E51" s="317">
        <f>$C$17</f>
        <v>0.2</v>
      </c>
      <c r="F51" s="318">
        <f>$E$17</f>
        <v>0.1</v>
      </c>
      <c r="G51" s="116" t="str">
        <f>"TVA"&amp;" "&amp;$C$17*100&amp;"%"</f>
        <v>TVA 20%</v>
      </c>
      <c r="H51" s="116" t="str">
        <f>"TVA"&amp;" "&amp;$E$17*100&amp;"%"</f>
        <v>TVA 10%</v>
      </c>
      <c r="I51" s="706"/>
      <c r="J51" s="71"/>
      <c r="K51" s="71"/>
      <c r="L51" s="71"/>
    </row>
    <row r="52" spans="1:12" ht="19.5" thickBot="1">
      <c r="A52" s="733"/>
      <c r="B52" s="120" t="str">
        <f>$B$6</f>
        <v>Cotraitant 1</v>
      </c>
      <c r="C52" s="20" t="str">
        <f>$C$6</f>
        <v>SPIE</v>
      </c>
      <c r="D52" s="113"/>
      <c r="E52" s="283">
        <v>10000</v>
      </c>
      <c r="F52" s="283"/>
      <c r="G52" s="117">
        <f>E52-SUM(G53:G58)</f>
        <v>10000</v>
      </c>
      <c r="H52" s="118">
        <f>F52-SUM(H53:H58)</f>
        <v>0</v>
      </c>
      <c r="I52" s="707"/>
    </row>
    <row r="53" spans="1:12">
      <c r="A53" s="733"/>
      <c r="B53" s="251"/>
      <c r="C53" s="248"/>
      <c r="D53" s="131" t="str">
        <f t="shared" ref="D53:D58" si="5">B53&amp;" "&amp;C53&amp;" "&amp;"("&amp;$B$52&amp;")"</f>
        <v xml:space="preserve">  (Cotraitant 1)</v>
      </c>
      <c r="E53" s="73"/>
      <c r="F53" s="723" t="s">
        <v>205</v>
      </c>
      <c r="G53" s="249"/>
      <c r="H53" s="249"/>
      <c r="I53" s="309"/>
    </row>
    <row r="54" spans="1:12">
      <c r="A54" s="733"/>
      <c r="B54" s="251"/>
      <c r="C54" s="248"/>
      <c r="D54" s="131" t="str">
        <f t="shared" si="5"/>
        <v xml:space="preserve">  (Cotraitant 1)</v>
      </c>
      <c r="E54" s="74"/>
      <c r="F54" s="724"/>
      <c r="G54" s="250"/>
      <c r="H54" s="250"/>
      <c r="I54" s="309"/>
    </row>
    <row r="55" spans="1:12">
      <c r="A55" s="733"/>
      <c r="B55" s="251"/>
      <c r="C55" s="248"/>
      <c r="D55" s="131" t="str">
        <f t="shared" si="5"/>
        <v xml:space="preserve">  (Cotraitant 1)</v>
      </c>
      <c r="E55" s="74"/>
      <c r="F55" s="724"/>
      <c r="G55" s="250"/>
      <c r="H55" s="250"/>
      <c r="I55" s="309"/>
    </row>
    <row r="56" spans="1:12">
      <c r="A56" s="733"/>
      <c r="B56" s="251"/>
      <c r="C56" s="248"/>
      <c r="D56" s="131" t="str">
        <f t="shared" si="5"/>
        <v xml:space="preserve">  (Cotraitant 1)</v>
      </c>
      <c r="E56" s="74"/>
      <c r="F56" s="724"/>
      <c r="G56" s="250"/>
      <c r="H56" s="250"/>
      <c r="I56" s="309"/>
    </row>
    <row r="57" spans="1:12">
      <c r="A57" s="733"/>
      <c r="B57" s="251"/>
      <c r="C57" s="248"/>
      <c r="D57" s="131" t="str">
        <f t="shared" si="5"/>
        <v xml:space="preserve">  (Cotraitant 1)</v>
      </c>
      <c r="E57" s="74"/>
      <c r="F57" s="724"/>
      <c r="G57" s="250"/>
      <c r="H57" s="250"/>
      <c r="I57" s="309"/>
    </row>
    <row r="58" spans="1:12" ht="19.5" thickBot="1">
      <c r="A58" s="734"/>
      <c r="B58" s="251"/>
      <c r="C58" s="248"/>
      <c r="D58" s="363" t="str">
        <f t="shared" si="5"/>
        <v xml:space="preserve">  (Cotraitant 1)</v>
      </c>
      <c r="E58" s="75"/>
      <c r="F58" s="725"/>
      <c r="G58" s="250"/>
      <c r="H58" s="250"/>
      <c r="I58" s="309"/>
    </row>
    <row r="59" spans="1:12">
      <c r="A59" s="71"/>
      <c r="B59" s="71"/>
      <c r="C59" s="71"/>
      <c r="D59" s="71"/>
      <c r="E59" s="71"/>
      <c r="F59" s="71"/>
      <c r="G59" s="71"/>
      <c r="H59" s="71"/>
      <c r="I59" s="71"/>
    </row>
    <row r="60" spans="1:12">
      <c r="A60" s="71"/>
      <c r="B60" s="119" t="s">
        <v>25</v>
      </c>
      <c r="C60" s="13" t="s">
        <v>232</v>
      </c>
      <c r="D60" s="134"/>
      <c r="E60" s="222" t="s">
        <v>233</v>
      </c>
      <c r="F60" s="293" t="s">
        <v>291</v>
      </c>
      <c r="G60" s="703" t="s">
        <v>342</v>
      </c>
      <c r="H60" s="703"/>
      <c r="I60" s="703" t="s">
        <v>343</v>
      </c>
      <c r="J60" s="703"/>
    </row>
    <row r="61" spans="1:12" ht="19.5" thickBot="1">
      <c r="A61" s="731" t="s">
        <v>207</v>
      </c>
      <c r="B61" s="731"/>
      <c r="C61" s="18">
        <f>F19</f>
        <v>0</v>
      </c>
      <c r="D61" s="23"/>
      <c r="E61" s="18">
        <f>C61-(E64+F64+E75+F75)</f>
        <v>0</v>
      </c>
      <c r="F61" s="329"/>
      <c r="G61" s="735"/>
      <c r="H61" s="735"/>
      <c r="I61" s="704"/>
      <c r="J61" s="704"/>
    </row>
    <row r="62" spans="1:12" ht="18.75" customHeight="1">
      <c r="A62" s="732" t="str">
        <f>$A$61</f>
        <v>Tranche OPTIONNELLE 1</v>
      </c>
      <c r="B62" s="729" t="s">
        <v>26</v>
      </c>
      <c r="C62" s="730" t="s">
        <v>27</v>
      </c>
      <c r="D62" s="128"/>
      <c r="E62" s="319" t="s">
        <v>204</v>
      </c>
      <c r="F62" s="320" t="str">
        <f>E62</f>
        <v>Montant intial TVA</v>
      </c>
      <c r="G62" s="304" t="s">
        <v>183</v>
      </c>
      <c r="H62" s="305" t="s">
        <v>183</v>
      </c>
      <c r="I62" s="705" t="s">
        <v>423</v>
      </c>
    </row>
    <row r="63" spans="1:12">
      <c r="A63" s="733"/>
      <c r="B63" s="729"/>
      <c r="C63" s="730"/>
      <c r="D63" s="129"/>
      <c r="E63" s="317">
        <f>$C$17</f>
        <v>0.2</v>
      </c>
      <c r="F63" s="318">
        <f>$E$17</f>
        <v>0.1</v>
      </c>
      <c r="G63" s="116" t="str">
        <f>"TVA"&amp;" "&amp;$C$17*100&amp;"%"</f>
        <v>TVA 20%</v>
      </c>
      <c r="H63" s="116" t="str">
        <f>"TVA"&amp;" "&amp;$E$17*100&amp;"%"</f>
        <v>TVA 10%</v>
      </c>
      <c r="I63" s="706"/>
    </row>
    <row r="64" spans="1:12" ht="19.5" thickBot="1">
      <c r="A64" s="733"/>
      <c r="B64" s="120" t="s">
        <v>1</v>
      </c>
      <c r="C64" s="323" t="str">
        <f>$C$5</f>
        <v>ERREBA</v>
      </c>
      <c r="D64" s="130"/>
      <c r="E64" s="72">
        <f>C19-E75</f>
        <v>0</v>
      </c>
      <c r="F64" s="72">
        <f>E19-F75</f>
        <v>0</v>
      </c>
      <c r="G64" s="117">
        <f>E64-SUM(G65:G70)</f>
        <v>0</v>
      </c>
      <c r="H64" s="306">
        <f>F64-SUM(H65:H70)</f>
        <v>0</v>
      </c>
      <c r="I64" s="707"/>
    </row>
    <row r="65" spans="1:10" ht="18.75" customHeight="1">
      <c r="A65" s="733"/>
      <c r="B65" s="251"/>
      <c r="C65" s="248"/>
      <c r="D65" s="131" t="str">
        <f t="shared" ref="D65:D70" si="6">B65&amp;" "&amp;C65&amp;" "&amp;"("&amp;$B$41&amp;")"</f>
        <v xml:space="preserve">  (Titulaire)</v>
      </c>
      <c r="E65" s="73"/>
      <c r="F65" s="723" t="s">
        <v>205</v>
      </c>
      <c r="G65" s="249"/>
      <c r="H65" s="249"/>
      <c r="I65" s="309"/>
    </row>
    <row r="66" spans="1:10">
      <c r="A66" s="733"/>
      <c r="B66" s="251"/>
      <c r="C66" s="248"/>
      <c r="D66" s="131" t="str">
        <f t="shared" si="6"/>
        <v xml:space="preserve">  (Titulaire)</v>
      </c>
      <c r="E66" s="74"/>
      <c r="F66" s="724"/>
      <c r="G66" s="249"/>
      <c r="H66" s="250"/>
      <c r="I66" s="309"/>
    </row>
    <row r="67" spans="1:10">
      <c r="A67" s="733"/>
      <c r="B67" s="251"/>
      <c r="C67" s="248"/>
      <c r="D67" s="131" t="str">
        <f t="shared" si="6"/>
        <v xml:space="preserve">  (Titulaire)</v>
      </c>
      <c r="E67" s="74"/>
      <c r="F67" s="724"/>
      <c r="G67" s="249"/>
      <c r="H67" s="250"/>
      <c r="I67" s="309"/>
    </row>
    <row r="68" spans="1:10">
      <c r="A68" s="733"/>
      <c r="B68" s="251"/>
      <c r="C68" s="248"/>
      <c r="D68" s="131" t="str">
        <f t="shared" si="6"/>
        <v xml:space="preserve">  (Titulaire)</v>
      </c>
      <c r="E68" s="74"/>
      <c r="F68" s="724"/>
      <c r="G68" s="249"/>
      <c r="H68" s="250"/>
      <c r="I68" s="309"/>
    </row>
    <row r="69" spans="1:10">
      <c r="A69" s="733"/>
      <c r="B69" s="251"/>
      <c r="C69" s="248"/>
      <c r="D69" s="131" t="str">
        <f t="shared" si="6"/>
        <v xml:space="preserve">  (Titulaire)</v>
      </c>
      <c r="E69" s="74"/>
      <c r="F69" s="724"/>
      <c r="G69" s="249"/>
      <c r="H69" s="250"/>
      <c r="I69" s="309"/>
    </row>
    <row r="70" spans="1:10" ht="19.5" thickBot="1">
      <c r="A70" s="734"/>
      <c r="B70" s="251"/>
      <c r="C70" s="248"/>
      <c r="D70" s="131" t="str">
        <f t="shared" si="6"/>
        <v xml:space="preserve">  (Titulaire)</v>
      </c>
      <c r="E70" s="75"/>
      <c r="F70" s="725"/>
      <c r="G70" s="249"/>
      <c r="H70" s="250"/>
      <c r="I70" s="309"/>
    </row>
    <row r="71" spans="1:10">
      <c r="A71" s="742"/>
      <c r="B71" s="743"/>
      <c r="C71" s="743"/>
      <c r="D71" s="743"/>
      <c r="E71" s="744"/>
      <c r="F71" s="293" t="s">
        <v>291</v>
      </c>
      <c r="G71" s="703" t="s">
        <v>342</v>
      </c>
      <c r="H71" s="703"/>
      <c r="I71" s="703" t="s">
        <v>343</v>
      </c>
      <c r="J71" s="703"/>
    </row>
    <row r="72" spans="1:10" ht="19.5" thickBot="1">
      <c r="A72" s="742"/>
      <c r="B72" s="743"/>
      <c r="C72" s="743"/>
      <c r="D72" s="743"/>
      <c r="E72" s="744"/>
      <c r="F72" s="362"/>
      <c r="G72" s="735"/>
      <c r="H72" s="735"/>
      <c r="I72" s="704"/>
      <c r="J72" s="704"/>
    </row>
    <row r="73" spans="1:10" ht="18.75" customHeight="1">
      <c r="A73" s="732" t="str">
        <f>$A$61</f>
        <v>Tranche OPTIONNELLE 1</v>
      </c>
      <c r="B73" s="729" t="s">
        <v>26</v>
      </c>
      <c r="C73" s="730" t="s">
        <v>27</v>
      </c>
      <c r="D73" s="128"/>
      <c r="E73" s="319" t="s">
        <v>204</v>
      </c>
      <c r="F73" s="320" t="str">
        <f>E73</f>
        <v>Montant intial TVA</v>
      </c>
      <c r="G73" s="114" t="s">
        <v>183</v>
      </c>
      <c r="H73" s="115" t="s">
        <v>183</v>
      </c>
      <c r="I73" s="705" t="s">
        <v>423</v>
      </c>
    </row>
    <row r="74" spans="1:10">
      <c r="A74" s="733"/>
      <c r="B74" s="729"/>
      <c r="C74" s="730"/>
      <c r="D74" s="129"/>
      <c r="E74" s="317">
        <f>$C$17</f>
        <v>0.2</v>
      </c>
      <c r="F74" s="318">
        <f>$E$17</f>
        <v>0.1</v>
      </c>
      <c r="G74" s="116" t="str">
        <f>"TVA"&amp;" "&amp;$C$17*100&amp;"%"</f>
        <v>TVA 20%</v>
      </c>
      <c r="H74" s="116" t="str">
        <f>"TVA"&amp;" "&amp;$E$17*100&amp;"%"</f>
        <v>TVA 10%</v>
      </c>
      <c r="I74" s="706"/>
    </row>
    <row r="75" spans="1:10" ht="19.5" thickBot="1">
      <c r="A75" s="733"/>
      <c r="B75" s="120" t="str">
        <f>$B$6</f>
        <v>Cotraitant 1</v>
      </c>
      <c r="C75" s="323" t="str">
        <f>$C$6</f>
        <v>SPIE</v>
      </c>
      <c r="D75" s="113"/>
      <c r="E75" s="283"/>
      <c r="F75" s="283"/>
      <c r="G75" s="117">
        <f>E75-SUM(G76:G81)</f>
        <v>0</v>
      </c>
      <c r="H75" s="118">
        <f>F75-SUM(H76:H81)</f>
        <v>0</v>
      </c>
      <c r="I75" s="707"/>
    </row>
    <row r="76" spans="1:10" ht="18.75" customHeight="1">
      <c r="A76" s="733"/>
      <c r="B76" s="251"/>
      <c r="C76" s="248"/>
      <c r="D76" s="131" t="str">
        <f t="shared" ref="D76:D81" si="7">B76&amp;" "&amp;C76&amp;" "&amp;"("&amp;$B$52&amp;")"</f>
        <v xml:space="preserve">  (Cotraitant 1)</v>
      </c>
      <c r="E76" s="73"/>
      <c r="F76" s="723" t="s">
        <v>205</v>
      </c>
      <c r="G76" s="249"/>
      <c r="H76" s="249"/>
      <c r="I76" s="309"/>
    </row>
    <row r="77" spans="1:10">
      <c r="A77" s="733"/>
      <c r="B77" s="251"/>
      <c r="C77" s="248"/>
      <c r="D77" s="131" t="str">
        <f t="shared" si="7"/>
        <v xml:space="preserve">  (Cotraitant 1)</v>
      </c>
      <c r="E77" s="74"/>
      <c r="F77" s="724"/>
      <c r="G77" s="250"/>
      <c r="H77" s="250"/>
      <c r="I77" s="309"/>
    </row>
    <row r="78" spans="1:10">
      <c r="A78" s="733"/>
      <c r="B78" s="251"/>
      <c r="C78" s="248"/>
      <c r="D78" s="131" t="str">
        <f t="shared" si="7"/>
        <v xml:space="preserve">  (Cotraitant 1)</v>
      </c>
      <c r="E78" s="74"/>
      <c r="F78" s="724"/>
      <c r="G78" s="250"/>
      <c r="H78" s="250"/>
      <c r="I78" s="309"/>
    </row>
    <row r="79" spans="1:10">
      <c r="A79" s="733"/>
      <c r="B79" s="251"/>
      <c r="C79" s="248"/>
      <c r="D79" s="131" t="str">
        <f t="shared" si="7"/>
        <v xml:space="preserve">  (Cotraitant 1)</v>
      </c>
      <c r="E79" s="74"/>
      <c r="F79" s="724"/>
      <c r="G79" s="250"/>
      <c r="H79" s="250"/>
      <c r="I79" s="309"/>
    </row>
    <row r="80" spans="1:10">
      <c r="A80" s="733"/>
      <c r="B80" s="251"/>
      <c r="C80" s="248"/>
      <c r="D80" s="131" t="str">
        <f t="shared" si="7"/>
        <v xml:space="preserve">  (Cotraitant 1)</v>
      </c>
      <c r="E80" s="74"/>
      <c r="F80" s="724"/>
      <c r="G80" s="250"/>
      <c r="H80" s="250"/>
      <c r="I80" s="309"/>
    </row>
    <row r="81" spans="1:10" ht="19.5" thickBot="1">
      <c r="A81" s="734"/>
      <c r="B81" s="251"/>
      <c r="C81" s="248"/>
      <c r="D81" s="131" t="str">
        <f t="shared" si="7"/>
        <v xml:space="preserve">  (Cotraitant 1)</v>
      </c>
      <c r="E81" s="75"/>
      <c r="F81" s="725"/>
      <c r="G81" s="250"/>
      <c r="H81" s="250"/>
      <c r="I81" s="309"/>
    </row>
    <row r="83" spans="1:10">
      <c r="A83" s="71"/>
      <c r="B83" s="119" t="s">
        <v>25</v>
      </c>
      <c r="C83" s="13" t="s">
        <v>232</v>
      </c>
      <c r="D83" s="134"/>
      <c r="E83" s="222" t="s">
        <v>233</v>
      </c>
      <c r="F83" s="293" t="s">
        <v>291</v>
      </c>
      <c r="G83" s="703" t="s">
        <v>342</v>
      </c>
      <c r="H83" s="703"/>
      <c r="I83" s="703" t="s">
        <v>343</v>
      </c>
      <c r="J83" s="703"/>
    </row>
    <row r="84" spans="1:10" ht="19.5" thickBot="1">
      <c r="A84" s="731" t="s">
        <v>208</v>
      </c>
      <c r="B84" s="731"/>
      <c r="C84" s="18">
        <f>F20</f>
        <v>0</v>
      </c>
      <c r="D84" s="23"/>
      <c r="E84" s="18">
        <f>C84-(E87+F87+E98+F98)</f>
        <v>0</v>
      </c>
      <c r="F84" s="294"/>
      <c r="G84" s="735"/>
      <c r="H84" s="735"/>
      <c r="I84" s="704"/>
      <c r="J84" s="704"/>
    </row>
    <row r="85" spans="1:10" ht="18.75" customHeight="1">
      <c r="A85" s="732" t="str">
        <f>$A$84</f>
        <v>Tranche OPTIONNELLE 2</v>
      </c>
      <c r="B85" s="729" t="s">
        <v>26</v>
      </c>
      <c r="C85" s="730" t="s">
        <v>27</v>
      </c>
      <c r="D85" s="128"/>
      <c r="E85" s="319" t="s">
        <v>204</v>
      </c>
      <c r="F85" s="320" t="str">
        <f>E85</f>
        <v>Montant intial TVA</v>
      </c>
      <c r="G85" s="304" t="s">
        <v>183</v>
      </c>
      <c r="H85" s="305" t="s">
        <v>183</v>
      </c>
      <c r="I85" s="705" t="s">
        <v>423</v>
      </c>
    </row>
    <row r="86" spans="1:10">
      <c r="A86" s="733"/>
      <c r="B86" s="729"/>
      <c r="C86" s="730"/>
      <c r="D86" s="129"/>
      <c r="E86" s="317">
        <f>$C$17</f>
        <v>0.2</v>
      </c>
      <c r="F86" s="318">
        <f>$E$17</f>
        <v>0.1</v>
      </c>
      <c r="G86" s="116" t="str">
        <f>"TVA"&amp;" "&amp;$C$17*100&amp;"%"</f>
        <v>TVA 20%</v>
      </c>
      <c r="H86" s="116" t="str">
        <f>"TVA"&amp;" "&amp;$E$17*100&amp;"%"</f>
        <v>TVA 10%</v>
      </c>
      <c r="I86" s="706"/>
    </row>
    <row r="87" spans="1:10" ht="19.5" thickBot="1">
      <c r="A87" s="733"/>
      <c r="B87" s="120" t="s">
        <v>1</v>
      </c>
      <c r="C87" s="323" t="str">
        <f>$C$5</f>
        <v>ERREBA</v>
      </c>
      <c r="D87" s="130"/>
      <c r="E87" s="72">
        <f>C20-E98</f>
        <v>0</v>
      </c>
      <c r="F87" s="72">
        <f>E20-F98</f>
        <v>0</v>
      </c>
      <c r="G87" s="117">
        <f>E87-SUM(G88:G93)</f>
        <v>0</v>
      </c>
      <c r="H87" s="306">
        <f>F87-SUM(H88:H93)</f>
        <v>0</v>
      </c>
      <c r="I87" s="707"/>
    </row>
    <row r="88" spans="1:10">
      <c r="A88" s="733"/>
      <c r="B88" s="251"/>
      <c r="C88" s="248"/>
      <c r="D88" s="131" t="str">
        <f t="shared" ref="D88:D93" si="8">B88&amp;" "&amp;C88&amp;" "&amp;"("&amp;$B$41&amp;")"</f>
        <v xml:space="preserve">  (Titulaire)</v>
      </c>
      <c r="E88" s="73"/>
      <c r="F88" s="723" t="s">
        <v>205</v>
      </c>
      <c r="G88" s="249"/>
      <c r="H88" s="249"/>
      <c r="I88" s="309"/>
    </row>
    <row r="89" spans="1:10">
      <c r="A89" s="733"/>
      <c r="B89" s="251"/>
      <c r="C89" s="248"/>
      <c r="D89" s="131" t="str">
        <f t="shared" si="8"/>
        <v xml:space="preserve">  (Titulaire)</v>
      </c>
      <c r="E89" s="74"/>
      <c r="F89" s="724"/>
      <c r="G89" s="249"/>
      <c r="H89" s="250"/>
      <c r="I89" s="309"/>
    </row>
    <row r="90" spans="1:10">
      <c r="A90" s="733"/>
      <c r="B90" s="251"/>
      <c r="C90" s="248"/>
      <c r="D90" s="131" t="str">
        <f t="shared" si="8"/>
        <v xml:space="preserve">  (Titulaire)</v>
      </c>
      <c r="E90" s="74"/>
      <c r="F90" s="724"/>
      <c r="G90" s="249"/>
      <c r="H90" s="250"/>
      <c r="I90" s="309"/>
    </row>
    <row r="91" spans="1:10">
      <c r="A91" s="733"/>
      <c r="B91" s="251"/>
      <c r="C91" s="248"/>
      <c r="D91" s="131" t="str">
        <f t="shared" si="8"/>
        <v xml:space="preserve">  (Titulaire)</v>
      </c>
      <c r="E91" s="74"/>
      <c r="F91" s="724"/>
      <c r="G91" s="249"/>
      <c r="H91" s="250"/>
      <c r="I91" s="309"/>
    </row>
    <row r="92" spans="1:10">
      <c r="A92" s="733"/>
      <c r="B92" s="251"/>
      <c r="C92" s="248"/>
      <c r="D92" s="131" t="str">
        <f t="shared" si="8"/>
        <v xml:space="preserve">  (Titulaire)</v>
      </c>
      <c r="E92" s="74"/>
      <c r="F92" s="724"/>
      <c r="G92" s="249"/>
      <c r="H92" s="250"/>
      <c r="I92" s="309"/>
    </row>
    <row r="93" spans="1:10" ht="19.5" thickBot="1">
      <c r="A93" s="734"/>
      <c r="B93" s="251"/>
      <c r="C93" s="248"/>
      <c r="D93" s="131" t="str">
        <f t="shared" si="8"/>
        <v xml:space="preserve">  (Titulaire)</v>
      </c>
      <c r="E93" s="75"/>
      <c r="F93" s="725"/>
      <c r="G93" s="249"/>
      <c r="H93" s="250"/>
      <c r="I93" s="309"/>
    </row>
    <row r="94" spans="1:10">
      <c r="A94" s="742"/>
      <c r="B94" s="743"/>
      <c r="C94" s="743"/>
      <c r="D94" s="743"/>
      <c r="E94" s="744"/>
      <c r="F94" s="293" t="s">
        <v>291</v>
      </c>
      <c r="G94" s="703" t="s">
        <v>342</v>
      </c>
      <c r="H94" s="703"/>
      <c r="I94" s="703" t="s">
        <v>343</v>
      </c>
      <c r="J94" s="703"/>
    </row>
    <row r="95" spans="1:10" ht="19.5" thickBot="1">
      <c r="A95" s="742"/>
      <c r="B95" s="743"/>
      <c r="C95" s="743"/>
      <c r="D95" s="743"/>
      <c r="E95" s="744"/>
      <c r="F95" s="294"/>
      <c r="G95" s="735"/>
      <c r="H95" s="735"/>
      <c r="I95" s="704"/>
      <c r="J95" s="704"/>
    </row>
    <row r="96" spans="1:10" ht="18.75" customHeight="1">
      <c r="A96" s="732" t="str">
        <f>$A$84</f>
        <v>Tranche OPTIONNELLE 2</v>
      </c>
      <c r="B96" s="729" t="s">
        <v>26</v>
      </c>
      <c r="C96" s="730" t="s">
        <v>27</v>
      </c>
      <c r="D96" s="128"/>
      <c r="E96" s="319" t="s">
        <v>204</v>
      </c>
      <c r="F96" s="320" t="str">
        <f>E96</f>
        <v>Montant intial TVA</v>
      </c>
      <c r="G96" s="114" t="s">
        <v>183</v>
      </c>
      <c r="H96" s="115" t="s">
        <v>183</v>
      </c>
      <c r="I96" s="705" t="s">
        <v>423</v>
      </c>
    </row>
    <row r="97" spans="1:10">
      <c r="A97" s="733"/>
      <c r="B97" s="729"/>
      <c r="C97" s="730"/>
      <c r="D97" s="129"/>
      <c r="E97" s="317">
        <f>$C$17</f>
        <v>0.2</v>
      </c>
      <c r="F97" s="318">
        <f>$E$17</f>
        <v>0.1</v>
      </c>
      <c r="G97" s="116" t="str">
        <f>"TVA"&amp;" "&amp;$C$17*100&amp;"%"</f>
        <v>TVA 20%</v>
      </c>
      <c r="H97" s="116" t="str">
        <f>"TVA"&amp;" "&amp;$E$17*100&amp;"%"</f>
        <v>TVA 10%</v>
      </c>
      <c r="I97" s="706"/>
    </row>
    <row r="98" spans="1:10" ht="19.5" thickBot="1">
      <c r="A98" s="733"/>
      <c r="B98" s="120" t="str">
        <f>$B$6</f>
        <v>Cotraitant 1</v>
      </c>
      <c r="C98" s="323" t="str">
        <f>$C$6</f>
        <v>SPIE</v>
      </c>
      <c r="D98" s="113"/>
      <c r="E98" s="283"/>
      <c r="F98" s="283"/>
      <c r="G98" s="117">
        <f>E98-SUM(G99:G104)</f>
        <v>0</v>
      </c>
      <c r="H98" s="118">
        <f>F98-SUM(H99:H104)</f>
        <v>0</v>
      </c>
      <c r="I98" s="707"/>
    </row>
    <row r="99" spans="1:10">
      <c r="A99" s="733"/>
      <c r="B99" s="251"/>
      <c r="C99" s="248"/>
      <c r="D99" s="131" t="str">
        <f t="shared" ref="D99:D104" si="9">B99&amp;" "&amp;C99&amp;" "&amp;"("&amp;$B$52&amp;")"</f>
        <v xml:space="preserve">  (Cotraitant 1)</v>
      </c>
      <c r="E99" s="73"/>
      <c r="F99" s="723" t="s">
        <v>205</v>
      </c>
      <c r="G99" s="249"/>
      <c r="H99" s="249"/>
      <c r="I99" s="309"/>
    </row>
    <row r="100" spans="1:10">
      <c r="A100" s="733"/>
      <c r="B100" s="251"/>
      <c r="C100" s="248"/>
      <c r="D100" s="131" t="str">
        <f t="shared" si="9"/>
        <v xml:space="preserve">  (Cotraitant 1)</v>
      </c>
      <c r="E100" s="74"/>
      <c r="F100" s="724"/>
      <c r="G100" s="250"/>
      <c r="H100" s="250"/>
      <c r="I100" s="309"/>
    </row>
    <row r="101" spans="1:10">
      <c r="A101" s="733"/>
      <c r="B101" s="251"/>
      <c r="C101" s="248"/>
      <c r="D101" s="131" t="str">
        <f t="shared" si="9"/>
        <v xml:space="preserve">  (Cotraitant 1)</v>
      </c>
      <c r="E101" s="74"/>
      <c r="F101" s="724"/>
      <c r="G101" s="250"/>
      <c r="H101" s="250"/>
      <c r="I101" s="309"/>
    </row>
    <row r="102" spans="1:10">
      <c r="A102" s="733"/>
      <c r="B102" s="251"/>
      <c r="C102" s="248"/>
      <c r="D102" s="131" t="str">
        <f t="shared" si="9"/>
        <v xml:space="preserve">  (Cotraitant 1)</v>
      </c>
      <c r="E102" s="74"/>
      <c r="F102" s="724"/>
      <c r="G102" s="250"/>
      <c r="H102" s="250"/>
      <c r="I102" s="309"/>
    </row>
    <row r="103" spans="1:10">
      <c r="A103" s="733"/>
      <c r="B103" s="251"/>
      <c r="C103" s="248"/>
      <c r="D103" s="131" t="str">
        <f t="shared" si="9"/>
        <v xml:space="preserve">  (Cotraitant 1)</v>
      </c>
      <c r="E103" s="74"/>
      <c r="F103" s="724"/>
      <c r="G103" s="250"/>
      <c r="H103" s="250"/>
      <c r="I103" s="309"/>
    </row>
    <row r="104" spans="1:10" ht="19.5" thickBot="1">
      <c r="A104" s="734"/>
      <c r="B104" s="251"/>
      <c r="C104" s="248"/>
      <c r="D104" s="131" t="str">
        <f t="shared" si="9"/>
        <v xml:space="preserve">  (Cotraitant 1)</v>
      </c>
      <c r="E104" s="75"/>
      <c r="F104" s="725"/>
      <c r="G104" s="250"/>
      <c r="H104" s="250"/>
      <c r="I104" s="309"/>
    </row>
    <row r="106" spans="1:10">
      <c r="A106" s="71"/>
      <c r="B106" s="119" t="s">
        <v>25</v>
      </c>
      <c r="C106" s="13" t="s">
        <v>232</v>
      </c>
      <c r="D106" s="134"/>
      <c r="E106" s="222" t="s">
        <v>233</v>
      </c>
      <c r="F106" s="293" t="s">
        <v>291</v>
      </c>
      <c r="G106" s="703" t="s">
        <v>342</v>
      </c>
      <c r="H106" s="703"/>
      <c r="I106" s="703" t="s">
        <v>343</v>
      </c>
      <c r="J106" s="703"/>
    </row>
    <row r="107" spans="1:10" ht="19.5" thickBot="1">
      <c r="A107" s="731" t="s">
        <v>210</v>
      </c>
      <c r="B107" s="731"/>
      <c r="C107" s="18">
        <f>F21</f>
        <v>0</v>
      </c>
      <c r="D107" s="23"/>
      <c r="E107" s="18">
        <f>C107-(E110+F110+E121+F121)</f>
        <v>0</v>
      </c>
      <c r="F107" s="294"/>
      <c r="G107" s="735"/>
      <c r="H107" s="735"/>
      <c r="I107" s="704"/>
      <c r="J107" s="704"/>
    </row>
    <row r="108" spans="1:10" ht="18.75" customHeight="1">
      <c r="A108" s="732" t="str">
        <f>$A$107</f>
        <v>Tranche OPTIONNELLE 3</v>
      </c>
      <c r="B108" s="729" t="s">
        <v>26</v>
      </c>
      <c r="C108" s="730" t="s">
        <v>27</v>
      </c>
      <c r="D108" s="128"/>
      <c r="E108" s="319" t="s">
        <v>204</v>
      </c>
      <c r="F108" s="320" t="str">
        <f>E108</f>
        <v>Montant intial TVA</v>
      </c>
      <c r="G108" s="304" t="s">
        <v>183</v>
      </c>
      <c r="H108" s="305" t="s">
        <v>183</v>
      </c>
      <c r="I108" s="705" t="s">
        <v>423</v>
      </c>
    </row>
    <row r="109" spans="1:10">
      <c r="A109" s="733"/>
      <c r="B109" s="729"/>
      <c r="C109" s="730"/>
      <c r="D109" s="129"/>
      <c r="E109" s="317">
        <f>$C$17</f>
        <v>0.2</v>
      </c>
      <c r="F109" s="318">
        <f>$E$17</f>
        <v>0.1</v>
      </c>
      <c r="G109" s="116" t="str">
        <f>"TVA"&amp;" "&amp;$C$17*100&amp;"%"</f>
        <v>TVA 20%</v>
      </c>
      <c r="H109" s="116" t="str">
        <f>"TVA"&amp;" "&amp;$E$17*100&amp;"%"</f>
        <v>TVA 10%</v>
      </c>
      <c r="I109" s="706"/>
    </row>
    <row r="110" spans="1:10" ht="19.5" thickBot="1">
      <c r="A110" s="733"/>
      <c r="B110" s="120" t="s">
        <v>1</v>
      </c>
      <c r="C110" s="323" t="str">
        <f>$C$5</f>
        <v>ERREBA</v>
      </c>
      <c r="D110" s="130"/>
      <c r="E110" s="72">
        <f>C21-E121</f>
        <v>0</v>
      </c>
      <c r="F110" s="72">
        <f>E21-F121</f>
        <v>0</v>
      </c>
      <c r="G110" s="117">
        <f>E110-SUM(G111:G116)</f>
        <v>0</v>
      </c>
      <c r="H110" s="306">
        <f>F110-SUM(H111:H116)</f>
        <v>0</v>
      </c>
      <c r="I110" s="707"/>
    </row>
    <row r="111" spans="1:10">
      <c r="A111" s="733"/>
      <c r="B111" s="251"/>
      <c r="C111" s="248"/>
      <c r="D111" s="131" t="str">
        <f t="shared" ref="D111:D116" si="10">B111&amp;" "&amp;C111&amp;" "&amp;"("&amp;$B$41&amp;")"</f>
        <v xml:space="preserve">  (Titulaire)</v>
      </c>
      <c r="E111" s="73"/>
      <c r="F111" s="723" t="s">
        <v>205</v>
      </c>
      <c r="G111" s="249"/>
      <c r="H111" s="249"/>
      <c r="I111" s="309"/>
    </row>
    <row r="112" spans="1:10">
      <c r="A112" s="733"/>
      <c r="B112" s="251"/>
      <c r="C112" s="248"/>
      <c r="D112" s="131" t="str">
        <f t="shared" si="10"/>
        <v xml:space="preserve">  (Titulaire)</v>
      </c>
      <c r="E112" s="74"/>
      <c r="F112" s="724"/>
      <c r="G112" s="249"/>
      <c r="H112" s="250"/>
      <c r="I112" s="309"/>
    </row>
    <row r="113" spans="1:10">
      <c r="A113" s="733"/>
      <c r="B113" s="251"/>
      <c r="C113" s="248"/>
      <c r="D113" s="131" t="str">
        <f t="shared" si="10"/>
        <v xml:space="preserve">  (Titulaire)</v>
      </c>
      <c r="E113" s="74"/>
      <c r="F113" s="724"/>
      <c r="G113" s="249"/>
      <c r="H113" s="250"/>
      <c r="I113" s="309"/>
    </row>
    <row r="114" spans="1:10">
      <c r="A114" s="733"/>
      <c r="B114" s="251"/>
      <c r="C114" s="248"/>
      <c r="D114" s="131" t="str">
        <f t="shared" si="10"/>
        <v xml:space="preserve">  (Titulaire)</v>
      </c>
      <c r="E114" s="74"/>
      <c r="F114" s="724"/>
      <c r="G114" s="249"/>
      <c r="H114" s="250"/>
      <c r="I114" s="309"/>
    </row>
    <row r="115" spans="1:10">
      <c r="A115" s="733"/>
      <c r="B115" s="251"/>
      <c r="C115" s="248"/>
      <c r="D115" s="131" t="str">
        <f t="shared" si="10"/>
        <v xml:space="preserve">  (Titulaire)</v>
      </c>
      <c r="E115" s="74"/>
      <c r="F115" s="724"/>
      <c r="G115" s="249"/>
      <c r="H115" s="250"/>
      <c r="I115" s="309"/>
    </row>
    <row r="116" spans="1:10" ht="19.5" thickBot="1">
      <c r="A116" s="734"/>
      <c r="B116" s="251"/>
      <c r="C116" s="248"/>
      <c r="D116" s="131" t="str">
        <f t="shared" si="10"/>
        <v xml:space="preserve">  (Titulaire)</v>
      </c>
      <c r="E116" s="75"/>
      <c r="F116" s="725"/>
      <c r="G116" s="249"/>
      <c r="H116" s="250"/>
      <c r="I116" s="309"/>
    </row>
    <row r="117" spans="1:10">
      <c r="A117" s="742"/>
      <c r="B117" s="743"/>
      <c r="C117" s="743"/>
      <c r="D117" s="743"/>
      <c r="E117" s="744"/>
      <c r="F117" s="293" t="s">
        <v>291</v>
      </c>
      <c r="G117" s="703" t="s">
        <v>342</v>
      </c>
      <c r="H117" s="703"/>
      <c r="I117" s="703" t="s">
        <v>343</v>
      </c>
      <c r="J117" s="703"/>
    </row>
    <row r="118" spans="1:10" ht="19.5" thickBot="1">
      <c r="A118" s="742"/>
      <c r="B118" s="743"/>
      <c r="C118" s="743"/>
      <c r="D118" s="743"/>
      <c r="E118" s="744"/>
      <c r="F118" s="294"/>
      <c r="G118" s="735"/>
      <c r="H118" s="735"/>
      <c r="I118" s="704"/>
      <c r="J118" s="704"/>
    </row>
    <row r="119" spans="1:10" ht="18.75" customHeight="1">
      <c r="A119" s="732" t="str">
        <f>$A$107</f>
        <v>Tranche OPTIONNELLE 3</v>
      </c>
      <c r="B119" s="729" t="s">
        <v>26</v>
      </c>
      <c r="C119" s="730" t="s">
        <v>27</v>
      </c>
      <c r="D119" s="128"/>
      <c r="E119" s="319" t="s">
        <v>204</v>
      </c>
      <c r="F119" s="320" t="str">
        <f>E119</f>
        <v>Montant intial TVA</v>
      </c>
      <c r="G119" s="114" t="s">
        <v>183</v>
      </c>
      <c r="H119" s="115" t="s">
        <v>183</v>
      </c>
      <c r="I119" s="705" t="s">
        <v>423</v>
      </c>
    </row>
    <row r="120" spans="1:10">
      <c r="A120" s="733"/>
      <c r="B120" s="729"/>
      <c r="C120" s="730"/>
      <c r="D120" s="129"/>
      <c r="E120" s="317">
        <f>$C$17</f>
        <v>0.2</v>
      </c>
      <c r="F120" s="318">
        <f>$E$17</f>
        <v>0.1</v>
      </c>
      <c r="G120" s="116" t="str">
        <f>"TVA"&amp;" "&amp;$C$17*100&amp;"%"</f>
        <v>TVA 20%</v>
      </c>
      <c r="H120" s="116" t="str">
        <f>"TVA"&amp;" "&amp;$E$17*100&amp;"%"</f>
        <v>TVA 10%</v>
      </c>
      <c r="I120" s="706"/>
    </row>
    <row r="121" spans="1:10" ht="19.5" thickBot="1">
      <c r="A121" s="733"/>
      <c r="B121" s="120" t="str">
        <f>$B$6</f>
        <v>Cotraitant 1</v>
      </c>
      <c r="C121" s="323" t="str">
        <f>$C$6</f>
        <v>SPIE</v>
      </c>
      <c r="D121" s="113"/>
      <c r="E121" s="283"/>
      <c r="F121" s="283"/>
      <c r="G121" s="117">
        <f>E121-SUM(G122:G127)</f>
        <v>0</v>
      </c>
      <c r="H121" s="118">
        <f>F121-SUM(H122:H127)</f>
        <v>0</v>
      </c>
      <c r="I121" s="707"/>
    </row>
    <row r="122" spans="1:10">
      <c r="A122" s="733"/>
      <c r="B122" s="251"/>
      <c r="C122" s="248"/>
      <c r="D122" s="131" t="str">
        <f t="shared" ref="D122:D127" si="11">B122&amp;" "&amp;C122&amp;" "&amp;"("&amp;$B$52&amp;")"</f>
        <v xml:space="preserve">  (Cotraitant 1)</v>
      </c>
      <c r="E122" s="73"/>
      <c r="F122" s="723" t="s">
        <v>205</v>
      </c>
      <c r="G122" s="249"/>
      <c r="H122" s="249"/>
      <c r="I122" s="309"/>
    </row>
    <row r="123" spans="1:10">
      <c r="A123" s="733"/>
      <c r="B123" s="251"/>
      <c r="C123" s="248"/>
      <c r="D123" s="131" t="str">
        <f t="shared" si="11"/>
        <v xml:space="preserve">  (Cotraitant 1)</v>
      </c>
      <c r="E123" s="74"/>
      <c r="F123" s="724"/>
      <c r="G123" s="250"/>
      <c r="H123" s="250"/>
      <c r="I123" s="309"/>
    </row>
    <row r="124" spans="1:10">
      <c r="A124" s="733"/>
      <c r="B124" s="251"/>
      <c r="C124" s="248"/>
      <c r="D124" s="131" t="str">
        <f t="shared" si="11"/>
        <v xml:space="preserve">  (Cotraitant 1)</v>
      </c>
      <c r="E124" s="74"/>
      <c r="F124" s="724"/>
      <c r="G124" s="250"/>
      <c r="H124" s="250"/>
      <c r="I124" s="309"/>
    </row>
    <row r="125" spans="1:10">
      <c r="A125" s="733"/>
      <c r="B125" s="251"/>
      <c r="C125" s="248"/>
      <c r="D125" s="131" t="str">
        <f t="shared" si="11"/>
        <v xml:space="preserve">  (Cotraitant 1)</v>
      </c>
      <c r="E125" s="74"/>
      <c r="F125" s="724"/>
      <c r="G125" s="250"/>
      <c r="H125" s="250"/>
      <c r="I125" s="309"/>
    </row>
    <row r="126" spans="1:10">
      <c r="A126" s="733"/>
      <c r="B126" s="251"/>
      <c r="C126" s="248"/>
      <c r="D126" s="131" t="str">
        <f t="shared" si="11"/>
        <v xml:space="preserve">  (Cotraitant 1)</v>
      </c>
      <c r="E126" s="74"/>
      <c r="F126" s="724"/>
      <c r="G126" s="250"/>
      <c r="H126" s="250"/>
      <c r="I126" s="309"/>
    </row>
    <row r="127" spans="1:10" ht="19.5" thickBot="1">
      <c r="A127" s="734"/>
      <c r="B127" s="251"/>
      <c r="C127" s="248"/>
      <c r="D127" s="131" t="str">
        <f t="shared" si="11"/>
        <v xml:space="preserve">  (Cotraitant 1)</v>
      </c>
      <c r="E127" s="75"/>
      <c r="F127" s="725"/>
      <c r="G127" s="250"/>
      <c r="H127" s="250"/>
      <c r="I127" s="309"/>
    </row>
    <row r="129" spans="1:10">
      <c r="A129" s="71"/>
      <c r="B129" s="119" t="s">
        <v>25</v>
      </c>
      <c r="C129" s="13" t="s">
        <v>232</v>
      </c>
      <c r="D129" s="134"/>
      <c r="E129" s="222" t="s">
        <v>233</v>
      </c>
      <c r="F129" s="293" t="s">
        <v>291</v>
      </c>
      <c r="G129" s="703" t="s">
        <v>342</v>
      </c>
      <c r="H129" s="703"/>
      <c r="I129" s="703" t="s">
        <v>343</v>
      </c>
      <c r="J129" s="703"/>
    </row>
    <row r="130" spans="1:10" ht="19.5" thickBot="1">
      <c r="A130" s="731" t="s">
        <v>401</v>
      </c>
      <c r="B130" s="731"/>
      <c r="C130" s="18">
        <f>F22</f>
        <v>0</v>
      </c>
      <c r="D130" s="23"/>
      <c r="E130" s="18">
        <f>C130-(E133+F133+E144+F144)</f>
        <v>0</v>
      </c>
      <c r="F130" s="294"/>
      <c r="G130" s="735"/>
      <c r="H130" s="735"/>
      <c r="I130" s="704"/>
      <c r="J130" s="704"/>
    </row>
    <row r="131" spans="1:10" ht="18.75" customHeight="1">
      <c r="A131" s="732" t="str">
        <f>$A$130</f>
        <v>Tranche OPTIONNELLE 4</v>
      </c>
      <c r="B131" s="729" t="s">
        <v>26</v>
      </c>
      <c r="C131" s="730" t="s">
        <v>27</v>
      </c>
      <c r="D131" s="128"/>
      <c r="E131" s="319" t="s">
        <v>204</v>
      </c>
      <c r="F131" s="320" t="str">
        <f>E131</f>
        <v>Montant intial TVA</v>
      </c>
      <c r="G131" s="304" t="s">
        <v>183</v>
      </c>
      <c r="H131" s="305" t="s">
        <v>183</v>
      </c>
      <c r="I131" s="705" t="s">
        <v>423</v>
      </c>
    </row>
    <row r="132" spans="1:10">
      <c r="A132" s="733"/>
      <c r="B132" s="729"/>
      <c r="C132" s="730"/>
      <c r="D132" s="129"/>
      <c r="E132" s="317">
        <f>$C$17</f>
        <v>0.2</v>
      </c>
      <c r="F132" s="318">
        <f>$E$17</f>
        <v>0.1</v>
      </c>
      <c r="G132" s="116" t="str">
        <f>"TVA"&amp;" "&amp;$C$17*100&amp;"%"</f>
        <v>TVA 20%</v>
      </c>
      <c r="H132" s="116" t="str">
        <f>"TVA"&amp;" "&amp;$E$17*100&amp;"%"</f>
        <v>TVA 10%</v>
      </c>
      <c r="I132" s="706"/>
    </row>
    <row r="133" spans="1:10" ht="19.5" thickBot="1">
      <c r="A133" s="733"/>
      <c r="B133" s="120" t="s">
        <v>1</v>
      </c>
      <c r="C133" s="323" t="str">
        <f>$C$5</f>
        <v>ERREBA</v>
      </c>
      <c r="D133" s="130"/>
      <c r="E133" s="72">
        <f>C22-E144</f>
        <v>0</v>
      </c>
      <c r="F133" s="72">
        <f>E22-F144</f>
        <v>0</v>
      </c>
      <c r="G133" s="117">
        <f>E133-SUM(G134:G139)</f>
        <v>0</v>
      </c>
      <c r="H133" s="306">
        <f>F133-SUM(H134:H139)</f>
        <v>0</v>
      </c>
      <c r="I133" s="707"/>
    </row>
    <row r="134" spans="1:10">
      <c r="A134" s="733"/>
      <c r="B134" s="251"/>
      <c r="C134" s="248"/>
      <c r="D134" s="131" t="str">
        <f t="shared" ref="D134:D139" si="12">B134&amp;" "&amp;C134&amp;" "&amp;"("&amp;$B$41&amp;")"</f>
        <v xml:space="preserve">  (Titulaire)</v>
      </c>
      <c r="E134" s="73"/>
      <c r="F134" s="723" t="s">
        <v>205</v>
      </c>
      <c r="G134" s="249"/>
      <c r="H134" s="249"/>
      <c r="I134" s="309"/>
    </row>
    <row r="135" spans="1:10">
      <c r="A135" s="733"/>
      <c r="B135" s="251"/>
      <c r="C135" s="248"/>
      <c r="D135" s="131" t="str">
        <f t="shared" si="12"/>
        <v xml:space="preserve">  (Titulaire)</v>
      </c>
      <c r="E135" s="74"/>
      <c r="F135" s="724"/>
      <c r="G135" s="249"/>
      <c r="H135" s="250"/>
      <c r="I135" s="309"/>
    </row>
    <row r="136" spans="1:10">
      <c r="A136" s="733"/>
      <c r="B136" s="251"/>
      <c r="C136" s="248"/>
      <c r="D136" s="131" t="str">
        <f t="shared" si="12"/>
        <v xml:space="preserve">  (Titulaire)</v>
      </c>
      <c r="E136" s="74"/>
      <c r="F136" s="724"/>
      <c r="G136" s="249"/>
      <c r="H136" s="250"/>
      <c r="I136" s="309"/>
    </row>
    <row r="137" spans="1:10">
      <c r="A137" s="733"/>
      <c r="B137" s="251"/>
      <c r="C137" s="248"/>
      <c r="D137" s="131" t="str">
        <f t="shared" si="12"/>
        <v xml:space="preserve">  (Titulaire)</v>
      </c>
      <c r="E137" s="74"/>
      <c r="F137" s="724"/>
      <c r="G137" s="249"/>
      <c r="H137" s="250"/>
      <c r="I137" s="309"/>
    </row>
    <row r="138" spans="1:10">
      <c r="A138" s="733"/>
      <c r="B138" s="251"/>
      <c r="C138" s="248"/>
      <c r="D138" s="131" t="str">
        <f t="shared" si="12"/>
        <v xml:space="preserve">  (Titulaire)</v>
      </c>
      <c r="E138" s="74"/>
      <c r="F138" s="724"/>
      <c r="G138" s="249"/>
      <c r="H138" s="250"/>
      <c r="I138" s="309"/>
    </row>
    <row r="139" spans="1:10" ht="19.5" thickBot="1">
      <c r="A139" s="734"/>
      <c r="B139" s="251"/>
      <c r="C139" s="248"/>
      <c r="D139" s="131" t="str">
        <f t="shared" si="12"/>
        <v xml:space="preserve">  (Titulaire)</v>
      </c>
      <c r="E139" s="75"/>
      <c r="F139" s="725"/>
      <c r="G139" s="249"/>
      <c r="H139" s="250"/>
      <c r="I139" s="309"/>
    </row>
    <row r="140" spans="1:10">
      <c r="A140" s="742"/>
      <c r="B140" s="743"/>
      <c r="C140" s="743"/>
      <c r="D140" s="743"/>
      <c r="E140" s="744"/>
      <c r="F140" s="293" t="s">
        <v>291</v>
      </c>
      <c r="G140" s="703" t="s">
        <v>342</v>
      </c>
      <c r="H140" s="703"/>
      <c r="I140" s="703" t="s">
        <v>343</v>
      </c>
      <c r="J140" s="703"/>
    </row>
    <row r="141" spans="1:10" ht="19.5" thickBot="1">
      <c r="A141" s="742"/>
      <c r="B141" s="743"/>
      <c r="C141" s="743"/>
      <c r="D141" s="743"/>
      <c r="E141" s="744"/>
      <c r="F141" s="294"/>
      <c r="G141" s="735"/>
      <c r="H141" s="735"/>
      <c r="I141" s="704"/>
      <c r="J141" s="704"/>
    </row>
    <row r="142" spans="1:10" ht="18.75" customHeight="1">
      <c r="A142" s="732" t="str">
        <f>$A$130</f>
        <v>Tranche OPTIONNELLE 4</v>
      </c>
      <c r="B142" s="729" t="s">
        <v>26</v>
      </c>
      <c r="C142" s="730" t="s">
        <v>27</v>
      </c>
      <c r="D142" s="128"/>
      <c r="E142" s="319" t="s">
        <v>204</v>
      </c>
      <c r="F142" s="320" t="str">
        <f>E142</f>
        <v>Montant intial TVA</v>
      </c>
      <c r="G142" s="114" t="s">
        <v>183</v>
      </c>
      <c r="H142" s="115" t="s">
        <v>183</v>
      </c>
      <c r="I142" s="705" t="s">
        <v>423</v>
      </c>
    </row>
    <row r="143" spans="1:10">
      <c r="A143" s="733"/>
      <c r="B143" s="729"/>
      <c r="C143" s="730"/>
      <c r="D143" s="129"/>
      <c r="E143" s="317">
        <f>$C$17</f>
        <v>0.2</v>
      </c>
      <c r="F143" s="318">
        <f>$E$17</f>
        <v>0.1</v>
      </c>
      <c r="G143" s="116" t="str">
        <f>"TVA"&amp;" "&amp;$C$17*100&amp;"%"</f>
        <v>TVA 20%</v>
      </c>
      <c r="H143" s="116" t="str">
        <f>"TVA"&amp;" "&amp;$E$17*100&amp;"%"</f>
        <v>TVA 10%</v>
      </c>
      <c r="I143" s="706"/>
    </row>
    <row r="144" spans="1:10" ht="19.5" thickBot="1">
      <c r="A144" s="733"/>
      <c r="B144" s="120" t="str">
        <f>$B$6</f>
        <v>Cotraitant 1</v>
      </c>
      <c r="C144" s="323" t="str">
        <f>$C$6</f>
        <v>SPIE</v>
      </c>
      <c r="D144" s="113"/>
      <c r="E144" s="283"/>
      <c r="F144" s="283"/>
      <c r="G144" s="117">
        <f>E144-SUM(G145:G150)</f>
        <v>0</v>
      </c>
      <c r="H144" s="118">
        <f>F144-SUM(H145:H150)</f>
        <v>0</v>
      </c>
      <c r="I144" s="707"/>
    </row>
    <row r="145" spans="1:10">
      <c r="A145" s="733"/>
      <c r="B145" s="251"/>
      <c r="C145" s="248"/>
      <c r="D145" s="131" t="str">
        <f t="shared" ref="D145:D150" si="13">B145&amp;" "&amp;C145&amp;" "&amp;"("&amp;$B$52&amp;")"</f>
        <v xml:space="preserve">  (Cotraitant 1)</v>
      </c>
      <c r="E145" s="73"/>
      <c r="F145" s="723" t="s">
        <v>205</v>
      </c>
      <c r="G145" s="249"/>
      <c r="H145" s="249"/>
      <c r="I145" s="309"/>
    </row>
    <row r="146" spans="1:10">
      <c r="A146" s="733"/>
      <c r="B146" s="251"/>
      <c r="C146" s="248"/>
      <c r="D146" s="131" t="str">
        <f t="shared" si="13"/>
        <v xml:space="preserve">  (Cotraitant 1)</v>
      </c>
      <c r="E146" s="74"/>
      <c r="F146" s="724"/>
      <c r="G146" s="250"/>
      <c r="H146" s="250"/>
      <c r="I146" s="309"/>
    </row>
    <row r="147" spans="1:10">
      <c r="A147" s="733"/>
      <c r="B147" s="251"/>
      <c r="C147" s="248"/>
      <c r="D147" s="131" t="str">
        <f t="shared" si="13"/>
        <v xml:space="preserve">  (Cotraitant 1)</v>
      </c>
      <c r="E147" s="74"/>
      <c r="F147" s="724"/>
      <c r="G147" s="250"/>
      <c r="H147" s="250"/>
      <c r="I147" s="309"/>
    </row>
    <row r="148" spans="1:10">
      <c r="A148" s="733"/>
      <c r="B148" s="251"/>
      <c r="C148" s="248"/>
      <c r="D148" s="131" t="str">
        <f t="shared" si="13"/>
        <v xml:space="preserve">  (Cotraitant 1)</v>
      </c>
      <c r="E148" s="74"/>
      <c r="F148" s="724"/>
      <c r="G148" s="250"/>
      <c r="H148" s="250"/>
      <c r="I148" s="309"/>
    </row>
    <row r="149" spans="1:10">
      <c r="A149" s="733"/>
      <c r="B149" s="251"/>
      <c r="C149" s="248"/>
      <c r="D149" s="131" t="str">
        <f t="shared" si="13"/>
        <v xml:space="preserve">  (Cotraitant 1)</v>
      </c>
      <c r="E149" s="74"/>
      <c r="F149" s="724"/>
      <c r="G149" s="250"/>
      <c r="H149" s="250"/>
      <c r="I149" s="309"/>
    </row>
    <row r="150" spans="1:10" ht="19.5" thickBot="1">
      <c r="A150" s="734"/>
      <c r="B150" s="251"/>
      <c r="C150" s="248"/>
      <c r="D150" s="131" t="str">
        <f t="shared" si="13"/>
        <v xml:space="preserve">  (Cotraitant 1)</v>
      </c>
      <c r="E150" s="75"/>
      <c r="F150" s="725"/>
      <c r="G150" s="250"/>
      <c r="H150" s="250"/>
      <c r="I150" s="309"/>
    </row>
    <row r="152" spans="1:10">
      <c r="A152" s="71"/>
      <c r="B152" s="119" t="s">
        <v>25</v>
      </c>
      <c r="C152" s="13" t="s">
        <v>232</v>
      </c>
      <c r="D152" s="134"/>
      <c r="E152" s="222" t="s">
        <v>233</v>
      </c>
      <c r="F152" s="293" t="s">
        <v>291</v>
      </c>
      <c r="G152" s="703" t="s">
        <v>342</v>
      </c>
      <c r="H152" s="703"/>
      <c r="I152" s="703" t="s">
        <v>343</v>
      </c>
      <c r="J152" s="703"/>
    </row>
    <row r="153" spans="1:10" ht="19.5" thickBot="1">
      <c r="A153" s="731" t="s">
        <v>402</v>
      </c>
      <c r="B153" s="731"/>
      <c r="C153" s="18">
        <f>F23</f>
        <v>0</v>
      </c>
      <c r="D153" s="23"/>
      <c r="E153" s="18">
        <f>C153-(E156+F156+E167+F167)</f>
        <v>0</v>
      </c>
      <c r="F153" s="294"/>
      <c r="G153" s="735"/>
      <c r="H153" s="735"/>
      <c r="I153" s="704"/>
      <c r="J153" s="704"/>
    </row>
    <row r="154" spans="1:10" ht="18.75" customHeight="1">
      <c r="A154" s="732" t="str">
        <f>$A$153</f>
        <v>Tranche OPTIONNELLE 5</v>
      </c>
      <c r="B154" s="729" t="s">
        <v>26</v>
      </c>
      <c r="C154" s="730" t="s">
        <v>27</v>
      </c>
      <c r="D154" s="128"/>
      <c r="E154" s="319" t="s">
        <v>204</v>
      </c>
      <c r="F154" s="320" t="str">
        <f>E154</f>
        <v>Montant intial TVA</v>
      </c>
      <c r="G154" s="304" t="s">
        <v>183</v>
      </c>
      <c r="H154" s="305" t="s">
        <v>183</v>
      </c>
      <c r="I154" s="705" t="s">
        <v>423</v>
      </c>
    </row>
    <row r="155" spans="1:10">
      <c r="A155" s="733"/>
      <c r="B155" s="729"/>
      <c r="C155" s="730"/>
      <c r="D155" s="129"/>
      <c r="E155" s="317">
        <f>$C$17</f>
        <v>0.2</v>
      </c>
      <c r="F155" s="318">
        <f>$E$17</f>
        <v>0.1</v>
      </c>
      <c r="G155" s="116" t="str">
        <f>"TVA"&amp;" "&amp;$C$17*100&amp;"%"</f>
        <v>TVA 20%</v>
      </c>
      <c r="H155" s="116" t="str">
        <f>"TVA"&amp;" "&amp;$E$17*100&amp;"%"</f>
        <v>TVA 10%</v>
      </c>
      <c r="I155" s="706"/>
    </row>
    <row r="156" spans="1:10" ht="19.5" thickBot="1">
      <c r="A156" s="733"/>
      <c r="B156" s="120" t="s">
        <v>1</v>
      </c>
      <c r="C156" s="323" t="str">
        <f>$C$5</f>
        <v>ERREBA</v>
      </c>
      <c r="D156" s="130"/>
      <c r="E156" s="72">
        <f>C23-E167</f>
        <v>0</v>
      </c>
      <c r="F156" s="72">
        <f>E23-F167</f>
        <v>0</v>
      </c>
      <c r="G156" s="117">
        <f>E156-SUM(G157:G162)</f>
        <v>0</v>
      </c>
      <c r="H156" s="306">
        <f>F156-SUM(H157:H162)</f>
        <v>0</v>
      </c>
      <c r="I156" s="707"/>
    </row>
    <row r="157" spans="1:10">
      <c r="A157" s="733"/>
      <c r="B157" s="251"/>
      <c r="C157" s="248"/>
      <c r="D157" s="131" t="str">
        <f t="shared" ref="D157:D162" si="14">B157&amp;" "&amp;C157&amp;" "&amp;"("&amp;$B$41&amp;")"</f>
        <v xml:space="preserve">  (Titulaire)</v>
      </c>
      <c r="E157" s="73"/>
      <c r="F157" s="723" t="s">
        <v>205</v>
      </c>
      <c r="G157" s="249"/>
      <c r="H157" s="249"/>
      <c r="I157" s="309"/>
    </row>
    <row r="158" spans="1:10">
      <c r="A158" s="733"/>
      <c r="B158" s="251"/>
      <c r="C158" s="248"/>
      <c r="D158" s="131" t="str">
        <f t="shared" si="14"/>
        <v xml:space="preserve">  (Titulaire)</v>
      </c>
      <c r="E158" s="74"/>
      <c r="F158" s="724"/>
      <c r="G158" s="249"/>
      <c r="H158" s="250"/>
      <c r="I158" s="309"/>
    </row>
    <row r="159" spans="1:10">
      <c r="A159" s="733"/>
      <c r="B159" s="251"/>
      <c r="C159" s="248"/>
      <c r="D159" s="131" t="str">
        <f t="shared" si="14"/>
        <v xml:space="preserve">  (Titulaire)</v>
      </c>
      <c r="E159" s="74"/>
      <c r="F159" s="724"/>
      <c r="G159" s="249"/>
      <c r="H159" s="250"/>
      <c r="I159" s="309"/>
    </row>
    <row r="160" spans="1:10">
      <c r="A160" s="733"/>
      <c r="B160" s="251"/>
      <c r="C160" s="248"/>
      <c r="D160" s="131" t="str">
        <f t="shared" si="14"/>
        <v xml:space="preserve">  (Titulaire)</v>
      </c>
      <c r="E160" s="74"/>
      <c r="F160" s="724"/>
      <c r="G160" s="249"/>
      <c r="H160" s="250"/>
      <c r="I160" s="309"/>
    </row>
    <row r="161" spans="1:10">
      <c r="A161" s="733"/>
      <c r="B161" s="251"/>
      <c r="C161" s="248"/>
      <c r="D161" s="131" t="str">
        <f t="shared" si="14"/>
        <v xml:space="preserve">  (Titulaire)</v>
      </c>
      <c r="E161" s="74"/>
      <c r="F161" s="724"/>
      <c r="G161" s="249"/>
      <c r="H161" s="250"/>
      <c r="I161" s="309"/>
    </row>
    <row r="162" spans="1:10" ht="19.5" thickBot="1">
      <c r="A162" s="734"/>
      <c r="B162" s="251"/>
      <c r="C162" s="248"/>
      <c r="D162" s="131" t="str">
        <f t="shared" si="14"/>
        <v xml:space="preserve">  (Titulaire)</v>
      </c>
      <c r="E162" s="75"/>
      <c r="F162" s="725"/>
      <c r="G162" s="249"/>
      <c r="H162" s="250"/>
      <c r="I162" s="309"/>
    </row>
    <row r="163" spans="1:10">
      <c r="A163" s="742"/>
      <c r="B163" s="743"/>
      <c r="C163" s="743"/>
      <c r="D163" s="743"/>
      <c r="E163" s="744"/>
      <c r="F163" s="293" t="s">
        <v>291</v>
      </c>
      <c r="G163" s="703" t="s">
        <v>342</v>
      </c>
      <c r="H163" s="703"/>
      <c r="I163" s="703" t="s">
        <v>343</v>
      </c>
      <c r="J163" s="703"/>
    </row>
    <row r="164" spans="1:10" ht="19.5" thickBot="1">
      <c r="A164" s="742"/>
      <c r="B164" s="743"/>
      <c r="C164" s="743"/>
      <c r="D164" s="743"/>
      <c r="E164" s="744"/>
      <c r="F164" s="294"/>
      <c r="G164" s="735"/>
      <c r="H164" s="735"/>
      <c r="I164" s="704"/>
      <c r="J164" s="704"/>
    </row>
    <row r="165" spans="1:10" ht="18.75" customHeight="1">
      <c r="A165" s="732" t="str">
        <f>$A$153</f>
        <v>Tranche OPTIONNELLE 5</v>
      </c>
      <c r="B165" s="729" t="s">
        <v>26</v>
      </c>
      <c r="C165" s="730" t="s">
        <v>27</v>
      </c>
      <c r="D165" s="128"/>
      <c r="E165" s="319" t="s">
        <v>204</v>
      </c>
      <c r="F165" s="320" t="str">
        <f>E165</f>
        <v>Montant intial TVA</v>
      </c>
      <c r="G165" s="114" t="s">
        <v>183</v>
      </c>
      <c r="H165" s="115" t="s">
        <v>183</v>
      </c>
      <c r="I165" s="705" t="s">
        <v>423</v>
      </c>
    </row>
    <row r="166" spans="1:10">
      <c r="A166" s="733"/>
      <c r="B166" s="729"/>
      <c r="C166" s="730"/>
      <c r="D166" s="129"/>
      <c r="E166" s="317">
        <f>$C$17</f>
        <v>0.2</v>
      </c>
      <c r="F166" s="318">
        <f>$E$17</f>
        <v>0.1</v>
      </c>
      <c r="G166" s="116" t="str">
        <f>"TVA"&amp;" "&amp;$C$17*100&amp;"%"</f>
        <v>TVA 20%</v>
      </c>
      <c r="H166" s="116" t="str">
        <f>"TVA"&amp;" "&amp;$E$17*100&amp;"%"</f>
        <v>TVA 10%</v>
      </c>
      <c r="I166" s="706"/>
    </row>
    <row r="167" spans="1:10" ht="19.5" thickBot="1">
      <c r="A167" s="733"/>
      <c r="B167" s="120" t="str">
        <f>$B$6</f>
        <v>Cotraitant 1</v>
      </c>
      <c r="C167" s="323" t="str">
        <f>$C$6</f>
        <v>SPIE</v>
      </c>
      <c r="D167" s="113"/>
      <c r="E167" s="283"/>
      <c r="F167" s="283"/>
      <c r="G167" s="117">
        <f>E167-SUM(G168:G173)</f>
        <v>0</v>
      </c>
      <c r="H167" s="118">
        <f>F167-SUM(H168:H173)</f>
        <v>0</v>
      </c>
      <c r="I167" s="707"/>
    </row>
    <row r="168" spans="1:10">
      <c r="A168" s="733"/>
      <c r="B168" s="251"/>
      <c r="C168" s="248"/>
      <c r="D168" s="131" t="str">
        <f t="shared" ref="D168:D173" si="15">B168&amp;" "&amp;C168&amp;" "&amp;"("&amp;$B$52&amp;")"</f>
        <v xml:space="preserve">  (Cotraitant 1)</v>
      </c>
      <c r="E168" s="73"/>
      <c r="F168" s="723" t="s">
        <v>205</v>
      </c>
      <c r="G168" s="249"/>
      <c r="H168" s="249"/>
      <c r="I168" s="309"/>
    </row>
    <row r="169" spans="1:10">
      <c r="A169" s="733"/>
      <c r="B169" s="251"/>
      <c r="C169" s="248"/>
      <c r="D169" s="131" t="str">
        <f t="shared" si="15"/>
        <v xml:space="preserve">  (Cotraitant 1)</v>
      </c>
      <c r="E169" s="74"/>
      <c r="F169" s="724"/>
      <c r="G169" s="250"/>
      <c r="H169" s="250"/>
      <c r="I169" s="309"/>
    </row>
    <row r="170" spans="1:10">
      <c r="A170" s="733"/>
      <c r="B170" s="251"/>
      <c r="C170" s="248"/>
      <c r="D170" s="131" t="str">
        <f t="shared" si="15"/>
        <v xml:space="preserve">  (Cotraitant 1)</v>
      </c>
      <c r="E170" s="74"/>
      <c r="F170" s="724"/>
      <c r="G170" s="250"/>
      <c r="H170" s="250"/>
      <c r="I170" s="309"/>
    </row>
    <row r="171" spans="1:10">
      <c r="A171" s="733"/>
      <c r="B171" s="251"/>
      <c r="C171" s="248"/>
      <c r="D171" s="131" t="str">
        <f t="shared" si="15"/>
        <v xml:space="preserve">  (Cotraitant 1)</v>
      </c>
      <c r="E171" s="74"/>
      <c r="F171" s="724"/>
      <c r="G171" s="250"/>
      <c r="H171" s="250"/>
      <c r="I171" s="309"/>
    </row>
    <row r="172" spans="1:10">
      <c r="A172" s="733"/>
      <c r="B172" s="251"/>
      <c r="C172" s="248"/>
      <c r="D172" s="131" t="str">
        <f t="shared" si="15"/>
        <v xml:space="preserve">  (Cotraitant 1)</v>
      </c>
      <c r="E172" s="74"/>
      <c r="F172" s="724"/>
      <c r="G172" s="250"/>
      <c r="H172" s="250"/>
      <c r="I172" s="309"/>
    </row>
    <row r="173" spans="1:10" ht="19.5" thickBot="1">
      <c r="A173" s="734"/>
      <c r="B173" s="251"/>
      <c r="C173" s="248"/>
      <c r="D173" s="131" t="str">
        <f t="shared" si="15"/>
        <v xml:space="preserve">  (Cotraitant 1)</v>
      </c>
      <c r="E173" s="75"/>
      <c r="F173" s="725"/>
      <c r="G173" s="250"/>
      <c r="H173" s="250"/>
      <c r="I173" s="309"/>
    </row>
    <row r="175" spans="1:10">
      <c r="A175" s="71"/>
      <c r="B175" s="119" t="s">
        <v>25</v>
      </c>
      <c r="C175" s="13" t="s">
        <v>232</v>
      </c>
      <c r="D175" s="134"/>
      <c r="E175" s="222" t="s">
        <v>233</v>
      </c>
      <c r="F175" s="293" t="s">
        <v>291</v>
      </c>
      <c r="G175" s="703" t="s">
        <v>342</v>
      </c>
      <c r="H175" s="703"/>
      <c r="I175" s="703" t="s">
        <v>343</v>
      </c>
      <c r="J175" s="703"/>
    </row>
    <row r="176" spans="1:10" ht="19.5" thickBot="1">
      <c r="A176" s="731" t="s">
        <v>403</v>
      </c>
      <c r="B176" s="731"/>
      <c r="C176" s="18">
        <f>F24</f>
        <v>0</v>
      </c>
      <c r="D176" s="23"/>
      <c r="E176" s="18">
        <f>C176-(E179+F179+E190+F190)</f>
        <v>0</v>
      </c>
      <c r="F176" s="294"/>
      <c r="G176" s="735"/>
      <c r="H176" s="735"/>
      <c r="I176" s="704"/>
      <c r="J176" s="704"/>
    </row>
    <row r="177" spans="1:10" ht="18.75" customHeight="1">
      <c r="A177" s="732" t="str">
        <f>$A$176</f>
        <v>Tranche OPTIONNELLE 6</v>
      </c>
      <c r="B177" s="729" t="s">
        <v>26</v>
      </c>
      <c r="C177" s="730" t="s">
        <v>27</v>
      </c>
      <c r="D177" s="128"/>
      <c r="E177" s="319" t="s">
        <v>204</v>
      </c>
      <c r="F177" s="320" t="str">
        <f>E177</f>
        <v>Montant intial TVA</v>
      </c>
      <c r="G177" s="304" t="s">
        <v>183</v>
      </c>
      <c r="H177" s="305" t="s">
        <v>183</v>
      </c>
      <c r="I177" s="705" t="s">
        <v>423</v>
      </c>
    </row>
    <row r="178" spans="1:10">
      <c r="A178" s="733"/>
      <c r="B178" s="729"/>
      <c r="C178" s="730"/>
      <c r="D178" s="129"/>
      <c r="E178" s="317">
        <f>$C$17</f>
        <v>0.2</v>
      </c>
      <c r="F178" s="318">
        <f>$E$17</f>
        <v>0.1</v>
      </c>
      <c r="G178" s="116" t="str">
        <f>"TVA"&amp;" "&amp;$C$17*100&amp;"%"</f>
        <v>TVA 20%</v>
      </c>
      <c r="H178" s="116" t="str">
        <f>"TVA"&amp;" "&amp;$E$17*100&amp;"%"</f>
        <v>TVA 10%</v>
      </c>
      <c r="I178" s="706"/>
    </row>
    <row r="179" spans="1:10" ht="19.5" thickBot="1">
      <c r="A179" s="733"/>
      <c r="B179" s="120" t="s">
        <v>1</v>
      </c>
      <c r="C179" s="323" t="str">
        <f>$C$5</f>
        <v>ERREBA</v>
      </c>
      <c r="D179" s="130"/>
      <c r="E179" s="72">
        <f>C24-E190</f>
        <v>0</v>
      </c>
      <c r="F179" s="72">
        <f>E24-F190</f>
        <v>0</v>
      </c>
      <c r="G179" s="117">
        <f>E179-SUM(G180:G185)</f>
        <v>0</v>
      </c>
      <c r="H179" s="306">
        <f>F179-SUM(H180:H185)</f>
        <v>0</v>
      </c>
      <c r="I179" s="707"/>
    </row>
    <row r="180" spans="1:10">
      <c r="A180" s="733"/>
      <c r="B180" s="251"/>
      <c r="C180" s="248"/>
      <c r="D180" s="131" t="str">
        <f t="shared" ref="D180:D185" si="16">B180&amp;" "&amp;C180&amp;" "&amp;"("&amp;$B$41&amp;")"</f>
        <v xml:space="preserve">  (Titulaire)</v>
      </c>
      <c r="E180" s="73"/>
      <c r="F180" s="723" t="s">
        <v>205</v>
      </c>
      <c r="G180" s="249"/>
      <c r="H180" s="249"/>
      <c r="I180" s="309"/>
    </row>
    <row r="181" spans="1:10">
      <c r="A181" s="733"/>
      <c r="B181" s="251"/>
      <c r="C181" s="248"/>
      <c r="D181" s="131" t="str">
        <f t="shared" si="16"/>
        <v xml:space="preserve">  (Titulaire)</v>
      </c>
      <c r="E181" s="74"/>
      <c r="F181" s="724"/>
      <c r="G181" s="249"/>
      <c r="H181" s="250"/>
      <c r="I181" s="309"/>
    </row>
    <row r="182" spans="1:10">
      <c r="A182" s="733"/>
      <c r="B182" s="251"/>
      <c r="C182" s="248"/>
      <c r="D182" s="131" t="str">
        <f t="shared" si="16"/>
        <v xml:space="preserve">  (Titulaire)</v>
      </c>
      <c r="E182" s="74"/>
      <c r="F182" s="724"/>
      <c r="G182" s="249"/>
      <c r="H182" s="250"/>
      <c r="I182" s="309"/>
    </row>
    <row r="183" spans="1:10">
      <c r="A183" s="733"/>
      <c r="B183" s="251"/>
      <c r="C183" s="248"/>
      <c r="D183" s="131" t="str">
        <f t="shared" si="16"/>
        <v xml:space="preserve">  (Titulaire)</v>
      </c>
      <c r="E183" s="74"/>
      <c r="F183" s="724"/>
      <c r="G183" s="249"/>
      <c r="H183" s="250"/>
      <c r="I183" s="309"/>
    </row>
    <row r="184" spans="1:10">
      <c r="A184" s="733"/>
      <c r="B184" s="251"/>
      <c r="C184" s="248"/>
      <c r="D184" s="131" t="str">
        <f t="shared" si="16"/>
        <v xml:space="preserve">  (Titulaire)</v>
      </c>
      <c r="E184" s="74"/>
      <c r="F184" s="724"/>
      <c r="G184" s="249"/>
      <c r="H184" s="250"/>
      <c r="I184" s="309"/>
    </row>
    <row r="185" spans="1:10" ht="19.5" thickBot="1">
      <c r="A185" s="734"/>
      <c r="B185" s="251"/>
      <c r="C185" s="248"/>
      <c r="D185" s="131" t="str">
        <f t="shared" si="16"/>
        <v xml:space="preserve">  (Titulaire)</v>
      </c>
      <c r="E185" s="75"/>
      <c r="F185" s="725"/>
      <c r="G185" s="249"/>
      <c r="H185" s="250"/>
      <c r="I185" s="309"/>
    </row>
    <row r="186" spans="1:10">
      <c r="A186" s="742"/>
      <c r="B186" s="743"/>
      <c r="C186" s="743"/>
      <c r="D186" s="743"/>
      <c r="E186" s="744"/>
      <c r="F186" s="293" t="s">
        <v>291</v>
      </c>
      <c r="G186" s="703" t="s">
        <v>342</v>
      </c>
      <c r="H186" s="703"/>
      <c r="I186" s="703" t="s">
        <v>343</v>
      </c>
      <c r="J186" s="703"/>
    </row>
    <row r="187" spans="1:10" ht="19.5" thickBot="1">
      <c r="A187" s="742"/>
      <c r="B187" s="743"/>
      <c r="C187" s="743"/>
      <c r="D187" s="743"/>
      <c r="E187" s="744"/>
      <c r="F187" s="294"/>
      <c r="G187" s="735"/>
      <c r="H187" s="735"/>
      <c r="I187" s="704"/>
      <c r="J187" s="704"/>
    </row>
    <row r="188" spans="1:10" ht="18.75" customHeight="1">
      <c r="A188" s="732" t="str">
        <f>$A$176</f>
        <v>Tranche OPTIONNELLE 6</v>
      </c>
      <c r="B188" s="729" t="s">
        <v>26</v>
      </c>
      <c r="C188" s="730" t="s">
        <v>27</v>
      </c>
      <c r="D188" s="128"/>
      <c r="E188" s="319" t="s">
        <v>204</v>
      </c>
      <c r="F188" s="320" t="str">
        <f>E188</f>
        <v>Montant intial TVA</v>
      </c>
      <c r="G188" s="114" t="s">
        <v>183</v>
      </c>
      <c r="H188" s="115" t="s">
        <v>183</v>
      </c>
      <c r="I188" s="705" t="s">
        <v>423</v>
      </c>
    </row>
    <row r="189" spans="1:10">
      <c r="A189" s="733"/>
      <c r="B189" s="729"/>
      <c r="C189" s="730"/>
      <c r="D189" s="129"/>
      <c r="E189" s="317">
        <f>$C$17</f>
        <v>0.2</v>
      </c>
      <c r="F189" s="318">
        <f>$E$17</f>
        <v>0.1</v>
      </c>
      <c r="G189" s="116" t="str">
        <f>"TVA"&amp;" "&amp;$C$17*100&amp;"%"</f>
        <v>TVA 20%</v>
      </c>
      <c r="H189" s="116" t="str">
        <f>"TVA"&amp;" "&amp;$E$17*100&amp;"%"</f>
        <v>TVA 10%</v>
      </c>
      <c r="I189" s="706"/>
    </row>
    <row r="190" spans="1:10" ht="19.5" thickBot="1">
      <c r="A190" s="733"/>
      <c r="B190" s="120" t="str">
        <f>$B$6</f>
        <v>Cotraitant 1</v>
      </c>
      <c r="C190" s="323" t="str">
        <f>$C$6</f>
        <v>SPIE</v>
      </c>
      <c r="D190" s="113"/>
      <c r="E190" s="283"/>
      <c r="F190" s="283"/>
      <c r="G190" s="117">
        <f>E190-SUM(G191:G196)</f>
        <v>0</v>
      </c>
      <c r="H190" s="118">
        <f>F190-SUM(H191:H196)</f>
        <v>0</v>
      </c>
      <c r="I190" s="707"/>
    </row>
    <row r="191" spans="1:10">
      <c r="A191" s="733"/>
      <c r="B191" s="251"/>
      <c r="C191" s="248"/>
      <c r="D191" s="131" t="str">
        <f t="shared" ref="D191:D196" si="17">B191&amp;" "&amp;C191&amp;" "&amp;"("&amp;$B$52&amp;")"</f>
        <v xml:space="preserve">  (Cotraitant 1)</v>
      </c>
      <c r="E191" s="73"/>
      <c r="F191" s="723" t="s">
        <v>205</v>
      </c>
      <c r="G191" s="249"/>
      <c r="H191" s="249"/>
      <c r="I191" s="309"/>
    </row>
    <row r="192" spans="1:10">
      <c r="A192" s="733"/>
      <c r="B192" s="251"/>
      <c r="C192" s="248"/>
      <c r="D192" s="131" t="str">
        <f t="shared" si="17"/>
        <v xml:space="preserve">  (Cotraitant 1)</v>
      </c>
      <c r="E192" s="74"/>
      <c r="F192" s="724"/>
      <c r="G192" s="250"/>
      <c r="H192" s="250"/>
      <c r="I192" s="309"/>
    </row>
    <row r="193" spans="1:9">
      <c r="A193" s="733"/>
      <c r="B193" s="251"/>
      <c r="C193" s="248"/>
      <c r="D193" s="131" t="str">
        <f t="shared" si="17"/>
        <v xml:space="preserve">  (Cotraitant 1)</v>
      </c>
      <c r="E193" s="74"/>
      <c r="F193" s="724"/>
      <c r="G193" s="250"/>
      <c r="H193" s="250"/>
      <c r="I193" s="309"/>
    </row>
    <row r="194" spans="1:9">
      <c r="A194" s="733"/>
      <c r="B194" s="251"/>
      <c r="C194" s="248"/>
      <c r="D194" s="131" t="str">
        <f t="shared" si="17"/>
        <v xml:space="preserve">  (Cotraitant 1)</v>
      </c>
      <c r="E194" s="74"/>
      <c r="F194" s="724"/>
      <c r="G194" s="250"/>
      <c r="H194" s="250"/>
      <c r="I194" s="309"/>
    </row>
    <row r="195" spans="1:9">
      <c r="A195" s="733"/>
      <c r="B195" s="251"/>
      <c r="C195" s="248"/>
      <c r="D195" s="131" t="str">
        <f t="shared" si="17"/>
        <v xml:space="preserve">  (Cotraitant 1)</v>
      </c>
      <c r="E195" s="74"/>
      <c r="F195" s="724"/>
      <c r="G195" s="250"/>
      <c r="H195" s="250"/>
      <c r="I195" s="309"/>
    </row>
    <row r="196" spans="1:9" ht="19.5" thickBot="1">
      <c r="A196" s="734"/>
      <c r="B196" s="251"/>
      <c r="C196" s="248"/>
      <c r="D196" s="131" t="str">
        <f t="shared" si="17"/>
        <v xml:space="preserve">  (Cotraitant 1)</v>
      </c>
      <c r="E196" s="75"/>
      <c r="F196" s="725"/>
      <c r="G196" s="250"/>
      <c r="H196" s="250"/>
      <c r="I196" s="309"/>
    </row>
    <row r="198" spans="1:9">
      <c r="A198" s="71"/>
      <c r="B198" s="119" t="s">
        <v>25</v>
      </c>
      <c r="C198" s="13" t="s">
        <v>232</v>
      </c>
      <c r="D198" s="134"/>
      <c r="E198" s="222" t="s">
        <v>233</v>
      </c>
      <c r="F198" s="736" t="s">
        <v>411</v>
      </c>
      <c r="G198" s="737"/>
      <c r="H198" s="738"/>
      <c r="I198" s="71"/>
    </row>
    <row r="199" spans="1:9" ht="19.5" thickBot="1">
      <c r="A199" s="731" t="s">
        <v>404</v>
      </c>
      <c r="B199" s="731"/>
      <c r="C199" s="18">
        <f>F25</f>
        <v>0</v>
      </c>
      <c r="D199" s="23"/>
      <c r="E199" s="18">
        <f>C199-(E202+F202+E214+F214)</f>
        <v>0</v>
      </c>
      <c r="F199" s="739"/>
      <c r="G199" s="740"/>
      <c r="H199" s="741"/>
      <c r="I199" s="71"/>
    </row>
    <row r="200" spans="1:9" ht="18.75" customHeight="1">
      <c r="A200" s="732" t="str">
        <f>$A$199</f>
        <v>Avenants et OS</v>
      </c>
      <c r="B200" s="729" t="s">
        <v>26</v>
      </c>
      <c r="C200" s="730"/>
      <c r="D200" s="128"/>
      <c r="E200" s="747"/>
      <c r="F200" s="748"/>
      <c r="G200" s="327" t="s">
        <v>458</v>
      </c>
      <c r="H200" s="327" t="s">
        <v>458</v>
      </c>
      <c r="I200" s="71"/>
    </row>
    <row r="201" spans="1:9">
      <c r="A201" s="733"/>
      <c r="B201" s="729"/>
      <c r="C201" s="730"/>
      <c r="D201" s="129"/>
      <c r="E201" s="749"/>
      <c r="F201" s="750"/>
      <c r="G201" s="367" t="str">
        <f>"TVA"&amp;" "&amp;$C$17*100&amp;"%"</f>
        <v>TVA 20%</v>
      </c>
      <c r="H201" s="367" t="str">
        <f>"TVA"&amp;" "&amp;$E$17*100&amp;"%"</f>
        <v>TVA 10%</v>
      </c>
      <c r="I201" s="71"/>
    </row>
    <row r="202" spans="1:9">
      <c r="A202" s="733"/>
      <c r="B202" s="120" t="s">
        <v>1</v>
      </c>
      <c r="C202" s="323" t="str">
        <f>$C$5</f>
        <v>ERREBA</v>
      </c>
      <c r="D202" s="130"/>
      <c r="E202" s="751"/>
      <c r="F202" s="752"/>
      <c r="G202" s="368">
        <f>SUM(G203:G209)</f>
        <v>0</v>
      </c>
      <c r="H202" s="368">
        <f>SUM(H203:H209)</f>
        <v>0</v>
      </c>
      <c r="I202" s="71"/>
    </row>
    <row r="203" spans="1:9">
      <c r="A203" s="733"/>
      <c r="B203" s="745" t="s">
        <v>228</v>
      </c>
      <c r="C203" s="746"/>
      <c r="D203" s="131" t="str">
        <f t="shared" ref="D203:D209" si="18">B203&amp;" "&amp;C203&amp;" "&amp;"("&amp;$B$41&amp;")"</f>
        <v>Tranche Ferme  (Titulaire)</v>
      </c>
      <c r="E203" s="73"/>
      <c r="F203" s="723"/>
      <c r="G203" s="249"/>
      <c r="H203" s="249"/>
      <c r="I203" s="71"/>
    </row>
    <row r="204" spans="1:9">
      <c r="A204" s="733"/>
      <c r="B204" s="745" t="s">
        <v>229</v>
      </c>
      <c r="C204" s="746"/>
      <c r="D204" s="131" t="str">
        <f t="shared" si="18"/>
        <v>Tranche Optionnelle 1  (Titulaire)</v>
      </c>
      <c r="E204" s="74"/>
      <c r="F204" s="724"/>
      <c r="G204" s="249"/>
      <c r="H204" s="250"/>
      <c r="I204" s="71"/>
    </row>
    <row r="205" spans="1:9">
      <c r="A205" s="733"/>
      <c r="B205" s="745" t="s">
        <v>230</v>
      </c>
      <c r="C205" s="746"/>
      <c r="D205" s="131" t="str">
        <f t="shared" si="18"/>
        <v>Tranche Optionnelle 2  (Titulaire)</v>
      </c>
      <c r="E205" s="74"/>
      <c r="F205" s="724"/>
      <c r="G205" s="249"/>
      <c r="H205" s="250"/>
      <c r="I205" s="71"/>
    </row>
    <row r="206" spans="1:9">
      <c r="A206" s="733"/>
      <c r="B206" s="745" t="s">
        <v>429</v>
      </c>
      <c r="C206" s="746"/>
      <c r="D206" s="131" t="str">
        <f t="shared" si="18"/>
        <v>Tranche Optionnelle 3  (Titulaire)</v>
      </c>
      <c r="E206" s="74"/>
      <c r="F206" s="724"/>
      <c r="G206" s="249"/>
      <c r="H206" s="250"/>
      <c r="I206" s="71"/>
    </row>
    <row r="207" spans="1:9">
      <c r="A207" s="733"/>
      <c r="B207" s="745" t="s">
        <v>430</v>
      </c>
      <c r="C207" s="746"/>
      <c r="D207" s="131" t="str">
        <f t="shared" si="18"/>
        <v>Tranche Optionnelle 4  (Titulaire)</v>
      </c>
      <c r="E207" s="74"/>
      <c r="F207" s="724"/>
      <c r="G207" s="249"/>
      <c r="H207" s="250"/>
      <c r="I207" s="71"/>
    </row>
    <row r="208" spans="1:9">
      <c r="A208" s="733"/>
      <c r="B208" s="745" t="s">
        <v>431</v>
      </c>
      <c r="C208" s="746"/>
      <c r="D208" s="366"/>
      <c r="E208" s="74"/>
      <c r="F208" s="724"/>
      <c r="G208" s="249"/>
      <c r="H208" s="250"/>
      <c r="I208" s="71"/>
    </row>
    <row r="209" spans="1:9" ht="19.5" thickBot="1">
      <c r="A209" s="734"/>
      <c r="B209" s="745" t="s">
        <v>432</v>
      </c>
      <c r="C209" s="746"/>
      <c r="D209" s="131" t="str">
        <f t="shared" si="18"/>
        <v>Tranche Optionnelle 6  (Titulaire)</v>
      </c>
      <c r="E209" s="75"/>
      <c r="F209" s="725"/>
      <c r="G209" s="249"/>
      <c r="H209" s="250"/>
      <c r="I209" s="71"/>
    </row>
    <row r="210" spans="1:9">
      <c r="A210" s="742"/>
      <c r="B210" s="743"/>
      <c r="C210" s="743"/>
      <c r="D210" s="743"/>
      <c r="E210" s="744"/>
      <c r="F210" s="736" t="s">
        <v>411</v>
      </c>
      <c r="G210" s="737"/>
      <c r="H210" s="738"/>
      <c r="I210" s="71"/>
    </row>
    <row r="211" spans="1:9" ht="19.5" thickBot="1">
      <c r="A211" s="742"/>
      <c r="B211" s="743"/>
      <c r="C211" s="743"/>
      <c r="D211" s="743"/>
      <c r="E211" s="744"/>
      <c r="F211" s="739"/>
      <c r="G211" s="740"/>
      <c r="H211" s="741"/>
      <c r="I211" s="71"/>
    </row>
    <row r="212" spans="1:9" ht="18.75" customHeight="1">
      <c r="A212" s="732" t="str">
        <f>$A$199</f>
        <v>Avenants et OS</v>
      </c>
      <c r="B212" s="729" t="s">
        <v>26</v>
      </c>
      <c r="C212" s="730" t="s">
        <v>27</v>
      </c>
      <c r="D212" s="128"/>
      <c r="E212" s="747"/>
      <c r="F212" s="748"/>
      <c r="G212" s="369" t="s">
        <v>442</v>
      </c>
      <c r="H212" s="327" t="s">
        <v>442</v>
      </c>
      <c r="I212" s="71"/>
    </row>
    <row r="213" spans="1:9">
      <c r="A213" s="733"/>
      <c r="B213" s="729"/>
      <c r="C213" s="730"/>
      <c r="D213" s="129"/>
      <c r="E213" s="749"/>
      <c r="F213" s="750"/>
      <c r="G213" s="325" t="str">
        <f>"TVA"&amp;" "&amp;$C$17*100&amp;"%"</f>
        <v>TVA 20%</v>
      </c>
      <c r="H213" s="367" t="str">
        <f>"TVA"&amp;" "&amp;$E$17*100&amp;"%"</f>
        <v>TVA 10%</v>
      </c>
      <c r="I213" s="71"/>
    </row>
    <row r="214" spans="1:9">
      <c r="A214" s="733"/>
      <c r="B214" s="120" t="str">
        <f>$B$6</f>
        <v>Cotraitant 1</v>
      </c>
      <c r="C214" s="323" t="str">
        <f>$C$6</f>
        <v>SPIE</v>
      </c>
      <c r="D214" s="113"/>
      <c r="E214" s="751"/>
      <c r="F214" s="752"/>
      <c r="G214" s="370">
        <f>SUM(G215:G221)</f>
        <v>0</v>
      </c>
      <c r="H214" s="370">
        <f>SUM(H215:H221)</f>
        <v>0</v>
      </c>
      <c r="I214" s="71"/>
    </row>
    <row r="215" spans="1:9">
      <c r="A215" s="733"/>
      <c r="B215" s="745" t="s">
        <v>228</v>
      </c>
      <c r="C215" s="746"/>
      <c r="D215" s="131" t="str">
        <f t="shared" ref="D215:D221" si="19">B215&amp;" "&amp;C215&amp;" "&amp;"("&amp;$B$52&amp;")"</f>
        <v>Tranche Ferme  (Cotraitant 1)</v>
      </c>
      <c r="E215" s="73"/>
      <c r="F215" s="723"/>
      <c r="G215" s="249"/>
      <c r="H215" s="249"/>
      <c r="I215" s="71"/>
    </row>
    <row r="216" spans="1:9">
      <c r="A216" s="733"/>
      <c r="B216" s="745" t="s">
        <v>229</v>
      </c>
      <c r="C216" s="746"/>
      <c r="D216" s="131" t="str">
        <f t="shared" si="19"/>
        <v>Tranche Optionnelle 1  (Cotraitant 1)</v>
      </c>
      <c r="E216" s="74"/>
      <c r="F216" s="724"/>
      <c r="G216" s="250"/>
      <c r="H216" s="250"/>
      <c r="I216" s="71"/>
    </row>
    <row r="217" spans="1:9">
      <c r="A217" s="733"/>
      <c r="B217" s="745" t="s">
        <v>230</v>
      </c>
      <c r="C217" s="746"/>
      <c r="D217" s="131" t="str">
        <f t="shared" si="19"/>
        <v>Tranche Optionnelle 2  (Cotraitant 1)</v>
      </c>
      <c r="E217" s="74"/>
      <c r="F217" s="724"/>
      <c r="G217" s="250"/>
      <c r="H217" s="250"/>
      <c r="I217" s="71"/>
    </row>
    <row r="218" spans="1:9">
      <c r="A218" s="733"/>
      <c r="B218" s="745" t="s">
        <v>429</v>
      </c>
      <c r="C218" s="746"/>
      <c r="D218" s="131" t="str">
        <f t="shared" si="19"/>
        <v>Tranche Optionnelle 3  (Cotraitant 1)</v>
      </c>
      <c r="E218" s="74"/>
      <c r="F218" s="724"/>
      <c r="G218" s="250"/>
      <c r="H218" s="250"/>
      <c r="I218" s="71"/>
    </row>
    <row r="219" spans="1:9">
      <c r="A219" s="733"/>
      <c r="B219" s="745" t="s">
        <v>430</v>
      </c>
      <c r="C219" s="746"/>
      <c r="D219" s="131" t="str">
        <f t="shared" si="19"/>
        <v>Tranche Optionnelle 4  (Cotraitant 1)</v>
      </c>
      <c r="E219" s="74"/>
      <c r="F219" s="724"/>
      <c r="G219" s="250"/>
      <c r="H219" s="250"/>
      <c r="I219" s="71"/>
    </row>
    <row r="220" spans="1:9">
      <c r="A220" s="733"/>
      <c r="B220" s="745" t="s">
        <v>431</v>
      </c>
      <c r="C220" s="746"/>
      <c r="D220" s="366"/>
      <c r="E220" s="74"/>
      <c r="F220" s="724"/>
      <c r="G220" s="250"/>
      <c r="H220" s="250"/>
      <c r="I220" s="71"/>
    </row>
    <row r="221" spans="1:9" ht="19.5" thickBot="1">
      <c r="A221" s="734"/>
      <c r="B221" s="745" t="s">
        <v>432</v>
      </c>
      <c r="C221" s="746"/>
      <c r="D221" s="131" t="str">
        <f t="shared" si="19"/>
        <v>Tranche Optionnelle 6  (Cotraitant 1)</v>
      </c>
      <c r="E221" s="75"/>
      <c r="F221" s="725"/>
      <c r="G221" s="250"/>
      <c r="H221" s="250"/>
      <c r="I221" s="71"/>
    </row>
    <row r="222" spans="1:9" hidden="1" outlineLevel="1"/>
    <row r="223" spans="1:9" hidden="1" outlineLevel="1">
      <c r="A223" s="10" t="s">
        <v>447</v>
      </c>
      <c r="B223" s="10" t="s">
        <v>448</v>
      </c>
      <c r="C223" s="10" t="s">
        <v>456</v>
      </c>
      <c r="D223" s="10" t="s">
        <v>54</v>
      </c>
      <c r="E223" s="10" t="str">
        <f>"montant HT"&amp;" "&amp;C17*100&amp;"%"</f>
        <v>montant HT 20%</v>
      </c>
      <c r="F223" s="10" t="str">
        <f>"montant HT"&amp;" "&amp;E17*100&amp;"%"</f>
        <v>montant HT 10%</v>
      </c>
    </row>
    <row r="224" spans="1:9" hidden="1" outlineLevel="1">
      <c r="A224" s="10" t="str">
        <f>A225</f>
        <v>Tranche FERME</v>
      </c>
      <c r="B224" s="10" t="str">
        <f>B225</f>
        <v>ERREBA</v>
      </c>
      <c r="C224" s="9" t="str">
        <f t="shared" ref="C224:C230" si="20">B41</f>
        <v>Titulaire</v>
      </c>
      <c r="D224" s="9" t="str">
        <f>DONNEES!C5</f>
        <v>ERREBA</v>
      </c>
      <c r="E224" s="364">
        <f t="shared" ref="E224:F230" si="21">G41</f>
        <v>40000</v>
      </c>
      <c r="F224" s="364">
        <f t="shared" si="21"/>
        <v>40000</v>
      </c>
    </row>
    <row r="225" spans="1:6" hidden="1" outlineLevel="1">
      <c r="A225" s="10" t="str">
        <f>$A$38</f>
        <v>Tranche FERME</v>
      </c>
      <c r="B225" s="10" t="str">
        <f t="shared" ref="B225:B279" si="22">$C$5</f>
        <v>ERREBA</v>
      </c>
      <c r="C225" s="365">
        <f t="shared" si="20"/>
        <v>0</v>
      </c>
      <c r="D225" s="10">
        <f t="shared" ref="D225:D230" si="23">C42</f>
        <v>0</v>
      </c>
      <c r="E225" s="335">
        <f t="shared" si="21"/>
        <v>0</v>
      </c>
      <c r="F225" s="335">
        <f t="shared" si="21"/>
        <v>0</v>
      </c>
    </row>
    <row r="226" spans="1:6" hidden="1" outlineLevel="1">
      <c r="A226" s="10" t="str">
        <f t="shared" ref="A226:A230" si="24">$A$38</f>
        <v>Tranche FERME</v>
      </c>
      <c r="B226" s="10" t="str">
        <f t="shared" si="22"/>
        <v>ERREBA</v>
      </c>
      <c r="C226" s="10">
        <f t="shared" si="20"/>
        <v>0</v>
      </c>
      <c r="D226" s="10">
        <f t="shared" si="23"/>
        <v>0</v>
      </c>
      <c r="E226" s="335">
        <f t="shared" si="21"/>
        <v>0</v>
      </c>
      <c r="F226" s="335">
        <f t="shared" si="21"/>
        <v>0</v>
      </c>
    </row>
    <row r="227" spans="1:6" hidden="1" outlineLevel="1">
      <c r="A227" s="10" t="str">
        <f t="shared" si="24"/>
        <v>Tranche FERME</v>
      </c>
      <c r="B227" s="10" t="str">
        <f t="shared" si="22"/>
        <v>ERREBA</v>
      </c>
      <c r="C227" s="10">
        <f t="shared" si="20"/>
        <v>0</v>
      </c>
      <c r="D227" s="10">
        <f t="shared" si="23"/>
        <v>0</v>
      </c>
      <c r="E227" s="335">
        <f t="shared" si="21"/>
        <v>0</v>
      </c>
      <c r="F227" s="335">
        <f t="shared" si="21"/>
        <v>0</v>
      </c>
    </row>
    <row r="228" spans="1:6" hidden="1" outlineLevel="1">
      <c r="A228" s="10" t="str">
        <f t="shared" si="24"/>
        <v>Tranche FERME</v>
      </c>
      <c r="B228" s="10" t="str">
        <f t="shared" si="22"/>
        <v>ERREBA</v>
      </c>
      <c r="C228" s="10">
        <f t="shared" si="20"/>
        <v>0</v>
      </c>
      <c r="D228" s="10">
        <f t="shared" si="23"/>
        <v>0</v>
      </c>
      <c r="E228" s="335">
        <f t="shared" si="21"/>
        <v>0</v>
      </c>
      <c r="F228" s="335">
        <f t="shared" si="21"/>
        <v>0</v>
      </c>
    </row>
    <row r="229" spans="1:6" hidden="1" outlineLevel="1">
      <c r="A229" s="10" t="str">
        <f t="shared" si="24"/>
        <v>Tranche FERME</v>
      </c>
      <c r="B229" s="10" t="str">
        <f t="shared" si="22"/>
        <v>ERREBA</v>
      </c>
      <c r="C229" s="10">
        <f t="shared" si="20"/>
        <v>0</v>
      </c>
      <c r="D229" s="10">
        <f t="shared" si="23"/>
        <v>0</v>
      </c>
      <c r="E229" s="335">
        <f t="shared" si="21"/>
        <v>0</v>
      </c>
      <c r="F229" s="335">
        <f t="shared" si="21"/>
        <v>0</v>
      </c>
    </row>
    <row r="230" spans="1:6" hidden="1" outlineLevel="1">
      <c r="A230" s="10" t="str">
        <f t="shared" si="24"/>
        <v>Tranche FERME</v>
      </c>
      <c r="B230" s="10" t="str">
        <f t="shared" si="22"/>
        <v>ERREBA</v>
      </c>
      <c r="C230" s="10">
        <f t="shared" si="20"/>
        <v>0</v>
      </c>
      <c r="D230" s="10">
        <f t="shared" si="23"/>
        <v>0</v>
      </c>
      <c r="E230" s="335">
        <f t="shared" si="21"/>
        <v>0</v>
      </c>
      <c r="F230" s="335">
        <f t="shared" si="21"/>
        <v>0</v>
      </c>
    </row>
    <row r="231" spans="1:6" hidden="1" outlineLevel="1">
      <c r="A231" s="9" t="str">
        <f>A232</f>
        <v>Tranche OPTIONNELLE 1</v>
      </c>
      <c r="B231" s="9" t="str">
        <f>B232</f>
        <v>ERREBA</v>
      </c>
      <c r="C231" s="9" t="str">
        <f t="shared" ref="C231:C237" si="25">B64</f>
        <v>Titulaire</v>
      </c>
      <c r="D231" s="9" t="str">
        <f>DONNEES!C5</f>
        <v>ERREBA</v>
      </c>
      <c r="E231" s="364">
        <f t="shared" ref="E231:F237" si="26">G64</f>
        <v>0</v>
      </c>
      <c r="F231" s="364">
        <f t="shared" si="26"/>
        <v>0</v>
      </c>
    </row>
    <row r="232" spans="1:6" hidden="1" outlineLevel="1">
      <c r="A232" s="10" t="str">
        <f>$A$61</f>
        <v>Tranche OPTIONNELLE 1</v>
      </c>
      <c r="B232" s="10" t="str">
        <f t="shared" si="22"/>
        <v>ERREBA</v>
      </c>
      <c r="C232" s="10">
        <f t="shared" si="25"/>
        <v>0</v>
      </c>
      <c r="D232" s="10">
        <f t="shared" ref="D232:D237" si="27">C65</f>
        <v>0</v>
      </c>
      <c r="E232" s="335">
        <f t="shared" si="26"/>
        <v>0</v>
      </c>
      <c r="F232" s="335">
        <f t="shared" si="26"/>
        <v>0</v>
      </c>
    </row>
    <row r="233" spans="1:6" hidden="1" outlineLevel="1">
      <c r="A233" s="10" t="str">
        <f t="shared" ref="A233:A237" si="28">$A$61</f>
        <v>Tranche OPTIONNELLE 1</v>
      </c>
      <c r="B233" s="10" t="str">
        <f t="shared" si="22"/>
        <v>ERREBA</v>
      </c>
      <c r="C233" s="10">
        <f t="shared" si="25"/>
        <v>0</v>
      </c>
      <c r="D233" s="10">
        <f t="shared" si="27"/>
        <v>0</v>
      </c>
      <c r="E233" s="335">
        <f t="shared" si="26"/>
        <v>0</v>
      </c>
      <c r="F233" s="335">
        <f t="shared" si="26"/>
        <v>0</v>
      </c>
    </row>
    <row r="234" spans="1:6" hidden="1" outlineLevel="1">
      <c r="A234" s="10" t="str">
        <f t="shared" si="28"/>
        <v>Tranche OPTIONNELLE 1</v>
      </c>
      <c r="B234" s="10" t="str">
        <f t="shared" si="22"/>
        <v>ERREBA</v>
      </c>
      <c r="C234" s="10">
        <f t="shared" si="25"/>
        <v>0</v>
      </c>
      <c r="D234" s="10">
        <f t="shared" si="27"/>
        <v>0</v>
      </c>
      <c r="E234" s="335">
        <f t="shared" si="26"/>
        <v>0</v>
      </c>
      <c r="F234" s="335">
        <f t="shared" si="26"/>
        <v>0</v>
      </c>
    </row>
    <row r="235" spans="1:6" hidden="1" outlineLevel="1">
      <c r="A235" s="10" t="str">
        <f t="shared" si="28"/>
        <v>Tranche OPTIONNELLE 1</v>
      </c>
      <c r="B235" s="10" t="str">
        <f t="shared" si="22"/>
        <v>ERREBA</v>
      </c>
      <c r="C235" s="10">
        <f t="shared" si="25"/>
        <v>0</v>
      </c>
      <c r="D235" s="10">
        <f t="shared" si="27"/>
        <v>0</v>
      </c>
      <c r="E235" s="335">
        <f t="shared" si="26"/>
        <v>0</v>
      </c>
      <c r="F235" s="335">
        <f t="shared" si="26"/>
        <v>0</v>
      </c>
    </row>
    <row r="236" spans="1:6" hidden="1" outlineLevel="1">
      <c r="A236" s="10" t="str">
        <f t="shared" si="28"/>
        <v>Tranche OPTIONNELLE 1</v>
      </c>
      <c r="B236" s="10" t="str">
        <f t="shared" si="22"/>
        <v>ERREBA</v>
      </c>
      <c r="C236" s="10">
        <f t="shared" si="25"/>
        <v>0</v>
      </c>
      <c r="D236" s="10">
        <f t="shared" si="27"/>
        <v>0</v>
      </c>
      <c r="E236" s="335">
        <f t="shared" si="26"/>
        <v>0</v>
      </c>
      <c r="F236" s="335">
        <f t="shared" si="26"/>
        <v>0</v>
      </c>
    </row>
    <row r="237" spans="1:6" hidden="1" outlineLevel="1">
      <c r="A237" s="10" t="str">
        <f t="shared" si="28"/>
        <v>Tranche OPTIONNELLE 1</v>
      </c>
      <c r="B237" s="10" t="str">
        <f t="shared" si="22"/>
        <v>ERREBA</v>
      </c>
      <c r="C237" s="10">
        <f t="shared" si="25"/>
        <v>0</v>
      </c>
      <c r="D237" s="10">
        <f t="shared" si="27"/>
        <v>0</v>
      </c>
      <c r="E237" s="335">
        <f t="shared" si="26"/>
        <v>0</v>
      </c>
      <c r="F237" s="335">
        <f t="shared" si="26"/>
        <v>0</v>
      </c>
    </row>
    <row r="238" spans="1:6" hidden="1" outlineLevel="1">
      <c r="A238" s="9" t="str">
        <f>A239</f>
        <v>Tranche OPTIONNELLE 2</v>
      </c>
      <c r="B238" s="9" t="str">
        <f>B239</f>
        <v>ERREBA</v>
      </c>
      <c r="C238" s="9" t="str">
        <f t="shared" ref="C238:C244" si="29">B87</f>
        <v>Titulaire</v>
      </c>
      <c r="D238" s="9" t="str">
        <f>DONNEES!C5</f>
        <v>ERREBA</v>
      </c>
      <c r="E238" s="364">
        <f>E87</f>
        <v>0</v>
      </c>
      <c r="F238" s="364">
        <f>F87</f>
        <v>0</v>
      </c>
    </row>
    <row r="239" spans="1:6" hidden="1" outlineLevel="1">
      <c r="A239" s="10" t="str">
        <f>$A$84</f>
        <v>Tranche OPTIONNELLE 2</v>
      </c>
      <c r="B239" s="10" t="str">
        <f t="shared" si="22"/>
        <v>ERREBA</v>
      </c>
      <c r="C239" s="10">
        <f t="shared" si="29"/>
        <v>0</v>
      </c>
      <c r="D239" s="10">
        <f t="shared" ref="D239:D244" si="30">C88</f>
        <v>0</v>
      </c>
      <c r="E239" s="335">
        <f t="shared" ref="E239:F244" si="31">G88</f>
        <v>0</v>
      </c>
      <c r="F239" s="335">
        <f t="shared" si="31"/>
        <v>0</v>
      </c>
    </row>
    <row r="240" spans="1:6" hidden="1" outlineLevel="1">
      <c r="A240" s="10" t="str">
        <f t="shared" ref="A240:A244" si="32">$A$84</f>
        <v>Tranche OPTIONNELLE 2</v>
      </c>
      <c r="B240" s="10" t="str">
        <f t="shared" si="22"/>
        <v>ERREBA</v>
      </c>
      <c r="C240" s="10">
        <f t="shared" si="29"/>
        <v>0</v>
      </c>
      <c r="D240" s="10">
        <f t="shared" si="30"/>
        <v>0</v>
      </c>
      <c r="E240" s="335">
        <f t="shared" si="31"/>
        <v>0</v>
      </c>
      <c r="F240" s="335">
        <f t="shared" si="31"/>
        <v>0</v>
      </c>
    </row>
    <row r="241" spans="1:6" hidden="1" outlineLevel="1">
      <c r="A241" s="10" t="str">
        <f t="shared" si="32"/>
        <v>Tranche OPTIONNELLE 2</v>
      </c>
      <c r="B241" s="10" t="str">
        <f t="shared" si="22"/>
        <v>ERREBA</v>
      </c>
      <c r="C241" s="10">
        <f t="shared" si="29"/>
        <v>0</v>
      </c>
      <c r="D241" s="10">
        <f t="shared" si="30"/>
        <v>0</v>
      </c>
      <c r="E241" s="335">
        <f t="shared" si="31"/>
        <v>0</v>
      </c>
      <c r="F241" s="335">
        <f t="shared" si="31"/>
        <v>0</v>
      </c>
    </row>
    <row r="242" spans="1:6" hidden="1" outlineLevel="1">
      <c r="A242" s="10" t="str">
        <f t="shared" si="32"/>
        <v>Tranche OPTIONNELLE 2</v>
      </c>
      <c r="B242" s="10" t="str">
        <f t="shared" si="22"/>
        <v>ERREBA</v>
      </c>
      <c r="C242" s="10">
        <f t="shared" si="29"/>
        <v>0</v>
      </c>
      <c r="D242" s="10">
        <f t="shared" si="30"/>
        <v>0</v>
      </c>
      <c r="E242" s="335">
        <f t="shared" si="31"/>
        <v>0</v>
      </c>
      <c r="F242" s="335">
        <f t="shared" si="31"/>
        <v>0</v>
      </c>
    </row>
    <row r="243" spans="1:6" hidden="1" outlineLevel="1">
      <c r="A243" s="10" t="str">
        <f t="shared" si="32"/>
        <v>Tranche OPTIONNELLE 2</v>
      </c>
      <c r="B243" s="10" t="str">
        <f t="shared" si="22"/>
        <v>ERREBA</v>
      </c>
      <c r="C243" s="10">
        <f t="shared" si="29"/>
        <v>0</v>
      </c>
      <c r="D243" s="10">
        <f t="shared" si="30"/>
        <v>0</v>
      </c>
      <c r="E243" s="335">
        <f t="shared" si="31"/>
        <v>0</v>
      </c>
      <c r="F243" s="335">
        <f t="shared" si="31"/>
        <v>0</v>
      </c>
    </row>
    <row r="244" spans="1:6" hidden="1" outlineLevel="1">
      <c r="A244" s="10" t="str">
        <f t="shared" si="32"/>
        <v>Tranche OPTIONNELLE 2</v>
      </c>
      <c r="B244" s="10" t="str">
        <f t="shared" si="22"/>
        <v>ERREBA</v>
      </c>
      <c r="C244" s="10">
        <f t="shared" si="29"/>
        <v>0</v>
      </c>
      <c r="D244" s="10">
        <f t="shared" si="30"/>
        <v>0</v>
      </c>
      <c r="E244" s="335">
        <f t="shared" si="31"/>
        <v>0</v>
      </c>
      <c r="F244" s="335">
        <f t="shared" si="31"/>
        <v>0</v>
      </c>
    </row>
    <row r="245" spans="1:6" hidden="1" outlineLevel="1">
      <c r="A245" s="361" t="str">
        <f>A246</f>
        <v>Tranche OPTIONNELLE 3</v>
      </c>
      <c r="B245" s="361" t="str">
        <f>B246</f>
        <v>ERREBA</v>
      </c>
      <c r="C245" s="361" t="str">
        <f>C238</f>
        <v>Titulaire</v>
      </c>
      <c r="D245" s="358" t="str">
        <f>DONNEES!C5</f>
        <v>ERREBA</v>
      </c>
      <c r="E245" s="358">
        <f>F110</f>
        <v>0</v>
      </c>
      <c r="F245" s="358">
        <f>G110</f>
        <v>0</v>
      </c>
    </row>
    <row r="246" spans="1:6" hidden="1" outlineLevel="1">
      <c r="A246" s="10" t="str">
        <f>$A$107</f>
        <v>Tranche OPTIONNELLE 3</v>
      </c>
      <c r="B246" s="10" t="str">
        <f t="shared" si="22"/>
        <v>ERREBA</v>
      </c>
      <c r="C246" s="10">
        <f t="shared" ref="C246:D251" si="33">B111</f>
        <v>0</v>
      </c>
      <c r="D246" s="10">
        <f t="shared" si="33"/>
        <v>0</v>
      </c>
      <c r="E246" s="335">
        <f t="shared" ref="E246:F251" si="34">G111</f>
        <v>0</v>
      </c>
      <c r="F246" s="335">
        <f t="shared" si="34"/>
        <v>0</v>
      </c>
    </row>
    <row r="247" spans="1:6" hidden="1" outlineLevel="1">
      <c r="A247" s="10" t="str">
        <f t="shared" ref="A247:A251" si="35">$A$107</f>
        <v>Tranche OPTIONNELLE 3</v>
      </c>
      <c r="B247" s="10" t="str">
        <f t="shared" si="22"/>
        <v>ERREBA</v>
      </c>
      <c r="C247" s="10">
        <f t="shared" si="33"/>
        <v>0</v>
      </c>
      <c r="D247" s="10">
        <f t="shared" si="33"/>
        <v>0</v>
      </c>
      <c r="E247" s="335">
        <f t="shared" si="34"/>
        <v>0</v>
      </c>
      <c r="F247" s="335">
        <f t="shared" si="34"/>
        <v>0</v>
      </c>
    </row>
    <row r="248" spans="1:6" hidden="1" outlineLevel="1">
      <c r="A248" s="10" t="str">
        <f t="shared" si="35"/>
        <v>Tranche OPTIONNELLE 3</v>
      </c>
      <c r="B248" s="10" t="str">
        <f t="shared" si="22"/>
        <v>ERREBA</v>
      </c>
      <c r="C248" s="10">
        <f t="shared" si="33"/>
        <v>0</v>
      </c>
      <c r="D248" s="10">
        <f t="shared" si="33"/>
        <v>0</v>
      </c>
      <c r="E248" s="335">
        <f t="shared" si="34"/>
        <v>0</v>
      </c>
      <c r="F248" s="335">
        <f t="shared" si="34"/>
        <v>0</v>
      </c>
    </row>
    <row r="249" spans="1:6" hidden="1" outlineLevel="1">
      <c r="A249" s="10" t="str">
        <f t="shared" si="35"/>
        <v>Tranche OPTIONNELLE 3</v>
      </c>
      <c r="B249" s="10" t="str">
        <f t="shared" si="22"/>
        <v>ERREBA</v>
      </c>
      <c r="C249" s="10">
        <f t="shared" si="33"/>
        <v>0</v>
      </c>
      <c r="D249" s="10">
        <f t="shared" si="33"/>
        <v>0</v>
      </c>
      <c r="E249" s="335">
        <f t="shared" si="34"/>
        <v>0</v>
      </c>
      <c r="F249" s="335">
        <f t="shared" si="34"/>
        <v>0</v>
      </c>
    </row>
    <row r="250" spans="1:6" hidden="1" outlineLevel="1">
      <c r="A250" s="10" t="str">
        <f t="shared" si="35"/>
        <v>Tranche OPTIONNELLE 3</v>
      </c>
      <c r="B250" s="10" t="str">
        <f t="shared" si="22"/>
        <v>ERREBA</v>
      </c>
      <c r="C250" s="10">
        <f t="shared" si="33"/>
        <v>0</v>
      </c>
      <c r="D250" s="10">
        <f t="shared" si="33"/>
        <v>0</v>
      </c>
      <c r="E250" s="335">
        <f t="shared" si="34"/>
        <v>0</v>
      </c>
      <c r="F250" s="335">
        <f t="shared" si="34"/>
        <v>0</v>
      </c>
    </row>
    <row r="251" spans="1:6" hidden="1" outlineLevel="1">
      <c r="A251" s="10" t="str">
        <f t="shared" si="35"/>
        <v>Tranche OPTIONNELLE 3</v>
      </c>
      <c r="B251" s="10" t="str">
        <f t="shared" si="22"/>
        <v>ERREBA</v>
      </c>
      <c r="C251" s="10">
        <f t="shared" si="33"/>
        <v>0</v>
      </c>
      <c r="D251" s="10">
        <f t="shared" si="33"/>
        <v>0</v>
      </c>
      <c r="E251" s="335">
        <f t="shared" si="34"/>
        <v>0</v>
      </c>
      <c r="F251" s="335">
        <f t="shared" si="34"/>
        <v>0</v>
      </c>
    </row>
    <row r="252" spans="1:6" hidden="1" outlineLevel="1">
      <c r="A252" s="361" t="str">
        <f>A253</f>
        <v>Tranche OPTIONNELLE 4</v>
      </c>
      <c r="B252" s="361" t="str">
        <f>B253</f>
        <v>ERREBA</v>
      </c>
      <c r="C252" s="361" t="str">
        <f>C245</f>
        <v>Titulaire</v>
      </c>
      <c r="D252" s="358" t="str">
        <f>D245</f>
        <v>ERREBA</v>
      </c>
      <c r="E252" s="358">
        <f>E133</f>
        <v>0</v>
      </c>
      <c r="F252" s="358">
        <f>F133</f>
        <v>0</v>
      </c>
    </row>
    <row r="253" spans="1:6" hidden="1" outlineLevel="1">
      <c r="A253" s="10" t="str">
        <f>$A$130</f>
        <v>Tranche OPTIONNELLE 4</v>
      </c>
      <c r="B253" s="10" t="str">
        <f t="shared" si="22"/>
        <v>ERREBA</v>
      </c>
      <c r="C253" s="10">
        <f t="shared" ref="C253:D258" si="36">B134</f>
        <v>0</v>
      </c>
      <c r="D253" s="10">
        <f t="shared" si="36"/>
        <v>0</v>
      </c>
      <c r="E253" s="335">
        <f t="shared" ref="E253:F258" si="37">G134</f>
        <v>0</v>
      </c>
      <c r="F253" s="335">
        <f t="shared" si="37"/>
        <v>0</v>
      </c>
    </row>
    <row r="254" spans="1:6" hidden="1" outlineLevel="1">
      <c r="A254" s="10" t="str">
        <f t="shared" ref="A254:A258" si="38">$A$130</f>
        <v>Tranche OPTIONNELLE 4</v>
      </c>
      <c r="B254" s="10" t="str">
        <f t="shared" si="22"/>
        <v>ERREBA</v>
      </c>
      <c r="C254" s="10">
        <f t="shared" si="36"/>
        <v>0</v>
      </c>
      <c r="D254" s="10">
        <f t="shared" si="36"/>
        <v>0</v>
      </c>
      <c r="E254" s="335">
        <f t="shared" si="37"/>
        <v>0</v>
      </c>
      <c r="F254" s="335">
        <f t="shared" si="37"/>
        <v>0</v>
      </c>
    </row>
    <row r="255" spans="1:6" hidden="1" outlineLevel="1">
      <c r="A255" s="10" t="str">
        <f t="shared" si="38"/>
        <v>Tranche OPTIONNELLE 4</v>
      </c>
      <c r="B255" s="10" t="str">
        <f t="shared" si="22"/>
        <v>ERREBA</v>
      </c>
      <c r="C255" s="10">
        <f t="shared" si="36"/>
        <v>0</v>
      </c>
      <c r="D255" s="10">
        <f t="shared" si="36"/>
        <v>0</v>
      </c>
      <c r="E255" s="335">
        <f t="shared" si="37"/>
        <v>0</v>
      </c>
      <c r="F255" s="335">
        <f t="shared" si="37"/>
        <v>0</v>
      </c>
    </row>
    <row r="256" spans="1:6" hidden="1" outlineLevel="1">
      <c r="A256" s="10" t="str">
        <f t="shared" si="38"/>
        <v>Tranche OPTIONNELLE 4</v>
      </c>
      <c r="B256" s="10" t="str">
        <f t="shared" si="22"/>
        <v>ERREBA</v>
      </c>
      <c r="C256" s="10">
        <f t="shared" si="36"/>
        <v>0</v>
      </c>
      <c r="D256" s="10">
        <f t="shared" si="36"/>
        <v>0</v>
      </c>
      <c r="E256" s="335">
        <f t="shared" si="37"/>
        <v>0</v>
      </c>
      <c r="F256" s="335">
        <f t="shared" si="37"/>
        <v>0</v>
      </c>
    </row>
    <row r="257" spans="1:6" hidden="1" outlineLevel="1">
      <c r="A257" s="10" t="str">
        <f t="shared" si="38"/>
        <v>Tranche OPTIONNELLE 4</v>
      </c>
      <c r="B257" s="10" t="str">
        <f t="shared" si="22"/>
        <v>ERREBA</v>
      </c>
      <c r="C257" s="10">
        <f t="shared" si="36"/>
        <v>0</v>
      </c>
      <c r="D257" s="10">
        <f t="shared" si="36"/>
        <v>0</v>
      </c>
      <c r="E257" s="335">
        <f t="shared" si="37"/>
        <v>0</v>
      </c>
      <c r="F257" s="335">
        <f t="shared" si="37"/>
        <v>0</v>
      </c>
    </row>
    <row r="258" spans="1:6" hidden="1" outlineLevel="1">
      <c r="A258" s="10" t="str">
        <f t="shared" si="38"/>
        <v>Tranche OPTIONNELLE 4</v>
      </c>
      <c r="B258" s="10" t="str">
        <f t="shared" si="22"/>
        <v>ERREBA</v>
      </c>
      <c r="C258" s="10">
        <f t="shared" si="36"/>
        <v>0</v>
      </c>
      <c r="D258" s="10">
        <f t="shared" si="36"/>
        <v>0</v>
      </c>
      <c r="E258" s="335">
        <f t="shared" si="37"/>
        <v>0</v>
      </c>
      <c r="F258" s="335">
        <f t="shared" si="37"/>
        <v>0</v>
      </c>
    </row>
    <row r="259" spans="1:6" hidden="1" outlineLevel="1">
      <c r="A259" s="361" t="str">
        <f>A260</f>
        <v>Tranche OPTIONNELLE 5</v>
      </c>
      <c r="B259" s="361" t="str">
        <f>B260</f>
        <v>ERREBA</v>
      </c>
      <c r="C259" s="361" t="str">
        <f>C252</f>
        <v>Titulaire</v>
      </c>
      <c r="D259" s="358" t="str">
        <f>D252</f>
        <v>ERREBA</v>
      </c>
      <c r="E259" s="358">
        <f>E156</f>
        <v>0</v>
      </c>
      <c r="F259" s="358">
        <f>F156</f>
        <v>0</v>
      </c>
    </row>
    <row r="260" spans="1:6" hidden="1" outlineLevel="1">
      <c r="A260" s="359" t="str">
        <f>$A$153</f>
        <v>Tranche OPTIONNELLE 5</v>
      </c>
      <c r="B260" s="10" t="str">
        <f t="shared" si="22"/>
        <v>ERREBA</v>
      </c>
      <c r="C260" s="10">
        <f t="shared" ref="C260:D265" si="39">B157</f>
        <v>0</v>
      </c>
      <c r="D260" s="10">
        <f t="shared" si="39"/>
        <v>0</v>
      </c>
      <c r="E260" s="335">
        <f t="shared" ref="E260:F265" si="40">G157</f>
        <v>0</v>
      </c>
      <c r="F260" s="335">
        <f t="shared" si="40"/>
        <v>0</v>
      </c>
    </row>
    <row r="261" spans="1:6" hidden="1" outlineLevel="1">
      <c r="A261" s="359" t="str">
        <f t="shared" ref="A261:A265" si="41">$A$153</f>
        <v>Tranche OPTIONNELLE 5</v>
      </c>
      <c r="B261" s="10" t="str">
        <f t="shared" si="22"/>
        <v>ERREBA</v>
      </c>
      <c r="C261" s="10">
        <f t="shared" si="39"/>
        <v>0</v>
      </c>
      <c r="D261" s="10">
        <f t="shared" si="39"/>
        <v>0</v>
      </c>
      <c r="E261" s="335">
        <f t="shared" si="40"/>
        <v>0</v>
      </c>
      <c r="F261" s="335">
        <f t="shared" si="40"/>
        <v>0</v>
      </c>
    </row>
    <row r="262" spans="1:6" hidden="1" outlineLevel="1">
      <c r="A262" s="359" t="str">
        <f t="shared" si="41"/>
        <v>Tranche OPTIONNELLE 5</v>
      </c>
      <c r="B262" s="10" t="str">
        <f t="shared" si="22"/>
        <v>ERREBA</v>
      </c>
      <c r="C262" s="10">
        <f t="shared" si="39"/>
        <v>0</v>
      </c>
      <c r="D262" s="10">
        <f t="shared" si="39"/>
        <v>0</v>
      </c>
      <c r="E262" s="335">
        <f t="shared" si="40"/>
        <v>0</v>
      </c>
      <c r="F262" s="335">
        <f t="shared" si="40"/>
        <v>0</v>
      </c>
    </row>
    <row r="263" spans="1:6" hidden="1" outlineLevel="1">
      <c r="A263" s="359" t="str">
        <f t="shared" si="41"/>
        <v>Tranche OPTIONNELLE 5</v>
      </c>
      <c r="B263" s="10" t="str">
        <f t="shared" si="22"/>
        <v>ERREBA</v>
      </c>
      <c r="C263" s="10">
        <f t="shared" si="39"/>
        <v>0</v>
      </c>
      <c r="D263" s="10">
        <f t="shared" si="39"/>
        <v>0</v>
      </c>
      <c r="E263" s="335">
        <f t="shared" si="40"/>
        <v>0</v>
      </c>
      <c r="F263" s="335">
        <f t="shared" si="40"/>
        <v>0</v>
      </c>
    </row>
    <row r="264" spans="1:6" hidden="1" outlineLevel="1">
      <c r="A264" s="359" t="str">
        <f t="shared" si="41"/>
        <v>Tranche OPTIONNELLE 5</v>
      </c>
      <c r="B264" s="10" t="str">
        <f t="shared" si="22"/>
        <v>ERREBA</v>
      </c>
      <c r="C264" s="10">
        <f t="shared" si="39"/>
        <v>0</v>
      </c>
      <c r="D264" s="10">
        <f t="shared" si="39"/>
        <v>0</v>
      </c>
      <c r="E264" s="335">
        <f t="shared" si="40"/>
        <v>0</v>
      </c>
      <c r="F264" s="335">
        <f t="shared" si="40"/>
        <v>0</v>
      </c>
    </row>
    <row r="265" spans="1:6" hidden="1" outlineLevel="1">
      <c r="A265" s="359" t="str">
        <f t="shared" si="41"/>
        <v>Tranche OPTIONNELLE 5</v>
      </c>
      <c r="B265" s="10" t="str">
        <f t="shared" si="22"/>
        <v>ERREBA</v>
      </c>
      <c r="C265" s="10">
        <f t="shared" si="39"/>
        <v>0</v>
      </c>
      <c r="D265" s="10">
        <f t="shared" si="39"/>
        <v>0</v>
      </c>
      <c r="E265" s="335">
        <f t="shared" si="40"/>
        <v>0</v>
      </c>
      <c r="F265" s="335">
        <f t="shared" si="40"/>
        <v>0</v>
      </c>
    </row>
    <row r="266" spans="1:6" hidden="1" outlineLevel="1">
      <c r="A266" s="360" t="str">
        <f>A267</f>
        <v>Tranche OPTIONNELLE 6</v>
      </c>
      <c r="B266" s="361" t="str">
        <f>B267</f>
        <v>ERREBA</v>
      </c>
      <c r="C266" s="361" t="str">
        <f>C259</f>
        <v>Titulaire</v>
      </c>
      <c r="D266" s="358" t="str">
        <f>D259</f>
        <v>ERREBA</v>
      </c>
      <c r="E266" s="358">
        <f>E179</f>
        <v>0</v>
      </c>
      <c r="F266" s="358">
        <f>F179</f>
        <v>0</v>
      </c>
    </row>
    <row r="267" spans="1:6" hidden="1" outlineLevel="1">
      <c r="A267" s="359" t="str">
        <f>$A$176</f>
        <v>Tranche OPTIONNELLE 6</v>
      </c>
      <c r="B267" s="10" t="str">
        <f t="shared" si="22"/>
        <v>ERREBA</v>
      </c>
      <c r="C267" s="10">
        <f t="shared" ref="C267:D272" si="42">B180</f>
        <v>0</v>
      </c>
      <c r="D267" s="10">
        <f t="shared" si="42"/>
        <v>0</v>
      </c>
      <c r="E267" s="335">
        <f t="shared" ref="E267:F272" si="43">G180</f>
        <v>0</v>
      </c>
      <c r="F267" s="335">
        <f t="shared" si="43"/>
        <v>0</v>
      </c>
    </row>
    <row r="268" spans="1:6" hidden="1" outlineLevel="1">
      <c r="A268" s="359" t="str">
        <f t="shared" ref="A268:A272" si="44">$A$176</f>
        <v>Tranche OPTIONNELLE 6</v>
      </c>
      <c r="B268" s="10" t="str">
        <f t="shared" si="22"/>
        <v>ERREBA</v>
      </c>
      <c r="C268" s="10">
        <f t="shared" si="42"/>
        <v>0</v>
      </c>
      <c r="D268" s="10">
        <f t="shared" si="42"/>
        <v>0</v>
      </c>
      <c r="E268" s="335">
        <f t="shared" si="43"/>
        <v>0</v>
      </c>
      <c r="F268" s="335">
        <f t="shared" si="43"/>
        <v>0</v>
      </c>
    </row>
    <row r="269" spans="1:6" hidden="1" outlineLevel="1">
      <c r="A269" s="359" t="str">
        <f t="shared" si="44"/>
        <v>Tranche OPTIONNELLE 6</v>
      </c>
      <c r="B269" s="10" t="str">
        <f t="shared" si="22"/>
        <v>ERREBA</v>
      </c>
      <c r="C269" s="10">
        <f t="shared" si="42"/>
        <v>0</v>
      </c>
      <c r="D269" s="10">
        <f t="shared" si="42"/>
        <v>0</v>
      </c>
      <c r="E269" s="335">
        <f t="shared" si="43"/>
        <v>0</v>
      </c>
      <c r="F269" s="335">
        <f t="shared" si="43"/>
        <v>0</v>
      </c>
    </row>
    <row r="270" spans="1:6" hidden="1" outlineLevel="1">
      <c r="A270" s="359" t="str">
        <f t="shared" si="44"/>
        <v>Tranche OPTIONNELLE 6</v>
      </c>
      <c r="B270" s="10" t="str">
        <f t="shared" si="22"/>
        <v>ERREBA</v>
      </c>
      <c r="C270" s="10">
        <f t="shared" si="42"/>
        <v>0</v>
      </c>
      <c r="D270" s="10">
        <f t="shared" si="42"/>
        <v>0</v>
      </c>
      <c r="E270" s="335">
        <f t="shared" si="43"/>
        <v>0</v>
      </c>
      <c r="F270" s="335">
        <f t="shared" si="43"/>
        <v>0</v>
      </c>
    </row>
    <row r="271" spans="1:6" hidden="1" outlineLevel="1">
      <c r="A271" s="359" t="str">
        <f t="shared" si="44"/>
        <v>Tranche OPTIONNELLE 6</v>
      </c>
      <c r="B271" s="10" t="str">
        <f t="shared" si="22"/>
        <v>ERREBA</v>
      </c>
      <c r="C271" s="10">
        <f t="shared" si="42"/>
        <v>0</v>
      </c>
      <c r="D271" s="10">
        <f t="shared" si="42"/>
        <v>0</v>
      </c>
      <c r="E271" s="335">
        <f t="shared" si="43"/>
        <v>0</v>
      </c>
      <c r="F271" s="335">
        <f t="shared" si="43"/>
        <v>0</v>
      </c>
    </row>
    <row r="272" spans="1:6" hidden="1" outlineLevel="1">
      <c r="A272" s="359" t="str">
        <f t="shared" si="44"/>
        <v>Tranche OPTIONNELLE 6</v>
      </c>
      <c r="B272" s="10" t="str">
        <f t="shared" si="22"/>
        <v>ERREBA</v>
      </c>
      <c r="C272" s="10">
        <f t="shared" si="42"/>
        <v>0</v>
      </c>
      <c r="D272" s="10">
        <f t="shared" si="42"/>
        <v>0</v>
      </c>
      <c r="E272" s="335">
        <f t="shared" si="43"/>
        <v>0</v>
      </c>
      <c r="F272" s="335">
        <f t="shared" si="43"/>
        <v>0</v>
      </c>
    </row>
    <row r="273" spans="1:6" hidden="1" outlineLevel="1">
      <c r="A273" s="19" t="str">
        <f t="shared" ref="A273:A279" si="45">$A$199&amp;" "&amp;B203</f>
        <v>Avenants et OS Tranche Ferme</v>
      </c>
      <c r="B273" s="10" t="str">
        <f t="shared" si="22"/>
        <v>ERREBA</v>
      </c>
      <c r="C273" s="19" t="str">
        <f t="shared" ref="C273:C279" si="46">$C$266</f>
        <v>Titulaire</v>
      </c>
      <c r="D273" s="371" t="str">
        <f t="shared" ref="D273:D279" si="47">$D$266</f>
        <v>ERREBA</v>
      </c>
      <c r="E273" s="371">
        <f t="shared" ref="E273:F279" si="48">G203</f>
        <v>0</v>
      </c>
      <c r="F273" s="371">
        <f t="shared" si="48"/>
        <v>0</v>
      </c>
    </row>
    <row r="274" spans="1:6" hidden="1" outlineLevel="1">
      <c r="A274" s="19" t="str">
        <f t="shared" si="45"/>
        <v>Avenants et OS Tranche Optionnelle 1</v>
      </c>
      <c r="B274" s="10" t="str">
        <f t="shared" si="22"/>
        <v>ERREBA</v>
      </c>
      <c r="C274" s="19" t="str">
        <f t="shared" si="46"/>
        <v>Titulaire</v>
      </c>
      <c r="D274" s="371" t="str">
        <f t="shared" si="47"/>
        <v>ERREBA</v>
      </c>
      <c r="E274" s="371">
        <f t="shared" si="48"/>
        <v>0</v>
      </c>
      <c r="F274" s="371">
        <f t="shared" si="48"/>
        <v>0</v>
      </c>
    </row>
    <row r="275" spans="1:6" hidden="1" outlineLevel="1">
      <c r="A275" s="19" t="str">
        <f t="shared" si="45"/>
        <v>Avenants et OS Tranche Optionnelle 2</v>
      </c>
      <c r="B275" s="10" t="str">
        <f t="shared" si="22"/>
        <v>ERREBA</v>
      </c>
      <c r="C275" s="19" t="str">
        <f t="shared" si="46"/>
        <v>Titulaire</v>
      </c>
      <c r="D275" s="371" t="str">
        <f t="shared" si="47"/>
        <v>ERREBA</v>
      </c>
      <c r="E275" s="371">
        <f t="shared" si="48"/>
        <v>0</v>
      </c>
      <c r="F275" s="371">
        <f t="shared" si="48"/>
        <v>0</v>
      </c>
    </row>
    <row r="276" spans="1:6" hidden="1" outlineLevel="1">
      <c r="A276" s="19" t="str">
        <f t="shared" si="45"/>
        <v>Avenants et OS Tranche Optionnelle 3</v>
      </c>
      <c r="B276" s="10" t="str">
        <f t="shared" si="22"/>
        <v>ERREBA</v>
      </c>
      <c r="C276" s="19" t="str">
        <f t="shared" si="46"/>
        <v>Titulaire</v>
      </c>
      <c r="D276" s="371" t="str">
        <f t="shared" si="47"/>
        <v>ERREBA</v>
      </c>
      <c r="E276" s="371">
        <f t="shared" si="48"/>
        <v>0</v>
      </c>
      <c r="F276" s="371">
        <f t="shared" si="48"/>
        <v>0</v>
      </c>
    </row>
    <row r="277" spans="1:6" hidden="1" outlineLevel="1">
      <c r="A277" s="19" t="str">
        <f t="shared" si="45"/>
        <v>Avenants et OS Tranche Optionnelle 4</v>
      </c>
      <c r="B277" s="10" t="str">
        <f t="shared" si="22"/>
        <v>ERREBA</v>
      </c>
      <c r="C277" s="19" t="str">
        <f t="shared" si="46"/>
        <v>Titulaire</v>
      </c>
      <c r="D277" s="371" t="str">
        <f t="shared" si="47"/>
        <v>ERREBA</v>
      </c>
      <c r="E277" s="371">
        <f t="shared" si="48"/>
        <v>0</v>
      </c>
      <c r="F277" s="371">
        <f t="shared" si="48"/>
        <v>0</v>
      </c>
    </row>
    <row r="278" spans="1:6" hidden="1" outlineLevel="1">
      <c r="A278" s="19" t="str">
        <f t="shared" si="45"/>
        <v>Avenants et OS Tranche Optionnelle 5</v>
      </c>
      <c r="B278" s="10" t="str">
        <f t="shared" si="22"/>
        <v>ERREBA</v>
      </c>
      <c r="C278" s="19" t="str">
        <f t="shared" si="46"/>
        <v>Titulaire</v>
      </c>
      <c r="D278" s="371" t="str">
        <f t="shared" si="47"/>
        <v>ERREBA</v>
      </c>
      <c r="E278" s="371">
        <f t="shared" si="48"/>
        <v>0</v>
      </c>
      <c r="F278" s="371">
        <f t="shared" si="48"/>
        <v>0</v>
      </c>
    </row>
    <row r="279" spans="1:6" hidden="1" outlineLevel="1">
      <c r="A279" s="19" t="str">
        <f t="shared" si="45"/>
        <v>Avenants et OS Tranche Optionnelle 6</v>
      </c>
      <c r="B279" s="10" t="str">
        <f t="shared" si="22"/>
        <v>ERREBA</v>
      </c>
      <c r="C279" s="19" t="str">
        <f t="shared" si="46"/>
        <v>Titulaire</v>
      </c>
      <c r="D279" s="371" t="str">
        <f t="shared" si="47"/>
        <v>ERREBA</v>
      </c>
      <c r="E279" s="371">
        <f t="shared" si="48"/>
        <v>0</v>
      </c>
      <c r="F279" s="371">
        <f t="shared" si="48"/>
        <v>0</v>
      </c>
    </row>
    <row r="280" spans="1:6" hidden="1" outlineLevel="1">
      <c r="A280" s="9" t="str">
        <f>A281</f>
        <v>Tranche FERME</v>
      </c>
      <c r="B280" s="10" t="str">
        <f>$C$6</f>
        <v>SPIE</v>
      </c>
      <c r="C280" s="9" t="str">
        <f t="shared" ref="C280:C286" si="49">B52</f>
        <v>Cotraitant 1</v>
      </c>
      <c r="D280" s="9" t="str">
        <f>DONNEES!C6</f>
        <v>SPIE</v>
      </c>
      <c r="E280" s="364">
        <f t="shared" ref="E280:F286" si="50">G52</f>
        <v>10000</v>
      </c>
      <c r="F280" s="364">
        <f t="shared" si="50"/>
        <v>0</v>
      </c>
    </row>
    <row r="281" spans="1:6" hidden="1" outlineLevel="1">
      <c r="A281" s="10" t="str">
        <f>$A$38</f>
        <v>Tranche FERME</v>
      </c>
      <c r="B281" s="10" t="str">
        <f t="shared" ref="B281:B335" si="51">$C$6</f>
        <v>SPIE</v>
      </c>
      <c r="C281" s="10">
        <f t="shared" si="49"/>
        <v>0</v>
      </c>
      <c r="D281" s="10">
        <f t="shared" ref="D281:D286" si="52">C53</f>
        <v>0</v>
      </c>
      <c r="E281" s="335">
        <f t="shared" si="50"/>
        <v>0</v>
      </c>
      <c r="F281" s="335">
        <f t="shared" si="50"/>
        <v>0</v>
      </c>
    </row>
    <row r="282" spans="1:6" hidden="1" outlineLevel="1">
      <c r="A282" s="10" t="str">
        <f t="shared" ref="A282:A286" si="53">$A$38</f>
        <v>Tranche FERME</v>
      </c>
      <c r="B282" s="10" t="str">
        <f t="shared" si="51"/>
        <v>SPIE</v>
      </c>
      <c r="C282" s="10">
        <f t="shared" si="49"/>
        <v>0</v>
      </c>
      <c r="D282" s="10">
        <f t="shared" si="52"/>
        <v>0</v>
      </c>
      <c r="E282" s="335">
        <f t="shared" si="50"/>
        <v>0</v>
      </c>
      <c r="F282" s="335">
        <f t="shared" si="50"/>
        <v>0</v>
      </c>
    </row>
    <row r="283" spans="1:6" hidden="1" outlineLevel="1">
      <c r="A283" s="10" t="str">
        <f t="shared" si="53"/>
        <v>Tranche FERME</v>
      </c>
      <c r="B283" s="10" t="str">
        <f t="shared" si="51"/>
        <v>SPIE</v>
      </c>
      <c r="C283" s="10">
        <f t="shared" si="49"/>
        <v>0</v>
      </c>
      <c r="D283" s="10">
        <f t="shared" si="52"/>
        <v>0</v>
      </c>
      <c r="E283" s="335">
        <f t="shared" si="50"/>
        <v>0</v>
      </c>
      <c r="F283" s="335">
        <f t="shared" si="50"/>
        <v>0</v>
      </c>
    </row>
    <row r="284" spans="1:6" hidden="1" outlineLevel="1">
      <c r="A284" s="10" t="str">
        <f t="shared" si="53"/>
        <v>Tranche FERME</v>
      </c>
      <c r="B284" s="10" t="str">
        <f t="shared" si="51"/>
        <v>SPIE</v>
      </c>
      <c r="C284" s="10">
        <f t="shared" si="49"/>
        <v>0</v>
      </c>
      <c r="D284" s="10">
        <f t="shared" si="52"/>
        <v>0</v>
      </c>
      <c r="E284" s="335">
        <f t="shared" si="50"/>
        <v>0</v>
      </c>
      <c r="F284" s="335">
        <f t="shared" si="50"/>
        <v>0</v>
      </c>
    </row>
    <row r="285" spans="1:6" hidden="1" outlineLevel="1">
      <c r="A285" s="10" t="str">
        <f t="shared" si="53"/>
        <v>Tranche FERME</v>
      </c>
      <c r="B285" s="10" t="str">
        <f t="shared" si="51"/>
        <v>SPIE</v>
      </c>
      <c r="C285" s="10">
        <f t="shared" si="49"/>
        <v>0</v>
      </c>
      <c r="D285" s="10">
        <f t="shared" si="52"/>
        <v>0</v>
      </c>
      <c r="E285" s="335">
        <f t="shared" si="50"/>
        <v>0</v>
      </c>
      <c r="F285" s="335">
        <f t="shared" si="50"/>
        <v>0</v>
      </c>
    </row>
    <row r="286" spans="1:6" hidden="1" outlineLevel="1">
      <c r="A286" s="10" t="str">
        <f t="shared" si="53"/>
        <v>Tranche FERME</v>
      </c>
      <c r="B286" s="10" t="str">
        <f t="shared" si="51"/>
        <v>SPIE</v>
      </c>
      <c r="C286" s="10">
        <f t="shared" si="49"/>
        <v>0</v>
      </c>
      <c r="D286" s="10">
        <f t="shared" si="52"/>
        <v>0</v>
      </c>
      <c r="E286" s="335">
        <f t="shared" si="50"/>
        <v>0</v>
      </c>
      <c r="F286" s="335">
        <f t="shared" si="50"/>
        <v>0</v>
      </c>
    </row>
    <row r="287" spans="1:6" hidden="1" outlineLevel="1">
      <c r="A287" s="9" t="str">
        <f>$A$61</f>
        <v>Tranche OPTIONNELLE 1</v>
      </c>
      <c r="B287" s="10" t="str">
        <f t="shared" si="51"/>
        <v>SPIE</v>
      </c>
      <c r="C287" s="9" t="str">
        <f>C280</f>
        <v>Cotraitant 1</v>
      </c>
      <c r="D287" s="9" t="str">
        <f>D280</f>
        <v>SPIE</v>
      </c>
      <c r="E287" s="364">
        <f t="shared" ref="E287:F293" si="54">G75</f>
        <v>0</v>
      </c>
      <c r="F287" s="364">
        <f t="shared" si="54"/>
        <v>0</v>
      </c>
    </row>
    <row r="288" spans="1:6" hidden="1" outlineLevel="1">
      <c r="A288" s="10" t="str">
        <f>$A$61</f>
        <v>Tranche OPTIONNELLE 1</v>
      </c>
      <c r="B288" s="10" t="str">
        <f t="shared" si="51"/>
        <v>SPIE</v>
      </c>
      <c r="C288" s="10">
        <f t="shared" ref="C288:D293" si="55">B76</f>
        <v>0</v>
      </c>
      <c r="D288" s="10">
        <f t="shared" si="55"/>
        <v>0</v>
      </c>
      <c r="E288" s="335">
        <f t="shared" si="54"/>
        <v>0</v>
      </c>
      <c r="F288" s="335">
        <f t="shared" si="54"/>
        <v>0</v>
      </c>
    </row>
    <row r="289" spans="1:6" hidden="1" outlineLevel="1">
      <c r="A289" s="10" t="str">
        <f t="shared" ref="A289:A293" si="56">$A$61</f>
        <v>Tranche OPTIONNELLE 1</v>
      </c>
      <c r="B289" s="10" t="str">
        <f t="shared" si="51"/>
        <v>SPIE</v>
      </c>
      <c r="C289" s="10">
        <f t="shared" si="55"/>
        <v>0</v>
      </c>
      <c r="D289" s="10">
        <f t="shared" si="55"/>
        <v>0</v>
      </c>
      <c r="E289" s="335">
        <f t="shared" si="54"/>
        <v>0</v>
      </c>
      <c r="F289" s="335">
        <f t="shared" si="54"/>
        <v>0</v>
      </c>
    </row>
    <row r="290" spans="1:6" hidden="1" outlineLevel="1">
      <c r="A290" s="10" t="str">
        <f t="shared" si="56"/>
        <v>Tranche OPTIONNELLE 1</v>
      </c>
      <c r="B290" s="10" t="str">
        <f t="shared" si="51"/>
        <v>SPIE</v>
      </c>
      <c r="C290" s="10">
        <f t="shared" si="55"/>
        <v>0</v>
      </c>
      <c r="D290" s="10">
        <f t="shared" si="55"/>
        <v>0</v>
      </c>
      <c r="E290" s="335">
        <f t="shared" si="54"/>
        <v>0</v>
      </c>
      <c r="F290" s="335">
        <f t="shared" si="54"/>
        <v>0</v>
      </c>
    </row>
    <row r="291" spans="1:6" hidden="1" outlineLevel="1">
      <c r="A291" s="10" t="str">
        <f t="shared" si="56"/>
        <v>Tranche OPTIONNELLE 1</v>
      </c>
      <c r="B291" s="10" t="str">
        <f t="shared" si="51"/>
        <v>SPIE</v>
      </c>
      <c r="C291" s="10">
        <f t="shared" si="55"/>
        <v>0</v>
      </c>
      <c r="D291" s="10">
        <f t="shared" si="55"/>
        <v>0</v>
      </c>
      <c r="E291" s="335">
        <f t="shared" si="54"/>
        <v>0</v>
      </c>
      <c r="F291" s="335">
        <f t="shared" si="54"/>
        <v>0</v>
      </c>
    </row>
    <row r="292" spans="1:6" hidden="1" outlineLevel="1">
      <c r="A292" s="10" t="str">
        <f t="shared" si="56"/>
        <v>Tranche OPTIONNELLE 1</v>
      </c>
      <c r="B292" s="10" t="str">
        <f t="shared" si="51"/>
        <v>SPIE</v>
      </c>
      <c r="C292" s="10">
        <f t="shared" si="55"/>
        <v>0</v>
      </c>
      <c r="D292" s="10">
        <f t="shared" si="55"/>
        <v>0</v>
      </c>
      <c r="E292" s="335">
        <f t="shared" si="54"/>
        <v>0</v>
      </c>
      <c r="F292" s="335">
        <f t="shared" si="54"/>
        <v>0</v>
      </c>
    </row>
    <row r="293" spans="1:6" hidden="1" outlineLevel="1">
      <c r="A293" s="10" t="str">
        <f t="shared" si="56"/>
        <v>Tranche OPTIONNELLE 1</v>
      </c>
      <c r="B293" s="10" t="str">
        <f t="shared" si="51"/>
        <v>SPIE</v>
      </c>
      <c r="C293" s="10">
        <f t="shared" si="55"/>
        <v>0</v>
      </c>
      <c r="D293" s="10">
        <f t="shared" si="55"/>
        <v>0</v>
      </c>
      <c r="E293" s="335">
        <f t="shared" si="54"/>
        <v>0</v>
      </c>
      <c r="F293" s="335">
        <f t="shared" si="54"/>
        <v>0</v>
      </c>
    </row>
    <row r="294" spans="1:6" hidden="1" outlineLevel="1">
      <c r="A294" s="9" t="str">
        <f>$A$84</f>
        <v>Tranche OPTIONNELLE 2</v>
      </c>
      <c r="B294" s="10" t="str">
        <f t="shared" si="51"/>
        <v>SPIE</v>
      </c>
      <c r="C294" s="9" t="str">
        <f>C287</f>
        <v>Cotraitant 1</v>
      </c>
      <c r="D294" s="9" t="str">
        <f>D287</f>
        <v>SPIE</v>
      </c>
      <c r="E294" s="364">
        <f t="shared" ref="E294:F300" si="57">G98</f>
        <v>0</v>
      </c>
      <c r="F294" s="364">
        <f t="shared" si="57"/>
        <v>0</v>
      </c>
    </row>
    <row r="295" spans="1:6" hidden="1" outlineLevel="1">
      <c r="A295" s="10" t="str">
        <f>$A$84</f>
        <v>Tranche OPTIONNELLE 2</v>
      </c>
      <c r="B295" s="10" t="str">
        <f t="shared" si="51"/>
        <v>SPIE</v>
      </c>
      <c r="C295" s="10">
        <f t="shared" ref="C295:D300" si="58">B99</f>
        <v>0</v>
      </c>
      <c r="D295" s="10">
        <f t="shared" si="58"/>
        <v>0</v>
      </c>
      <c r="E295" s="335">
        <f t="shared" si="57"/>
        <v>0</v>
      </c>
      <c r="F295" s="335">
        <f t="shared" si="57"/>
        <v>0</v>
      </c>
    </row>
    <row r="296" spans="1:6" hidden="1" outlineLevel="1">
      <c r="A296" s="10" t="str">
        <f t="shared" ref="A296:A300" si="59">$A$84</f>
        <v>Tranche OPTIONNELLE 2</v>
      </c>
      <c r="B296" s="10" t="str">
        <f t="shared" si="51"/>
        <v>SPIE</v>
      </c>
      <c r="C296" s="10">
        <f t="shared" si="58"/>
        <v>0</v>
      </c>
      <c r="D296" s="10">
        <f t="shared" si="58"/>
        <v>0</v>
      </c>
      <c r="E296" s="335">
        <f t="shared" si="57"/>
        <v>0</v>
      </c>
      <c r="F296" s="335">
        <f t="shared" si="57"/>
        <v>0</v>
      </c>
    </row>
    <row r="297" spans="1:6" hidden="1" outlineLevel="1">
      <c r="A297" s="10" t="str">
        <f t="shared" si="59"/>
        <v>Tranche OPTIONNELLE 2</v>
      </c>
      <c r="B297" s="10" t="str">
        <f t="shared" si="51"/>
        <v>SPIE</v>
      </c>
      <c r="C297" s="10">
        <f t="shared" si="58"/>
        <v>0</v>
      </c>
      <c r="D297" s="10">
        <f t="shared" si="58"/>
        <v>0</v>
      </c>
      <c r="E297" s="335">
        <f t="shared" si="57"/>
        <v>0</v>
      </c>
      <c r="F297" s="335">
        <f t="shared" si="57"/>
        <v>0</v>
      </c>
    </row>
    <row r="298" spans="1:6" hidden="1" outlineLevel="1">
      <c r="A298" s="10" t="str">
        <f t="shared" si="59"/>
        <v>Tranche OPTIONNELLE 2</v>
      </c>
      <c r="B298" s="10" t="str">
        <f t="shared" si="51"/>
        <v>SPIE</v>
      </c>
      <c r="C298" s="10">
        <f t="shared" si="58"/>
        <v>0</v>
      </c>
      <c r="D298" s="10">
        <f t="shared" si="58"/>
        <v>0</v>
      </c>
      <c r="E298" s="335">
        <f t="shared" si="57"/>
        <v>0</v>
      </c>
      <c r="F298" s="335">
        <f t="shared" si="57"/>
        <v>0</v>
      </c>
    </row>
    <row r="299" spans="1:6" hidden="1" outlineLevel="1">
      <c r="A299" s="10" t="str">
        <f t="shared" si="59"/>
        <v>Tranche OPTIONNELLE 2</v>
      </c>
      <c r="B299" s="10" t="str">
        <f t="shared" si="51"/>
        <v>SPIE</v>
      </c>
      <c r="C299" s="10">
        <f t="shared" si="58"/>
        <v>0</v>
      </c>
      <c r="D299" s="10">
        <f t="shared" si="58"/>
        <v>0</v>
      </c>
      <c r="E299" s="335">
        <f t="shared" si="57"/>
        <v>0</v>
      </c>
      <c r="F299" s="335">
        <f t="shared" si="57"/>
        <v>0</v>
      </c>
    </row>
    <row r="300" spans="1:6" hidden="1" outlineLevel="1">
      <c r="A300" s="10" t="str">
        <f t="shared" si="59"/>
        <v>Tranche OPTIONNELLE 2</v>
      </c>
      <c r="B300" s="10" t="str">
        <f t="shared" si="51"/>
        <v>SPIE</v>
      </c>
      <c r="C300" s="10">
        <f t="shared" si="58"/>
        <v>0</v>
      </c>
      <c r="D300" s="10">
        <f t="shared" si="58"/>
        <v>0</v>
      </c>
      <c r="E300" s="335">
        <f t="shared" si="57"/>
        <v>0</v>
      </c>
      <c r="F300" s="335">
        <f t="shared" si="57"/>
        <v>0</v>
      </c>
    </row>
    <row r="301" spans="1:6" hidden="1" outlineLevel="1">
      <c r="A301" s="10" t="str">
        <f>$A$107</f>
        <v>Tranche OPTIONNELLE 3</v>
      </c>
      <c r="B301" s="10" t="str">
        <f t="shared" si="51"/>
        <v>SPIE</v>
      </c>
      <c r="C301" s="361" t="str">
        <f>C294</f>
        <v>Cotraitant 1</v>
      </c>
      <c r="D301" s="361" t="str">
        <f>D294</f>
        <v>SPIE</v>
      </c>
      <c r="E301" s="358">
        <f t="shared" ref="E301:F307" si="60">G121</f>
        <v>0</v>
      </c>
      <c r="F301" s="358">
        <f t="shared" si="60"/>
        <v>0</v>
      </c>
    </row>
    <row r="302" spans="1:6" hidden="1" outlineLevel="1">
      <c r="A302" s="10" t="str">
        <f>$A$107</f>
        <v>Tranche OPTIONNELLE 3</v>
      </c>
      <c r="B302" s="10" t="str">
        <f t="shared" si="51"/>
        <v>SPIE</v>
      </c>
      <c r="C302" s="10">
        <f t="shared" ref="C302:D307" si="61">B122</f>
        <v>0</v>
      </c>
      <c r="D302" s="10">
        <f t="shared" si="61"/>
        <v>0</v>
      </c>
      <c r="E302" s="335">
        <f t="shared" si="60"/>
        <v>0</v>
      </c>
      <c r="F302" s="335">
        <f t="shared" si="60"/>
        <v>0</v>
      </c>
    </row>
    <row r="303" spans="1:6" hidden="1" outlineLevel="1">
      <c r="A303" s="10" t="str">
        <f t="shared" ref="A303:A307" si="62">$A$107</f>
        <v>Tranche OPTIONNELLE 3</v>
      </c>
      <c r="B303" s="10" t="str">
        <f t="shared" si="51"/>
        <v>SPIE</v>
      </c>
      <c r="C303" s="10">
        <f t="shared" si="61"/>
        <v>0</v>
      </c>
      <c r="D303" s="10">
        <f t="shared" si="61"/>
        <v>0</v>
      </c>
      <c r="E303" s="335">
        <f t="shared" si="60"/>
        <v>0</v>
      </c>
      <c r="F303" s="335">
        <f t="shared" si="60"/>
        <v>0</v>
      </c>
    </row>
    <row r="304" spans="1:6" hidden="1" outlineLevel="1">
      <c r="A304" s="10" t="str">
        <f t="shared" si="62"/>
        <v>Tranche OPTIONNELLE 3</v>
      </c>
      <c r="B304" s="10" t="str">
        <f t="shared" si="51"/>
        <v>SPIE</v>
      </c>
      <c r="C304" s="10">
        <f t="shared" si="61"/>
        <v>0</v>
      </c>
      <c r="D304" s="10">
        <f t="shared" si="61"/>
        <v>0</v>
      </c>
      <c r="E304" s="335">
        <f t="shared" si="60"/>
        <v>0</v>
      </c>
      <c r="F304" s="335">
        <f t="shared" si="60"/>
        <v>0</v>
      </c>
    </row>
    <row r="305" spans="1:6" hidden="1" outlineLevel="1">
      <c r="A305" s="10" t="str">
        <f t="shared" si="62"/>
        <v>Tranche OPTIONNELLE 3</v>
      </c>
      <c r="B305" s="10" t="str">
        <f t="shared" si="51"/>
        <v>SPIE</v>
      </c>
      <c r="C305" s="10">
        <f t="shared" si="61"/>
        <v>0</v>
      </c>
      <c r="D305" s="10">
        <f t="shared" si="61"/>
        <v>0</v>
      </c>
      <c r="E305" s="335">
        <f t="shared" si="60"/>
        <v>0</v>
      </c>
      <c r="F305" s="335">
        <f t="shared" si="60"/>
        <v>0</v>
      </c>
    </row>
    <row r="306" spans="1:6" hidden="1" outlineLevel="1">
      <c r="A306" s="10" t="str">
        <f t="shared" si="62"/>
        <v>Tranche OPTIONNELLE 3</v>
      </c>
      <c r="B306" s="10" t="str">
        <f t="shared" si="51"/>
        <v>SPIE</v>
      </c>
      <c r="C306" s="10">
        <f t="shared" si="61"/>
        <v>0</v>
      </c>
      <c r="D306" s="10">
        <f t="shared" si="61"/>
        <v>0</v>
      </c>
      <c r="E306" s="335">
        <f t="shared" si="60"/>
        <v>0</v>
      </c>
      <c r="F306" s="335">
        <f t="shared" si="60"/>
        <v>0</v>
      </c>
    </row>
    <row r="307" spans="1:6" hidden="1" outlineLevel="1">
      <c r="A307" s="10" t="str">
        <f t="shared" si="62"/>
        <v>Tranche OPTIONNELLE 3</v>
      </c>
      <c r="B307" s="10" t="str">
        <f t="shared" si="51"/>
        <v>SPIE</v>
      </c>
      <c r="C307" s="10">
        <f t="shared" si="61"/>
        <v>0</v>
      </c>
      <c r="D307" s="10">
        <f t="shared" si="61"/>
        <v>0</v>
      </c>
      <c r="E307" s="335">
        <f t="shared" si="60"/>
        <v>0</v>
      </c>
      <c r="F307" s="335">
        <f t="shared" si="60"/>
        <v>0</v>
      </c>
    </row>
    <row r="308" spans="1:6" hidden="1" outlineLevel="1">
      <c r="A308" s="10" t="str">
        <f>$A$130</f>
        <v>Tranche OPTIONNELLE 4</v>
      </c>
      <c r="B308" s="10" t="str">
        <f t="shared" si="51"/>
        <v>SPIE</v>
      </c>
      <c r="C308" s="361" t="str">
        <f>C301</f>
        <v>Cotraitant 1</v>
      </c>
      <c r="D308" s="361" t="str">
        <f>D301</f>
        <v>SPIE</v>
      </c>
      <c r="E308" s="358">
        <f t="shared" ref="E308:F314" si="63">G144</f>
        <v>0</v>
      </c>
      <c r="F308" s="358">
        <f t="shared" si="63"/>
        <v>0</v>
      </c>
    </row>
    <row r="309" spans="1:6" hidden="1" outlineLevel="1">
      <c r="A309" s="10" t="str">
        <f>$A$130</f>
        <v>Tranche OPTIONNELLE 4</v>
      </c>
      <c r="B309" s="10" t="str">
        <f t="shared" si="51"/>
        <v>SPIE</v>
      </c>
      <c r="C309" s="10">
        <f t="shared" ref="C309:D314" si="64">B145</f>
        <v>0</v>
      </c>
      <c r="D309" s="10">
        <f t="shared" si="64"/>
        <v>0</v>
      </c>
      <c r="E309" s="335">
        <f t="shared" si="63"/>
        <v>0</v>
      </c>
      <c r="F309" s="335">
        <f t="shared" si="63"/>
        <v>0</v>
      </c>
    </row>
    <row r="310" spans="1:6" hidden="1" outlineLevel="1">
      <c r="A310" s="10" t="str">
        <f t="shared" ref="A310:A314" si="65">$A$130</f>
        <v>Tranche OPTIONNELLE 4</v>
      </c>
      <c r="B310" s="10" t="str">
        <f t="shared" si="51"/>
        <v>SPIE</v>
      </c>
      <c r="C310" s="10">
        <f t="shared" si="64"/>
        <v>0</v>
      </c>
      <c r="D310" s="10">
        <f t="shared" si="64"/>
        <v>0</v>
      </c>
      <c r="E310" s="335">
        <f t="shared" si="63"/>
        <v>0</v>
      </c>
      <c r="F310" s="335">
        <f t="shared" si="63"/>
        <v>0</v>
      </c>
    </row>
    <row r="311" spans="1:6" hidden="1" outlineLevel="1">
      <c r="A311" s="10" t="str">
        <f t="shared" si="65"/>
        <v>Tranche OPTIONNELLE 4</v>
      </c>
      <c r="B311" s="10" t="str">
        <f t="shared" si="51"/>
        <v>SPIE</v>
      </c>
      <c r="C311" s="10">
        <f t="shared" si="64"/>
        <v>0</v>
      </c>
      <c r="D311" s="10">
        <f t="shared" si="64"/>
        <v>0</v>
      </c>
      <c r="E311" s="335">
        <f t="shared" si="63"/>
        <v>0</v>
      </c>
      <c r="F311" s="335">
        <f t="shared" si="63"/>
        <v>0</v>
      </c>
    </row>
    <row r="312" spans="1:6" hidden="1" outlineLevel="1">
      <c r="A312" s="10" t="str">
        <f t="shared" si="65"/>
        <v>Tranche OPTIONNELLE 4</v>
      </c>
      <c r="B312" s="10" t="str">
        <f t="shared" si="51"/>
        <v>SPIE</v>
      </c>
      <c r="C312" s="10">
        <f t="shared" si="64"/>
        <v>0</v>
      </c>
      <c r="D312" s="10">
        <f t="shared" si="64"/>
        <v>0</v>
      </c>
      <c r="E312" s="335">
        <f t="shared" si="63"/>
        <v>0</v>
      </c>
      <c r="F312" s="335">
        <f t="shared" si="63"/>
        <v>0</v>
      </c>
    </row>
    <row r="313" spans="1:6" hidden="1" outlineLevel="1">
      <c r="A313" s="10" t="str">
        <f t="shared" si="65"/>
        <v>Tranche OPTIONNELLE 4</v>
      </c>
      <c r="B313" s="10" t="str">
        <f t="shared" si="51"/>
        <v>SPIE</v>
      </c>
      <c r="C313" s="10">
        <f t="shared" si="64"/>
        <v>0</v>
      </c>
      <c r="D313" s="10">
        <f t="shared" si="64"/>
        <v>0</v>
      </c>
      <c r="E313" s="335">
        <f t="shared" si="63"/>
        <v>0</v>
      </c>
      <c r="F313" s="335">
        <f t="shared" si="63"/>
        <v>0</v>
      </c>
    </row>
    <row r="314" spans="1:6" hidden="1" outlineLevel="1">
      <c r="A314" s="10" t="str">
        <f t="shared" si="65"/>
        <v>Tranche OPTIONNELLE 4</v>
      </c>
      <c r="B314" s="10" t="str">
        <f t="shared" si="51"/>
        <v>SPIE</v>
      </c>
      <c r="C314" s="10">
        <f t="shared" si="64"/>
        <v>0</v>
      </c>
      <c r="D314" s="10">
        <f t="shared" si="64"/>
        <v>0</v>
      </c>
      <c r="E314" s="335">
        <f t="shared" si="63"/>
        <v>0</v>
      </c>
      <c r="F314" s="335">
        <f t="shared" si="63"/>
        <v>0</v>
      </c>
    </row>
    <row r="315" spans="1:6" hidden="1" outlineLevel="1">
      <c r="A315" s="10" t="str">
        <f>$A$153</f>
        <v>Tranche OPTIONNELLE 5</v>
      </c>
      <c r="B315" s="10" t="str">
        <f t="shared" si="51"/>
        <v>SPIE</v>
      </c>
      <c r="C315" s="361" t="str">
        <f>C308</f>
        <v>Cotraitant 1</v>
      </c>
      <c r="D315" s="361" t="str">
        <f>D308</f>
        <v>SPIE</v>
      </c>
      <c r="E315" s="358">
        <f t="shared" ref="E315:F321" si="66">G167</f>
        <v>0</v>
      </c>
      <c r="F315" s="358">
        <f t="shared" si="66"/>
        <v>0</v>
      </c>
    </row>
    <row r="316" spans="1:6" hidden="1" outlineLevel="1">
      <c r="A316" s="10" t="str">
        <f>$A$153</f>
        <v>Tranche OPTIONNELLE 5</v>
      </c>
      <c r="B316" s="10" t="str">
        <f t="shared" si="51"/>
        <v>SPIE</v>
      </c>
      <c r="C316" s="10">
        <f t="shared" ref="C316:D321" si="67">B168</f>
        <v>0</v>
      </c>
      <c r="D316" s="10">
        <f t="shared" si="67"/>
        <v>0</v>
      </c>
      <c r="E316" s="335">
        <f t="shared" si="66"/>
        <v>0</v>
      </c>
      <c r="F316" s="335">
        <f t="shared" si="66"/>
        <v>0</v>
      </c>
    </row>
    <row r="317" spans="1:6" hidden="1" outlineLevel="1">
      <c r="A317" s="10" t="str">
        <f t="shared" ref="A317:A321" si="68">$A$153</f>
        <v>Tranche OPTIONNELLE 5</v>
      </c>
      <c r="B317" s="10" t="str">
        <f t="shared" si="51"/>
        <v>SPIE</v>
      </c>
      <c r="C317" s="10">
        <f t="shared" si="67"/>
        <v>0</v>
      </c>
      <c r="D317" s="10">
        <f t="shared" si="67"/>
        <v>0</v>
      </c>
      <c r="E317" s="335">
        <f t="shared" si="66"/>
        <v>0</v>
      </c>
      <c r="F317" s="335">
        <f t="shared" si="66"/>
        <v>0</v>
      </c>
    </row>
    <row r="318" spans="1:6" hidden="1" outlineLevel="1">
      <c r="A318" s="10" t="str">
        <f t="shared" si="68"/>
        <v>Tranche OPTIONNELLE 5</v>
      </c>
      <c r="B318" s="10" t="str">
        <f t="shared" si="51"/>
        <v>SPIE</v>
      </c>
      <c r="C318" s="10">
        <f t="shared" si="67"/>
        <v>0</v>
      </c>
      <c r="D318" s="10">
        <f t="shared" si="67"/>
        <v>0</v>
      </c>
      <c r="E318" s="335">
        <f t="shared" si="66"/>
        <v>0</v>
      </c>
      <c r="F318" s="335">
        <f t="shared" si="66"/>
        <v>0</v>
      </c>
    </row>
    <row r="319" spans="1:6" hidden="1" outlineLevel="1">
      <c r="A319" s="10" t="str">
        <f t="shared" si="68"/>
        <v>Tranche OPTIONNELLE 5</v>
      </c>
      <c r="B319" s="10" t="str">
        <f t="shared" si="51"/>
        <v>SPIE</v>
      </c>
      <c r="C319" s="10">
        <f t="shared" si="67"/>
        <v>0</v>
      </c>
      <c r="D319" s="10">
        <f t="shared" si="67"/>
        <v>0</v>
      </c>
      <c r="E319" s="335">
        <f t="shared" si="66"/>
        <v>0</v>
      </c>
      <c r="F319" s="335">
        <f t="shared" si="66"/>
        <v>0</v>
      </c>
    </row>
    <row r="320" spans="1:6" hidden="1" outlineLevel="1">
      <c r="A320" s="10" t="str">
        <f t="shared" si="68"/>
        <v>Tranche OPTIONNELLE 5</v>
      </c>
      <c r="B320" s="10" t="str">
        <f t="shared" si="51"/>
        <v>SPIE</v>
      </c>
      <c r="C320" s="10">
        <f t="shared" si="67"/>
        <v>0</v>
      </c>
      <c r="D320" s="10">
        <f t="shared" si="67"/>
        <v>0</v>
      </c>
      <c r="E320" s="335">
        <f t="shared" si="66"/>
        <v>0</v>
      </c>
      <c r="F320" s="335">
        <f t="shared" si="66"/>
        <v>0</v>
      </c>
    </row>
    <row r="321" spans="1:6" hidden="1" outlineLevel="1">
      <c r="A321" s="10" t="str">
        <f t="shared" si="68"/>
        <v>Tranche OPTIONNELLE 5</v>
      </c>
      <c r="B321" s="10" t="str">
        <f t="shared" si="51"/>
        <v>SPIE</v>
      </c>
      <c r="C321" s="10">
        <f t="shared" si="67"/>
        <v>0</v>
      </c>
      <c r="D321" s="10">
        <f t="shared" si="67"/>
        <v>0</v>
      </c>
      <c r="E321" s="335">
        <f t="shared" si="66"/>
        <v>0</v>
      </c>
      <c r="F321" s="335">
        <f t="shared" si="66"/>
        <v>0</v>
      </c>
    </row>
    <row r="322" spans="1:6" hidden="1" outlineLevel="1">
      <c r="A322" s="10" t="str">
        <f>$A$176</f>
        <v>Tranche OPTIONNELLE 6</v>
      </c>
      <c r="B322" s="10" t="str">
        <f t="shared" si="51"/>
        <v>SPIE</v>
      </c>
      <c r="C322" s="361" t="str">
        <f>C315</f>
        <v>Cotraitant 1</v>
      </c>
      <c r="D322" s="361" t="str">
        <f>D315</f>
        <v>SPIE</v>
      </c>
      <c r="E322" s="358">
        <f t="shared" ref="E322:F328" si="69">G190</f>
        <v>0</v>
      </c>
      <c r="F322" s="358">
        <f t="shared" si="69"/>
        <v>0</v>
      </c>
    </row>
    <row r="323" spans="1:6" hidden="1" outlineLevel="1">
      <c r="A323" s="10" t="str">
        <f>$A$176</f>
        <v>Tranche OPTIONNELLE 6</v>
      </c>
      <c r="B323" s="10" t="str">
        <f t="shared" si="51"/>
        <v>SPIE</v>
      </c>
      <c r="C323" s="10">
        <f t="shared" ref="C323:D328" si="70">B191</f>
        <v>0</v>
      </c>
      <c r="D323" s="10">
        <f t="shared" si="70"/>
        <v>0</v>
      </c>
      <c r="E323" s="335">
        <f t="shared" si="69"/>
        <v>0</v>
      </c>
      <c r="F323" s="335">
        <f t="shared" si="69"/>
        <v>0</v>
      </c>
    </row>
    <row r="324" spans="1:6" hidden="1" outlineLevel="1">
      <c r="A324" s="10" t="str">
        <f t="shared" ref="A324:A328" si="71">$A$176</f>
        <v>Tranche OPTIONNELLE 6</v>
      </c>
      <c r="B324" s="10" t="str">
        <f t="shared" si="51"/>
        <v>SPIE</v>
      </c>
      <c r="C324" s="10">
        <f t="shared" si="70"/>
        <v>0</v>
      </c>
      <c r="D324" s="10">
        <f t="shared" si="70"/>
        <v>0</v>
      </c>
      <c r="E324" s="335">
        <f t="shared" si="69"/>
        <v>0</v>
      </c>
      <c r="F324" s="335">
        <f t="shared" si="69"/>
        <v>0</v>
      </c>
    </row>
    <row r="325" spans="1:6" hidden="1" outlineLevel="1">
      <c r="A325" s="10" t="str">
        <f t="shared" si="71"/>
        <v>Tranche OPTIONNELLE 6</v>
      </c>
      <c r="B325" s="10" t="str">
        <f t="shared" si="51"/>
        <v>SPIE</v>
      </c>
      <c r="C325" s="10">
        <f t="shared" si="70"/>
        <v>0</v>
      </c>
      <c r="D325" s="10">
        <f t="shared" si="70"/>
        <v>0</v>
      </c>
      <c r="E325" s="335">
        <f t="shared" si="69"/>
        <v>0</v>
      </c>
      <c r="F325" s="335">
        <f t="shared" si="69"/>
        <v>0</v>
      </c>
    </row>
    <row r="326" spans="1:6" hidden="1" outlineLevel="1">
      <c r="A326" s="10" t="str">
        <f t="shared" si="71"/>
        <v>Tranche OPTIONNELLE 6</v>
      </c>
      <c r="B326" s="10" t="str">
        <f t="shared" si="51"/>
        <v>SPIE</v>
      </c>
      <c r="C326" s="10">
        <f t="shared" si="70"/>
        <v>0</v>
      </c>
      <c r="D326" s="10">
        <f t="shared" si="70"/>
        <v>0</v>
      </c>
      <c r="E326" s="335">
        <f t="shared" si="69"/>
        <v>0</v>
      </c>
      <c r="F326" s="335">
        <f t="shared" si="69"/>
        <v>0</v>
      </c>
    </row>
    <row r="327" spans="1:6" hidden="1" outlineLevel="1">
      <c r="A327" s="10" t="str">
        <f t="shared" si="71"/>
        <v>Tranche OPTIONNELLE 6</v>
      </c>
      <c r="B327" s="10" t="str">
        <f t="shared" si="51"/>
        <v>SPIE</v>
      </c>
      <c r="C327" s="10">
        <f t="shared" si="70"/>
        <v>0</v>
      </c>
      <c r="D327" s="10">
        <f t="shared" si="70"/>
        <v>0</v>
      </c>
      <c r="E327" s="335">
        <f t="shared" si="69"/>
        <v>0</v>
      </c>
      <c r="F327" s="335">
        <f t="shared" si="69"/>
        <v>0</v>
      </c>
    </row>
    <row r="328" spans="1:6" hidden="1" outlineLevel="1">
      <c r="A328" s="10" t="str">
        <f t="shared" si="71"/>
        <v>Tranche OPTIONNELLE 6</v>
      </c>
      <c r="B328" s="10" t="str">
        <f t="shared" si="51"/>
        <v>SPIE</v>
      </c>
      <c r="C328" s="10">
        <f t="shared" si="70"/>
        <v>0</v>
      </c>
      <c r="D328" s="10">
        <f t="shared" si="70"/>
        <v>0</v>
      </c>
      <c r="E328" s="335">
        <f t="shared" si="69"/>
        <v>0</v>
      </c>
      <c r="F328" s="335">
        <f t="shared" si="69"/>
        <v>0</v>
      </c>
    </row>
    <row r="329" spans="1:6" hidden="1" outlineLevel="1">
      <c r="A329" s="10" t="str">
        <f t="shared" ref="A329:A335" si="72">$A$199&amp;" "&amp;B215</f>
        <v>Avenants et OS Tranche Ferme</v>
      </c>
      <c r="B329" s="10" t="str">
        <f t="shared" si="51"/>
        <v>SPIE</v>
      </c>
      <c r="C329" s="19" t="str">
        <f t="shared" ref="C329:C335" si="73">$C$322</f>
        <v>Cotraitant 1</v>
      </c>
      <c r="D329" s="19" t="str">
        <f t="shared" ref="D329:D335" si="74">$D$322</f>
        <v>SPIE</v>
      </c>
      <c r="E329" s="371">
        <f t="shared" ref="E329:F335" si="75">G215</f>
        <v>0</v>
      </c>
      <c r="F329" s="371">
        <f t="shared" si="75"/>
        <v>0</v>
      </c>
    </row>
    <row r="330" spans="1:6" hidden="1" outlineLevel="1">
      <c r="A330" s="10" t="str">
        <f t="shared" si="72"/>
        <v>Avenants et OS Tranche Optionnelle 1</v>
      </c>
      <c r="B330" s="10" t="str">
        <f t="shared" si="51"/>
        <v>SPIE</v>
      </c>
      <c r="C330" s="19" t="str">
        <f t="shared" si="73"/>
        <v>Cotraitant 1</v>
      </c>
      <c r="D330" s="19" t="str">
        <f t="shared" si="74"/>
        <v>SPIE</v>
      </c>
      <c r="E330" s="371">
        <f t="shared" si="75"/>
        <v>0</v>
      </c>
      <c r="F330" s="371">
        <f t="shared" si="75"/>
        <v>0</v>
      </c>
    </row>
    <row r="331" spans="1:6" hidden="1" outlineLevel="1">
      <c r="A331" s="10" t="str">
        <f t="shared" si="72"/>
        <v>Avenants et OS Tranche Optionnelle 2</v>
      </c>
      <c r="B331" s="10" t="str">
        <f t="shared" si="51"/>
        <v>SPIE</v>
      </c>
      <c r="C331" s="19" t="str">
        <f t="shared" si="73"/>
        <v>Cotraitant 1</v>
      </c>
      <c r="D331" s="19" t="str">
        <f t="shared" si="74"/>
        <v>SPIE</v>
      </c>
      <c r="E331" s="371">
        <f t="shared" si="75"/>
        <v>0</v>
      </c>
      <c r="F331" s="371">
        <f t="shared" si="75"/>
        <v>0</v>
      </c>
    </row>
    <row r="332" spans="1:6" hidden="1" outlineLevel="1">
      <c r="A332" s="10" t="str">
        <f t="shared" si="72"/>
        <v>Avenants et OS Tranche Optionnelle 3</v>
      </c>
      <c r="B332" s="10" t="str">
        <f t="shared" si="51"/>
        <v>SPIE</v>
      </c>
      <c r="C332" s="19" t="str">
        <f t="shared" si="73"/>
        <v>Cotraitant 1</v>
      </c>
      <c r="D332" s="19" t="str">
        <f t="shared" si="74"/>
        <v>SPIE</v>
      </c>
      <c r="E332" s="371">
        <f t="shared" si="75"/>
        <v>0</v>
      </c>
      <c r="F332" s="371">
        <f t="shared" si="75"/>
        <v>0</v>
      </c>
    </row>
    <row r="333" spans="1:6" hidden="1" outlineLevel="1">
      <c r="A333" s="10" t="str">
        <f t="shared" si="72"/>
        <v>Avenants et OS Tranche Optionnelle 4</v>
      </c>
      <c r="B333" s="10" t="str">
        <f t="shared" si="51"/>
        <v>SPIE</v>
      </c>
      <c r="C333" s="19" t="str">
        <f t="shared" si="73"/>
        <v>Cotraitant 1</v>
      </c>
      <c r="D333" s="19" t="str">
        <f t="shared" si="74"/>
        <v>SPIE</v>
      </c>
      <c r="E333" s="371">
        <f t="shared" si="75"/>
        <v>0</v>
      </c>
      <c r="F333" s="371">
        <f t="shared" si="75"/>
        <v>0</v>
      </c>
    </row>
    <row r="334" spans="1:6" hidden="1" outlineLevel="1">
      <c r="A334" s="10" t="str">
        <f t="shared" si="72"/>
        <v>Avenants et OS Tranche Optionnelle 5</v>
      </c>
      <c r="B334" s="10" t="str">
        <f t="shared" si="51"/>
        <v>SPIE</v>
      </c>
      <c r="C334" s="19" t="str">
        <f t="shared" si="73"/>
        <v>Cotraitant 1</v>
      </c>
      <c r="D334" s="19" t="str">
        <f t="shared" si="74"/>
        <v>SPIE</v>
      </c>
      <c r="E334" s="371">
        <f t="shared" si="75"/>
        <v>0</v>
      </c>
      <c r="F334" s="371">
        <f t="shared" si="75"/>
        <v>0</v>
      </c>
    </row>
    <row r="335" spans="1:6" hidden="1" outlineLevel="1">
      <c r="A335" s="10" t="str">
        <f t="shared" si="72"/>
        <v>Avenants et OS Tranche Optionnelle 6</v>
      </c>
      <c r="B335" s="10" t="str">
        <f t="shared" si="51"/>
        <v>SPIE</v>
      </c>
      <c r="C335" s="19" t="str">
        <f t="shared" si="73"/>
        <v>Cotraitant 1</v>
      </c>
      <c r="D335" s="19" t="str">
        <f t="shared" si="74"/>
        <v>SPIE</v>
      </c>
      <c r="E335" s="371">
        <f t="shared" si="75"/>
        <v>0</v>
      </c>
      <c r="F335" s="371">
        <f t="shared" si="75"/>
        <v>0</v>
      </c>
    </row>
    <row r="336" spans="1:6" hidden="1" outlineLevel="1"/>
    <row r="337" collapsed="1"/>
  </sheetData>
  <sheetProtection algorithmName="SHA-512" hashValue="gFDUVHYKShLH7nttG4yJqm+HFI9hwyRMcsjN4TyY5W83gDynVe7FagL2WKMsILdOFSIOe1cvOj9KPx7OwdD3Yw==" saltValue="eiq5NozJvldGsLMtOJnC1A==" spinCount="100000" sheet="1" objects="1" scenarios="1"/>
  <dataConsolidate/>
  <mergeCells count="193">
    <mergeCell ref="F1:G1"/>
    <mergeCell ref="A177:A185"/>
    <mergeCell ref="B177:B178"/>
    <mergeCell ref="F210:H210"/>
    <mergeCell ref="F211:H211"/>
    <mergeCell ref="A210:E211"/>
    <mergeCell ref="I163:J163"/>
    <mergeCell ref="G164:H164"/>
    <mergeCell ref="I164:J164"/>
    <mergeCell ref="A163:E164"/>
    <mergeCell ref="G186:H186"/>
    <mergeCell ref="I186:J186"/>
    <mergeCell ref="G187:H187"/>
    <mergeCell ref="I187:J187"/>
    <mergeCell ref="A186:E187"/>
    <mergeCell ref="E200:F202"/>
    <mergeCell ref="C177:C178"/>
    <mergeCell ref="I177:I179"/>
    <mergeCell ref="F180:F185"/>
    <mergeCell ref="G175:H175"/>
    <mergeCell ref="I175:J175"/>
    <mergeCell ref="A176:B176"/>
    <mergeCell ref="G176:H176"/>
    <mergeCell ref="I176:J176"/>
    <mergeCell ref="A165:A173"/>
    <mergeCell ref="A154:A162"/>
    <mergeCell ref="B154:B155"/>
    <mergeCell ref="E212:F214"/>
    <mergeCell ref="G48:H48"/>
    <mergeCell ref="I48:J48"/>
    <mergeCell ref="G49:H49"/>
    <mergeCell ref="I49:J49"/>
    <mergeCell ref="G71:H71"/>
    <mergeCell ref="I71:J71"/>
    <mergeCell ref="G72:H72"/>
    <mergeCell ref="I72:J72"/>
    <mergeCell ref="A48:E49"/>
    <mergeCell ref="A71:E72"/>
    <mergeCell ref="G94:H94"/>
    <mergeCell ref="I94:J94"/>
    <mergeCell ref="G95:H95"/>
    <mergeCell ref="I95:J95"/>
    <mergeCell ref="A94:E95"/>
    <mergeCell ref="G117:H117"/>
    <mergeCell ref="I117:J117"/>
    <mergeCell ref="G118:H118"/>
    <mergeCell ref="I118:J118"/>
    <mergeCell ref="I188:I190"/>
    <mergeCell ref="F191:F196"/>
    <mergeCell ref="B165:B166"/>
    <mergeCell ref="C165:C166"/>
    <mergeCell ref="I165:I167"/>
    <mergeCell ref="F168:F173"/>
    <mergeCell ref="A212:A221"/>
    <mergeCell ref="B212:B213"/>
    <mergeCell ref="C212:C213"/>
    <mergeCell ref="F215:F221"/>
    <mergeCell ref="A200:A209"/>
    <mergeCell ref="B200:B201"/>
    <mergeCell ref="C200:C201"/>
    <mergeCell ref="B217:C217"/>
    <mergeCell ref="B218:C218"/>
    <mergeCell ref="B219:C219"/>
    <mergeCell ref="B221:C221"/>
    <mergeCell ref="B208:C208"/>
    <mergeCell ref="B220:C220"/>
    <mergeCell ref="B203:C203"/>
    <mergeCell ref="B204:C204"/>
    <mergeCell ref="B205:C205"/>
    <mergeCell ref="B206:C206"/>
    <mergeCell ref="B207:C207"/>
    <mergeCell ref="B209:C209"/>
    <mergeCell ref="B215:C215"/>
    <mergeCell ref="B216:C216"/>
    <mergeCell ref="F203:F209"/>
    <mergeCell ref="I131:I133"/>
    <mergeCell ref="F134:F139"/>
    <mergeCell ref="G129:H129"/>
    <mergeCell ref="I129:J129"/>
    <mergeCell ref="A130:B130"/>
    <mergeCell ref="G130:H130"/>
    <mergeCell ref="I130:J130"/>
    <mergeCell ref="C154:C155"/>
    <mergeCell ref="I154:I156"/>
    <mergeCell ref="G152:H152"/>
    <mergeCell ref="I152:J152"/>
    <mergeCell ref="A153:B153"/>
    <mergeCell ref="G153:H153"/>
    <mergeCell ref="I153:J153"/>
    <mergeCell ref="A142:A150"/>
    <mergeCell ref="B142:B143"/>
    <mergeCell ref="C142:C143"/>
    <mergeCell ref="I142:I144"/>
    <mergeCell ref="F145:F150"/>
    <mergeCell ref="G140:H140"/>
    <mergeCell ref="I140:J140"/>
    <mergeCell ref="G141:H141"/>
    <mergeCell ref="I141:J141"/>
    <mergeCell ref="A140:E141"/>
    <mergeCell ref="I119:I121"/>
    <mergeCell ref="F122:F127"/>
    <mergeCell ref="C96:C97"/>
    <mergeCell ref="I96:I98"/>
    <mergeCell ref="F99:F104"/>
    <mergeCell ref="A85:A93"/>
    <mergeCell ref="B85:B86"/>
    <mergeCell ref="C85:C86"/>
    <mergeCell ref="I85:I87"/>
    <mergeCell ref="F88:F93"/>
    <mergeCell ref="A108:A116"/>
    <mergeCell ref="B108:B109"/>
    <mergeCell ref="C108:C109"/>
    <mergeCell ref="I108:I110"/>
    <mergeCell ref="F111:F116"/>
    <mergeCell ref="G106:H106"/>
    <mergeCell ref="I106:J106"/>
    <mergeCell ref="A107:B107"/>
    <mergeCell ref="G107:H107"/>
    <mergeCell ref="I107:J107"/>
    <mergeCell ref="A117:E118"/>
    <mergeCell ref="G60:H60"/>
    <mergeCell ref="G61:H61"/>
    <mergeCell ref="A199:B199"/>
    <mergeCell ref="A50:A58"/>
    <mergeCell ref="A62:A70"/>
    <mergeCell ref="B62:B63"/>
    <mergeCell ref="C62:C63"/>
    <mergeCell ref="F65:F70"/>
    <mergeCell ref="G83:H83"/>
    <mergeCell ref="A96:A104"/>
    <mergeCell ref="B96:B97"/>
    <mergeCell ref="A119:A127"/>
    <mergeCell ref="B119:B120"/>
    <mergeCell ref="C119:C120"/>
    <mergeCell ref="A131:A139"/>
    <mergeCell ref="B131:B132"/>
    <mergeCell ref="C131:C132"/>
    <mergeCell ref="F157:F162"/>
    <mergeCell ref="A188:A196"/>
    <mergeCell ref="B188:B189"/>
    <mergeCell ref="C188:C189"/>
    <mergeCell ref="G163:H163"/>
    <mergeCell ref="F198:H198"/>
    <mergeCell ref="F199:H199"/>
    <mergeCell ref="I83:J83"/>
    <mergeCell ref="A84:B84"/>
    <mergeCell ref="G84:H84"/>
    <mergeCell ref="I84:J84"/>
    <mergeCell ref="A61:B61"/>
    <mergeCell ref="I61:J61"/>
    <mergeCell ref="A73:A81"/>
    <mergeCell ref="B73:B74"/>
    <mergeCell ref="C73:C74"/>
    <mergeCell ref="I73:I75"/>
    <mergeCell ref="F76:F81"/>
    <mergeCell ref="C2:G2"/>
    <mergeCell ref="C3:G3"/>
    <mergeCell ref="C5:G5"/>
    <mergeCell ref="C7:G7"/>
    <mergeCell ref="C8:G8"/>
    <mergeCell ref="C6:G6"/>
    <mergeCell ref="C4:G4"/>
    <mergeCell ref="F53:F58"/>
    <mergeCell ref="B16:F16"/>
    <mergeCell ref="C30:E30"/>
    <mergeCell ref="F42:F47"/>
    <mergeCell ref="C34:E34"/>
    <mergeCell ref="C35:E35"/>
    <mergeCell ref="B50:B51"/>
    <mergeCell ref="C32:E33"/>
    <mergeCell ref="C50:C51"/>
    <mergeCell ref="B32:B33"/>
    <mergeCell ref="A38:B38"/>
    <mergeCell ref="B39:B40"/>
    <mergeCell ref="C39:C40"/>
    <mergeCell ref="A39:A47"/>
    <mergeCell ref="G37:H37"/>
    <mergeCell ref="G38:H38"/>
    <mergeCell ref="I37:J37"/>
    <mergeCell ref="I38:J38"/>
    <mergeCell ref="I39:I41"/>
    <mergeCell ref="M2:S2"/>
    <mergeCell ref="I50:I52"/>
    <mergeCell ref="I62:I64"/>
    <mergeCell ref="I60:J60"/>
    <mergeCell ref="N3:P3"/>
    <mergeCell ref="Q3:S3"/>
    <mergeCell ref="N14:O14"/>
    <mergeCell ref="P14:Q14"/>
    <mergeCell ref="M23:Q24"/>
    <mergeCell ref="N26:O26"/>
    <mergeCell ref="P26:Q26"/>
    <mergeCell ref="M35:Q36"/>
  </mergeCells>
  <dataValidations count="4">
    <dataValidation type="decimal" operator="greaterThanOrEqual" allowBlank="1" showInputMessage="1" showErrorMessage="1" sqref="G215:H221 G53:H58 G42:H47 G76:H81 G65:H70 G99:H104 G88:H93 G122:H127 G111:H116 G145:H150 G134:H139 G168:H173 G157:H162 G191:H196 G180:H185 G203:H209" xr:uid="{00000000-0002-0000-0200-000000000000}">
      <formula1>0</formula1>
    </dataValidation>
    <dataValidation type="list" allowBlank="1" showInputMessage="1" showErrorMessage="1" sqref="C2:D2" xr:uid="{00000000-0002-0000-0200-000001000000}">
      <formula1>INDIRECT(C1)</formula1>
    </dataValidation>
    <dataValidation type="decimal" allowBlank="1" showErrorMessage="1" errorTitle="Erreur de saisie" error="le montant renseigné est erronné._x000a_Saisissez les montants de la manière suivante 200 ou 200,00" sqref="C18:E18 C26:E26" xr:uid="{00000000-0002-0000-0200-000002000000}">
      <formula1>0.01</formula1>
      <formula2>9.99999999999999E+48</formula2>
    </dataValidation>
    <dataValidation type="decimal" allowBlank="1" showInputMessage="1" showErrorMessage="1" errorTitle="Erreur de saisie" error="le montant renseigné est erronné._x000a_Saisissez les montants de la manière suivante 200 ou 200,00" promptTitle="Information" prompt="Avant de saisir, assurez vous que l'OS d'affermissement a bien été signé et notifé. N'oubliez pas de le transmettre à la Région. " sqref="C19:E25" xr:uid="{00000000-0002-0000-0200-000003000000}">
      <formula1>0.01</formula1>
      <formula2>9.99999999999999E+48</formula2>
    </dataValidation>
  </dataValidations>
  <pageMargins left="0.7" right="0.7" top="0.75" bottom="0.75" header="0.3" footer="0.3"/>
  <pageSetup paperSize="9" scale="44" orientation="portrait" r:id="rId1"/>
  <legacyDrawing r:id="rId2"/>
  <extLst>
    <ext xmlns:x14="http://schemas.microsoft.com/office/spreadsheetml/2009/9/main" uri="{CCE6A557-97BC-4b89-ADB6-D9C93CAAB3DF}">
      <x14:dataValidations xmlns:xm="http://schemas.microsoft.com/office/excel/2006/main" count="42">
        <x14:dataValidation type="list" allowBlank="1" showInputMessage="1" showErrorMessage="1" xr:uid="{00000000-0002-0000-0200-000004000000}">
          <x14:formula1>
            <xm:f>LISTES!$H$1:$H$2</xm:f>
          </x14:formula1>
          <xm:sqref>F38 D11:D13 C11 F61 F84 F107 F130 F153 F176 F49 F72 F95 F118 F141 F164 F187</xm:sqref>
        </x14:dataValidation>
        <x14:dataValidation type="list" allowBlank="1" showInputMessage="1" showErrorMessage="1" xr:uid="{00000000-0002-0000-0200-000005000000}">
          <x14:formula1>
            <xm:f>LISTES!$Q$1:$Q$6</xm:f>
          </x14:formula1>
          <xm:sqref>E11:F11</xm:sqref>
        </x14:dataValidation>
        <x14:dataValidation type="list" allowBlank="1" showInputMessage="1" showErrorMessage="1" xr:uid="{00000000-0002-0000-0200-000006000000}">
          <x14:formula1>
            <xm:f>LISTES!$A$1:$A$6</xm:f>
          </x14:formula1>
          <xm:sqref>C17:E17</xm:sqref>
        </x14:dataValidation>
        <x14:dataValidation type="list" allowBlank="1" showInputMessage="1" showErrorMessage="1" xr:uid="{00000000-0002-0000-0200-000007000000}">
          <x14:formula1>
            <xm:f>LISTES!$C$3:$C$5</xm:f>
          </x14:formula1>
          <xm:sqref>B191:B196 B53:B58 B42:B47 B76:B81 B65:B70 B99:B104 B88:B93 B122:B127 B111:B116 B145:B150 B134:B139 B168:B173 B157:B162 B180:B185</xm:sqref>
        </x14:dataValidation>
        <x14:dataValidation type="list" allowBlank="1" showInputMessage="1" showErrorMessage="1" xr:uid="{00000000-0002-0000-0200-000008000000}">
          <x14:formula1>
            <xm:f>LISTES!$P$1:$P$7</xm:f>
          </x14:formula1>
          <xm:sqref>C1</xm:sqref>
        </x14:dataValidation>
        <x14:dataValidation type="list" allowBlank="1" showInputMessage="1" showErrorMessage="1" xr:uid="{00000000-0002-0000-0200-000009000000}">
          <x14:formula1>
            <xm:f>LISTES!$P$1:$P$6</xm:f>
          </x14:formula1>
          <xm:sqref>D1</xm:sqref>
        </x14:dataValidation>
        <x14:dataValidation type="list" allowBlank="1" showInputMessage="1" showErrorMessage="1" xr:uid="{00000000-0002-0000-0200-00000A000000}">
          <x14:formula1>
            <xm:f>LISTES!$A$8:$A$12</xm:f>
          </x14:formula1>
          <xm:sqref>C14:D14</xm:sqref>
        </x14:dataValidation>
        <x14:dataValidation type="list" allowBlank="1" showInputMessage="1" showErrorMessage="1" xr:uid="{00000000-0002-0000-0200-00000B000000}">
          <x14:formula1>
            <xm:f>LISTES!$A$9:$A$10</xm:f>
          </x14:formula1>
          <xm:sqref>G49:H49</xm:sqref>
        </x14:dataValidation>
        <x14:dataValidation type="list" allowBlank="1" showInputMessage="1" showErrorMessage="1" xr:uid="{00000000-0002-0000-0200-00000C000000}">
          <x14:formula1>
            <xm:f>LISTES!$A$20:$A$20</xm:f>
          </x14:formula1>
          <xm:sqref>I49:J49</xm:sqref>
        </x14:dataValidation>
        <x14:dataValidation type="list" allowBlank="1" showInputMessage="1" showErrorMessage="1" xr:uid="{00000000-0002-0000-0200-00000D000000}">
          <x14:formula1>
            <xm:f>LISTES!$H$1:$H$1</xm:f>
          </x14:formula1>
          <xm:sqref>I215:I221 I53:I58 I42:I47 I76:I81 I65:I70 I99:I104 I88:I93 I122:I127 I111:I116 I145:I150 I134:I139 I168:I173 I157:I162 I191:I196 I203:I211 I180:I185</xm:sqref>
        </x14:dataValidation>
        <x14:dataValidation type="list" allowBlank="1" showInputMessage="1" showErrorMessage="1" xr:uid="{00000000-0002-0000-0200-00000E000000}">
          <x14:formula1>
            <xm:f>LISTES!$P$9:$P$11</xm:f>
          </x14:formula1>
          <xm:sqref>C12</xm:sqref>
        </x14:dataValidation>
        <x14:dataValidation type="list" allowBlank="1" showInputMessage="1" showErrorMessage="1" xr:uid="{00000000-0002-0000-0200-00000F000000}">
          <x14:formula1>
            <xm:f>LISTES!$A$24:$A$25</xm:f>
          </x14:formula1>
          <xm:sqref>G72:H72</xm:sqref>
        </x14:dataValidation>
        <x14:dataValidation type="list" allowBlank="1" showInputMessage="1" showErrorMessage="1" xr:uid="{00000000-0002-0000-0200-000010000000}">
          <x14:formula1>
            <xm:f>LISTES!$A$30:$A$31</xm:f>
          </x14:formula1>
          <xm:sqref>G95:H95</xm:sqref>
        </x14:dataValidation>
        <x14:dataValidation type="list" allowBlank="1" showInputMessage="1" showErrorMessage="1" xr:uid="{00000000-0002-0000-0200-000011000000}">
          <x14:formula1>
            <xm:f>LISTES!$A$36:$A$37</xm:f>
          </x14:formula1>
          <xm:sqref>G118:H118</xm:sqref>
        </x14:dataValidation>
        <x14:dataValidation type="list" allowBlank="1" showInputMessage="1" showErrorMessage="1" xr:uid="{00000000-0002-0000-0200-000012000000}">
          <x14:formula1>
            <xm:f>LISTES!$A$41:$A$42</xm:f>
          </x14:formula1>
          <xm:sqref>G141:H141</xm:sqref>
        </x14:dataValidation>
        <x14:dataValidation type="list" allowBlank="1" showInputMessage="1" showErrorMessage="1" xr:uid="{00000000-0002-0000-0200-000013000000}">
          <x14:formula1>
            <xm:f>LISTES!$A$46:$A$47</xm:f>
          </x14:formula1>
          <xm:sqref>G164:H164</xm:sqref>
        </x14:dataValidation>
        <x14:dataValidation type="list" allowBlank="1" showInputMessage="1" showErrorMessage="1" xr:uid="{00000000-0002-0000-0200-000014000000}">
          <x14:formula1>
            <xm:f>LISTES!$A$51:$A$52</xm:f>
          </x14:formula1>
          <xm:sqref>G187:H187</xm:sqref>
        </x14:dataValidation>
        <x14:dataValidation type="list" allowBlank="1" showInputMessage="1" showErrorMessage="1" xr:uid="{00000000-0002-0000-0200-000015000000}">
          <x14:formula1>
            <xm:f>LISTES!$A$56:$A$57</xm:f>
          </x14:formula1>
          <xm:sqref>F211</xm:sqref>
        </x14:dataValidation>
        <x14:dataValidation type="list" allowBlank="1" showInputMessage="1" showErrorMessage="1" xr:uid="{00000000-0002-0000-0200-000016000000}">
          <x14:formula1>
            <xm:f>LISTES!$U$1:$U$7</xm:f>
          </x14:formula1>
          <xm:sqref>I7</xm:sqref>
        </x14:dataValidation>
        <x14:dataValidation type="list" allowBlank="1" showInputMessage="1" showErrorMessage="1" xr:uid="{00000000-0002-0000-0200-000017000000}">
          <x14:formula1>
            <xm:f>LISTES!$P$20:$P$21</xm:f>
          </x14:formula1>
          <xm:sqref>I61:J61</xm:sqref>
        </x14:dataValidation>
        <x14:dataValidation type="list" allowBlank="1" showInputMessage="1" showErrorMessage="1" xr:uid="{00000000-0002-0000-0200-000018000000}">
          <x14:formula1>
            <xm:f>LISTES!$S$12:$S$16</xm:f>
          </x14:formula1>
          <xm:sqref>C8:G8</xm:sqref>
        </x14:dataValidation>
        <x14:dataValidation type="list" allowBlank="1" showInputMessage="1" showErrorMessage="1" xr:uid="{00000000-0002-0000-0200-000019000000}">
          <x14:formula1>
            <xm:f>LISTES!$A$9:$A$12</xm:f>
          </x14:formula1>
          <xm:sqref>G38:H38</xm:sqref>
        </x14:dataValidation>
        <x14:dataValidation type="list" allowBlank="1" showInputMessage="1" showErrorMessage="1" xr:uid="{00000000-0002-0000-0200-00001A000000}">
          <x14:formula1>
            <xm:f>LISTES!$A$20:$A$21</xm:f>
          </x14:formula1>
          <xm:sqref>I38:J38</xm:sqref>
        </x14:dataValidation>
        <x14:dataValidation type="list" allowBlank="1" showInputMessage="1" showErrorMessage="1" xr:uid="{00000000-0002-0000-0200-00001B000000}">
          <x14:formula1>
            <xm:f>LISTES!$A$24:$A$27</xm:f>
          </x14:formula1>
          <xm:sqref>G61:H61</xm:sqref>
        </x14:dataValidation>
        <x14:dataValidation type="list" allowBlank="1" showInputMessage="1" showErrorMessage="1" xr:uid="{00000000-0002-0000-0200-00001C000000}">
          <x14:formula1>
            <xm:f>LISTES!$A$28</xm:f>
          </x14:formula1>
          <xm:sqref>I72:J72</xm:sqref>
        </x14:dataValidation>
        <x14:dataValidation type="list" allowBlank="1" showInputMessage="1" showErrorMessage="1" xr:uid="{00000000-0002-0000-0200-00001D000000}">
          <x14:formula1>
            <xm:f>LISTES!$A$30:$A$33</xm:f>
          </x14:formula1>
          <xm:sqref>G84:H84</xm:sqref>
        </x14:dataValidation>
        <x14:dataValidation type="list" allowBlank="1" showInputMessage="1" showErrorMessage="1" xr:uid="{00000000-0002-0000-0200-00001E000000}">
          <x14:formula1>
            <xm:f>LISTES!$A$36:$A$39</xm:f>
          </x14:formula1>
          <xm:sqref>G107:H107</xm:sqref>
        </x14:dataValidation>
        <x14:dataValidation type="list" allowBlank="1" showInputMessage="1" showErrorMessage="1" xr:uid="{00000000-0002-0000-0200-00001F000000}">
          <x14:formula1>
            <xm:f>LISTES!$A$41:$A$44</xm:f>
          </x14:formula1>
          <xm:sqref>G130:H130</xm:sqref>
        </x14:dataValidation>
        <x14:dataValidation type="list" allowBlank="1" showInputMessage="1" showErrorMessage="1" xr:uid="{00000000-0002-0000-0200-000020000000}">
          <x14:formula1>
            <xm:f>LISTES!$A$46:$A$49</xm:f>
          </x14:formula1>
          <xm:sqref>G153:H153</xm:sqref>
        </x14:dataValidation>
        <x14:dataValidation type="list" allowBlank="1" showInputMessage="1" showErrorMessage="1" xr:uid="{00000000-0002-0000-0200-000021000000}">
          <x14:formula1>
            <xm:f>LISTES!$A$51:$A$54</xm:f>
          </x14:formula1>
          <xm:sqref>G176:H176</xm:sqref>
        </x14:dataValidation>
        <x14:dataValidation type="list" allowBlank="1" showInputMessage="1" showErrorMessage="1" xr:uid="{00000000-0002-0000-0200-000022000000}">
          <x14:formula1>
            <xm:f>LISTES!$P$24</xm:f>
          </x14:formula1>
          <xm:sqref>I118:J118</xm:sqref>
        </x14:dataValidation>
        <x14:dataValidation type="list" allowBlank="1" showInputMessage="1" showErrorMessage="1" xr:uid="{00000000-0002-0000-0200-000023000000}">
          <x14:formula1>
            <xm:f>LISTES!$P$24:$P$25</xm:f>
          </x14:formula1>
          <xm:sqref>I107:J107</xm:sqref>
        </x14:dataValidation>
        <x14:dataValidation type="list" allowBlank="1" showInputMessage="1" showErrorMessage="1" xr:uid="{00000000-0002-0000-0200-000024000000}">
          <x14:formula1>
            <xm:f>LISTES!$P$22:$P$23</xm:f>
          </x14:formula1>
          <xm:sqref>I84:J84</xm:sqref>
        </x14:dataValidation>
        <x14:dataValidation type="list" allowBlank="1" showInputMessage="1" showErrorMessage="1" xr:uid="{00000000-0002-0000-0200-000025000000}">
          <x14:formula1>
            <xm:f>LISTES!$P$22</xm:f>
          </x14:formula1>
          <xm:sqref>I95:J95</xm:sqref>
        </x14:dataValidation>
        <x14:dataValidation type="list" allowBlank="1" showInputMessage="1" showErrorMessage="1" xr:uid="{00000000-0002-0000-0200-000026000000}">
          <x14:formula1>
            <xm:f>LISTES!$P$26</xm:f>
          </x14:formula1>
          <xm:sqref>I141:J141</xm:sqref>
        </x14:dataValidation>
        <x14:dataValidation type="list" allowBlank="1" showInputMessage="1" showErrorMessage="1" xr:uid="{00000000-0002-0000-0200-000027000000}">
          <x14:formula1>
            <xm:f>LISTES!$P$26:$P$27</xm:f>
          </x14:formula1>
          <xm:sqref>I130:J130</xm:sqref>
        </x14:dataValidation>
        <x14:dataValidation type="list" allowBlank="1" showInputMessage="1" showErrorMessage="1" xr:uid="{00000000-0002-0000-0200-000028000000}">
          <x14:formula1>
            <xm:f>LISTES!$P$28</xm:f>
          </x14:formula1>
          <xm:sqref>I164:J164</xm:sqref>
        </x14:dataValidation>
        <x14:dataValidation type="list" allowBlank="1" showInputMessage="1" showErrorMessage="1" xr:uid="{00000000-0002-0000-0200-000029000000}">
          <x14:formula1>
            <xm:f>LISTES!$P$28:$P$29</xm:f>
          </x14:formula1>
          <xm:sqref>I153:J153</xm:sqref>
        </x14:dataValidation>
        <x14:dataValidation type="list" allowBlank="1" showInputMessage="1" showErrorMessage="1" xr:uid="{00000000-0002-0000-0200-00002A000000}">
          <x14:formula1>
            <xm:f>LISTES!$P$30</xm:f>
          </x14:formula1>
          <xm:sqref>I187:J187</xm:sqref>
        </x14:dataValidation>
        <x14:dataValidation type="list" allowBlank="1" showInputMessage="1" showErrorMessage="1" xr:uid="{00000000-0002-0000-0200-00002B000000}">
          <x14:formula1>
            <xm:f>LISTES!$P$30:$P$31</xm:f>
          </x14:formula1>
          <xm:sqref>I176:J176</xm:sqref>
        </x14:dataValidation>
        <x14:dataValidation type="list" allowBlank="1" showInputMessage="1" showErrorMessage="1" xr:uid="{00000000-0002-0000-0200-00002C000000}">
          <x14:formula1>
            <xm:f>LISTES!$A$56:$A$59</xm:f>
          </x14:formula1>
          <xm:sqref>F199:H199</xm:sqref>
        </x14:dataValidation>
        <x14:dataValidation type="list" allowBlank="1" showInputMessage="1" showErrorMessage="1" xr:uid="{00000000-0002-0000-0200-00002D000000}">
          <x14:formula1>
            <xm:f>LISTES!$P$40:$P$42</xm:f>
          </x14:formula1>
          <xm:sqref>I13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tabColor rgb="FF7030A0"/>
  </sheetPr>
  <dimension ref="A1:AH60"/>
  <sheetViews>
    <sheetView topLeftCell="B16" zoomScaleNormal="100" workbookViewId="0">
      <selection activeCell="K33" sqref="K33"/>
    </sheetView>
  </sheetViews>
  <sheetFormatPr baseColWidth="10" defaultRowHeight="18.75"/>
  <cols>
    <col min="1" max="1" width="43.85546875" style="245" customWidth="1"/>
    <col min="2" max="2" width="16.42578125" style="245" customWidth="1"/>
    <col min="3" max="4" width="19.85546875" style="245" customWidth="1"/>
    <col min="5" max="5" width="29.7109375" style="245" customWidth="1" collapsed="1"/>
    <col min="6" max="6" width="29" style="245" bestFit="1" customWidth="1"/>
    <col min="7" max="7" width="16.42578125" style="256" bestFit="1" customWidth="1"/>
    <col min="8" max="10" width="11.42578125" style="256"/>
    <col min="11" max="11" width="24.28515625" style="256" bestFit="1" customWidth="1"/>
    <col min="12" max="12" width="19.7109375" style="256" bestFit="1" customWidth="1"/>
    <col min="13" max="13" width="16.42578125" style="256" bestFit="1" customWidth="1"/>
    <col min="14" max="34" width="11.42578125" style="256"/>
    <col min="35" max="16384" width="11.42578125" style="245"/>
  </cols>
  <sheetData>
    <row r="1" spans="1:13">
      <c r="A1" s="256"/>
      <c r="B1" s="256"/>
      <c r="C1" s="256"/>
      <c r="D1" s="256"/>
      <c r="E1" s="256"/>
      <c r="F1" s="256"/>
      <c r="L1" s="256" t="s">
        <v>662</v>
      </c>
    </row>
    <row r="2" spans="1:13">
      <c r="A2" s="256"/>
      <c r="B2" s="256"/>
      <c r="C2" s="256"/>
      <c r="D2" s="256"/>
      <c r="E2" s="256"/>
      <c r="F2" s="256"/>
      <c r="L2" s="256" t="s">
        <v>356</v>
      </c>
      <c r="M2" s="385">
        <f>DONNEES!H19</f>
        <v>0</v>
      </c>
    </row>
    <row r="3" spans="1:13">
      <c r="A3" s="256"/>
      <c r="B3" s="256"/>
      <c r="C3" s="256"/>
      <c r="D3" s="256"/>
      <c r="E3" s="256"/>
      <c r="F3" s="256"/>
      <c r="L3" s="256" t="s">
        <v>357</v>
      </c>
      <c r="M3" s="385">
        <f>DONNEES!H20</f>
        <v>0</v>
      </c>
    </row>
    <row r="4" spans="1:13">
      <c r="A4" s="256"/>
      <c r="B4" s="256"/>
      <c r="C4" s="256"/>
      <c r="D4" s="256"/>
      <c r="E4" s="256"/>
      <c r="F4" s="256"/>
      <c r="L4" s="256" t="s">
        <v>358</v>
      </c>
      <c r="M4" s="385">
        <f>DONNEES!H21</f>
        <v>0</v>
      </c>
    </row>
    <row r="5" spans="1:13">
      <c r="A5" s="256"/>
      <c r="B5" s="256"/>
      <c r="C5" s="256"/>
      <c r="D5" s="256"/>
      <c r="E5" s="256"/>
      <c r="F5" s="256"/>
      <c r="L5" s="256" t="s">
        <v>415</v>
      </c>
      <c r="M5" s="385">
        <f>DONNEES!H22</f>
        <v>0</v>
      </c>
    </row>
    <row r="6" spans="1:13">
      <c r="A6" s="256"/>
      <c r="B6" s="256"/>
      <c r="C6" s="256"/>
      <c r="D6" s="256"/>
      <c r="E6" s="256"/>
      <c r="F6" s="256"/>
      <c r="L6" s="256" t="s">
        <v>416</v>
      </c>
      <c r="M6" s="385">
        <f>DONNEES!H23</f>
        <v>0</v>
      </c>
    </row>
    <row r="7" spans="1:13">
      <c r="A7" s="256"/>
      <c r="B7" s="256"/>
      <c r="C7" s="256"/>
      <c r="D7" s="256"/>
      <c r="E7" s="256"/>
      <c r="F7" s="256"/>
      <c r="L7" s="256" t="s">
        <v>417</v>
      </c>
      <c r="M7" s="385">
        <f>DONNEES!H24</f>
        <v>0</v>
      </c>
    </row>
    <row r="8" spans="1:13">
      <c r="A8" s="754" t="s">
        <v>173</v>
      </c>
      <c r="B8" s="754"/>
      <c r="C8" s="754"/>
      <c r="D8" s="754"/>
      <c r="E8" s="754"/>
      <c r="F8" s="754"/>
    </row>
    <row r="9" spans="1:13">
      <c r="A9" s="256"/>
      <c r="B9" s="256"/>
      <c r="C9" s="485">
        <v>2</v>
      </c>
      <c r="D9" s="256"/>
      <c r="E9" s="256"/>
      <c r="F9" s="256"/>
    </row>
    <row r="10" spans="1:13">
      <c r="A10" s="256"/>
      <c r="B10" s="256"/>
      <c r="C10" s="256"/>
      <c r="D10" s="256"/>
      <c r="E10" s="256"/>
      <c r="F10" s="256"/>
    </row>
    <row r="11" spans="1:13" ht="43.5" customHeight="1">
      <c r="A11" s="256" t="str">
        <f>"Vu le marché"&amp;" "&amp;DONNEES!C7&amp;" "&amp;"dont l'objet est"&amp;" "&amp;DONNEES!C4&amp;" "&amp;DONNEES!C2</f>
        <v>Vu le marché 2019P000T12345 dont l'objet est réfection des façades au Lycée "MARCELIN BERTHELOT"</v>
      </c>
      <c r="B11" s="256"/>
      <c r="C11" s="256"/>
      <c r="D11" s="256"/>
      <c r="E11" s="256"/>
      <c r="F11" s="256"/>
    </row>
    <row r="12" spans="1:13">
      <c r="A12" s="256"/>
      <c r="B12" s="256"/>
      <c r="C12" s="256"/>
      <c r="D12" s="256"/>
      <c r="E12" s="256"/>
      <c r="F12" s="256"/>
    </row>
    <row r="13" spans="1:13">
      <c r="A13" s="256" t="str">
        <f>"Vu"&amp;" "&amp;DONNEES!E11&amp;" "&amp;"de l'acte d'engagement"</f>
        <v>Vu  de l'acte d'engagement</v>
      </c>
      <c r="B13" s="256"/>
      <c r="C13" s="256"/>
      <c r="D13" s="256"/>
      <c r="E13" s="256"/>
      <c r="F13" s="256"/>
    </row>
    <row r="14" spans="1:13">
      <c r="A14" s="256"/>
      <c r="B14" s="256"/>
      <c r="C14" s="256"/>
      <c r="D14" s="256"/>
      <c r="E14" s="256"/>
      <c r="F14" s="256"/>
    </row>
    <row r="15" spans="1:13">
      <c r="A15" s="256" t="s">
        <v>434</v>
      </c>
      <c r="B15" s="295">
        <f>DONNEES!C10</f>
        <v>12</v>
      </c>
      <c r="C15" s="256" t="s">
        <v>477</v>
      </c>
      <c r="D15" s="256"/>
      <c r="E15" s="256"/>
      <c r="F15" s="256"/>
    </row>
    <row r="16" spans="1:13">
      <c r="A16" s="256"/>
      <c r="B16" s="256"/>
      <c r="C16" s="256"/>
      <c r="D16" s="256"/>
      <c r="E16" s="256"/>
      <c r="F16" s="256"/>
    </row>
    <row r="17" spans="1:34">
      <c r="A17" s="256" t="str">
        <f>"Vu"&amp;" "&amp;DONNEES!F11&amp;" "&amp;"du cahier des charges prévoyant les taux d'avance"</f>
        <v>Vu  du cahier des charges prévoyant les taux d'avance</v>
      </c>
      <c r="B17" s="256"/>
      <c r="C17" s="256"/>
      <c r="D17" s="256"/>
      <c r="E17" s="256"/>
      <c r="F17" s="256"/>
    </row>
    <row r="18" spans="1:34">
      <c r="A18" s="256"/>
      <c r="B18" s="256"/>
      <c r="C18" s="256"/>
      <c r="D18" s="256"/>
      <c r="E18" s="256"/>
      <c r="F18" s="256"/>
    </row>
    <row r="19" spans="1:34">
      <c r="A19" s="256" t="str">
        <f>"Vu le(s) taux de TVA applicable(s) dans le marché :"</f>
        <v>Vu le(s) taux de TVA applicable(s) dans le marché :</v>
      </c>
      <c r="B19" s="256"/>
      <c r="C19" s="256"/>
      <c r="D19" s="256"/>
      <c r="E19" s="256"/>
      <c r="F19" s="256"/>
    </row>
    <row r="20" spans="1:34">
      <c r="A20" s="256"/>
      <c r="B20" s="256"/>
      <c r="C20" s="256"/>
      <c r="D20" s="256"/>
      <c r="E20" s="256"/>
      <c r="F20" s="256"/>
    </row>
    <row r="21" spans="1:34">
      <c r="A21" s="256"/>
      <c r="B21" s="256"/>
      <c r="C21" s="256"/>
      <c r="D21" s="256"/>
      <c r="E21" s="256"/>
      <c r="F21" s="256"/>
    </row>
    <row r="22" spans="1:34">
      <c r="A22" s="256" t="s">
        <v>223</v>
      </c>
      <c r="B22" s="256"/>
      <c r="C22" s="256"/>
      <c r="D22" s="256"/>
      <c r="E22" s="256"/>
      <c r="F22" s="256"/>
    </row>
    <row r="23" spans="1:34">
      <c r="A23" s="256"/>
      <c r="B23" s="256"/>
      <c r="C23" s="256"/>
      <c r="D23" s="256"/>
      <c r="E23" s="256"/>
      <c r="F23" s="256"/>
    </row>
    <row r="24" spans="1:34">
      <c r="A24" s="256"/>
      <c r="B24" s="256"/>
      <c r="C24" s="256"/>
      <c r="D24" s="256"/>
      <c r="E24" s="256"/>
      <c r="F24" s="256"/>
    </row>
    <row r="25" spans="1:34">
      <c r="A25" s="754" t="s">
        <v>224</v>
      </c>
      <c r="B25" s="754"/>
      <c r="C25" s="754"/>
      <c r="D25" s="754"/>
      <c r="E25" s="754"/>
      <c r="F25" s="754"/>
    </row>
    <row r="26" spans="1:34">
      <c r="A26" s="256"/>
      <c r="B26" s="256"/>
      <c r="C26" s="256"/>
      <c r="D26" s="256"/>
      <c r="E26" s="256"/>
      <c r="F26" s="256"/>
    </row>
    <row r="27" spans="1:34" s="259" customFormat="1">
      <c r="A27" s="756" t="s">
        <v>273</v>
      </c>
      <c r="B27" s="756"/>
      <c r="C27" s="756"/>
      <c r="D27" s="333"/>
      <c r="E27" s="257">
        <f>DONNEES!P12</f>
        <v>80000</v>
      </c>
      <c r="F27" s="258"/>
      <c r="G27" s="256"/>
      <c r="H27" s="256"/>
      <c r="I27" s="256"/>
      <c r="J27" s="256"/>
      <c r="K27" s="256"/>
      <c r="L27" s="256"/>
      <c r="M27" s="256"/>
      <c r="N27" s="256"/>
      <c r="O27" s="256"/>
      <c r="P27" s="256"/>
      <c r="Q27" s="256"/>
      <c r="R27" s="256"/>
      <c r="S27" s="256"/>
      <c r="T27" s="256"/>
      <c r="U27" s="256"/>
      <c r="V27" s="256"/>
      <c r="W27" s="256"/>
      <c r="X27" s="256"/>
      <c r="Y27" s="256"/>
      <c r="Z27" s="256"/>
      <c r="AA27" s="256"/>
      <c r="AB27" s="256"/>
      <c r="AC27" s="256"/>
      <c r="AD27" s="256"/>
      <c r="AE27" s="256"/>
      <c r="AF27" s="256"/>
      <c r="AG27" s="256"/>
      <c r="AH27" s="256"/>
    </row>
    <row r="28" spans="1:34">
      <c r="A28" s="256" t="s">
        <v>427</v>
      </c>
      <c r="B28" s="256"/>
      <c r="C28" s="256"/>
      <c r="D28" s="256"/>
      <c r="E28" s="297">
        <f>IFERROR(F41+F52,0)</f>
        <v>27600</v>
      </c>
      <c r="F28" s="256"/>
    </row>
    <row r="29" spans="1:34">
      <c r="A29" s="256" t="s">
        <v>225</v>
      </c>
      <c r="B29" s="256"/>
      <c r="C29" s="256"/>
      <c r="D29" s="256"/>
      <c r="E29" s="261" t="str">
        <f>IFERROR(DONNEES!C5,0)</f>
        <v>ERREBA</v>
      </c>
      <c r="F29" s="256"/>
    </row>
    <row r="30" spans="1:34">
      <c r="A30" s="256" t="s">
        <v>276</v>
      </c>
      <c r="B30" s="256"/>
      <c r="C30" s="256"/>
      <c r="D30" s="256"/>
      <c r="E30" s="262">
        <f>F43</f>
        <v>0</v>
      </c>
      <c r="F30" s="256"/>
    </row>
    <row r="31" spans="1:34">
      <c r="A31" s="256"/>
      <c r="B31" s="256"/>
      <c r="C31" s="256"/>
      <c r="D31" s="256"/>
      <c r="E31" s="260"/>
      <c r="F31" s="256"/>
    </row>
    <row r="32" spans="1:34">
      <c r="A32" s="487" t="s">
        <v>454</v>
      </c>
      <c r="B32" s="488" t="s">
        <v>424</v>
      </c>
      <c r="C32" s="488" t="s">
        <v>426</v>
      </c>
      <c r="D32" s="488" t="s">
        <v>469</v>
      </c>
      <c r="E32" s="488" t="s">
        <v>234</v>
      </c>
      <c r="F32" s="497" t="s">
        <v>248</v>
      </c>
      <c r="K32" s="256" t="s">
        <v>655</v>
      </c>
      <c r="L32" s="256" t="s">
        <v>659</v>
      </c>
    </row>
    <row r="33" spans="1:11">
      <c r="A33" s="489" t="str">
        <f>DONNEES!B18</f>
        <v>Tranche ferme HT</v>
      </c>
      <c r="B33" s="490">
        <f>IF(AND(DONNEES!F18&gt;=25000,DONNEES!C18&lt;&gt;"",DONNEES!F38="OUI"),DONNEES!$C$17,"")</f>
        <v>0.2</v>
      </c>
      <c r="C33" s="491">
        <f>IF(B33&lt;&gt;"",DONNEES!N5,"")</f>
        <v>40000</v>
      </c>
      <c r="D33" s="490" t="str">
        <f>IF(AND(DONNEES!P5&gt;=25000,DONNEES!P5&lt;=149999),"30%",IF(AND(DONNEES!P5&gt;149999,DONNEES!P5&lt;=999999),"25%",IF(DONNEES!P5&gt;999999,"20"%," ")))</f>
        <v>30%</v>
      </c>
      <c r="E33" s="490" t="str">
        <f>IF(AND(B33&lt;&gt;"",C33&lt;&gt;"",D33&lt;&gt;""),D33,"")</f>
        <v>30%</v>
      </c>
      <c r="F33" s="495">
        <f>IFERROR(IF($B$15&lt;=12,(C33*E33),C33*E33*(12/$B$15)),0)</f>
        <v>12000</v>
      </c>
      <c r="I33" s="256" t="s">
        <v>650</v>
      </c>
      <c r="K33" s="256">
        <f>SUM(F33:F39)</f>
        <v>12000</v>
      </c>
    </row>
    <row r="34" spans="1:11" hidden="1">
      <c r="A34" s="489" t="str">
        <f>DONNEES!B19</f>
        <v>Tranche optionnelle 1 HT</v>
      </c>
      <c r="B34" s="490" t="str">
        <f>IF(AND(DONNEES!F19&gt;=25000,DONNEES!C19&lt;&gt;"",DONNEES!F61="OUI"),DONNEES!$C$17,"")</f>
        <v/>
      </c>
      <c r="C34" s="491" t="str">
        <f>IF(B34&lt;&gt;"",DONNEES!N6,"")</f>
        <v/>
      </c>
      <c r="D34" s="490" t="str">
        <f>IF(AND(DONNEES!P6&gt;=25000,DONNEES!P6&lt;=149999),"30%",IF(AND(DONNEES!P6&gt;149999,DONNEES!P6&lt;=999999),"25%",IF(DONNEES!P6&gt;999999,"20"%," ")))</f>
        <v xml:space="preserve"> </v>
      </c>
      <c r="E34" s="490" t="str">
        <f t="shared" ref="E34:E39" si="0">IF(AND(B34&lt;&gt;"",C34&lt;&gt;"",D34&lt;&gt;""),D34,"")</f>
        <v/>
      </c>
      <c r="F34" s="495">
        <f>IFERROR(IF(AND(M2&gt;0,M2&lt;=12),(C34*E34),IF(M2&gt;12,C34*E34*(12/M2),0)),0)</f>
        <v>0</v>
      </c>
      <c r="I34" s="256" t="s">
        <v>651</v>
      </c>
      <c r="K34" s="256">
        <f>SUM(F44:F50)</f>
        <v>12000</v>
      </c>
    </row>
    <row r="35" spans="1:11" hidden="1">
      <c r="A35" s="489" t="str">
        <f>DONNEES!B20</f>
        <v>Tranche optionnelle 2 HT</v>
      </c>
      <c r="B35" s="490" t="str">
        <f>IF(AND(DONNEES!F20&gt;=25000,DONNEES!C20&lt;&gt;"",DONNEES!F84="OUI"),DONNEES!$C$17,"")</f>
        <v/>
      </c>
      <c r="C35" s="491" t="str">
        <f>IF(B35&lt;&gt;"",DONNEES!N7,"")</f>
        <v/>
      </c>
      <c r="D35" s="490" t="str">
        <f>IF(AND(DONNEES!P7&gt;=25000,DONNEES!P7&lt;=149999),"30%",IF(AND(DONNEES!P7&gt;149999,DONNEES!P7&lt;=999999),"25%",IF(DONNEES!P7&gt;999999,"20"%," ")))</f>
        <v xml:space="preserve"> </v>
      </c>
      <c r="E35" s="490" t="str">
        <f t="shared" si="0"/>
        <v/>
      </c>
      <c r="F35" s="495">
        <f t="shared" ref="F35:F39" si="1">IFERROR(IF(AND(M3&gt;0,M3&lt;=12),(C35*E35),IF(M3&gt;12,C35*E35*(12/M3),0)),0)</f>
        <v>0</v>
      </c>
    </row>
    <row r="36" spans="1:11" hidden="1">
      <c r="A36" s="489" t="str">
        <f>DONNEES!B21</f>
        <v>Tranche optionnelle 3 HT</v>
      </c>
      <c r="B36" s="490" t="str">
        <f>IF(AND(DONNEES!F21&gt;=25000,DONNEES!C21&lt;&gt;"",DONNEES!F107="OUI"),DONNEES!$C$17,"")</f>
        <v/>
      </c>
      <c r="C36" s="491" t="str">
        <f>IF(B36&lt;&gt;"",DONNEES!N8,"")</f>
        <v/>
      </c>
      <c r="D36" s="490" t="str">
        <f>IF(AND(DONNEES!P8&gt;=25000,DONNEES!P8&lt;=149999),"30%",IF(AND(DONNEES!P8&gt;149999,DONNEES!P8&lt;=999999),"25%",IF(DONNEES!P8&gt;999999,"20"%," ")))</f>
        <v xml:space="preserve"> </v>
      </c>
      <c r="E36" s="490" t="str">
        <f t="shared" si="0"/>
        <v/>
      </c>
      <c r="F36" s="495">
        <f t="shared" si="1"/>
        <v>0</v>
      </c>
    </row>
    <row r="37" spans="1:11" hidden="1">
      <c r="A37" s="489" t="str">
        <f>DONNEES!B22</f>
        <v>Tranche optionnelle 4 HT</v>
      </c>
      <c r="B37" s="490" t="str">
        <f>IF(AND(DONNEES!F22&gt;=25000,DONNEES!C22&lt;&gt;"",DONNEES!F130="OUI"),DONNEES!$C$17,"")</f>
        <v/>
      </c>
      <c r="C37" s="491" t="str">
        <f>IF(B37&lt;&gt;"",DONNEES!N9,"")</f>
        <v/>
      </c>
      <c r="D37" s="490" t="str">
        <f>IF(AND(DONNEES!P9&gt;=25000,DONNEES!P9&lt;=149999),"30%",IF(AND(DONNEES!P9&gt;149999,DONNEES!P9&lt;=999999),"25%",IF(DONNEES!P9&gt;999999,"20"%," ")))</f>
        <v xml:space="preserve"> </v>
      </c>
      <c r="E37" s="490" t="str">
        <f t="shared" si="0"/>
        <v/>
      </c>
      <c r="F37" s="495">
        <f t="shared" si="1"/>
        <v>0</v>
      </c>
    </row>
    <row r="38" spans="1:11" hidden="1">
      <c r="A38" s="489" t="str">
        <f>DONNEES!B23</f>
        <v>Tranche optionnelle 5 HT</v>
      </c>
      <c r="B38" s="490" t="str">
        <f>IF(AND(DONNEES!F23&gt;=25000,DONNEES!C23&lt;&gt;"",DONNEES!F153="OUI"),DONNEES!$C$17,"")</f>
        <v/>
      </c>
      <c r="C38" s="491" t="str">
        <f>IF(B38&lt;&gt;"",DONNEES!N10,"")</f>
        <v/>
      </c>
      <c r="D38" s="490" t="str">
        <f>IF(AND(DONNEES!P10&gt;=25000,DONNEES!P10&lt;=149999),"30%",IF(AND(DONNEES!P10&gt;149999,DONNEES!P10&lt;=999999),"25%",IF(DONNEES!P10&gt;999999,"20"%," ")))</f>
        <v xml:space="preserve"> </v>
      </c>
      <c r="E38" s="490" t="str">
        <f t="shared" si="0"/>
        <v/>
      </c>
      <c r="F38" s="495">
        <f t="shared" si="1"/>
        <v>0</v>
      </c>
    </row>
    <row r="39" spans="1:11" hidden="1">
      <c r="A39" s="489" t="str">
        <f>DONNEES!B24</f>
        <v>Tranche optionnelle 6 HT</v>
      </c>
      <c r="B39" s="490" t="str">
        <f>IF(AND(DONNEES!F24&gt;=25000,DONNEES!C24&lt;&gt;"",DONNEES!F176="OUI"),DONNEES!$C$17,"")</f>
        <v/>
      </c>
      <c r="C39" s="490" t="str">
        <f>IF(B39&lt;&gt;"",DONNEES!N11,"")</f>
        <v/>
      </c>
      <c r="D39" s="490" t="str">
        <f>IF(AND(DONNEES!P11&gt;=25000,DONNEES!P11&lt;=149999),"30%",IF(AND(DONNEES!P11&gt;149999,DONNEES!P11&lt;=999999),"25%",IF(DONNEES!P11&gt;999999,"20"%," ")))</f>
        <v xml:space="preserve"> </v>
      </c>
      <c r="E39" s="490" t="str">
        <f t="shared" si="0"/>
        <v/>
      </c>
      <c r="F39" s="495">
        <f t="shared" si="1"/>
        <v>0</v>
      </c>
    </row>
    <row r="40" spans="1:11">
      <c r="A40" s="489" t="s">
        <v>274</v>
      </c>
      <c r="B40" s="492"/>
      <c r="C40" s="493"/>
      <c r="D40" s="486"/>
      <c r="E40" s="499"/>
      <c r="F40" s="495">
        <f>IFERROR(SUM(F33:F39)*B33,0)</f>
        <v>2400</v>
      </c>
    </row>
    <row r="41" spans="1:11" hidden="1">
      <c r="A41" s="489" t="s">
        <v>425</v>
      </c>
      <c r="B41" s="500"/>
      <c r="C41" s="501"/>
      <c r="D41" s="501"/>
      <c r="E41" s="502"/>
      <c r="F41" s="496">
        <f>('CPP TITULAIRE-ST'!F147*'CPP TITULAIRE-ST'!D10)+'CPP TITULAIRE-ST'!F147</f>
        <v>14400</v>
      </c>
    </row>
    <row r="42" spans="1:11">
      <c r="A42" s="489" t="s">
        <v>657</v>
      </c>
      <c r="B42" s="500"/>
      <c r="C42" s="501"/>
      <c r="D42" s="501"/>
      <c r="E42" s="502"/>
      <c r="F42" s="496">
        <f>SUM(F33:F40)</f>
        <v>14400</v>
      </c>
    </row>
    <row r="43" spans="1:11" ht="34.5" customHeight="1">
      <c r="A43" s="498" t="s">
        <v>658</v>
      </c>
      <c r="B43" s="503"/>
      <c r="C43" s="504"/>
      <c r="D43" s="504"/>
      <c r="E43" s="505"/>
      <c r="F43" s="495">
        <f>IFERROR(SUM(F33:F40)-F41,0)</f>
        <v>0</v>
      </c>
    </row>
    <row r="44" spans="1:11">
      <c r="A44" s="489" t="str">
        <f>DONNEES!B18</f>
        <v>Tranche ferme HT</v>
      </c>
      <c r="B44" s="490">
        <f>IF(AND(DONNEES!F18&gt;=25000,DONNEES!E18&lt;&gt;"",DONNEES!F38="OUI"),DONNEES!$E$17,"")</f>
        <v>0.1</v>
      </c>
      <c r="C44" s="494">
        <f>IF(B44&lt;&gt;"",DONNEES!O5,"")</f>
        <v>40000</v>
      </c>
      <c r="D44" s="490" t="str">
        <f>IF(AND(DONNEES!P5&gt;=25000,DONNEES!P5&lt;=149999),"30%",IF(AND(DONNEES!P5&gt;149999,DONNEES!P5&lt;=999999),"25%",IF(DONNEES!P5&gt;999999,"20"%," ")))</f>
        <v>30%</v>
      </c>
      <c r="E44" s="490" t="str">
        <f>IF(AND(B44&lt;&gt;"",C44&lt;&gt;"",D44&lt;&gt;""),D44,"")</f>
        <v>30%</v>
      </c>
      <c r="F44" s="495">
        <f t="shared" ref="F44" si="2">IFERROR(IF($B$15&lt;=12,(C44*E44),C44*E44*(12/$B$15)),0)</f>
        <v>12000</v>
      </c>
    </row>
    <row r="45" spans="1:11" hidden="1">
      <c r="A45" s="489" t="str">
        <f>DONNEES!B19</f>
        <v>Tranche optionnelle 1 HT</v>
      </c>
      <c r="B45" s="490" t="str">
        <f>IF(AND(DONNEES!F19&gt;=25000,DONNEES!E19&lt;&gt;"",DONNEES!F61="OUI"),DONNEES!$E$17,"")</f>
        <v/>
      </c>
      <c r="C45" s="494" t="str">
        <f>IF(B45&lt;&gt;"",DONNEES!O6,"")</f>
        <v/>
      </c>
      <c r="D45" s="490" t="str">
        <f>IF(AND(DONNEES!P6&gt;=25000,DONNEES!P6&lt;=149999),"30%",IF(AND(DONNEES!P6&gt;149999,DONNEES!P6&lt;=999999),"25%",IF(DONNEES!P6&gt;999999,"20"%," ")))</f>
        <v xml:space="preserve"> </v>
      </c>
      <c r="E45" s="490" t="str">
        <f t="shared" ref="E45:E50" si="3">IF(AND(B45&lt;&gt;"",C45&lt;&gt;"",D45&lt;&gt;""),D45,"")</f>
        <v/>
      </c>
      <c r="F45" s="495">
        <f>IFERROR(IF(AND(M2&gt;0,M2&lt;=12),(C45*E45),IF(M2&gt;12,C45*E45*(12/M2),0)),0)</f>
        <v>0</v>
      </c>
    </row>
    <row r="46" spans="1:11" hidden="1">
      <c r="A46" s="489" t="str">
        <f>DONNEES!B20</f>
        <v>Tranche optionnelle 2 HT</v>
      </c>
      <c r="B46" s="490" t="str">
        <f>IF(AND(DONNEES!F20&gt;=25000,DONNEES!E20&lt;&gt;"",DONNEES!F84="OUI"),DONNEES!$E$17,"")</f>
        <v/>
      </c>
      <c r="C46" s="494" t="str">
        <f>IF(B46&lt;&gt;"",DONNEES!O7,"")</f>
        <v/>
      </c>
      <c r="D46" s="490" t="str">
        <f>IF(AND(DONNEES!P7&gt;=25000,DONNEES!P7&lt;=149999),"30%",IF(AND(DONNEES!P7&gt;149999,DONNEES!P7&lt;=999999),"25%",IF(DONNEES!P7&gt;999999,"20"%," ")))</f>
        <v xml:space="preserve"> </v>
      </c>
      <c r="E46" s="490" t="str">
        <f t="shared" si="3"/>
        <v/>
      </c>
      <c r="F46" s="495">
        <f t="shared" ref="F46:F50" si="4">IFERROR(IF(AND(M3&gt;0,M3&lt;=12),(C46*E46),IF(M3&gt;12,C46*E46*(12/M3),0)),0)</f>
        <v>0</v>
      </c>
    </row>
    <row r="47" spans="1:11" hidden="1">
      <c r="A47" s="489" t="str">
        <f>DONNEES!B21</f>
        <v>Tranche optionnelle 3 HT</v>
      </c>
      <c r="B47" s="490" t="str">
        <f>IF(AND(DONNEES!F21&gt;=25000,DONNEES!E21&lt;&gt;"",DONNEES!F107="OUI"),DONNEES!$E$17,"")</f>
        <v/>
      </c>
      <c r="C47" s="494" t="str">
        <f>IF(B47&lt;&gt;"",DONNEES!O8,"")</f>
        <v/>
      </c>
      <c r="D47" s="490" t="str">
        <f>IF(AND(DONNEES!P8&gt;=25000,DONNEES!P8&lt;=149999),"30%",IF(AND(DONNEES!P8&gt;149999,DONNEES!P8&lt;=999999),"25%",IF(DONNEES!P8&gt;999999,"20"%," ")))</f>
        <v xml:space="preserve"> </v>
      </c>
      <c r="E47" s="490" t="str">
        <f t="shared" si="3"/>
        <v/>
      </c>
      <c r="F47" s="495">
        <f t="shared" si="4"/>
        <v>0</v>
      </c>
    </row>
    <row r="48" spans="1:11" hidden="1">
      <c r="A48" s="489" t="str">
        <f>DONNEES!B22</f>
        <v>Tranche optionnelle 4 HT</v>
      </c>
      <c r="B48" s="490" t="str">
        <f>IF(AND(DONNEES!F22&gt;=25000,DONNEES!E22&lt;&gt;"",DONNEES!F130="OUI"),DONNEES!$E$17,"")</f>
        <v/>
      </c>
      <c r="C48" s="494" t="str">
        <f>IF(B48&lt;&gt;"",DONNEES!O9,"")</f>
        <v/>
      </c>
      <c r="D48" s="490" t="str">
        <f>IF(AND(DONNEES!P9&gt;=25000,DONNEES!P9&lt;=149999),"30%",IF(AND(DONNEES!P9&gt;149999,DONNEES!P9&lt;=999999),"25%",IF(DONNEES!P9&gt;999999,"20"%," ")))</f>
        <v xml:space="preserve"> </v>
      </c>
      <c r="E48" s="490" t="str">
        <f t="shared" si="3"/>
        <v/>
      </c>
      <c r="F48" s="495">
        <f t="shared" si="4"/>
        <v>0</v>
      </c>
    </row>
    <row r="49" spans="1:6" hidden="1">
      <c r="A49" s="489" t="str">
        <f>DONNEES!B23</f>
        <v>Tranche optionnelle 5 HT</v>
      </c>
      <c r="B49" s="490" t="str">
        <f>IF(AND(DONNEES!F23&gt;=25000,DONNEES!E23&lt;&gt;"",DONNEES!F153="OUI"),DONNEES!$E$17,"")</f>
        <v/>
      </c>
      <c r="C49" s="494" t="str">
        <f>IF(B49&lt;&gt;"",DONNEES!O10,"")</f>
        <v/>
      </c>
      <c r="D49" s="490" t="str">
        <f>IF(AND(DONNEES!P10&gt;=25000,DONNEES!P10&lt;=149999),"30%",IF(AND(DONNEES!P10&gt;149999,DONNEES!P10&lt;=999999),"25%",IF(DONNEES!P10&gt;999999,"20"%," ")))</f>
        <v xml:space="preserve"> </v>
      </c>
      <c r="E49" s="490" t="str">
        <f t="shared" si="3"/>
        <v/>
      </c>
      <c r="F49" s="495">
        <f t="shared" si="4"/>
        <v>0</v>
      </c>
    </row>
    <row r="50" spans="1:6" hidden="1">
      <c r="A50" s="489" t="str">
        <f>DONNEES!B24</f>
        <v>Tranche optionnelle 6 HT</v>
      </c>
      <c r="B50" s="490" t="str">
        <f>IF(AND(DONNEES!F24&gt;=25000,DONNEES!E24&lt;&gt;"",DONNEES!F176="OUI"),DONNEES!$E$17,"")</f>
        <v/>
      </c>
      <c r="C50" s="494" t="str">
        <f>IF(B50&lt;&gt;"",DONNEES!O11,"")</f>
        <v/>
      </c>
      <c r="D50" s="490" t="str">
        <f>IF(AND(DONNEES!P11&gt;=25000,DONNEES!P11&lt;=149999),"30%",IF(AND(DONNEES!P11&gt;149999,DONNEES!P11&lt;=999999),"25%",IF(DONNEES!P11&gt;999999,"20"%," ")))</f>
        <v xml:space="preserve"> </v>
      </c>
      <c r="E50" s="490" t="str">
        <f t="shared" si="3"/>
        <v/>
      </c>
      <c r="F50" s="495">
        <f t="shared" si="4"/>
        <v>0</v>
      </c>
    </row>
    <row r="51" spans="1:6">
      <c r="A51" s="489" t="s">
        <v>274</v>
      </c>
      <c r="B51" s="492"/>
      <c r="C51" s="493"/>
      <c r="D51" s="486"/>
      <c r="E51" s="499"/>
      <c r="F51" s="495">
        <f>IFERROR(SUM(F44:F50)*B44,0)</f>
        <v>1200</v>
      </c>
    </row>
    <row r="52" spans="1:6" hidden="1">
      <c r="A52" s="489" t="s">
        <v>425</v>
      </c>
      <c r="B52" s="500"/>
      <c r="C52" s="501"/>
      <c r="D52" s="501"/>
      <c r="E52" s="502"/>
      <c r="F52" s="495">
        <f>('CPP TITULAIRE-ST'!G147*'CPP TITULAIRE-ST'!E10)+'CPP TITULAIRE-ST'!G147</f>
        <v>13200</v>
      </c>
    </row>
    <row r="53" spans="1:6">
      <c r="A53" s="489" t="s">
        <v>657</v>
      </c>
      <c r="B53" s="500"/>
      <c r="C53" s="501"/>
      <c r="D53" s="501"/>
      <c r="E53" s="502"/>
      <c r="F53" s="495">
        <f>SUM(F44:F51)</f>
        <v>13200</v>
      </c>
    </row>
    <row r="54" spans="1:6" ht="37.5">
      <c r="A54" s="498" t="s">
        <v>656</v>
      </c>
      <c r="B54" s="503"/>
      <c r="C54" s="504"/>
      <c r="D54" s="504"/>
      <c r="E54" s="505"/>
      <c r="F54" s="495">
        <f>IFERROR(SUM(F44:F51)-F52,0)</f>
        <v>0</v>
      </c>
    </row>
    <row r="55" spans="1:6">
      <c r="A55" s="256"/>
      <c r="B55" s="256"/>
      <c r="C55" s="256"/>
      <c r="D55" s="256"/>
      <c r="E55" s="256"/>
      <c r="F55" s="256"/>
    </row>
    <row r="56" spans="1:6" ht="95.25" customHeight="1">
      <c r="A56" s="256"/>
      <c r="B56" s="256"/>
      <c r="C56" s="256"/>
      <c r="D56" s="256"/>
      <c r="E56" s="755" t="s">
        <v>226</v>
      </c>
      <c r="F56" s="755"/>
    </row>
    <row r="57" spans="1:6">
      <c r="A57" s="256"/>
      <c r="B57" s="256"/>
      <c r="C57" s="256"/>
      <c r="D57" s="256"/>
      <c r="E57" s="256"/>
      <c r="F57" s="256"/>
    </row>
    <row r="58" spans="1:6">
      <c r="A58" s="256"/>
      <c r="B58" s="256"/>
      <c r="C58" s="256"/>
      <c r="D58" s="256"/>
      <c r="E58" s="256"/>
      <c r="F58" s="256"/>
    </row>
    <row r="59" spans="1:6">
      <c r="A59" s="256"/>
      <c r="B59" s="256"/>
      <c r="C59" s="256"/>
      <c r="D59" s="256"/>
      <c r="E59" s="256"/>
      <c r="F59" s="256"/>
    </row>
    <row r="60" spans="1:6">
      <c r="A60" s="256"/>
      <c r="B60" s="256"/>
      <c r="C60" s="256"/>
      <c r="D60" s="256"/>
      <c r="E60" s="256"/>
      <c r="F60" s="256"/>
    </row>
  </sheetData>
  <sheetProtection algorithmName="SHA-512" hashValue="oiFOAsDUXfx9QZnn/RInjmQGpZSqAMdtqNO5E4c+eSkH8cWesdtvL4ncA/Uy4R+grM3hEZfnJleXrxgmHmIz7Q==" saltValue="DHI8pniHQ/frB1spegPKtg==" spinCount="100000" sheet="1" objects="1" scenarios="1"/>
  <mergeCells count="4">
    <mergeCell ref="A8:F8"/>
    <mergeCell ref="A25:F25"/>
    <mergeCell ref="E56:F56"/>
    <mergeCell ref="A27:C27"/>
  </mergeCells>
  <pageMargins left="0.7" right="0.7" top="0.75" bottom="0.75" header="0.3" footer="0.3"/>
  <pageSetup paperSize="9" scale="69" orientation="portrait"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LISTES!$E$2:$E$6</xm:f>
          </x14:formula1>
          <xm:sqref>C9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4">
    <tabColor rgb="FF7030A0"/>
  </sheetPr>
  <dimension ref="A1:AK58"/>
  <sheetViews>
    <sheetView zoomScaleNormal="100" workbookViewId="0">
      <selection activeCell="F32" sqref="F32"/>
    </sheetView>
  </sheetViews>
  <sheetFormatPr baseColWidth="10" defaultRowHeight="18.75" outlineLevelCol="1"/>
  <cols>
    <col min="1" max="1" width="32.5703125" style="245" customWidth="1"/>
    <col min="2" max="2" width="16.42578125" style="245" hidden="1" customWidth="1" outlineLevel="1"/>
    <col min="3" max="3" width="19.85546875" style="245" bestFit="1" customWidth="1" collapsed="1"/>
    <col min="4" max="4" width="19.85546875" style="245" hidden="1" customWidth="1"/>
    <col min="5" max="5" width="29.7109375" style="245" customWidth="1"/>
    <col min="6" max="6" width="29" style="245" bestFit="1" customWidth="1"/>
    <col min="7" max="7" width="16.42578125" style="256" bestFit="1" customWidth="1"/>
    <col min="8" max="37" width="11.42578125" style="256"/>
    <col min="38" max="16384" width="11.42578125" style="245"/>
  </cols>
  <sheetData>
    <row r="1" spans="1:6">
      <c r="A1" s="256"/>
      <c r="B1" s="256"/>
      <c r="C1" s="256"/>
      <c r="D1" s="256"/>
      <c r="E1" s="256"/>
      <c r="F1" s="256"/>
    </row>
    <row r="2" spans="1:6">
      <c r="A2" s="256"/>
      <c r="B2" s="256"/>
      <c r="C2" s="256"/>
      <c r="D2" s="256"/>
      <c r="E2" s="256"/>
      <c r="F2" s="256"/>
    </row>
    <row r="3" spans="1:6">
      <c r="A3" s="256"/>
      <c r="B3" s="256"/>
      <c r="C3" s="256"/>
      <c r="D3" s="256"/>
      <c r="E3" s="256"/>
      <c r="F3" s="256"/>
    </row>
    <row r="4" spans="1:6">
      <c r="A4" s="256"/>
      <c r="B4" s="256"/>
      <c r="C4" s="256"/>
      <c r="D4" s="256"/>
      <c r="E4" s="256"/>
      <c r="F4" s="256"/>
    </row>
    <row r="5" spans="1:6">
      <c r="A5" s="256"/>
      <c r="B5" s="256"/>
      <c r="C5" s="256"/>
      <c r="D5" s="256"/>
      <c r="E5" s="256"/>
      <c r="F5" s="256"/>
    </row>
    <row r="6" spans="1:6">
      <c r="A6" s="256"/>
      <c r="B6" s="256"/>
      <c r="C6" s="256"/>
      <c r="D6" s="256"/>
      <c r="E6" s="256"/>
      <c r="F6" s="256"/>
    </row>
    <row r="7" spans="1:6">
      <c r="A7" s="256"/>
      <c r="B7" s="256"/>
      <c r="C7" s="256"/>
      <c r="D7" s="256"/>
      <c r="E7" s="256"/>
      <c r="F7" s="256"/>
    </row>
    <row r="8" spans="1:6">
      <c r="A8" s="754" t="s">
        <v>173</v>
      </c>
      <c r="B8" s="754"/>
      <c r="C8" s="754"/>
      <c r="D8" s="754"/>
      <c r="E8" s="754"/>
      <c r="F8" s="754"/>
    </row>
    <row r="9" spans="1:6">
      <c r="A9" s="256"/>
      <c r="B9" s="256"/>
      <c r="C9" s="256"/>
      <c r="D9" s="256"/>
      <c r="E9" s="256"/>
      <c r="F9" s="256"/>
    </row>
    <row r="10" spans="1:6">
      <c r="A10" s="256"/>
      <c r="B10" s="256"/>
      <c r="C10" s="256"/>
      <c r="D10" s="256"/>
      <c r="E10" s="256"/>
      <c r="F10" s="256"/>
    </row>
    <row r="11" spans="1:6" ht="43.5" customHeight="1">
      <c r="A11" s="256" t="str">
        <f>"Vu le marché"&amp;" "&amp;DONNEES!C7&amp;" "&amp;"dont l'objet est"&amp;" "&amp;DONNEES!C4&amp;" "&amp;DONNEES!C2</f>
        <v>Vu le marché 2019P000T12345 dont l'objet est réfection des façades au Lycée "MARCELIN BERTHELOT"</v>
      </c>
      <c r="B11" s="256"/>
      <c r="C11" s="256"/>
      <c r="D11" s="256"/>
      <c r="E11" s="256"/>
      <c r="F11" s="256"/>
    </row>
    <row r="12" spans="1:6">
      <c r="A12" s="256"/>
      <c r="B12" s="256"/>
      <c r="C12" s="256"/>
      <c r="D12" s="256"/>
      <c r="E12" s="256"/>
      <c r="F12" s="256"/>
    </row>
    <row r="13" spans="1:6">
      <c r="A13" s="256" t="str">
        <f>"Vu"&amp;" "&amp;DONNEES!E11&amp;" "&amp;"de l'acte d'engagement"</f>
        <v>Vu  de l'acte d'engagement</v>
      </c>
      <c r="B13" s="256"/>
      <c r="C13" s="256"/>
      <c r="D13" s="256"/>
      <c r="E13" s="256"/>
      <c r="F13" s="256"/>
    </row>
    <row r="14" spans="1:6">
      <c r="A14" s="256"/>
      <c r="B14" s="256"/>
      <c r="C14" s="256"/>
      <c r="D14" s="256"/>
      <c r="E14" s="256"/>
      <c r="F14" s="256"/>
    </row>
    <row r="15" spans="1:6">
      <c r="A15" s="256" t="s">
        <v>292</v>
      </c>
      <c r="B15" s="295">
        <f>DONNEES!C10</f>
        <v>12</v>
      </c>
      <c r="C15" s="385">
        <f>DONNEES!C10</f>
        <v>12</v>
      </c>
      <c r="D15" s="256"/>
      <c r="E15" s="256" t="s">
        <v>477</v>
      </c>
      <c r="F15" s="256"/>
    </row>
    <row r="16" spans="1:6">
      <c r="A16" s="256"/>
      <c r="B16" s="256"/>
      <c r="C16" s="256"/>
      <c r="D16" s="256"/>
      <c r="E16" s="256"/>
      <c r="F16" s="256"/>
    </row>
    <row r="17" spans="1:37">
      <c r="A17" s="256" t="str">
        <f>"Vu"&amp;" "&amp;DONNEES!F11&amp;" "&amp;"du cahier des charges prévoyant les taux d'avance"</f>
        <v>Vu  du cahier des charges prévoyant les taux d'avance</v>
      </c>
      <c r="B17" s="256"/>
      <c r="C17" s="256"/>
      <c r="D17" s="256"/>
      <c r="E17" s="256"/>
      <c r="F17" s="256"/>
    </row>
    <row r="18" spans="1:37">
      <c r="A18" s="256"/>
      <c r="B18" s="256"/>
      <c r="C18" s="256"/>
      <c r="D18" s="256"/>
      <c r="E18" s="256"/>
      <c r="F18" s="256"/>
    </row>
    <row r="19" spans="1:37">
      <c r="A19" s="256" t="str">
        <f>"Vu le(s) taux de TVA applicable(s) dans le marché :"</f>
        <v>Vu le(s) taux de TVA applicable(s) dans le marché :</v>
      </c>
      <c r="B19" s="256"/>
      <c r="C19" s="256"/>
      <c r="D19" s="256"/>
      <c r="E19" s="256"/>
      <c r="F19" s="256"/>
    </row>
    <row r="20" spans="1:37">
      <c r="A20" s="256"/>
      <c r="B20" s="256"/>
      <c r="C20" s="256"/>
      <c r="D20" s="256"/>
      <c r="E20" s="256"/>
      <c r="F20" s="256"/>
    </row>
    <row r="21" spans="1:37">
      <c r="A21" s="256"/>
      <c r="B21" s="256"/>
      <c r="C21" s="256"/>
      <c r="D21" s="256"/>
      <c r="E21" s="256"/>
      <c r="F21" s="256"/>
    </row>
    <row r="22" spans="1:37">
      <c r="A22" s="256" t="s">
        <v>223</v>
      </c>
      <c r="B22" s="256"/>
      <c r="C22" s="256"/>
      <c r="D22" s="256"/>
      <c r="E22" s="256"/>
      <c r="F22" s="256"/>
    </row>
    <row r="23" spans="1:37">
      <c r="A23" s="256"/>
      <c r="B23" s="256"/>
      <c r="C23" s="256"/>
      <c r="D23" s="256"/>
      <c r="E23" s="256"/>
      <c r="F23" s="256"/>
    </row>
    <row r="24" spans="1:37">
      <c r="A24" s="256"/>
      <c r="B24" s="256"/>
      <c r="C24" s="256"/>
      <c r="D24" s="256"/>
      <c r="E24" s="256"/>
      <c r="F24" s="256"/>
    </row>
    <row r="25" spans="1:37">
      <c r="A25" s="754" t="s">
        <v>224</v>
      </c>
      <c r="B25" s="754"/>
      <c r="C25" s="754"/>
      <c r="D25" s="754"/>
      <c r="E25" s="754"/>
      <c r="F25" s="754"/>
    </row>
    <row r="26" spans="1:37">
      <c r="A26" s="256"/>
      <c r="B26" s="256"/>
      <c r="C26" s="256"/>
      <c r="D26" s="256"/>
      <c r="E26" s="256"/>
      <c r="F26" s="256"/>
    </row>
    <row r="27" spans="1:37" s="259" customFormat="1">
      <c r="A27" s="756" t="s">
        <v>273</v>
      </c>
      <c r="B27" s="756"/>
      <c r="C27" s="756"/>
      <c r="D27" s="333"/>
      <c r="E27" s="257">
        <f>DONNEES!O12</f>
        <v>40000</v>
      </c>
      <c r="F27" s="258"/>
      <c r="G27" s="256"/>
      <c r="H27" s="256"/>
      <c r="I27" s="256"/>
      <c r="J27" s="256"/>
      <c r="K27" s="256"/>
      <c r="L27" s="256"/>
      <c r="M27" s="256"/>
      <c r="N27" s="256"/>
      <c r="O27" s="256"/>
      <c r="P27" s="256"/>
      <c r="Q27" s="256"/>
      <c r="R27" s="256"/>
      <c r="S27" s="256"/>
      <c r="T27" s="256"/>
      <c r="U27" s="256"/>
      <c r="V27" s="256"/>
      <c r="W27" s="256"/>
      <c r="X27" s="256"/>
      <c r="Y27" s="256"/>
      <c r="Z27" s="256"/>
      <c r="AA27" s="256"/>
      <c r="AB27" s="256"/>
      <c r="AC27" s="256"/>
      <c r="AD27" s="256"/>
      <c r="AE27" s="256"/>
      <c r="AF27" s="256"/>
      <c r="AG27" s="256"/>
      <c r="AH27" s="256"/>
      <c r="AI27" s="256"/>
      <c r="AJ27" s="256"/>
      <c r="AK27" s="256"/>
    </row>
    <row r="28" spans="1:37">
      <c r="A28" s="256" t="s">
        <v>427</v>
      </c>
      <c r="B28" s="256"/>
      <c r="C28" s="256"/>
      <c r="D28" s="256"/>
      <c r="E28" s="297">
        <f>IFERROR(F41+F51,0)</f>
        <v>0</v>
      </c>
      <c r="F28" s="256"/>
    </row>
    <row r="29" spans="1:37">
      <c r="A29" s="256" t="s">
        <v>225</v>
      </c>
      <c r="B29" s="256"/>
      <c r="C29" s="256"/>
      <c r="D29" s="256"/>
      <c r="E29" s="261" t="str">
        <f>IFERROR(DONNEES!C6,0)</f>
        <v>SPIE</v>
      </c>
      <c r="F29" s="256"/>
    </row>
    <row r="30" spans="1:37">
      <c r="A30" s="256" t="s">
        <v>276</v>
      </c>
      <c r="B30" s="256"/>
      <c r="C30" s="256"/>
      <c r="D30" s="256"/>
      <c r="E30" s="262">
        <f>IFERROR(F52+F42-E28,0)</f>
        <v>0</v>
      </c>
      <c r="F30" s="256"/>
    </row>
    <row r="31" spans="1:37">
      <c r="A31" s="256"/>
      <c r="B31" s="256"/>
      <c r="C31" s="256"/>
      <c r="D31" s="256"/>
      <c r="E31" s="260"/>
      <c r="F31" s="256"/>
    </row>
    <row r="32" spans="1:37">
      <c r="A32" s="384" t="s">
        <v>454</v>
      </c>
      <c r="B32" s="263" t="s">
        <v>424</v>
      </c>
      <c r="C32" s="263" t="s">
        <v>426</v>
      </c>
      <c r="D32" s="263" t="s">
        <v>469</v>
      </c>
      <c r="E32" s="263" t="s">
        <v>234</v>
      </c>
      <c r="F32" s="375" t="s">
        <v>248</v>
      </c>
    </row>
    <row r="33" spans="1:11" hidden="1">
      <c r="A33" s="264" t="str">
        <f>DONNEES!B18</f>
        <v>Tranche ferme HT</v>
      </c>
      <c r="B33" s="265">
        <f>IF(AND(DONNEES!F18&gt;=25000,DONNEES!C18&lt;&gt;"",DONNEES!F38="OUI"),DONNEES!$C$17,"")</f>
        <v>0.2</v>
      </c>
      <c r="C33" s="266">
        <f>IF(B33&lt;&gt;"",DONNEES!Q5,"")</f>
        <v>0</v>
      </c>
      <c r="D33" s="265" t="str">
        <f>IF(AND(DONNEES!S5&gt;=25000,DONNEES!S5&lt;=149999),"30%",IF(AND(DONNEES!S5&gt;149999,DONNEES!S5&lt;=999999),"25%",IF(DONNEES!S5&gt;999999,"20"%," ")))</f>
        <v xml:space="preserve"> </v>
      </c>
      <c r="E33" s="265" t="str">
        <f>IF(AND(B33&lt;&gt;"",C33&lt;&gt;"",D33&lt;&gt;""),D33,"")</f>
        <v xml:space="preserve"> </v>
      </c>
      <c r="F33" s="376">
        <f>IFERROR(IF($B$15&lt;=12,(C33*E33),C33*E33*(12/$B$15)),0)</f>
        <v>0</v>
      </c>
    </row>
    <row r="34" spans="1:11" hidden="1">
      <c r="A34" s="264" t="str">
        <f>DONNEES!B19</f>
        <v>Tranche optionnelle 1 HT</v>
      </c>
      <c r="B34" s="265" t="str">
        <f>IF(AND(DONNEES!F19&gt;=25000,DONNEES!C19&lt;&gt;"",DONNEES!F61="OUI"),DONNEES!$C$17,"")</f>
        <v/>
      </c>
      <c r="C34" s="266" t="str">
        <f>IF(B34&lt;&gt;"",DONNEES!Q6,"")</f>
        <v/>
      </c>
      <c r="D34" s="265" t="str">
        <f>IF(AND(DONNEES!S6&gt;=25000,DONNEES!S6&lt;=149999),"30%",IF(AND(DONNEES!S6&gt;149999,DONNEES!S6&lt;=999999),"25%",IF(DONNEES!S6&gt;999999,"20"%," ")))</f>
        <v xml:space="preserve"> </v>
      </c>
      <c r="E34" s="265" t="str">
        <f t="shared" ref="E34:E39" si="0">IF(AND(B34&lt;&gt;"",C34&lt;&gt;"",D34&lt;&gt;""),D34,"")</f>
        <v/>
      </c>
      <c r="F34" s="376">
        <f t="shared" ref="F34:F39" si="1">IFERROR(IF($B$15&lt;=12,(C34*E34),C34*E34*(12/$B$15)),0)</f>
        <v>0</v>
      </c>
    </row>
    <row r="35" spans="1:11" hidden="1">
      <c r="A35" s="264" t="str">
        <f>DONNEES!B20</f>
        <v>Tranche optionnelle 2 HT</v>
      </c>
      <c r="B35" s="265" t="str">
        <f>IF(AND(DONNEES!F20&gt;=25000,DONNEES!C20&lt;&gt;"",DONNEES!F84="OUI"),DONNEES!$C$17,"")</f>
        <v/>
      </c>
      <c r="C35" s="266" t="str">
        <f>IF(B35&lt;&gt;"",DONNEES!Q7,"")</f>
        <v/>
      </c>
      <c r="D35" s="265" t="str">
        <f>IF(AND(DONNEES!S7&gt;=25000,DONNEES!S7&lt;=149999),"30%",IF(AND(DONNEES!S7&gt;149999,DONNEES!S7&lt;=999999),"25%",IF(DONNEES!S7&gt;999999,"20"%," ")))</f>
        <v xml:space="preserve"> </v>
      </c>
      <c r="E35" s="265" t="str">
        <f t="shared" si="0"/>
        <v/>
      </c>
      <c r="F35" s="376">
        <f t="shared" si="1"/>
        <v>0</v>
      </c>
    </row>
    <row r="36" spans="1:11" hidden="1">
      <c r="A36" s="264" t="str">
        <f>DONNEES!B21</f>
        <v>Tranche optionnelle 3 HT</v>
      </c>
      <c r="B36" s="265" t="str">
        <f>IF(AND(DONNEES!F21&gt;=25000,DONNEES!C21&lt;&gt;"",DONNEES!F107="OUI"),DONNEES!$C$17,"")</f>
        <v/>
      </c>
      <c r="C36" s="266" t="str">
        <f>IF(B36&lt;&gt;"",DONNEES!Q8,"")</f>
        <v/>
      </c>
      <c r="D36" s="265" t="str">
        <f>IF(AND(DONNEES!S8&gt;=25000,DONNEES!S8&lt;=149999),"30%",IF(AND(DONNEES!S8&gt;149999,DONNEES!S8&lt;=999999),"25%",IF(DONNEES!S8&gt;999999,"20"%," ")))</f>
        <v xml:space="preserve"> </v>
      </c>
      <c r="E36" s="265" t="str">
        <f t="shared" si="0"/>
        <v/>
      </c>
      <c r="F36" s="376">
        <f t="shared" si="1"/>
        <v>0</v>
      </c>
    </row>
    <row r="37" spans="1:11" hidden="1">
      <c r="A37" s="264" t="str">
        <f>DONNEES!B22</f>
        <v>Tranche optionnelle 4 HT</v>
      </c>
      <c r="B37" s="265" t="str">
        <f>IF(AND(DONNEES!F22&gt;=25000,DONNEES!C22&lt;&gt;"",DONNEES!F130="OUI"),DONNEES!$C$17,"")</f>
        <v/>
      </c>
      <c r="C37" s="266" t="str">
        <f>IF(B37&lt;&gt;"",DONNEES!Q9,"")</f>
        <v/>
      </c>
      <c r="D37" s="265" t="str">
        <f>IF(AND(DONNEES!S9&gt;=25000,DONNEES!S9&lt;=149999),"30%",IF(AND(DONNEES!S9&gt;149999,DONNEES!S9&lt;=999999),"25%",IF(DONNEES!S9&gt;999999,"20"%," ")))</f>
        <v xml:space="preserve"> </v>
      </c>
      <c r="E37" s="265" t="str">
        <f t="shared" si="0"/>
        <v/>
      </c>
      <c r="F37" s="376">
        <f t="shared" si="1"/>
        <v>0</v>
      </c>
    </row>
    <row r="38" spans="1:11" hidden="1">
      <c r="A38" s="264" t="str">
        <f>DONNEES!B23</f>
        <v>Tranche optionnelle 5 HT</v>
      </c>
      <c r="B38" s="265" t="str">
        <f>IF(AND(DONNEES!F23&gt;=25000,DONNEES!C23&lt;&gt;"",DONNEES!F153="OUI"),DONNEES!$C$17,"")</f>
        <v/>
      </c>
      <c r="C38" s="266" t="str">
        <f>IF(B38&lt;&gt;"",DONNEES!Q10,"")</f>
        <v/>
      </c>
      <c r="D38" s="265" t="str">
        <f>IF(AND(DONNEES!S10&gt;=25000,DONNEES!S10&lt;=149999),"30%",IF(AND(DONNEES!S10&gt;149999,DONNEES!S10&lt;=999999),"25%",IF(DONNEES!S10&gt;999999,"20"%," ")))</f>
        <v xml:space="preserve"> </v>
      </c>
      <c r="E38" s="265" t="str">
        <f t="shared" si="0"/>
        <v/>
      </c>
      <c r="F38" s="376">
        <f t="shared" si="1"/>
        <v>0</v>
      </c>
    </row>
    <row r="39" spans="1:11" hidden="1">
      <c r="A39" s="264" t="str">
        <f>DONNEES!B24</f>
        <v>Tranche optionnelle 6 HT</v>
      </c>
      <c r="B39" s="265" t="str">
        <f>IF(AND(DONNEES!F24&gt;=25000,DONNEES!C24&lt;&gt;"",DONNEES!F176="OUI"),DONNEES!$C$17,"")</f>
        <v/>
      </c>
      <c r="C39" s="266" t="str">
        <f>IF(B39&lt;&gt;"",DONNEES!Q11,"")</f>
        <v/>
      </c>
      <c r="D39" s="265" t="str">
        <f>IF(AND(DONNEES!S11&gt;=25000,DONNEES!S11&lt;=149999),"30%",IF(AND(DONNEES!S11&gt;149999,DONNEES!S11&lt;=999999),"25%",IF(DONNEES!S11&gt;999999,"20"%," ")))</f>
        <v xml:space="preserve"> </v>
      </c>
      <c r="E39" s="265" t="str">
        <f t="shared" si="0"/>
        <v/>
      </c>
      <c r="F39" s="376">
        <f t="shared" si="1"/>
        <v>0</v>
      </c>
      <c r="J39" s="256" t="s">
        <v>652</v>
      </c>
    </row>
    <row r="40" spans="1:11" hidden="1">
      <c r="A40" s="264" t="s">
        <v>274</v>
      </c>
      <c r="B40" s="267"/>
      <c r="C40" s="268"/>
      <c r="D40" s="268"/>
      <c r="E40" s="269"/>
      <c r="F40" s="376">
        <f>IFERROR(SUM(F33:F39)*B33,0)</f>
        <v>0</v>
      </c>
      <c r="J40" s="256" t="s">
        <v>653</v>
      </c>
      <c r="K40" s="256">
        <f>SUM(F33:F39)</f>
        <v>0</v>
      </c>
    </row>
    <row r="41" spans="1:11" hidden="1">
      <c r="A41" s="334" t="s">
        <v>425</v>
      </c>
      <c r="B41" s="372"/>
      <c r="C41" s="373"/>
      <c r="D41" s="373"/>
      <c r="E41" s="374"/>
      <c r="F41" s="377">
        <f>('CPP TITULAIRE-ST'!F169*'CPP TITULAIRE-ST'!D10)+'CPP TITULAIRE-ST'!F169</f>
        <v>0</v>
      </c>
      <c r="J41" s="256" t="s">
        <v>654</v>
      </c>
      <c r="K41" s="256">
        <f>SUM(F43:F49)</f>
        <v>0</v>
      </c>
    </row>
    <row r="42" spans="1:11" hidden="1">
      <c r="A42" s="270" t="s">
        <v>275</v>
      </c>
      <c r="B42" s="271"/>
      <c r="C42" s="272"/>
      <c r="D42" s="272"/>
      <c r="E42" s="269"/>
      <c r="F42" s="378">
        <f>IFERROR(SUM(F33:F39)+F40-F41,0)</f>
        <v>0</v>
      </c>
    </row>
    <row r="43" spans="1:11" hidden="1">
      <c r="A43" s="264" t="str">
        <f>DONNEES!B18</f>
        <v>Tranche ferme HT</v>
      </c>
      <c r="B43" s="265">
        <f>IF(AND(DONNEES!F18&gt;=25000,DONNEES!E18&lt;&gt;"",DONNEES!F38="OUI"),DONNEES!$E$17,"")</f>
        <v>0.1</v>
      </c>
      <c r="C43" s="273">
        <f>IF(B43&lt;&gt;"",DONNEES!R5,"")</f>
        <v>0</v>
      </c>
      <c r="D43" s="265" t="str">
        <f>IF(AND(DONNEES!S5&gt;=25000,DONNEES!S5&lt;=149999),"30%",IF(AND(DONNEES!S5&gt;149999,DONNEES!S5&lt;=999999),"25%",IF(DONNEES!S5&gt;999999,"20"%," ")))</f>
        <v xml:space="preserve"> </v>
      </c>
      <c r="E43" s="265" t="str">
        <f>IF(AND(B43&lt;&gt;"",C43&lt;&gt;"",D43&lt;&gt;""),D43,"")</f>
        <v xml:space="preserve"> </v>
      </c>
      <c r="F43" s="376">
        <f t="shared" ref="F43:F49" si="2">IFERROR(IF($B$15&lt;=12,(C43*E43),C43*E43*(12/$B$15)),0)</f>
        <v>0</v>
      </c>
    </row>
    <row r="44" spans="1:11" hidden="1">
      <c r="A44" s="264" t="str">
        <f>DONNEES!B19</f>
        <v>Tranche optionnelle 1 HT</v>
      </c>
      <c r="B44" s="265" t="str">
        <f>IF(AND(DONNEES!F19&gt;=25000,DONNEES!E19&lt;&gt;"",DONNEES!F61="OUI"),DONNEES!$E$17,"")</f>
        <v/>
      </c>
      <c r="C44" s="273" t="str">
        <f>IF(B44&lt;&gt;"",DONNEES!R6,"")</f>
        <v/>
      </c>
      <c r="D44" s="265" t="str">
        <f>IF(AND(DONNEES!S6&gt;=25000,DONNEES!S6&lt;=149999),"30%",IF(AND(DONNEES!S6&gt;149999,DONNEES!S6&lt;=999999),"25%",IF(DONNEES!S6&gt;999999,"20"%," ")))</f>
        <v xml:space="preserve"> </v>
      </c>
      <c r="E44" s="265" t="str">
        <f t="shared" ref="E44:E49" si="3">IF(AND(B44&lt;&gt;"",C44&lt;&gt;"",D44&lt;&gt;""),D44,"")</f>
        <v/>
      </c>
      <c r="F44" s="376">
        <f t="shared" si="2"/>
        <v>0</v>
      </c>
    </row>
    <row r="45" spans="1:11" hidden="1">
      <c r="A45" s="264" t="str">
        <f>DONNEES!B20</f>
        <v>Tranche optionnelle 2 HT</v>
      </c>
      <c r="B45" s="265" t="str">
        <f>IF(AND(DONNEES!F20&gt;=25000,DONNEES!E20&lt;&gt;"",DONNEES!F84="OUI"),DONNEES!$E$17,"")</f>
        <v/>
      </c>
      <c r="C45" s="273" t="str">
        <f>IF(B45&lt;&gt;"",DONNEES!R7,"")</f>
        <v/>
      </c>
      <c r="D45" s="265" t="str">
        <f>IF(AND(DONNEES!S7&gt;=25000,DONNEES!S7&lt;=149999),"30%",IF(AND(DONNEES!S7&gt;149999,DONNEES!S7&lt;=999999),"25%",IF(DONNEES!S7&gt;999999,"20"%," ")))</f>
        <v xml:space="preserve"> </v>
      </c>
      <c r="E45" s="265" t="str">
        <f t="shared" si="3"/>
        <v/>
      </c>
      <c r="F45" s="376">
        <f t="shared" si="2"/>
        <v>0</v>
      </c>
    </row>
    <row r="46" spans="1:11" hidden="1">
      <c r="A46" s="264" t="str">
        <f>DONNEES!B21</f>
        <v>Tranche optionnelle 3 HT</v>
      </c>
      <c r="B46" s="265" t="str">
        <f>IF(AND(DONNEES!F21&gt;=25000,DONNEES!E21&lt;&gt;"",DONNEES!F107="OUI"),DONNEES!$E$17,"")</f>
        <v/>
      </c>
      <c r="C46" s="273" t="str">
        <f>IF(B46&lt;&gt;"",DONNEES!R8,"")</f>
        <v/>
      </c>
      <c r="D46" s="265" t="str">
        <f>IF(AND(DONNEES!S8&gt;=25000,DONNEES!S8&lt;=149999),"30%",IF(AND(DONNEES!S8&gt;149999,DONNEES!S8&lt;=999999),"25%",IF(DONNEES!S8&gt;999999,"20"%," ")))</f>
        <v xml:space="preserve"> </v>
      </c>
      <c r="E46" s="265" t="str">
        <f t="shared" si="3"/>
        <v/>
      </c>
      <c r="F46" s="376">
        <f t="shared" si="2"/>
        <v>0</v>
      </c>
    </row>
    <row r="47" spans="1:11" hidden="1">
      <c r="A47" s="264" t="str">
        <f>DONNEES!B22</f>
        <v>Tranche optionnelle 4 HT</v>
      </c>
      <c r="B47" s="265" t="str">
        <f>IF(AND(DONNEES!F22&gt;=25000,DONNEES!E22&lt;&gt;"",DONNEES!F130="OUI"),DONNEES!$E$17,"")</f>
        <v/>
      </c>
      <c r="C47" s="273" t="str">
        <f>IF(B47&lt;&gt;"",DONNEES!R9,"")</f>
        <v/>
      </c>
      <c r="D47" s="265" t="str">
        <f>IF(AND(DONNEES!S9&gt;=25000,DONNEES!S9&lt;=149999),"30%",IF(AND(DONNEES!S9&gt;149999,DONNEES!S9&lt;=999999),"25%",IF(DONNEES!S9&gt;999999,"20"%," ")))</f>
        <v xml:space="preserve"> </v>
      </c>
      <c r="E47" s="265" t="str">
        <f t="shared" si="3"/>
        <v/>
      </c>
      <c r="F47" s="376">
        <f t="shared" si="2"/>
        <v>0</v>
      </c>
    </row>
    <row r="48" spans="1:11" hidden="1">
      <c r="A48" s="264" t="str">
        <f>DONNEES!B23</f>
        <v>Tranche optionnelle 5 HT</v>
      </c>
      <c r="B48" s="265" t="str">
        <f>IF(AND(DONNEES!F23&gt;=25000,DONNEES!E23&lt;&gt;"",DONNEES!F153="OUI"),DONNEES!$E$17,"")</f>
        <v/>
      </c>
      <c r="C48" s="273" t="str">
        <f>IF(B48&lt;&gt;"",DONNEES!R10,"")</f>
        <v/>
      </c>
      <c r="D48" s="265" t="str">
        <f>IF(AND(DONNEES!S10&gt;=25000,DONNEES!S10&lt;=149999),"30%",IF(AND(DONNEES!S10&gt;149999,DONNEES!S10&lt;=999999),"25%",IF(DONNEES!S10&gt;999999,"20"%," ")))</f>
        <v xml:space="preserve"> </v>
      </c>
      <c r="E48" s="265" t="str">
        <f t="shared" si="3"/>
        <v/>
      </c>
      <c r="F48" s="376">
        <f t="shared" si="2"/>
        <v>0</v>
      </c>
    </row>
    <row r="49" spans="1:6" hidden="1">
      <c r="A49" s="264" t="str">
        <f>DONNEES!B24</f>
        <v>Tranche optionnelle 6 HT</v>
      </c>
      <c r="B49" s="265" t="str">
        <f>IF(AND(DONNEES!F24&gt;=25000,DONNEES!E24&lt;&gt;"",DONNEES!F176="OUI"),DONNEES!$E$17,"")</f>
        <v/>
      </c>
      <c r="C49" s="273" t="str">
        <f>IF(B49&lt;&gt;"",DONNEES!R11,"")</f>
        <v/>
      </c>
      <c r="D49" s="265" t="str">
        <f>IF(AND(DONNEES!S11&gt;=25000,DONNEES!S11&lt;=149999),"30%",IF(AND(DONNEES!S11&gt;149999,DONNEES!S11&lt;=999999),"25%",IF(DONNEES!S11&gt;999999,"20"%," ")))</f>
        <v xml:space="preserve"> </v>
      </c>
      <c r="E49" s="265" t="str">
        <f t="shared" si="3"/>
        <v/>
      </c>
      <c r="F49" s="376">
        <f t="shared" si="2"/>
        <v>0</v>
      </c>
    </row>
    <row r="50" spans="1:6" hidden="1">
      <c r="A50" s="264" t="s">
        <v>274</v>
      </c>
      <c r="B50" s="267"/>
      <c r="C50" s="268"/>
      <c r="D50" s="268"/>
      <c r="E50" s="267"/>
      <c r="F50" s="376">
        <f>IFERROR(SUM(F43:F49)*B43,0)</f>
        <v>0</v>
      </c>
    </row>
    <row r="51" spans="1:6" hidden="1">
      <c r="A51" s="334" t="s">
        <v>425</v>
      </c>
      <c r="B51" s="267"/>
      <c r="C51" s="268"/>
      <c r="D51" s="268"/>
      <c r="E51" s="267"/>
      <c r="F51" s="379">
        <f>('CPP TITULAIRE-ST'!E169*'CPP TITULAIRE-ST'!E10)+'CPP TITULAIRE-ST'!E169</f>
        <v>0</v>
      </c>
    </row>
    <row r="52" spans="1:6" hidden="1">
      <c r="A52" s="380" t="s">
        <v>275</v>
      </c>
      <c r="B52" s="381"/>
      <c r="C52" s="382"/>
      <c r="D52" s="382"/>
      <c r="E52" s="381"/>
      <c r="F52" s="383">
        <f>IFERROR(SUM(F43:F49)+F50-F51,0)</f>
        <v>0</v>
      </c>
    </row>
    <row r="53" spans="1:6">
      <c r="A53" s="256"/>
      <c r="B53" s="256"/>
      <c r="C53" s="256"/>
      <c r="D53" s="256"/>
      <c r="E53" s="256"/>
      <c r="F53" s="256"/>
    </row>
    <row r="54" spans="1:6" ht="95.25" customHeight="1">
      <c r="A54" s="256"/>
      <c r="B54" s="256"/>
      <c r="C54" s="256"/>
      <c r="D54" s="256"/>
      <c r="E54" s="755" t="s">
        <v>226</v>
      </c>
      <c r="F54" s="755"/>
    </row>
    <row r="55" spans="1:6">
      <c r="A55" s="256"/>
      <c r="B55" s="256"/>
      <c r="C55" s="256"/>
      <c r="D55" s="256"/>
      <c r="E55" s="256"/>
      <c r="F55" s="256"/>
    </row>
    <row r="56" spans="1:6">
      <c r="A56" s="256"/>
      <c r="B56" s="256"/>
      <c r="C56" s="256"/>
      <c r="D56" s="256"/>
      <c r="E56" s="256"/>
      <c r="F56" s="256"/>
    </row>
    <row r="57" spans="1:6">
      <c r="A57" s="256"/>
      <c r="B57" s="256"/>
      <c r="C57" s="256"/>
      <c r="D57" s="256"/>
      <c r="E57" s="256"/>
      <c r="F57" s="256"/>
    </row>
    <row r="58" spans="1:6">
      <c r="A58" s="256"/>
      <c r="B58" s="256"/>
      <c r="C58" s="256"/>
      <c r="D58" s="256"/>
      <c r="E58" s="256"/>
      <c r="F58" s="256"/>
    </row>
  </sheetData>
  <sheetProtection algorithmName="SHA-512" hashValue="kV37rUcGtxXoL6WtlzkVBtrDBPg8m222vbeQebnJIwjXpBXiQXdqm56TYNMKT7Ma33majqRpaAlMm5H9zemS6Q==" saltValue="zFjF52RbB0dMCzUvNjr6fQ==" spinCount="100000" sheet="1" objects="1" scenarios="1"/>
  <mergeCells count="4">
    <mergeCell ref="A8:F8"/>
    <mergeCell ref="A25:F25"/>
    <mergeCell ref="A27:C27"/>
    <mergeCell ref="E54:F54"/>
  </mergeCells>
  <pageMargins left="0.7" right="0.7" top="0.75" bottom="0.75" header="0.3" footer="0.3"/>
  <pageSetup paperSize="9" scale="69" orientation="portrait" r:id="rId1"/>
  <drawing r:id="rId2"/>
  <legacyDrawing r:id="rId3"/>
  <tableParts count="1">
    <tablePart r:id="rId4"/>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tabColor theme="7"/>
  </sheetPr>
  <dimension ref="A1:IJ1172"/>
  <sheetViews>
    <sheetView tabSelected="1" topLeftCell="B1" zoomScale="25" zoomScaleNormal="25" zoomScaleSheetLayoutView="16" workbookViewId="0">
      <selection activeCell="E2" sqref="E2:I2"/>
    </sheetView>
  </sheetViews>
  <sheetFormatPr baseColWidth="10" defaultRowHeight="83.25"/>
  <cols>
    <col min="1" max="1" width="22.140625" style="509" hidden="1" customWidth="1"/>
    <col min="2" max="2" width="53" style="687" customWidth="1"/>
    <col min="3" max="3" width="242" style="509" customWidth="1"/>
    <col min="4" max="4" width="120.28515625" style="509" bestFit="1" customWidth="1"/>
    <col min="5" max="5" width="96" style="509" customWidth="1"/>
    <col min="6" max="6" width="147.5703125" style="509" customWidth="1"/>
    <col min="7" max="7" width="107.85546875" style="509" customWidth="1"/>
    <col min="8" max="8" width="93.5703125" style="509" bestFit="1" customWidth="1"/>
    <col min="9" max="9" width="86.42578125" style="509" bestFit="1" customWidth="1"/>
    <col min="10" max="10" width="91.5703125" style="509" customWidth="1"/>
    <col min="11" max="11" width="60.5703125" style="509" hidden="1" customWidth="1"/>
    <col min="12" max="12" width="86.5703125" style="510" bestFit="1" customWidth="1"/>
    <col min="13" max="13" width="61.7109375" style="510" bestFit="1" customWidth="1"/>
    <col min="14" max="15" width="11.42578125" style="510"/>
    <col min="16" max="16" width="82.42578125" style="510" bestFit="1" customWidth="1"/>
    <col min="17" max="17" width="46.5703125" style="510" bestFit="1" customWidth="1"/>
    <col min="18" max="18" width="102.42578125" style="510" bestFit="1" customWidth="1"/>
    <col min="19" max="19" width="49.42578125" style="510" bestFit="1" customWidth="1"/>
    <col min="20" max="22" width="11.42578125" style="510"/>
    <col min="23" max="23" width="73.85546875" style="513" bestFit="1" customWidth="1"/>
    <col min="24" max="34" width="11.42578125" style="510"/>
    <col min="35" max="35" width="76.5703125" style="509" bestFit="1" customWidth="1"/>
    <col min="36" max="16384" width="11.42578125" style="509"/>
  </cols>
  <sheetData>
    <row r="1" spans="2:11">
      <c r="B1" s="510"/>
      <c r="C1" s="511"/>
      <c r="D1" s="512" t="s">
        <v>0</v>
      </c>
      <c r="E1" s="512"/>
      <c r="F1" s="757" t="s">
        <v>687</v>
      </c>
      <c r="G1" s="758"/>
      <c r="H1" s="510"/>
      <c r="I1" s="510"/>
      <c r="J1" s="510"/>
      <c r="K1" s="510"/>
    </row>
    <row r="2" spans="2:11">
      <c r="B2" s="510"/>
      <c r="C2" s="511"/>
      <c r="D2" s="512" t="s">
        <v>57</v>
      </c>
      <c r="E2" s="763" t="str">
        <f>DONNEES!C2</f>
        <v>au Lycée "MARCELIN BERTHELOT"</v>
      </c>
      <c r="F2" s="761"/>
      <c r="G2" s="761"/>
      <c r="H2" s="761"/>
      <c r="I2" s="762"/>
      <c r="J2" s="510"/>
    </row>
    <row r="3" spans="2:11">
      <c r="B3" s="510"/>
      <c r="C3" s="511"/>
      <c r="D3" s="512" t="s">
        <v>2</v>
      </c>
      <c r="E3" s="763" t="str">
        <f>DONNEES!C3</f>
        <v>2019 SOGOS 217586</v>
      </c>
      <c r="F3" s="761"/>
      <c r="G3" s="761"/>
      <c r="H3" s="761"/>
      <c r="I3" s="761"/>
      <c r="J3" s="510"/>
      <c r="K3" s="510"/>
    </row>
    <row r="4" spans="2:11">
      <c r="B4" s="510"/>
      <c r="C4" s="511"/>
      <c r="D4" s="512" t="s">
        <v>3</v>
      </c>
      <c r="E4" s="763" t="str">
        <f>DONNEES!C5</f>
        <v>ERREBA</v>
      </c>
      <c r="F4" s="762"/>
      <c r="G4" s="514" t="str">
        <f>IF(DONNEES!C6&lt;&gt;"","Co-traitant","")</f>
        <v>Co-traitant</v>
      </c>
      <c r="H4" s="761" t="str">
        <f>DONNEES!C6</f>
        <v>SPIE</v>
      </c>
      <c r="I4" s="762"/>
      <c r="J4" s="510"/>
      <c r="K4" s="510"/>
    </row>
    <row r="5" spans="2:11">
      <c r="B5" s="510"/>
      <c r="C5" s="511"/>
      <c r="D5" s="512" t="s">
        <v>4</v>
      </c>
      <c r="E5" s="763" t="str">
        <f>DONNEES!C7</f>
        <v>2019P000T12345</v>
      </c>
      <c r="F5" s="761"/>
      <c r="G5" s="761"/>
      <c r="H5" s="761"/>
      <c r="I5" s="762"/>
      <c r="J5" s="510"/>
      <c r="K5" s="510"/>
    </row>
    <row r="6" spans="2:11">
      <c r="B6" s="510"/>
      <c r="C6" s="511"/>
      <c r="D6" s="512" t="s">
        <v>5</v>
      </c>
      <c r="E6" s="763">
        <f>DONNEES!C8</f>
        <v>0</v>
      </c>
      <c r="F6" s="761"/>
      <c r="G6" s="761"/>
      <c r="H6" s="761"/>
      <c r="I6" s="762"/>
      <c r="J6" s="510"/>
      <c r="K6" s="510"/>
    </row>
    <row r="7" spans="2:11">
      <c r="B7" s="510"/>
      <c r="C7" s="510"/>
      <c r="D7" s="512" t="s">
        <v>6</v>
      </c>
      <c r="E7" s="512"/>
      <c r="F7" s="515"/>
      <c r="G7" s="516" t="s">
        <v>40</v>
      </c>
      <c r="H7" s="515"/>
      <c r="J7" s="510"/>
      <c r="K7" s="510"/>
    </row>
    <row r="8" spans="2:11">
      <c r="B8" s="510"/>
      <c r="C8" s="510"/>
      <c r="F8" s="517"/>
      <c r="G8" s="517"/>
      <c r="H8" s="518"/>
      <c r="I8" s="517"/>
      <c r="J8" s="510"/>
      <c r="K8" s="510"/>
    </row>
    <row r="9" spans="2:11">
      <c r="B9" s="510"/>
      <c r="C9" s="764" t="s">
        <v>7</v>
      </c>
      <c r="D9" s="764"/>
      <c r="E9" s="764"/>
      <c r="F9" s="764"/>
      <c r="G9" s="511"/>
      <c r="H9" s="510"/>
      <c r="I9" s="510"/>
      <c r="J9" s="510"/>
      <c r="K9" s="510"/>
    </row>
    <row r="10" spans="2:11">
      <c r="B10" s="510"/>
      <c r="C10" s="519"/>
      <c r="D10" s="520">
        <f>DONNEES!C17</f>
        <v>0.2</v>
      </c>
      <c r="E10" s="520">
        <f>DONNEES!E17</f>
        <v>0.1</v>
      </c>
      <c r="F10" s="521"/>
      <c r="G10" s="511"/>
      <c r="H10" s="510"/>
      <c r="I10" s="510"/>
      <c r="J10" s="510"/>
      <c r="K10" s="510"/>
    </row>
    <row r="11" spans="2:11">
      <c r="B11" s="510"/>
      <c r="C11" s="522" t="s">
        <v>8</v>
      </c>
      <c r="D11" s="523" t="s">
        <v>474</v>
      </c>
      <c r="E11" s="523" t="s">
        <v>475</v>
      </c>
      <c r="F11" s="524" t="s">
        <v>473</v>
      </c>
      <c r="G11" s="511"/>
      <c r="H11" s="510"/>
      <c r="I11" s="510"/>
      <c r="J11" s="510"/>
      <c r="K11" s="510"/>
    </row>
    <row r="12" spans="2:11">
      <c r="B12" s="510"/>
      <c r="C12" s="525" t="s">
        <v>9</v>
      </c>
      <c r="D12" s="526">
        <f>DONNEES!C18</f>
        <v>50000</v>
      </c>
      <c r="E12" s="526">
        <f>DONNEES!E18</f>
        <v>40000</v>
      </c>
      <c r="F12" s="527">
        <f>D12+E12</f>
        <v>90000</v>
      </c>
      <c r="G12" s="511"/>
      <c r="H12" s="510"/>
      <c r="I12" s="510"/>
      <c r="J12" s="510"/>
      <c r="K12" s="510"/>
    </row>
    <row r="13" spans="2:11" hidden="1">
      <c r="B13" s="510"/>
      <c r="C13" s="525" t="s">
        <v>10</v>
      </c>
      <c r="D13" s="526">
        <f>DONNEES!C19</f>
        <v>0</v>
      </c>
      <c r="E13" s="526">
        <f>DONNEES!E19</f>
        <v>0</v>
      </c>
      <c r="F13" s="527">
        <f t="shared" ref="F13:F20" si="0">D13+E13</f>
        <v>0</v>
      </c>
      <c r="G13" s="511"/>
      <c r="H13" s="510"/>
      <c r="I13" s="510"/>
      <c r="J13" s="510"/>
      <c r="K13" s="510"/>
    </row>
    <row r="14" spans="2:11" hidden="1">
      <c r="B14" s="510"/>
      <c r="C14" s="525" t="s">
        <v>11</v>
      </c>
      <c r="D14" s="526">
        <f>DONNEES!C20</f>
        <v>0</v>
      </c>
      <c r="E14" s="526">
        <f>DONNEES!E20</f>
        <v>0</v>
      </c>
      <c r="F14" s="527">
        <f t="shared" si="0"/>
        <v>0</v>
      </c>
      <c r="G14" s="511"/>
      <c r="H14" s="510"/>
      <c r="I14" s="510"/>
      <c r="J14" s="510"/>
      <c r="K14" s="510"/>
    </row>
    <row r="15" spans="2:11" hidden="1">
      <c r="B15" s="510"/>
      <c r="C15" s="525" t="s">
        <v>12</v>
      </c>
      <c r="D15" s="526">
        <f>DONNEES!C21</f>
        <v>0</v>
      </c>
      <c r="E15" s="526">
        <f>DONNEES!E21</f>
        <v>0</v>
      </c>
      <c r="F15" s="527">
        <f t="shared" si="0"/>
        <v>0</v>
      </c>
      <c r="G15" s="511"/>
      <c r="H15" s="510"/>
      <c r="I15" s="510"/>
      <c r="J15" s="510"/>
      <c r="K15" s="510"/>
    </row>
    <row r="16" spans="2:11" hidden="1">
      <c r="B16" s="510"/>
      <c r="C16" s="525" t="s">
        <v>398</v>
      </c>
      <c r="D16" s="526">
        <f>DONNEES!C22</f>
        <v>0</v>
      </c>
      <c r="E16" s="526">
        <f>DONNEES!E22</f>
        <v>0</v>
      </c>
      <c r="F16" s="527">
        <f t="shared" si="0"/>
        <v>0</v>
      </c>
      <c r="G16" s="511"/>
      <c r="H16" s="510"/>
      <c r="I16" s="510"/>
      <c r="J16" s="510"/>
      <c r="K16" s="510"/>
    </row>
    <row r="17" spans="1:23" hidden="1">
      <c r="B17" s="510"/>
      <c r="C17" s="525" t="s">
        <v>399</v>
      </c>
      <c r="D17" s="526">
        <f>DONNEES!C23</f>
        <v>0</v>
      </c>
      <c r="E17" s="526">
        <f>DONNEES!E23</f>
        <v>0</v>
      </c>
      <c r="F17" s="527">
        <f t="shared" si="0"/>
        <v>0</v>
      </c>
      <c r="G17" s="511"/>
      <c r="H17" s="510"/>
      <c r="I17" s="510"/>
      <c r="J17" s="510"/>
    </row>
    <row r="18" spans="1:23" hidden="1">
      <c r="B18" s="510"/>
      <c r="C18" s="525" t="s">
        <v>400</v>
      </c>
      <c r="D18" s="526">
        <f>DONNEES!C24</f>
        <v>0</v>
      </c>
      <c r="E18" s="526">
        <f>DONNEES!E24</f>
        <v>0</v>
      </c>
      <c r="F18" s="527">
        <f t="shared" si="0"/>
        <v>0</v>
      </c>
      <c r="G18" s="511"/>
      <c r="H18" s="510"/>
      <c r="I18" s="510"/>
      <c r="J18" s="510"/>
    </row>
    <row r="19" spans="1:23" hidden="1">
      <c r="B19" s="510"/>
      <c r="C19" s="525" t="s">
        <v>13</v>
      </c>
      <c r="D19" s="526">
        <f>DONNEES!C25</f>
        <v>0</v>
      </c>
      <c r="E19" s="526">
        <f>DONNEES!E25</f>
        <v>0</v>
      </c>
      <c r="F19" s="527">
        <f t="shared" si="0"/>
        <v>0</v>
      </c>
      <c r="G19" s="511"/>
      <c r="H19" s="510"/>
      <c r="I19" s="510"/>
      <c r="J19" s="510"/>
      <c r="W19" s="513" t="s">
        <v>628</v>
      </c>
    </row>
    <row r="20" spans="1:23" hidden="1">
      <c r="B20" s="510"/>
      <c r="C20" s="525" t="s">
        <v>58</v>
      </c>
      <c r="D20" s="526">
        <f>DONNEES!C26</f>
        <v>0</v>
      </c>
      <c r="E20" s="526">
        <f>DONNEES!E26</f>
        <v>0</v>
      </c>
      <c r="F20" s="527">
        <f t="shared" si="0"/>
        <v>0</v>
      </c>
      <c r="G20" s="528"/>
      <c r="I20" s="510"/>
      <c r="J20" s="510"/>
      <c r="W20" s="513">
        <f>SUMIF(Tableau4[type (titulaire / ST)],"Titulaire",Tableau4[montant HT2])*D10</f>
        <v>1000</v>
      </c>
    </row>
    <row r="21" spans="1:23">
      <c r="B21" s="510"/>
      <c r="C21" s="529" t="s">
        <v>14</v>
      </c>
      <c r="D21" s="526">
        <f>SUM(D12:D19)-D20</f>
        <v>50000</v>
      </c>
      <c r="E21" s="526">
        <f>SUM(E12:E19)-E20</f>
        <v>40000</v>
      </c>
      <c r="F21" s="527">
        <f>D21+E21</f>
        <v>90000</v>
      </c>
      <c r="G21" s="510"/>
      <c r="H21" s="510"/>
      <c r="I21" s="510"/>
      <c r="J21" s="510"/>
      <c r="W21" s="513">
        <f>SUMIF(Tableau4[type (titulaire / ST)],"Titulaire",Tableau4[[ montant HT3]])*E10</f>
        <v>0</v>
      </c>
    </row>
    <row r="22" spans="1:23">
      <c r="B22" s="510"/>
      <c r="C22" s="529" t="s">
        <v>15</v>
      </c>
      <c r="D22" s="526">
        <f>D21*D10</f>
        <v>10000</v>
      </c>
      <c r="E22" s="526">
        <f>E21*E10</f>
        <v>4000</v>
      </c>
      <c r="F22" s="530">
        <f>'CPP TITULAIRE-ST'!$D22+'CPP TITULAIRE-ST'!$E22</f>
        <v>14000</v>
      </c>
      <c r="G22" s="510"/>
      <c r="H22" s="510"/>
      <c r="I22" s="510"/>
      <c r="J22" s="510"/>
      <c r="K22" s="510"/>
      <c r="W22" s="513" t="s">
        <v>629</v>
      </c>
    </row>
    <row r="23" spans="1:23">
      <c r="B23" s="510"/>
      <c r="C23" s="529" t="s">
        <v>16</v>
      </c>
      <c r="D23" s="526">
        <f>D21+D22</f>
        <v>60000</v>
      </c>
      <c r="E23" s="526">
        <f>E21+E22</f>
        <v>44000</v>
      </c>
      <c r="F23" s="530">
        <f>'CPP TITULAIRE-ST'!$D23+'CPP TITULAIRE-ST'!$E23</f>
        <v>104000</v>
      </c>
      <c r="G23" s="510"/>
      <c r="H23" s="510"/>
      <c r="I23" s="510"/>
      <c r="J23" s="510"/>
      <c r="K23" s="510"/>
      <c r="W23" s="513">
        <f>SUMIF(Tableau4[type (titulaire / ST)],"Cotraitant 1",Tableau4[montant HT2])*D10</f>
        <v>800</v>
      </c>
    </row>
    <row r="24" spans="1:23">
      <c r="B24" s="510"/>
      <c r="C24" s="531" t="s">
        <v>17</v>
      </c>
      <c r="D24" s="532">
        <f>D23+E23</f>
        <v>104000</v>
      </c>
      <c r="E24" s="533"/>
      <c r="F24" s="530">
        <f>'CPP TITULAIRE-ST'!$D24</f>
        <v>104000</v>
      </c>
      <c r="G24" s="510"/>
      <c r="H24" s="510"/>
      <c r="I24" s="510"/>
      <c r="J24" s="510"/>
      <c r="K24" s="510"/>
      <c r="W24" s="513">
        <f>SUMIF(Tableau4[type (titulaire / ST)],"Cotraitant 1",Tableau4[[ montant HT3]])*E10</f>
        <v>0</v>
      </c>
    </row>
    <row r="25" spans="1:23">
      <c r="B25" s="510"/>
      <c r="C25" s="510"/>
      <c r="D25" s="510"/>
      <c r="E25" s="510"/>
      <c r="F25" s="510"/>
      <c r="G25" s="510"/>
      <c r="H25" s="510"/>
      <c r="I25" s="510"/>
      <c r="J25" s="510"/>
      <c r="K25" s="510"/>
    </row>
    <row r="26" spans="1:23">
      <c r="B26" s="510"/>
      <c r="C26" s="767" t="s">
        <v>457</v>
      </c>
      <c r="D26" s="767"/>
      <c r="E26" s="767"/>
      <c r="F26" s="768"/>
      <c r="G26" s="768"/>
      <c r="H26" s="510"/>
      <c r="I26" s="774" t="s">
        <v>451</v>
      </c>
      <c r="J26" s="774"/>
      <c r="K26" s="510"/>
      <c r="L26" s="774" t="s">
        <v>565</v>
      </c>
      <c r="M26" s="774"/>
      <c r="P26" s="510" t="s">
        <v>623</v>
      </c>
      <c r="R26" s="510" t="s">
        <v>627</v>
      </c>
    </row>
    <row r="27" spans="1:23">
      <c r="B27" s="510"/>
      <c r="C27" s="775"/>
      <c r="D27" s="776"/>
      <c r="E27" s="777"/>
      <c r="F27" s="534">
        <f>D10</f>
        <v>0.2</v>
      </c>
      <c r="G27" s="534">
        <f>E10</f>
        <v>0.1</v>
      </c>
      <c r="H27" s="510"/>
      <c r="I27" s="535">
        <f>D10</f>
        <v>0.2</v>
      </c>
      <c r="J27" s="535">
        <f>E10</f>
        <v>0.1</v>
      </c>
      <c r="K27" s="536"/>
      <c r="L27" s="535">
        <f>D10</f>
        <v>0.2</v>
      </c>
      <c r="M27" s="535">
        <f>E10</f>
        <v>0.1</v>
      </c>
      <c r="R27" s="510">
        <f>SUMIF(D29:D84,"ST TVA autoliquidée",P29:P84)</f>
        <v>0</v>
      </c>
      <c r="S27" s="510" t="s">
        <v>625</v>
      </c>
    </row>
    <row r="28" spans="1:23">
      <c r="B28" s="537" t="s">
        <v>454</v>
      </c>
      <c r="C28" s="538" t="s">
        <v>447</v>
      </c>
      <c r="D28" s="538" t="s">
        <v>455</v>
      </c>
      <c r="E28" s="538" t="s">
        <v>54</v>
      </c>
      <c r="F28" s="538" t="s">
        <v>449</v>
      </c>
      <c r="G28" s="539" t="s">
        <v>450</v>
      </c>
      <c r="H28" s="540" t="s">
        <v>232</v>
      </c>
      <c r="I28" s="541" t="s">
        <v>452</v>
      </c>
      <c r="J28" s="538" t="s">
        <v>453</v>
      </c>
      <c r="K28" s="537" t="s">
        <v>470</v>
      </c>
      <c r="L28" s="541" t="s">
        <v>567</v>
      </c>
      <c r="M28" s="538" t="s">
        <v>568</v>
      </c>
      <c r="R28" s="510">
        <f>SUMIF(D85:D140,"ST TVA autoliquidée",P85:P140)</f>
        <v>0</v>
      </c>
      <c r="S28" s="510" t="s">
        <v>626</v>
      </c>
    </row>
    <row r="29" spans="1:23">
      <c r="A29" s="542"/>
      <c r="B29" s="543" t="str">
        <f>Tableau4[[#This Row],[Tranche]]&amp;" "&amp;Tableau4[[#This Row],[type (titulaire / ST)]]</f>
        <v>Tranche FERME Titulaire</v>
      </c>
      <c r="C29" s="544" t="str">
        <f>DONNEES!A224</f>
        <v>Tranche FERME</v>
      </c>
      <c r="D29" s="545" t="str">
        <f>DONNEES!C224</f>
        <v>Titulaire</v>
      </c>
      <c r="E29" s="545" t="str">
        <f>DONNEES!D224</f>
        <v>ERREBA</v>
      </c>
      <c r="F29" s="546">
        <f>DONNEES!E224</f>
        <v>40000</v>
      </c>
      <c r="G29" s="546">
        <f>DONNEES!F224</f>
        <v>40000</v>
      </c>
      <c r="H29" s="546">
        <f>F29+G29</f>
        <v>80000</v>
      </c>
      <c r="I29" s="547">
        <v>5000</v>
      </c>
      <c r="J29" s="547"/>
      <c r="K29" s="548"/>
      <c r="L29" s="549">
        <f>Tableau4[[#This Row],[montant HT2]]</f>
        <v>5000</v>
      </c>
      <c r="M29" s="549">
        <f>Tableau4[[#This Row],[ montant HT3]]</f>
        <v>0</v>
      </c>
      <c r="P29" s="550">
        <f>(Tableau4[[#This Row],[montant HT2]]*$D$10)+(Tableau4[[#This Row],[ montant HT3]]*$E$10)</f>
        <v>1000</v>
      </c>
      <c r="W29" s="513">
        <f>SUMIF(D30:D71,"ST TVA autoliquidée",H30:H71)</f>
        <v>0</v>
      </c>
    </row>
    <row r="30" spans="1:23" hidden="1">
      <c r="A30" s="542"/>
      <c r="B30" s="543" t="str">
        <f>Tableau4[[#This Row],[Tranche]]&amp;" "&amp;Tableau4[[#This Row],[type (titulaire / ST)]]</f>
        <v>Tranche FERME 0</v>
      </c>
      <c r="C30" s="544" t="str">
        <f>DONNEES!A225</f>
        <v>Tranche FERME</v>
      </c>
      <c r="D30" s="545">
        <f>DONNEES!C225</f>
        <v>0</v>
      </c>
      <c r="E30" s="545">
        <f>DONNEES!D225</f>
        <v>0</v>
      </c>
      <c r="F30" s="546">
        <f>DONNEES!E225</f>
        <v>0</v>
      </c>
      <c r="G30" s="546">
        <f>DONNEES!F225</f>
        <v>0</v>
      </c>
      <c r="H30" s="546">
        <f t="shared" ref="H30:H78" si="1">F30+G30</f>
        <v>0</v>
      </c>
      <c r="I30" s="547"/>
      <c r="J30" s="547"/>
      <c r="K30" s="548"/>
      <c r="L30" s="549">
        <f>Tableau4[[#This Row],[montant HT2]]</f>
        <v>0</v>
      </c>
      <c r="M30" s="549">
        <f>Tableau4[[#This Row],[ montant HT3]]</f>
        <v>0</v>
      </c>
      <c r="P30" s="550">
        <f>(Tableau4[[#This Row],[montant HT2]]*$D$10)+(Tableau4[[#This Row],[ montant HT3]]*$E$10)</f>
        <v>0</v>
      </c>
      <c r="W30" s="513">
        <f>SUMIF(D30:D72,"ST TVA non-autoliquidée",H30:H72)</f>
        <v>0</v>
      </c>
    </row>
    <row r="31" spans="1:23" hidden="1">
      <c r="A31" s="542"/>
      <c r="B31" s="543" t="str">
        <f>Tableau4[[#This Row],[Tranche]]&amp;" "&amp;Tableau4[[#This Row],[type (titulaire / ST)]]</f>
        <v>Tranche FERME 0</v>
      </c>
      <c r="C31" s="544" t="str">
        <f>DONNEES!A226</f>
        <v>Tranche FERME</v>
      </c>
      <c r="D31" s="545">
        <f>DONNEES!C226</f>
        <v>0</v>
      </c>
      <c r="E31" s="545">
        <f>DONNEES!D226</f>
        <v>0</v>
      </c>
      <c r="F31" s="546">
        <f>DONNEES!E226</f>
        <v>0</v>
      </c>
      <c r="G31" s="546">
        <f>DONNEES!F226</f>
        <v>0</v>
      </c>
      <c r="H31" s="546">
        <f t="shared" si="1"/>
        <v>0</v>
      </c>
      <c r="I31" s="547"/>
      <c r="J31" s="547"/>
      <c r="K31" s="548"/>
      <c r="L31" s="549">
        <f>Tableau4[[#This Row],[montant HT2]]</f>
        <v>0</v>
      </c>
      <c r="M31" s="549">
        <f>Tableau4[[#This Row],[ montant HT3]]</f>
        <v>0</v>
      </c>
      <c r="P31" s="550">
        <f>(Tableau4[[#This Row],[montant HT2]]*$D$10)+(Tableau4[[#This Row],[ montant HT3]]*$E$10)</f>
        <v>0</v>
      </c>
      <c r="W31" s="513">
        <f>W29+W30</f>
        <v>0</v>
      </c>
    </row>
    <row r="32" spans="1:23" hidden="1">
      <c r="A32" s="542"/>
      <c r="B32" s="543" t="str">
        <f>Tableau4[[#This Row],[Tranche]]&amp;" "&amp;Tableau4[[#This Row],[type (titulaire / ST)]]</f>
        <v>Tranche FERME 0</v>
      </c>
      <c r="C32" s="544" t="str">
        <f>DONNEES!A227</f>
        <v>Tranche FERME</v>
      </c>
      <c r="D32" s="545">
        <f>DONNEES!C227</f>
        <v>0</v>
      </c>
      <c r="E32" s="545">
        <f>DONNEES!D227</f>
        <v>0</v>
      </c>
      <c r="F32" s="546">
        <f>DONNEES!E227</f>
        <v>0</v>
      </c>
      <c r="G32" s="546">
        <f>DONNEES!F227</f>
        <v>0</v>
      </c>
      <c r="H32" s="546">
        <f t="shared" si="1"/>
        <v>0</v>
      </c>
      <c r="I32" s="547"/>
      <c r="J32" s="547"/>
      <c r="K32" s="548"/>
      <c r="L32" s="549">
        <f>Tableau4[[#This Row],[montant HT2]]</f>
        <v>0</v>
      </c>
      <c r="M32" s="549">
        <f>Tableau4[[#This Row],[ montant HT3]]</f>
        <v>0</v>
      </c>
      <c r="P32" s="550">
        <f>(Tableau4[[#This Row],[montant HT2]]*$D$10)+(Tableau4[[#This Row],[ montant HT3]]*$E$10)</f>
        <v>0</v>
      </c>
    </row>
    <row r="33" spans="1:35" hidden="1">
      <c r="A33" s="542"/>
      <c r="B33" s="543" t="str">
        <f>Tableau4[[#This Row],[Tranche]]&amp;" "&amp;Tableau4[[#This Row],[type (titulaire / ST)]]</f>
        <v>Tranche FERME 0</v>
      </c>
      <c r="C33" s="544" t="str">
        <f>DONNEES!A228</f>
        <v>Tranche FERME</v>
      </c>
      <c r="D33" s="545">
        <f>DONNEES!C228</f>
        <v>0</v>
      </c>
      <c r="E33" s="545">
        <f>DONNEES!D228</f>
        <v>0</v>
      </c>
      <c r="F33" s="546">
        <f>DONNEES!E228</f>
        <v>0</v>
      </c>
      <c r="G33" s="546">
        <f>DONNEES!F228</f>
        <v>0</v>
      </c>
      <c r="H33" s="546">
        <f t="shared" si="1"/>
        <v>0</v>
      </c>
      <c r="I33" s="547"/>
      <c r="J33" s="547"/>
      <c r="K33" s="548"/>
      <c r="L33" s="549">
        <f>Tableau4[[#This Row],[montant HT2]]</f>
        <v>0</v>
      </c>
      <c r="M33" s="549">
        <f>Tableau4[[#This Row],[ montant HT3]]</f>
        <v>0</v>
      </c>
      <c r="P33" s="550">
        <f>(Tableau4[[#This Row],[montant HT2]]*$D$10)+(Tableau4[[#This Row],[ montant HT3]]*$E$10)</f>
        <v>0</v>
      </c>
    </row>
    <row r="34" spans="1:35" hidden="1">
      <c r="A34" s="542"/>
      <c r="B34" s="543" t="str">
        <f>Tableau4[[#This Row],[Tranche]]&amp;" "&amp;Tableau4[[#This Row],[type (titulaire / ST)]]</f>
        <v>Tranche FERME 0</v>
      </c>
      <c r="C34" s="544" t="str">
        <f>DONNEES!A229</f>
        <v>Tranche FERME</v>
      </c>
      <c r="D34" s="545">
        <f>DONNEES!C229</f>
        <v>0</v>
      </c>
      <c r="E34" s="545">
        <f>DONNEES!D229</f>
        <v>0</v>
      </c>
      <c r="F34" s="546">
        <f>DONNEES!E229</f>
        <v>0</v>
      </c>
      <c r="G34" s="546">
        <f>DONNEES!F229</f>
        <v>0</v>
      </c>
      <c r="H34" s="546">
        <f t="shared" si="1"/>
        <v>0</v>
      </c>
      <c r="I34" s="547"/>
      <c r="J34" s="547"/>
      <c r="K34" s="548"/>
      <c r="L34" s="549">
        <f>Tableau4[[#This Row],[montant HT2]]</f>
        <v>0</v>
      </c>
      <c r="M34" s="549">
        <f>Tableau4[[#This Row],[ montant HT3]]</f>
        <v>0</v>
      </c>
      <c r="P34" s="550">
        <f>(Tableau4[[#This Row],[montant HT2]]*$D$10)+(Tableau4[[#This Row],[ montant HT3]]*$E$10)</f>
        <v>0</v>
      </c>
      <c r="W34" s="513" t="s">
        <v>562</v>
      </c>
    </row>
    <row r="35" spans="1:35" hidden="1">
      <c r="A35" s="542"/>
      <c r="B35" s="543" t="str">
        <f>Tableau4[[#This Row],[Tranche]]&amp;" "&amp;Tableau4[[#This Row],[type (titulaire / ST)]]</f>
        <v>Tranche FERME 0</v>
      </c>
      <c r="C35" s="544" t="str">
        <f>DONNEES!A230</f>
        <v>Tranche FERME</v>
      </c>
      <c r="D35" s="545">
        <f>DONNEES!C230</f>
        <v>0</v>
      </c>
      <c r="E35" s="545">
        <f>DONNEES!D230</f>
        <v>0</v>
      </c>
      <c r="F35" s="546">
        <f>DONNEES!E230</f>
        <v>0</v>
      </c>
      <c r="G35" s="546">
        <f>DONNEES!F230</f>
        <v>0</v>
      </c>
      <c r="H35" s="546">
        <f t="shared" si="1"/>
        <v>0</v>
      </c>
      <c r="I35" s="547"/>
      <c r="J35" s="547"/>
      <c r="K35" s="548"/>
      <c r="L35" s="549">
        <f>Tableau4[[#This Row],[montant HT2]]</f>
        <v>0</v>
      </c>
      <c r="M35" s="549">
        <f>Tableau4[[#This Row],[ montant HT3]]</f>
        <v>0</v>
      </c>
      <c r="P35" s="550">
        <f>(Tableau4[[#This Row],[montant HT2]]*$D$10)+(Tableau4[[#This Row],[ montant HT3]]*$E$10)</f>
        <v>0</v>
      </c>
      <c r="W35" s="513">
        <f>SUMIF(Tableau4[type (titulaire / ST)],"ST TVA*",Tableau4[montant HT2])</f>
        <v>0</v>
      </c>
      <c r="Y35" s="510" t="s">
        <v>563</v>
      </c>
    </row>
    <row r="36" spans="1:35" hidden="1">
      <c r="A36" s="542"/>
      <c r="B36" s="543" t="str">
        <f>Tableau4[[#This Row],[Tranche]]&amp;" "&amp;Tableau4[[#This Row],[type (titulaire / ST)]]</f>
        <v>Tranche OPTIONNELLE 1 Titulaire</v>
      </c>
      <c r="C36" s="544" t="str">
        <f>DONNEES!A231</f>
        <v>Tranche OPTIONNELLE 1</v>
      </c>
      <c r="D36" s="545" t="str">
        <f>DONNEES!C231</f>
        <v>Titulaire</v>
      </c>
      <c r="E36" s="545" t="str">
        <f>DONNEES!D231</f>
        <v>ERREBA</v>
      </c>
      <c r="F36" s="546">
        <f>DONNEES!E231</f>
        <v>0</v>
      </c>
      <c r="G36" s="546">
        <f>DONNEES!F231</f>
        <v>0</v>
      </c>
      <c r="H36" s="546">
        <f t="shared" si="1"/>
        <v>0</v>
      </c>
      <c r="I36" s="547"/>
      <c r="J36" s="547"/>
      <c r="K36" s="548"/>
      <c r="L36" s="549">
        <f>Tableau4[[#This Row],[montant HT2]]</f>
        <v>0</v>
      </c>
      <c r="M36" s="549">
        <f>Tableau4[[#This Row],[ montant HT3]]</f>
        <v>0</v>
      </c>
      <c r="P36" s="550">
        <f>(Tableau4[[#This Row],[montant HT2]]*$D$10)+(Tableau4[[#This Row],[ montant HT3]]*$E$10)</f>
        <v>0</v>
      </c>
      <c r="W36" s="513">
        <f>SUMIF(Tableau4[type (titulaire / ST)],"ST TVA*",Tableau4[[ montant HT3]])</f>
        <v>0</v>
      </c>
      <c r="Y36" s="510" t="s">
        <v>564</v>
      </c>
    </row>
    <row r="37" spans="1:35" hidden="1">
      <c r="A37" s="542"/>
      <c r="B37" s="543" t="str">
        <f>Tableau4[[#This Row],[Tranche]]&amp;" "&amp;Tableau4[[#This Row],[type (titulaire / ST)]]</f>
        <v>Tranche OPTIONNELLE 1 0</v>
      </c>
      <c r="C37" s="544" t="str">
        <f>DONNEES!A232</f>
        <v>Tranche OPTIONNELLE 1</v>
      </c>
      <c r="D37" s="545">
        <f>DONNEES!C232</f>
        <v>0</v>
      </c>
      <c r="E37" s="545">
        <f>DONNEES!D232</f>
        <v>0</v>
      </c>
      <c r="F37" s="546">
        <f>DONNEES!E232</f>
        <v>0</v>
      </c>
      <c r="G37" s="546">
        <f>DONNEES!F232</f>
        <v>0</v>
      </c>
      <c r="H37" s="546">
        <f t="shared" si="1"/>
        <v>0</v>
      </c>
      <c r="I37" s="547"/>
      <c r="J37" s="547"/>
      <c r="K37" s="548"/>
      <c r="L37" s="549">
        <f>Tableau4[[#This Row],[montant HT2]]</f>
        <v>0</v>
      </c>
      <c r="M37" s="549">
        <f>Tableau4[[#This Row],[ montant HT3]]</f>
        <v>0</v>
      </c>
      <c r="P37" s="550">
        <f>(Tableau4[[#This Row],[montant HT2]]*$D$10)+(Tableau4[[#This Row],[ montant HT3]]*$E$10)</f>
        <v>0</v>
      </c>
    </row>
    <row r="38" spans="1:35" hidden="1">
      <c r="A38" s="542"/>
      <c r="B38" s="543" t="str">
        <f>Tableau4[[#This Row],[Tranche]]&amp;" "&amp;Tableau4[[#This Row],[type (titulaire / ST)]]</f>
        <v>Tranche OPTIONNELLE 1 0</v>
      </c>
      <c r="C38" s="544" t="str">
        <f>DONNEES!A233</f>
        <v>Tranche OPTIONNELLE 1</v>
      </c>
      <c r="D38" s="545">
        <f>DONNEES!C233</f>
        <v>0</v>
      </c>
      <c r="E38" s="545">
        <f>DONNEES!D233</f>
        <v>0</v>
      </c>
      <c r="F38" s="546">
        <f>DONNEES!E233</f>
        <v>0</v>
      </c>
      <c r="G38" s="546">
        <f>DONNEES!F233</f>
        <v>0</v>
      </c>
      <c r="H38" s="546">
        <f t="shared" si="1"/>
        <v>0</v>
      </c>
      <c r="I38" s="547"/>
      <c r="J38" s="547"/>
      <c r="K38" s="548"/>
      <c r="L38" s="549">
        <f>Tableau4[[#This Row],[montant HT2]]</f>
        <v>0</v>
      </c>
      <c r="M38" s="549">
        <f>Tableau4[[#This Row],[ montant HT3]]</f>
        <v>0</v>
      </c>
      <c r="P38" s="550">
        <f>(Tableau4[[#This Row],[montant HT2]]*$D$10)+(Tableau4[[#This Row],[ montant HT3]]*$E$10)</f>
        <v>0</v>
      </c>
      <c r="W38" s="513" t="s">
        <v>566</v>
      </c>
    </row>
    <row r="39" spans="1:35" hidden="1">
      <c r="A39" s="542"/>
      <c r="B39" s="543" t="str">
        <f>Tableau4[[#This Row],[Tranche]]&amp;" "&amp;Tableau4[[#This Row],[type (titulaire / ST)]]</f>
        <v>Tranche OPTIONNELLE 1 0</v>
      </c>
      <c r="C39" s="544" t="str">
        <f>DONNEES!A234</f>
        <v>Tranche OPTIONNELLE 1</v>
      </c>
      <c r="D39" s="545">
        <f>DONNEES!C234</f>
        <v>0</v>
      </c>
      <c r="E39" s="545">
        <f>DONNEES!D234</f>
        <v>0</v>
      </c>
      <c r="F39" s="546">
        <f>DONNEES!E234</f>
        <v>0</v>
      </c>
      <c r="G39" s="546">
        <f>DONNEES!F234</f>
        <v>0</v>
      </c>
      <c r="H39" s="546">
        <f t="shared" si="1"/>
        <v>0</v>
      </c>
      <c r="I39" s="547"/>
      <c r="J39" s="547"/>
      <c r="K39" s="548"/>
      <c r="L39" s="549">
        <f>Tableau4[[#This Row],[montant HT2]]</f>
        <v>0</v>
      </c>
      <c r="M39" s="549">
        <f>Tableau4[[#This Row],[ montant HT3]]</f>
        <v>0</v>
      </c>
      <c r="P39" s="550">
        <f>(Tableau4[[#This Row],[montant HT2]]*$D$10)+(Tableau4[[#This Row],[ montant HT3]]*$E$10)</f>
        <v>0</v>
      </c>
      <c r="W39" s="513">
        <f>SUMIF(Tableau4[type (titulaire / ST)],"ST TVA*",L29:L140)</f>
        <v>0</v>
      </c>
      <c r="Y39" s="510" t="s">
        <v>563</v>
      </c>
    </row>
    <row r="40" spans="1:35" hidden="1">
      <c r="A40" s="542"/>
      <c r="B40" s="543" t="str">
        <f>Tableau4[[#This Row],[Tranche]]&amp;" "&amp;Tableau4[[#This Row],[type (titulaire / ST)]]</f>
        <v>Tranche OPTIONNELLE 1 0</v>
      </c>
      <c r="C40" s="544" t="str">
        <f>DONNEES!A235</f>
        <v>Tranche OPTIONNELLE 1</v>
      </c>
      <c r="D40" s="545">
        <f>DONNEES!C235</f>
        <v>0</v>
      </c>
      <c r="E40" s="545">
        <f>DONNEES!D235</f>
        <v>0</v>
      </c>
      <c r="F40" s="546">
        <f>DONNEES!E235</f>
        <v>0</v>
      </c>
      <c r="G40" s="546">
        <f>DONNEES!F235</f>
        <v>0</v>
      </c>
      <c r="H40" s="546">
        <f t="shared" si="1"/>
        <v>0</v>
      </c>
      <c r="I40" s="547"/>
      <c r="J40" s="547"/>
      <c r="K40" s="548"/>
      <c r="L40" s="549">
        <f>Tableau4[[#This Row],[montant HT2]]</f>
        <v>0</v>
      </c>
      <c r="M40" s="549">
        <f>Tableau4[[#This Row],[ montant HT3]]</f>
        <v>0</v>
      </c>
      <c r="P40" s="550">
        <f>(Tableau4[[#This Row],[montant HT2]]*$D$10)+(Tableau4[[#This Row],[ montant HT3]]*$E$10)</f>
        <v>0</v>
      </c>
      <c r="W40" s="513">
        <f>SUMIF(Tableau4[type (titulaire / ST)],"ST TVA*",M29:M140)</f>
        <v>0</v>
      </c>
      <c r="Y40" s="510" t="s">
        <v>564</v>
      </c>
    </row>
    <row r="41" spans="1:35" hidden="1">
      <c r="A41" s="542"/>
      <c r="B41" s="543" t="str">
        <f>Tableau4[[#This Row],[Tranche]]&amp;" "&amp;Tableau4[[#This Row],[type (titulaire / ST)]]</f>
        <v>Tranche OPTIONNELLE 1 0</v>
      </c>
      <c r="C41" s="544" t="str">
        <f>DONNEES!A236</f>
        <v>Tranche OPTIONNELLE 1</v>
      </c>
      <c r="D41" s="545">
        <f>DONNEES!C236</f>
        <v>0</v>
      </c>
      <c r="E41" s="545">
        <f>DONNEES!D236</f>
        <v>0</v>
      </c>
      <c r="F41" s="546">
        <f>DONNEES!E236</f>
        <v>0</v>
      </c>
      <c r="G41" s="546">
        <f>DONNEES!F236</f>
        <v>0</v>
      </c>
      <c r="H41" s="546">
        <f t="shared" si="1"/>
        <v>0</v>
      </c>
      <c r="I41" s="547"/>
      <c r="J41" s="547"/>
      <c r="K41" s="548"/>
      <c r="L41" s="549">
        <f>Tableau4[[#This Row],[montant HT2]]</f>
        <v>0</v>
      </c>
      <c r="M41" s="549">
        <f>Tableau4[[#This Row],[ montant HT3]]</f>
        <v>0</v>
      </c>
      <c r="P41" s="550">
        <f>(Tableau4[[#This Row],[montant HT2]]*$D$10)+(Tableau4[[#This Row],[ montant HT3]]*$E$10)</f>
        <v>0</v>
      </c>
    </row>
    <row r="42" spans="1:35" hidden="1">
      <c r="A42" s="542"/>
      <c r="B42" s="543" t="str">
        <f>Tableau4[[#This Row],[Tranche]]&amp;" "&amp;Tableau4[[#This Row],[type (titulaire / ST)]]</f>
        <v>Tranche OPTIONNELLE 1 0</v>
      </c>
      <c r="C42" s="544" t="str">
        <f>DONNEES!A237</f>
        <v>Tranche OPTIONNELLE 1</v>
      </c>
      <c r="D42" s="545">
        <f>DONNEES!C237</f>
        <v>0</v>
      </c>
      <c r="E42" s="545">
        <f>DONNEES!D237</f>
        <v>0</v>
      </c>
      <c r="F42" s="546">
        <f>DONNEES!E237</f>
        <v>0</v>
      </c>
      <c r="G42" s="546">
        <f>DONNEES!F237</f>
        <v>0</v>
      </c>
      <c r="H42" s="546">
        <f t="shared" si="1"/>
        <v>0</v>
      </c>
      <c r="I42" s="547"/>
      <c r="J42" s="547"/>
      <c r="K42" s="548"/>
      <c r="L42" s="549">
        <f>Tableau4[[#This Row],[montant HT2]]</f>
        <v>0</v>
      </c>
      <c r="M42" s="549">
        <f>Tableau4[[#This Row],[ montant HT3]]</f>
        <v>0</v>
      </c>
      <c r="P42" s="550">
        <f>(Tableau4[[#This Row],[montant HT2]]*$D$10)+(Tableau4[[#This Row],[ montant HT3]]*$E$10)</f>
        <v>0</v>
      </c>
      <c r="W42" s="513" t="s">
        <v>569</v>
      </c>
      <c r="AI42" s="509" t="s">
        <v>571</v>
      </c>
    </row>
    <row r="43" spans="1:35" hidden="1">
      <c r="A43" s="542"/>
      <c r="B43" s="543" t="str">
        <f>Tableau4[[#This Row],[Tranche]]&amp;" "&amp;Tableau4[[#This Row],[type (titulaire / ST)]]</f>
        <v>Tranche OPTIONNELLE 2 Titulaire</v>
      </c>
      <c r="C43" s="544" t="str">
        <f>DONNEES!A238</f>
        <v>Tranche OPTIONNELLE 2</v>
      </c>
      <c r="D43" s="545" t="str">
        <f>DONNEES!C238</f>
        <v>Titulaire</v>
      </c>
      <c r="E43" s="545" t="str">
        <f>DONNEES!D238</f>
        <v>ERREBA</v>
      </c>
      <c r="F43" s="546">
        <f>DONNEES!E238</f>
        <v>0</v>
      </c>
      <c r="G43" s="546">
        <f>DONNEES!F238</f>
        <v>0</v>
      </c>
      <c r="H43" s="546">
        <f t="shared" si="1"/>
        <v>0</v>
      </c>
      <c r="I43" s="547"/>
      <c r="J43" s="547"/>
      <c r="K43" s="548"/>
      <c r="L43" s="549">
        <f>Tableau4[[#This Row],[montant HT2]]</f>
        <v>0</v>
      </c>
      <c r="M43" s="549">
        <f>Tableau4[[#This Row],[ montant HT3]]</f>
        <v>0</v>
      </c>
      <c r="P43" s="550">
        <f>(Tableau4[[#This Row],[montant HT2]]*$D$10)+(Tableau4[[#This Row],[ montant HT3]]*$E$10)</f>
        <v>0</v>
      </c>
      <c r="W43" s="513">
        <f>SUMIF(D29:D84,"ST TVA*",I29:I85)</f>
        <v>0</v>
      </c>
      <c r="Y43" s="510" t="s">
        <v>563</v>
      </c>
      <c r="AI43" s="513">
        <f>SUMIF(D29:D84,"ST TVA*",L29:L85)</f>
        <v>0</v>
      </c>
    </row>
    <row r="44" spans="1:35" hidden="1">
      <c r="A44" s="542"/>
      <c r="B44" s="543" t="str">
        <f>Tableau4[[#This Row],[Tranche]]&amp;" "&amp;Tableau4[[#This Row],[type (titulaire / ST)]]</f>
        <v>Tranche OPTIONNELLE 2 0</v>
      </c>
      <c r="C44" s="544" t="str">
        <f>DONNEES!A239</f>
        <v>Tranche OPTIONNELLE 2</v>
      </c>
      <c r="D44" s="545">
        <f>DONNEES!C239</f>
        <v>0</v>
      </c>
      <c r="E44" s="545">
        <f>DONNEES!D239</f>
        <v>0</v>
      </c>
      <c r="F44" s="546">
        <f>DONNEES!E239</f>
        <v>0</v>
      </c>
      <c r="G44" s="546">
        <f>DONNEES!F239</f>
        <v>0</v>
      </c>
      <c r="H44" s="546">
        <f t="shared" si="1"/>
        <v>0</v>
      </c>
      <c r="I44" s="547"/>
      <c r="J44" s="547"/>
      <c r="K44" s="548"/>
      <c r="L44" s="549">
        <f>Tableau4[[#This Row],[montant HT2]]</f>
        <v>0</v>
      </c>
      <c r="M44" s="549">
        <f>Tableau4[[#This Row],[ montant HT3]]</f>
        <v>0</v>
      </c>
      <c r="P44" s="550">
        <f>(Tableau4[[#This Row],[montant HT2]]*$D$10)+(Tableau4[[#This Row],[ montant HT3]]*$E$10)</f>
        <v>0</v>
      </c>
      <c r="W44" s="513">
        <f>SUMIF(D29:D84,"ST TVA*",J29:J85)</f>
        <v>0</v>
      </c>
      <c r="Y44" s="510" t="s">
        <v>564</v>
      </c>
      <c r="AI44" s="513">
        <f>SUMIF(D29:D84,"ST TVA*",M29:M85)</f>
        <v>0</v>
      </c>
    </row>
    <row r="45" spans="1:35" hidden="1">
      <c r="A45" s="542"/>
      <c r="B45" s="543" t="str">
        <f>Tableau4[[#This Row],[Tranche]]&amp;" "&amp;Tableau4[[#This Row],[type (titulaire / ST)]]</f>
        <v>Tranche OPTIONNELLE 2 0</v>
      </c>
      <c r="C45" s="544" t="str">
        <f>DONNEES!A240</f>
        <v>Tranche OPTIONNELLE 2</v>
      </c>
      <c r="D45" s="545">
        <f>DONNEES!C240</f>
        <v>0</v>
      </c>
      <c r="E45" s="545">
        <f>DONNEES!D240</f>
        <v>0</v>
      </c>
      <c r="F45" s="546">
        <f>DONNEES!E240</f>
        <v>0</v>
      </c>
      <c r="G45" s="546">
        <f>DONNEES!F240</f>
        <v>0</v>
      </c>
      <c r="H45" s="546">
        <f t="shared" si="1"/>
        <v>0</v>
      </c>
      <c r="I45" s="547"/>
      <c r="J45" s="547"/>
      <c r="K45" s="548"/>
      <c r="L45" s="549">
        <f>Tableau4[[#This Row],[montant HT2]]</f>
        <v>0</v>
      </c>
      <c r="M45" s="549">
        <f>Tableau4[[#This Row],[ montant HT3]]</f>
        <v>0</v>
      </c>
      <c r="P45" s="550">
        <f>(Tableau4[[#This Row],[montant HT2]]*$D$10)+(Tableau4[[#This Row],[ montant HT3]]*$E$10)</f>
        <v>0</v>
      </c>
    </row>
    <row r="46" spans="1:35" hidden="1">
      <c r="A46" s="542"/>
      <c r="B46" s="543" t="str">
        <f>Tableau4[[#This Row],[Tranche]]&amp;" "&amp;Tableau4[[#This Row],[type (titulaire / ST)]]</f>
        <v>Tranche OPTIONNELLE 2 0</v>
      </c>
      <c r="C46" s="544" t="str">
        <f>DONNEES!A241</f>
        <v>Tranche OPTIONNELLE 2</v>
      </c>
      <c r="D46" s="545">
        <f>DONNEES!C241</f>
        <v>0</v>
      </c>
      <c r="E46" s="545">
        <f>DONNEES!D241</f>
        <v>0</v>
      </c>
      <c r="F46" s="546">
        <f>DONNEES!E241</f>
        <v>0</v>
      </c>
      <c r="G46" s="546">
        <f>DONNEES!F241</f>
        <v>0</v>
      </c>
      <c r="H46" s="546">
        <f t="shared" si="1"/>
        <v>0</v>
      </c>
      <c r="I46" s="547"/>
      <c r="J46" s="547"/>
      <c r="K46" s="548"/>
      <c r="L46" s="549">
        <f>Tableau4[[#This Row],[montant HT2]]</f>
        <v>0</v>
      </c>
      <c r="M46" s="549">
        <f>Tableau4[[#This Row],[ montant HT3]]</f>
        <v>0</v>
      </c>
      <c r="P46" s="550">
        <f>(Tableau4[[#This Row],[montant HT2]]*$D$10)+(Tableau4[[#This Row],[ montant HT3]]*$E$10)</f>
        <v>0</v>
      </c>
      <c r="W46" s="513" t="s">
        <v>570</v>
      </c>
    </row>
    <row r="47" spans="1:35" hidden="1">
      <c r="A47" s="542"/>
      <c r="B47" s="543" t="str">
        <f>Tableau4[[#This Row],[Tranche]]&amp;" "&amp;Tableau4[[#This Row],[type (titulaire / ST)]]</f>
        <v>Tranche OPTIONNELLE 2 0</v>
      </c>
      <c r="C47" s="544" t="str">
        <f>DONNEES!A242</f>
        <v>Tranche OPTIONNELLE 2</v>
      </c>
      <c r="D47" s="545">
        <f>DONNEES!C242</f>
        <v>0</v>
      </c>
      <c r="E47" s="545">
        <f>DONNEES!D242</f>
        <v>0</v>
      </c>
      <c r="F47" s="546">
        <f>DONNEES!E242</f>
        <v>0</v>
      </c>
      <c r="G47" s="546">
        <f>DONNEES!F242</f>
        <v>0</v>
      </c>
      <c r="H47" s="546">
        <f t="shared" si="1"/>
        <v>0</v>
      </c>
      <c r="I47" s="547"/>
      <c r="J47" s="547"/>
      <c r="K47" s="548"/>
      <c r="L47" s="549">
        <f>Tableau4[[#This Row],[montant HT2]]</f>
        <v>0</v>
      </c>
      <c r="M47" s="549">
        <f>Tableau4[[#This Row],[ montant HT3]]</f>
        <v>0</v>
      </c>
      <c r="P47" s="550">
        <f>(Tableau4[[#This Row],[montant HT2]]*$D$10)+(Tableau4[[#This Row],[ montant HT3]]*$E$10)</f>
        <v>0</v>
      </c>
      <c r="W47" s="513">
        <f>SUMIF(D85:D140,"ST TVA*",I85:I140)</f>
        <v>0</v>
      </c>
      <c r="Y47" s="510" t="s">
        <v>563</v>
      </c>
      <c r="AI47" s="513">
        <f>SUMIF(D85:D140,"ST TVA*",L85:L140)</f>
        <v>0</v>
      </c>
    </row>
    <row r="48" spans="1:35" hidden="1">
      <c r="A48" s="542"/>
      <c r="B48" s="543" t="str">
        <f>Tableau4[[#This Row],[Tranche]]&amp;" "&amp;Tableau4[[#This Row],[type (titulaire / ST)]]</f>
        <v>Tranche OPTIONNELLE 2 0</v>
      </c>
      <c r="C48" s="544" t="str">
        <f>DONNEES!A243</f>
        <v>Tranche OPTIONNELLE 2</v>
      </c>
      <c r="D48" s="545">
        <f>DONNEES!C243</f>
        <v>0</v>
      </c>
      <c r="E48" s="545">
        <f>DONNEES!D243</f>
        <v>0</v>
      </c>
      <c r="F48" s="546">
        <f>DONNEES!E243</f>
        <v>0</v>
      </c>
      <c r="G48" s="546">
        <f>DONNEES!F243</f>
        <v>0</v>
      </c>
      <c r="H48" s="546">
        <f t="shared" si="1"/>
        <v>0</v>
      </c>
      <c r="I48" s="547"/>
      <c r="J48" s="547"/>
      <c r="K48" s="548"/>
      <c r="L48" s="549">
        <f>Tableau4[[#This Row],[montant HT2]]</f>
        <v>0</v>
      </c>
      <c r="M48" s="549">
        <f>Tableau4[[#This Row],[ montant HT3]]</f>
        <v>0</v>
      </c>
      <c r="P48" s="550">
        <f>(Tableau4[[#This Row],[montant HT2]]*$D$10)+(Tableau4[[#This Row],[ montant HT3]]*$E$10)</f>
        <v>0</v>
      </c>
      <c r="W48" s="513">
        <f>SUMIF(D85:D140,"ST TVA*",J85:J140)</f>
        <v>0</v>
      </c>
      <c r="Y48" s="510" t="s">
        <v>564</v>
      </c>
      <c r="AI48" s="513">
        <f>SUMIF(D85:D140,"ST TVA*",M85:M140)</f>
        <v>0</v>
      </c>
    </row>
    <row r="49" spans="1:16" hidden="1">
      <c r="A49" s="542"/>
      <c r="B49" s="543" t="str">
        <f>Tableau4[[#This Row],[Tranche]]&amp;" "&amp;Tableau4[[#This Row],[type (titulaire / ST)]]</f>
        <v>Tranche OPTIONNELLE 2 0</v>
      </c>
      <c r="C49" s="544" t="str">
        <f>DONNEES!A244</f>
        <v>Tranche OPTIONNELLE 2</v>
      </c>
      <c r="D49" s="545">
        <f>DONNEES!C244</f>
        <v>0</v>
      </c>
      <c r="E49" s="545">
        <f>DONNEES!D244</f>
        <v>0</v>
      </c>
      <c r="F49" s="546">
        <f>DONNEES!E244</f>
        <v>0</v>
      </c>
      <c r="G49" s="546">
        <f>DONNEES!F244</f>
        <v>0</v>
      </c>
      <c r="H49" s="546">
        <f t="shared" si="1"/>
        <v>0</v>
      </c>
      <c r="I49" s="547"/>
      <c r="J49" s="547"/>
      <c r="K49" s="548"/>
      <c r="L49" s="549">
        <f>Tableau4[[#This Row],[montant HT2]]</f>
        <v>0</v>
      </c>
      <c r="M49" s="549">
        <f>Tableau4[[#This Row],[ montant HT3]]</f>
        <v>0</v>
      </c>
      <c r="P49" s="550">
        <f>(Tableau4[[#This Row],[montant HT2]]*$D$10)+(Tableau4[[#This Row],[ montant HT3]]*$E$10)</f>
        <v>0</v>
      </c>
    </row>
    <row r="50" spans="1:16" hidden="1">
      <c r="A50" s="542"/>
      <c r="B50" s="543" t="str">
        <f>Tableau4[[#This Row],[Tranche]]&amp;" "&amp;Tableau4[[#This Row],[type (titulaire / ST)]]</f>
        <v>Tranche OPTIONNELLE 3 Titulaire</v>
      </c>
      <c r="C50" s="544" t="str">
        <f>DONNEES!A245</f>
        <v>Tranche OPTIONNELLE 3</v>
      </c>
      <c r="D50" s="545" t="str">
        <f>DONNEES!C245</f>
        <v>Titulaire</v>
      </c>
      <c r="E50" s="545" t="str">
        <f>DONNEES!D245</f>
        <v>ERREBA</v>
      </c>
      <c r="F50" s="546">
        <f>DONNEES!E245</f>
        <v>0</v>
      </c>
      <c r="G50" s="546">
        <f>DONNEES!F245</f>
        <v>0</v>
      </c>
      <c r="H50" s="546">
        <f t="shared" si="1"/>
        <v>0</v>
      </c>
      <c r="I50" s="547"/>
      <c r="J50" s="547"/>
      <c r="K50" s="548"/>
      <c r="L50" s="549">
        <f>Tableau4[[#This Row],[montant HT2]]</f>
        <v>0</v>
      </c>
      <c r="M50" s="549">
        <f>Tableau4[[#This Row],[ montant HT3]]</f>
        <v>0</v>
      </c>
      <c r="P50" s="550">
        <f>(Tableau4[[#This Row],[montant HT2]]*$D$10)+(Tableau4[[#This Row],[ montant HT3]]*$E$10)</f>
        <v>0</v>
      </c>
    </row>
    <row r="51" spans="1:16" hidden="1">
      <c r="A51" s="542"/>
      <c r="B51" s="543" t="str">
        <f>Tableau4[[#This Row],[Tranche]]&amp;" "&amp;Tableau4[[#This Row],[type (titulaire / ST)]]</f>
        <v>Tranche OPTIONNELLE 3 0</v>
      </c>
      <c r="C51" s="544" t="str">
        <f>DONNEES!A246</f>
        <v>Tranche OPTIONNELLE 3</v>
      </c>
      <c r="D51" s="545">
        <f>DONNEES!C246</f>
        <v>0</v>
      </c>
      <c r="E51" s="545">
        <f>DONNEES!D246</f>
        <v>0</v>
      </c>
      <c r="F51" s="546">
        <f>DONNEES!E246</f>
        <v>0</v>
      </c>
      <c r="G51" s="546">
        <f>DONNEES!F246</f>
        <v>0</v>
      </c>
      <c r="H51" s="546">
        <f t="shared" ref="H51" si="2">F51+G51</f>
        <v>0</v>
      </c>
      <c r="I51" s="547"/>
      <c r="J51" s="547"/>
      <c r="K51" s="548"/>
      <c r="L51" s="549">
        <f>Tableau4[[#This Row],[montant HT2]]</f>
        <v>0</v>
      </c>
      <c r="M51" s="549">
        <f>Tableau4[[#This Row],[ montant HT3]]</f>
        <v>0</v>
      </c>
      <c r="P51" s="550">
        <f>(Tableau4[[#This Row],[montant HT2]]*$D$10)+(Tableau4[[#This Row],[ montant HT3]]*$E$10)</f>
        <v>0</v>
      </c>
    </row>
    <row r="52" spans="1:16" hidden="1">
      <c r="A52" s="542"/>
      <c r="B52" s="543" t="str">
        <f>Tableau4[[#This Row],[Tranche]]&amp;" "&amp;Tableau4[[#This Row],[type (titulaire / ST)]]</f>
        <v>Tranche OPTIONNELLE 3 0</v>
      </c>
      <c r="C52" s="544" t="str">
        <f>DONNEES!A247</f>
        <v>Tranche OPTIONNELLE 3</v>
      </c>
      <c r="D52" s="545">
        <f>DONNEES!C247</f>
        <v>0</v>
      </c>
      <c r="E52" s="545">
        <f>DONNEES!D247</f>
        <v>0</v>
      </c>
      <c r="F52" s="546">
        <f>DONNEES!E247</f>
        <v>0</v>
      </c>
      <c r="G52" s="546">
        <f>DONNEES!F247</f>
        <v>0</v>
      </c>
      <c r="H52" s="546">
        <f t="shared" si="1"/>
        <v>0</v>
      </c>
      <c r="I52" s="547"/>
      <c r="J52" s="547"/>
      <c r="K52" s="548"/>
      <c r="L52" s="549">
        <f>Tableau4[[#This Row],[montant HT2]]</f>
        <v>0</v>
      </c>
      <c r="M52" s="549">
        <f>Tableau4[[#This Row],[ montant HT3]]</f>
        <v>0</v>
      </c>
      <c r="P52" s="550">
        <f>(Tableau4[[#This Row],[montant HT2]]*$D$10)+(Tableau4[[#This Row],[ montant HT3]]*$E$10)</f>
        <v>0</v>
      </c>
    </row>
    <row r="53" spans="1:16" hidden="1">
      <c r="A53" s="542"/>
      <c r="B53" s="543" t="str">
        <f>Tableau4[[#This Row],[Tranche]]&amp;" "&amp;Tableau4[[#This Row],[type (titulaire / ST)]]</f>
        <v>Tranche OPTIONNELLE 3 0</v>
      </c>
      <c r="C53" s="544" t="str">
        <f>DONNEES!A248</f>
        <v>Tranche OPTIONNELLE 3</v>
      </c>
      <c r="D53" s="545">
        <f>DONNEES!C248</f>
        <v>0</v>
      </c>
      <c r="E53" s="545">
        <f>DONNEES!D248</f>
        <v>0</v>
      </c>
      <c r="F53" s="546">
        <f>DONNEES!E248</f>
        <v>0</v>
      </c>
      <c r="G53" s="546">
        <f>DONNEES!F248</f>
        <v>0</v>
      </c>
      <c r="H53" s="546">
        <f t="shared" si="1"/>
        <v>0</v>
      </c>
      <c r="I53" s="547"/>
      <c r="J53" s="547"/>
      <c r="K53" s="548"/>
      <c r="L53" s="549">
        <f>Tableau4[[#This Row],[montant HT2]]</f>
        <v>0</v>
      </c>
      <c r="M53" s="549">
        <f>Tableau4[[#This Row],[ montant HT3]]</f>
        <v>0</v>
      </c>
      <c r="P53" s="550">
        <f>(Tableau4[[#This Row],[montant HT2]]*$D$10)+(Tableau4[[#This Row],[ montant HT3]]*$E$10)</f>
        <v>0</v>
      </c>
    </row>
    <row r="54" spans="1:16" hidden="1">
      <c r="A54" s="542"/>
      <c r="B54" s="543" t="str">
        <f>Tableau4[[#This Row],[Tranche]]&amp;" "&amp;Tableau4[[#This Row],[type (titulaire / ST)]]</f>
        <v>Tranche OPTIONNELLE 3 0</v>
      </c>
      <c r="C54" s="544" t="str">
        <f>DONNEES!A249</f>
        <v>Tranche OPTIONNELLE 3</v>
      </c>
      <c r="D54" s="545">
        <f>DONNEES!C249</f>
        <v>0</v>
      </c>
      <c r="E54" s="545">
        <f>DONNEES!D249</f>
        <v>0</v>
      </c>
      <c r="F54" s="546">
        <f>DONNEES!E249</f>
        <v>0</v>
      </c>
      <c r="G54" s="546">
        <f>DONNEES!F249</f>
        <v>0</v>
      </c>
      <c r="H54" s="546">
        <f t="shared" si="1"/>
        <v>0</v>
      </c>
      <c r="I54" s="547"/>
      <c r="J54" s="547"/>
      <c r="K54" s="548"/>
      <c r="L54" s="549">
        <f>Tableau4[[#This Row],[montant HT2]]</f>
        <v>0</v>
      </c>
      <c r="M54" s="549">
        <f>Tableau4[[#This Row],[ montant HT3]]</f>
        <v>0</v>
      </c>
      <c r="P54" s="550">
        <f>(Tableau4[[#This Row],[montant HT2]]*$D$10)+(Tableau4[[#This Row],[ montant HT3]]*$E$10)</f>
        <v>0</v>
      </c>
    </row>
    <row r="55" spans="1:16" hidden="1">
      <c r="A55" s="542"/>
      <c r="B55" s="543" t="str">
        <f>Tableau4[[#This Row],[Tranche]]&amp;" "&amp;Tableau4[[#This Row],[type (titulaire / ST)]]</f>
        <v>Tranche OPTIONNELLE 3 0</v>
      </c>
      <c r="C55" s="544" t="str">
        <f>DONNEES!A250</f>
        <v>Tranche OPTIONNELLE 3</v>
      </c>
      <c r="D55" s="545">
        <f>DONNEES!C250</f>
        <v>0</v>
      </c>
      <c r="E55" s="545">
        <f>DONNEES!D250</f>
        <v>0</v>
      </c>
      <c r="F55" s="546">
        <f>DONNEES!E250</f>
        <v>0</v>
      </c>
      <c r="G55" s="546">
        <f>DONNEES!F250</f>
        <v>0</v>
      </c>
      <c r="H55" s="546">
        <f t="shared" si="1"/>
        <v>0</v>
      </c>
      <c r="I55" s="547"/>
      <c r="J55" s="547"/>
      <c r="K55" s="548"/>
      <c r="L55" s="549">
        <f>Tableau4[[#This Row],[montant HT2]]</f>
        <v>0</v>
      </c>
      <c r="M55" s="549">
        <f>Tableau4[[#This Row],[ montant HT3]]</f>
        <v>0</v>
      </c>
      <c r="P55" s="550">
        <f>(Tableau4[[#This Row],[montant HT2]]*$D$10)+(Tableau4[[#This Row],[ montant HT3]]*$E$10)</f>
        <v>0</v>
      </c>
    </row>
    <row r="56" spans="1:16" hidden="1">
      <c r="A56" s="542"/>
      <c r="B56" s="543" t="str">
        <f>Tableau4[[#This Row],[Tranche]]&amp;" "&amp;Tableau4[[#This Row],[type (titulaire / ST)]]</f>
        <v>Tranche OPTIONNELLE 3 0</v>
      </c>
      <c r="C56" s="544" t="str">
        <f>DONNEES!A251</f>
        <v>Tranche OPTIONNELLE 3</v>
      </c>
      <c r="D56" s="545">
        <f>DONNEES!C251</f>
        <v>0</v>
      </c>
      <c r="E56" s="545">
        <f>DONNEES!D251</f>
        <v>0</v>
      </c>
      <c r="F56" s="546">
        <f>DONNEES!E251</f>
        <v>0</v>
      </c>
      <c r="G56" s="546">
        <f>DONNEES!F251</f>
        <v>0</v>
      </c>
      <c r="H56" s="546">
        <f t="shared" si="1"/>
        <v>0</v>
      </c>
      <c r="I56" s="547"/>
      <c r="J56" s="547"/>
      <c r="K56" s="548"/>
      <c r="L56" s="549">
        <f>Tableau4[[#This Row],[montant HT2]]</f>
        <v>0</v>
      </c>
      <c r="M56" s="549">
        <f>Tableau4[[#This Row],[ montant HT3]]</f>
        <v>0</v>
      </c>
      <c r="P56" s="550">
        <f>(Tableau4[[#This Row],[montant HT2]]*$D$10)+(Tableau4[[#This Row],[ montant HT3]]*$E$10)</f>
        <v>0</v>
      </c>
    </row>
    <row r="57" spans="1:16" hidden="1">
      <c r="A57" s="542"/>
      <c r="B57" s="543" t="str">
        <f>Tableau4[[#This Row],[Tranche]]&amp;" "&amp;Tableau4[[#This Row],[type (titulaire / ST)]]</f>
        <v>Tranche OPTIONNELLE 4 Titulaire</v>
      </c>
      <c r="C57" s="544" t="str">
        <f>DONNEES!A252</f>
        <v>Tranche OPTIONNELLE 4</v>
      </c>
      <c r="D57" s="545" t="str">
        <f>DONNEES!C252</f>
        <v>Titulaire</v>
      </c>
      <c r="E57" s="545" t="str">
        <f>DONNEES!D252</f>
        <v>ERREBA</v>
      </c>
      <c r="F57" s="546">
        <f>DONNEES!E252</f>
        <v>0</v>
      </c>
      <c r="G57" s="546">
        <f>DONNEES!F252</f>
        <v>0</v>
      </c>
      <c r="H57" s="546">
        <f t="shared" si="1"/>
        <v>0</v>
      </c>
      <c r="I57" s="547"/>
      <c r="J57" s="547"/>
      <c r="K57" s="548"/>
      <c r="L57" s="549">
        <f>Tableau4[[#This Row],[montant HT2]]</f>
        <v>0</v>
      </c>
      <c r="M57" s="549">
        <f>Tableau4[[#This Row],[ montant HT3]]</f>
        <v>0</v>
      </c>
      <c r="P57" s="550">
        <f>(Tableau4[[#This Row],[montant HT2]]*$D$10)+(Tableau4[[#This Row],[ montant HT3]]*$E$10)</f>
        <v>0</v>
      </c>
    </row>
    <row r="58" spans="1:16" hidden="1">
      <c r="A58" s="542"/>
      <c r="B58" s="543" t="str">
        <f>Tableau4[[#This Row],[Tranche]]&amp;" "&amp;Tableau4[[#This Row],[type (titulaire / ST)]]</f>
        <v>Tranche OPTIONNELLE 4 0</v>
      </c>
      <c r="C58" s="544" t="str">
        <f>DONNEES!A253</f>
        <v>Tranche OPTIONNELLE 4</v>
      </c>
      <c r="D58" s="545">
        <f>DONNEES!C253</f>
        <v>0</v>
      </c>
      <c r="E58" s="545">
        <f>DONNEES!D253</f>
        <v>0</v>
      </c>
      <c r="F58" s="546">
        <f>DONNEES!E253</f>
        <v>0</v>
      </c>
      <c r="G58" s="546">
        <f>DONNEES!F253</f>
        <v>0</v>
      </c>
      <c r="H58" s="546">
        <f t="shared" si="1"/>
        <v>0</v>
      </c>
      <c r="I58" s="547"/>
      <c r="J58" s="547"/>
      <c r="K58" s="548"/>
      <c r="L58" s="549">
        <f>Tableau4[[#This Row],[montant HT2]]</f>
        <v>0</v>
      </c>
      <c r="M58" s="549">
        <f>Tableau4[[#This Row],[ montant HT3]]</f>
        <v>0</v>
      </c>
      <c r="P58" s="550">
        <f>(Tableau4[[#This Row],[montant HT2]]*$D$10)+(Tableau4[[#This Row],[ montant HT3]]*$E$10)</f>
        <v>0</v>
      </c>
    </row>
    <row r="59" spans="1:16" hidden="1">
      <c r="A59" s="542"/>
      <c r="B59" s="543" t="str">
        <f>Tableau4[[#This Row],[Tranche]]&amp;" "&amp;Tableau4[[#This Row],[type (titulaire / ST)]]</f>
        <v>Tranche OPTIONNELLE 4 0</v>
      </c>
      <c r="C59" s="544" t="str">
        <f>DONNEES!A254</f>
        <v>Tranche OPTIONNELLE 4</v>
      </c>
      <c r="D59" s="545">
        <f>DONNEES!C254</f>
        <v>0</v>
      </c>
      <c r="E59" s="545">
        <f>DONNEES!D254</f>
        <v>0</v>
      </c>
      <c r="F59" s="546">
        <f>DONNEES!E254</f>
        <v>0</v>
      </c>
      <c r="G59" s="546">
        <f>DONNEES!F254</f>
        <v>0</v>
      </c>
      <c r="H59" s="546">
        <f t="shared" si="1"/>
        <v>0</v>
      </c>
      <c r="I59" s="547"/>
      <c r="J59" s="547"/>
      <c r="K59" s="548"/>
      <c r="L59" s="549">
        <f>Tableau4[[#This Row],[montant HT2]]</f>
        <v>0</v>
      </c>
      <c r="M59" s="549">
        <f>Tableau4[[#This Row],[ montant HT3]]</f>
        <v>0</v>
      </c>
      <c r="P59" s="550">
        <f>(Tableau4[[#This Row],[montant HT2]]*$D$10)+(Tableau4[[#This Row],[ montant HT3]]*$E$10)</f>
        <v>0</v>
      </c>
    </row>
    <row r="60" spans="1:16" hidden="1">
      <c r="A60" s="542"/>
      <c r="B60" s="543" t="str">
        <f>Tableau4[[#This Row],[Tranche]]&amp;" "&amp;Tableau4[[#This Row],[type (titulaire / ST)]]</f>
        <v>Tranche OPTIONNELLE 4 0</v>
      </c>
      <c r="C60" s="544" t="str">
        <f>DONNEES!A255</f>
        <v>Tranche OPTIONNELLE 4</v>
      </c>
      <c r="D60" s="545">
        <f>DONNEES!C255</f>
        <v>0</v>
      </c>
      <c r="E60" s="545">
        <f>DONNEES!D255</f>
        <v>0</v>
      </c>
      <c r="F60" s="546">
        <f>DONNEES!E255</f>
        <v>0</v>
      </c>
      <c r="G60" s="546">
        <f>DONNEES!F255</f>
        <v>0</v>
      </c>
      <c r="H60" s="546">
        <f t="shared" si="1"/>
        <v>0</v>
      </c>
      <c r="I60" s="547"/>
      <c r="J60" s="547"/>
      <c r="K60" s="548"/>
      <c r="L60" s="549">
        <f>Tableau4[[#This Row],[montant HT2]]</f>
        <v>0</v>
      </c>
      <c r="M60" s="549">
        <f>Tableau4[[#This Row],[ montant HT3]]</f>
        <v>0</v>
      </c>
      <c r="P60" s="550">
        <f>(Tableau4[[#This Row],[montant HT2]]*$D$10)+(Tableau4[[#This Row],[ montant HT3]]*$E$10)</f>
        <v>0</v>
      </c>
    </row>
    <row r="61" spans="1:16" hidden="1">
      <c r="A61" s="542"/>
      <c r="B61" s="543" t="str">
        <f>Tableau4[[#This Row],[Tranche]]&amp;" "&amp;Tableau4[[#This Row],[type (titulaire / ST)]]</f>
        <v>Tranche OPTIONNELLE 4 0</v>
      </c>
      <c r="C61" s="544" t="str">
        <f>DONNEES!A256</f>
        <v>Tranche OPTIONNELLE 4</v>
      </c>
      <c r="D61" s="545">
        <f>DONNEES!C256</f>
        <v>0</v>
      </c>
      <c r="E61" s="545">
        <f>DONNEES!D256</f>
        <v>0</v>
      </c>
      <c r="F61" s="546">
        <f>DONNEES!E256</f>
        <v>0</v>
      </c>
      <c r="G61" s="546">
        <f>DONNEES!F256</f>
        <v>0</v>
      </c>
      <c r="H61" s="546">
        <f t="shared" si="1"/>
        <v>0</v>
      </c>
      <c r="I61" s="547"/>
      <c r="J61" s="547"/>
      <c r="K61" s="548"/>
      <c r="L61" s="549">
        <f>Tableau4[[#This Row],[montant HT2]]</f>
        <v>0</v>
      </c>
      <c r="M61" s="549">
        <f>Tableau4[[#This Row],[ montant HT3]]</f>
        <v>0</v>
      </c>
      <c r="P61" s="550">
        <f>(Tableau4[[#This Row],[montant HT2]]*$D$10)+(Tableau4[[#This Row],[ montant HT3]]*$E$10)</f>
        <v>0</v>
      </c>
    </row>
    <row r="62" spans="1:16" hidden="1">
      <c r="A62" s="542"/>
      <c r="B62" s="543" t="str">
        <f>Tableau4[[#This Row],[Tranche]]&amp;" "&amp;Tableau4[[#This Row],[type (titulaire / ST)]]</f>
        <v>Tranche OPTIONNELLE 4 0</v>
      </c>
      <c r="C62" s="544" t="str">
        <f>DONNEES!A257</f>
        <v>Tranche OPTIONNELLE 4</v>
      </c>
      <c r="D62" s="545">
        <f>DONNEES!C257</f>
        <v>0</v>
      </c>
      <c r="E62" s="545">
        <f>DONNEES!D257</f>
        <v>0</v>
      </c>
      <c r="F62" s="546">
        <f>DONNEES!E257</f>
        <v>0</v>
      </c>
      <c r="G62" s="546">
        <f>DONNEES!F257</f>
        <v>0</v>
      </c>
      <c r="H62" s="546">
        <f t="shared" si="1"/>
        <v>0</v>
      </c>
      <c r="I62" s="547"/>
      <c r="J62" s="547"/>
      <c r="K62" s="548"/>
      <c r="L62" s="549">
        <f>Tableau4[[#This Row],[montant HT2]]</f>
        <v>0</v>
      </c>
      <c r="M62" s="549">
        <f>Tableau4[[#This Row],[ montant HT3]]</f>
        <v>0</v>
      </c>
      <c r="P62" s="550">
        <f>(Tableau4[[#This Row],[montant HT2]]*$D$10)+(Tableau4[[#This Row],[ montant HT3]]*$E$10)</f>
        <v>0</v>
      </c>
    </row>
    <row r="63" spans="1:16" hidden="1">
      <c r="A63" s="542"/>
      <c r="B63" s="543" t="str">
        <f>Tableau4[[#This Row],[Tranche]]&amp;" "&amp;Tableau4[[#This Row],[type (titulaire / ST)]]</f>
        <v>Tranche OPTIONNELLE 4 0</v>
      </c>
      <c r="C63" s="544" t="str">
        <f>DONNEES!A258</f>
        <v>Tranche OPTIONNELLE 4</v>
      </c>
      <c r="D63" s="545">
        <f>DONNEES!C258</f>
        <v>0</v>
      </c>
      <c r="E63" s="545">
        <f>DONNEES!D258</f>
        <v>0</v>
      </c>
      <c r="F63" s="546">
        <f>DONNEES!E258</f>
        <v>0</v>
      </c>
      <c r="G63" s="546">
        <f>DONNEES!F258</f>
        <v>0</v>
      </c>
      <c r="H63" s="546">
        <f t="shared" si="1"/>
        <v>0</v>
      </c>
      <c r="I63" s="547"/>
      <c r="J63" s="547"/>
      <c r="K63" s="548"/>
      <c r="L63" s="549">
        <f>Tableau4[[#This Row],[montant HT2]]</f>
        <v>0</v>
      </c>
      <c r="M63" s="549">
        <f>Tableau4[[#This Row],[ montant HT3]]</f>
        <v>0</v>
      </c>
      <c r="P63" s="550">
        <f>(Tableau4[[#This Row],[montant HT2]]*$D$10)+(Tableau4[[#This Row],[ montant HT3]]*$E$10)</f>
        <v>0</v>
      </c>
    </row>
    <row r="64" spans="1:16" hidden="1">
      <c r="A64" s="542"/>
      <c r="B64" s="543" t="str">
        <f>Tableau4[[#This Row],[Tranche]]&amp;" "&amp;Tableau4[[#This Row],[type (titulaire / ST)]]</f>
        <v>Tranche OPTIONNELLE 5 Titulaire</v>
      </c>
      <c r="C64" s="544" t="str">
        <f>DONNEES!A259</f>
        <v>Tranche OPTIONNELLE 5</v>
      </c>
      <c r="D64" s="545" t="str">
        <f>DONNEES!C259</f>
        <v>Titulaire</v>
      </c>
      <c r="E64" s="545" t="str">
        <f>DONNEES!D259</f>
        <v>ERREBA</v>
      </c>
      <c r="F64" s="546">
        <f>DONNEES!E259</f>
        <v>0</v>
      </c>
      <c r="G64" s="546">
        <f>DONNEES!F259</f>
        <v>0</v>
      </c>
      <c r="H64" s="546">
        <f t="shared" si="1"/>
        <v>0</v>
      </c>
      <c r="I64" s="547"/>
      <c r="J64" s="547"/>
      <c r="K64" s="548"/>
      <c r="L64" s="549">
        <f>Tableau4[[#This Row],[montant HT2]]</f>
        <v>0</v>
      </c>
      <c r="M64" s="549">
        <f>Tableau4[[#This Row],[ montant HT3]]</f>
        <v>0</v>
      </c>
      <c r="P64" s="550">
        <f>(Tableau4[[#This Row],[montant HT2]]*$D$10)+(Tableau4[[#This Row],[ montant HT3]]*$E$10)</f>
        <v>0</v>
      </c>
    </row>
    <row r="65" spans="1:16" hidden="1">
      <c r="A65" s="542"/>
      <c r="B65" s="543" t="str">
        <f>Tableau4[[#This Row],[Tranche]]&amp;" "&amp;Tableau4[[#This Row],[type (titulaire / ST)]]</f>
        <v>Tranche OPTIONNELLE 5 0</v>
      </c>
      <c r="C65" s="544" t="str">
        <f>DONNEES!A260</f>
        <v>Tranche OPTIONNELLE 5</v>
      </c>
      <c r="D65" s="545">
        <f>DONNEES!C260</f>
        <v>0</v>
      </c>
      <c r="E65" s="545">
        <f>DONNEES!D260</f>
        <v>0</v>
      </c>
      <c r="F65" s="546">
        <f>DONNEES!E260</f>
        <v>0</v>
      </c>
      <c r="G65" s="546">
        <f>DONNEES!F260</f>
        <v>0</v>
      </c>
      <c r="H65" s="546">
        <f t="shared" si="1"/>
        <v>0</v>
      </c>
      <c r="I65" s="547"/>
      <c r="J65" s="547"/>
      <c r="K65" s="548"/>
      <c r="L65" s="549">
        <f>Tableau4[[#This Row],[montant HT2]]</f>
        <v>0</v>
      </c>
      <c r="M65" s="549">
        <f>Tableau4[[#This Row],[ montant HT3]]</f>
        <v>0</v>
      </c>
      <c r="P65" s="550">
        <f>(Tableau4[[#This Row],[montant HT2]]*$D$10)+(Tableau4[[#This Row],[ montant HT3]]*$E$10)</f>
        <v>0</v>
      </c>
    </row>
    <row r="66" spans="1:16" hidden="1">
      <c r="A66" s="542"/>
      <c r="B66" s="543" t="str">
        <f>Tableau4[[#This Row],[Tranche]]&amp;" "&amp;Tableau4[[#This Row],[type (titulaire / ST)]]</f>
        <v>Tranche OPTIONNELLE 5 0</v>
      </c>
      <c r="C66" s="544" t="str">
        <f>DONNEES!A261</f>
        <v>Tranche OPTIONNELLE 5</v>
      </c>
      <c r="D66" s="545">
        <f>DONNEES!C261</f>
        <v>0</v>
      </c>
      <c r="E66" s="545">
        <f>DONNEES!D261</f>
        <v>0</v>
      </c>
      <c r="F66" s="546">
        <f>DONNEES!E261</f>
        <v>0</v>
      </c>
      <c r="G66" s="546">
        <f>DONNEES!F261</f>
        <v>0</v>
      </c>
      <c r="H66" s="546">
        <f t="shared" si="1"/>
        <v>0</v>
      </c>
      <c r="I66" s="547"/>
      <c r="J66" s="547"/>
      <c r="K66" s="548"/>
      <c r="L66" s="549">
        <f>Tableau4[[#This Row],[montant HT2]]</f>
        <v>0</v>
      </c>
      <c r="M66" s="549">
        <f>Tableau4[[#This Row],[ montant HT3]]</f>
        <v>0</v>
      </c>
      <c r="P66" s="550">
        <f>(Tableau4[[#This Row],[montant HT2]]*$D$10)+(Tableau4[[#This Row],[ montant HT3]]*$E$10)</f>
        <v>0</v>
      </c>
    </row>
    <row r="67" spans="1:16" hidden="1">
      <c r="A67" s="542"/>
      <c r="B67" s="543" t="str">
        <f>Tableau4[[#This Row],[Tranche]]&amp;" "&amp;Tableau4[[#This Row],[type (titulaire / ST)]]</f>
        <v>Tranche OPTIONNELLE 5 0</v>
      </c>
      <c r="C67" s="544" t="str">
        <f>DONNEES!A262</f>
        <v>Tranche OPTIONNELLE 5</v>
      </c>
      <c r="D67" s="545">
        <f>DONNEES!C262</f>
        <v>0</v>
      </c>
      <c r="E67" s="545">
        <f>DONNEES!D262</f>
        <v>0</v>
      </c>
      <c r="F67" s="546">
        <f>DONNEES!E262</f>
        <v>0</v>
      </c>
      <c r="G67" s="546">
        <f>DONNEES!F262</f>
        <v>0</v>
      </c>
      <c r="H67" s="546">
        <f t="shared" si="1"/>
        <v>0</v>
      </c>
      <c r="I67" s="547"/>
      <c r="J67" s="547"/>
      <c r="K67" s="548"/>
      <c r="L67" s="549">
        <f>Tableau4[[#This Row],[montant HT2]]</f>
        <v>0</v>
      </c>
      <c r="M67" s="549">
        <f>Tableau4[[#This Row],[ montant HT3]]</f>
        <v>0</v>
      </c>
      <c r="P67" s="550">
        <f>(Tableau4[[#This Row],[montant HT2]]*$D$10)+(Tableau4[[#This Row],[ montant HT3]]*$E$10)</f>
        <v>0</v>
      </c>
    </row>
    <row r="68" spans="1:16" hidden="1">
      <c r="A68" s="542"/>
      <c r="B68" s="543" t="str">
        <f>Tableau4[[#This Row],[Tranche]]&amp;" "&amp;Tableau4[[#This Row],[type (titulaire / ST)]]</f>
        <v>Tranche OPTIONNELLE 5 0</v>
      </c>
      <c r="C68" s="544" t="str">
        <f>DONNEES!A263</f>
        <v>Tranche OPTIONNELLE 5</v>
      </c>
      <c r="D68" s="545">
        <f>DONNEES!C263</f>
        <v>0</v>
      </c>
      <c r="E68" s="545">
        <f>DONNEES!D263</f>
        <v>0</v>
      </c>
      <c r="F68" s="546">
        <f>DONNEES!E263</f>
        <v>0</v>
      </c>
      <c r="G68" s="546">
        <f>DONNEES!F263</f>
        <v>0</v>
      </c>
      <c r="H68" s="546">
        <f t="shared" si="1"/>
        <v>0</v>
      </c>
      <c r="I68" s="547"/>
      <c r="J68" s="547"/>
      <c r="K68" s="548"/>
      <c r="L68" s="549">
        <f>Tableau4[[#This Row],[montant HT2]]</f>
        <v>0</v>
      </c>
      <c r="M68" s="549">
        <f>Tableau4[[#This Row],[ montant HT3]]</f>
        <v>0</v>
      </c>
      <c r="P68" s="550">
        <f>(Tableau4[[#This Row],[montant HT2]]*$D$10)+(Tableau4[[#This Row],[ montant HT3]]*$E$10)</f>
        <v>0</v>
      </c>
    </row>
    <row r="69" spans="1:16" hidden="1">
      <c r="A69" s="542"/>
      <c r="B69" s="543" t="str">
        <f>Tableau4[[#This Row],[Tranche]]&amp;" "&amp;Tableau4[[#This Row],[type (titulaire / ST)]]</f>
        <v>Tranche OPTIONNELLE 5 0</v>
      </c>
      <c r="C69" s="544" t="str">
        <f>DONNEES!A264</f>
        <v>Tranche OPTIONNELLE 5</v>
      </c>
      <c r="D69" s="545">
        <f>DONNEES!C264</f>
        <v>0</v>
      </c>
      <c r="E69" s="545">
        <f>DONNEES!D264</f>
        <v>0</v>
      </c>
      <c r="F69" s="546">
        <f>DONNEES!E264</f>
        <v>0</v>
      </c>
      <c r="G69" s="546">
        <f>DONNEES!F264</f>
        <v>0</v>
      </c>
      <c r="H69" s="546">
        <f t="shared" si="1"/>
        <v>0</v>
      </c>
      <c r="I69" s="547"/>
      <c r="J69" s="547"/>
      <c r="K69" s="548"/>
      <c r="L69" s="549">
        <f>Tableau4[[#This Row],[montant HT2]]</f>
        <v>0</v>
      </c>
      <c r="M69" s="549">
        <f>Tableau4[[#This Row],[ montant HT3]]</f>
        <v>0</v>
      </c>
      <c r="P69" s="550">
        <f>(Tableau4[[#This Row],[montant HT2]]*$D$10)+(Tableau4[[#This Row],[ montant HT3]]*$E$10)</f>
        <v>0</v>
      </c>
    </row>
    <row r="70" spans="1:16" hidden="1">
      <c r="A70" s="542"/>
      <c r="B70" s="543" t="str">
        <f>Tableau4[[#This Row],[Tranche]]&amp;" "&amp;Tableau4[[#This Row],[type (titulaire / ST)]]</f>
        <v>Tranche OPTIONNELLE 5 0</v>
      </c>
      <c r="C70" s="544" t="str">
        <f>DONNEES!A265</f>
        <v>Tranche OPTIONNELLE 5</v>
      </c>
      <c r="D70" s="545">
        <f>DONNEES!C265</f>
        <v>0</v>
      </c>
      <c r="E70" s="545">
        <f>DONNEES!D265</f>
        <v>0</v>
      </c>
      <c r="F70" s="546">
        <f>DONNEES!E265</f>
        <v>0</v>
      </c>
      <c r="G70" s="546">
        <f>DONNEES!F265</f>
        <v>0</v>
      </c>
      <c r="H70" s="546">
        <f t="shared" si="1"/>
        <v>0</v>
      </c>
      <c r="I70" s="547"/>
      <c r="J70" s="547"/>
      <c r="K70" s="548"/>
      <c r="L70" s="549">
        <f>Tableau4[[#This Row],[montant HT2]]</f>
        <v>0</v>
      </c>
      <c r="M70" s="549">
        <f>Tableau4[[#This Row],[ montant HT3]]</f>
        <v>0</v>
      </c>
      <c r="P70" s="550">
        <f>(Tableau4[[#This Row],[montant HT2]]*$D$10)+(Tableau4[[#This Row],[ montant HT3]]*$E$10)</f>
        <v>0</v>
      </c>
    </row>
    <row r="71" spans="1:16" hidden="1">
      <c r="A71" s="542"/>
      <c r="B71" s="543" t="str">
        <f>Tableau4[[#This Row],[Tranche]]&amp;" "&amp;Tableau4[[#This Row],[type (titulaire / ST)]]</f>
        <v>Tranche OPTIONNELLE 6 Titulaire</v>
      </c>
      <c r="C71" s="544" t="str">
        <f>DONNEES!A266</f>
        <v>Tranche OPTIONNELLE 6</v>
      </c>
      <c r="D71" s="545" t="str">
        <f>DONNEES!C266</f>
        <v>Titulaire</v>
      </c>
      <c r="E71" s="545" t="str">
        <f>DONNEES!D266</f>
        <v>ERREBA</v>
      </c>
      <c r="F71" s="546">
        <f>DONNEES!E266</f>
        <v>0</v>
      </c>
      <c r="G71" s="546">
        <f>DONNEES!F266</f>
        <v>0</v>
      </c>
      <c r="H71" s="546">
        <f t="shared" si="1"/>
        <v>0</v>
      </c>
      <c r="I71" s="547"/>
      <c r="J71" s="547"/>
      <c r="K71" s="548"/>
      <c r="L71" s="549">
        <f>Tableau4[[#This Row],[montant HT2]]</f>
        <v>0</v>
      </c>
      <c r="M71" s="549">
        <f>Tableau4[[#This Row],[ montant HT3]]</f>
        <v>0</v>
      </c>
      <c r="P71" s="550">
        <f>(Tableau4[[#This Row],[montant HT2]]*$D$10)+(Tableau4[[#This Row],[ montant HT3]]*$E$10)</f>
        <v>0</v>
      </c>
    </row>
    <row r="72" spans="1:16" hidden="1">
      <c r="A72" s="542"/>
      <c r="B72" s="543" t="str">
        <f>Tableau4[[#This Row],[Tranche]]&amp;" "&amp;Tableau4[[#This Row],[type (titulaire / ST)]]</f>
        <v>Tranche OPTIONNELLE 6 0</v>
      </c>
      <c r="C72" s="544" t="str">
        <f>DONNEES!A267</f>
        <v>Tranche OPTIONNELLE 6</v>
      </c>
      <c r="D72" s="545">
        <f>DONNEES!C267</f>
        <v>0</v>
      </c>
      <c r="E72" s="545">
        <f>DONNEES!D267</f>
        <v>0</v>
      </c>
      <c r="F72" s="546">
        <f>DONNEES!E267</f>
        <v>0</v>
      </c>
      <c r="G72" s="546">
        <f>DONNEES!F267</f>
        <v>0</v>
      </c>
      <c r="H72" s="546">
        <f t="shared" si="1"/>
        <v>0</v>
      </c>
      <c r="I72" s="547"/>
      <c r="J72" s="547"/>
      <c r="K72" s="548"/>
      <c r="L72" s="549">
        <f>Tableau4[[#This Row],[montant HT2]]</f>
        <v>0</v>
      </c>
      <c r="M72" s="549">
        <f>Tableau4[[#This Row],[ montant HT3]]</f>
        <v>0</v>
      </c>
      <c r="P72" s="550">
        <f>(Tableau4[[#This Row],[montant HT2]]*$D$10)+(Tableau4[[#This Row],[ montant HT3]]*$E$10)</f>
        <v>0</v>
      </c>
    </row>
    <row r="73" spans="1:16" hidden="1">
      <c r="A73" s="542"/>
      <c r="B73" s="543" t="str">
        <f>Tableau4[[#This Row],[Tranche]]&amp;" "&amp;Tableau4[[#This Row],[type (titulaire / ST)]]</f>
        <v>Tranche OPTIONNELLE 6 0</v>
      </c>
      <c r="C73" s="544" t="str">
        <f>DONNEES!A268</f>
        <v>Tranche OPTIONNELLE 6</v>
      </c>
      <c r="D73" s="545">
        <f>DONNEES!C268</f>
        <v>0</v>
      </c>
      <c r="E73" s="545">
        <f>DONNEES!D268</f>
        <v>0</v>
      </c>
      <c r="F73" s="546">
        <f>DONNEES!E268</f>
        <v>0</v>
      </c>
      <c r="G73" s="546">
        <f>DONNEES!F268</f>
        <v>0</v>
      </c>
      <c r="H73" s="546">
        <f t="shared" si="1"/>
        <v>0</v>
      </c>
      <c r="I73" s="547"/>
      <c r="J73" s="547"/>
      <c r="K73" s="548"/>
      <c r="L73" s="549">
        <f>Tableau4[[#This Row],[montant HT2]]</f>
        <v>0</v>
      </c>
      <c r="M73" s="549">
        <f>Tableau4[[#This Row],[ montant HT3]]</f>
        <v>0</v>
      </c>
      <c r="P73" s="550">
        <f>(Tableau4[[#This Row],[montant HT2]]*$D$10)+(Tableau4[[#This Row],[ montant HT3]]*$E$10)</f>
        <v>0</v>
      </c>
    </row>
    <row r="74" spans="1:16" hidden="1">
      <c r="A74" s="542"/>
      <c r="B74" s="543" t="str">
        <f>Tableau4[[#This Row],[Tranche]]&amp;" "&amp;Tableau4[[#This Row],[type (titulaire / ST)]]</f>
        <v>Tranche OPTIONNELLE 6 0</v>
      </c>
      <c r="C74" s="544" t="str">
        <f>DONNEES!A269</f>
        <v>Tranche OPTIONNELLE 6</v>
      </c>
      <c r="D74" s="545">
        <f>DONNEES!C269</f>
        <v>0</v>
      </c>
      <c r="E74" s="545">
        <f>DONNEES!D269</f>
        <v>0</v>
      </c>
      <c r="F74" s="546">
        <f>DONNEES!E269</f>
        <v>0</v>
      </c>
      <c r="G74" s="546">
        <f>DONNEES!F269</f>
        <v>0</v>
      </c>
      <c r="H74" s="546">
        <f t="shared" si="1"/>
        <v>0</v>
      </c>
      <c r="I74" s="547"/>
      <c r="J74" s="547"/>
      <c r="K74" s="548"/>
      <c r="L74" s="549">
        <f>Tableau4[[#This Row],[montant HT2]]</f>
        <v>0</v>
      </c>
      <c r="M74" s="549">
        <f>Tableau4[[#This Row],[ montant HT3]]</f>
        <v>0</v>
      </c>
      <c r="P74" s="550">
        <f>(Tableau4[[#This Row],[montant HT2]]*$D$10)+(Tableau4[[#This Row],[ montant HT3]]*$E$10)</f>
        <v>0</v>
      </c>
    </row>
    <row r="75" spans="1:16" hidden="1">
      <c r="A75" s="542"/>
      <c r="B75" s="543" t="str">
        <f>Tableau4[[#This Row],[Tranche]]&amp;" "&amp;Tableau4[[#This Row],[type (titulaire / ST)]]</f>
        <v>Tranche OPTIONNELLE 6 0</v>
      </c>
      <c r="C75" s="544" t="str">
        <f>DONNEES!A270</f>
        <v>Tranche OPTIONNELLE 6</v>
      </c>
      <c r="D75" s="545">
        <f>DONNEES!C270</f>
        <v>0</v>
      </c>
      <c r="E75" s="545">
        <f>DONNEES!D270</f>
        <v>0</v>
      </c>
      <c r="F75" s="546">
        <f>DONNEES!E270</f>
        <v>0</v>
      </c>
      <c r="G75" s="546">
        <f>DONNEES!F270</f>
        <v>0</v>
      </c>
      <c r="H75" s="546">
        <f t="shared" si="1"/>
        <v>0</v>
      </c>
      <c r="I75" s="547"/>
      <c r="J75" s="547"/>
      <c r="K75" s="548"/>
      <c r="L75" s="549">
        <f>Tableau4[[#This Row],[montant HT2]]</f>
        <v>0</v>
      </c>
      <c r="M75" s="549">
        <f>Tableau4[[#This Row],[ montant HT3]]</f>
        <v>0</v>
      </c>
      <c r="P75" s="550">
        <f>(Tableau4[[#This Row],[montant HT2]]*$D$10)+(Tableau4[[#This Row],[ montant HT3]]*$E$10)</f>
        <v>0</v>
      </c>
    </row>
    <row r="76" spans="1:16" hidden="1">
      <c r="A76" s="542"/>
      <c r="B76" s="543" t="str">
        <f>Tableau4[[#This Row],[Tranche]]&amp;" "&amp;Tableau4[[#This Row],[type (titulaire / ST)]]</f>
        <v>Tranche OPTIONNELLE 6 0</v>
      </c>
      <c r="C76" s="544" t="str">
        <f>DONNEES!A271</f>
        <v>Tranche OPTIONNELLE 6</v>
      </c>
      <c r="D76" s="545">
        <f>DONNEES!C271</f>
        <v>0</v>
      </c>
      <c r="E76" s="545">
        <f>DONNEES!D271</f>
        <v>0</v>
      </c>
      <c r="F76" s="546">
        <f>DONNEES!E271</f>
        <v>0</v>
      </c>
      <c r="G76" s="546">
        <f>DONNEES!F271</f>
        <v>0</v>
      </c>
      <c r="H76" s="546">
        <f t="shared" si="1"/>
        <v>0</v>
      </c>
      <c r="I76" s="547"/>
      <c r="J76" s="547"/>
      <c r="K76" s="548"/>
      <c r="L76" s="549">
        <f>Tableau4[[#This Row],[montant HT2]]</f>
        <v>0</v>
      </c>
      <c r="M76" s="549">
        <f>Tableau4[[#This Row],[ montant HT3]]</f>
        <v>0</v>
      </c>
      <c r="P76" s="550">
        <f>(Tableau4[[#This Row],[montant HT2]]*$D$10)+(Tableau4[[#This Row],[ montant HT3]]*$E$10)</f>
        <v>0</v>
      </c>
    </row>
    <row r="77" spans="1:16" hidden="1">
      <c r="A77" s="542"/>
      <c r="B77" s="543" t="str">
        <f>Tableau4[[#This Row],[Tranche]]&amp;" "&amp;Tableau4[[#This Row],[type (titulaire / ST)]]</f>
        <v>Tranche OPTIONNELLE 6 0</v>
      </c>
      <c r="C77" s="544" t="str">
        <f>DONNEES!A272</f>
        <v>Tranche OPTIONNELLE 6</v>
      </c>
      <c r="D77" s="545">
        <f>DONNEES!C272</f>
        <v>0</v>
      </c>
      <c r="E77" s="545">
        <f>DONNEES!D272</f>
        <v>0</v>
      </c>
      <c r="F77" s="546">
        <f>DONNEES!E272</f>
        <v>0</v>
      </c>
      <c r="G77" s="546">
        <f>DONNEES!F272</f>
        <v>0</v>
      </c>
      <c r="H77" s="546">
        <f t="shared" si="1"/>
        <v>0</v>
      </c>
      <c r="I77" s="547"/>
      <c r="J77" s="547"/>
      <c r="K77" s="548"/>
      <c r="L77" s="549">
        <f>Tableau4[[#This Row],[montant HT2]]</f>
        <v>0</v>
      </c>
      <c r="M77" s="549">
        <f>Tableau4[[#This Row],[ montant HT3]]</f>
        <v>0</v>
      </c>
      <c r="P77" s="550">
        <f>(Tableau4[[#This Row],[montant HT2]]*$D$10)+(Tableau4[[#This Row],[ montant HT3]]*$E$10)</f>
        <v>0</v>
      </c>
    </row>
    <row r="78" spans="1:16" hidden="1">
      <c r="A78" s="542"/>
      <c r="B78" s="543" t="str">
        <f>Tableau4[[#This Row],[Tranche]]&amp;" "&amp;Tableau4[[#This Row],[type (titulaire / ST)]]</f>
        <v>Avenants et OS Tranche Ferme Titulaire</v>
      </c>
      <c r="C78" s="544" t="str">
        <f>DONNEES!A273</f>
        <v>Avenants et OS Tranche Ferme</v>
      </c>
      <c r="D78" s="545" t="str">
        <f>DONNEES!C273</f>
        <v>Titulaire</v>
      </c>
      <c r="E78" s="545" t="str">
        <f>DONNEES!D273</f>
        <v>ERREBA</v>
      </c>
      <c r="F78" s="546">
        <f>DONNEES!E273</f>
        <v>0</v>
      </c>
      <c r="G78" s="546">
        <f>DONNEES!F273</f>
        <v>0</v>
      </c>
      <c r="H78" s="546">
        <f t="shared" si="1"/>
        <v>0</v>
      </c>
      <c r="I78" s="547"/>
      <c r="J78" s="547"/>
      <c r="K78" s="548"/>
      <c r="L78" s="549">
        <f>Tableau4[[#This Row],[montant HT2]]</f>
        <v>0</v>
      </c>
      <c r="M78" s="549">
        <f>Tableau4[[#This Row],[ montant HT3]]</f>
        <v>0</v>
      </c>
      <c r="P78" s="550">
        <f>(Tableau4[[#This Row],[montant HT2]]*$D$10)+(Tableau4[[#This Row],[ montant HT3]]*$E$10)</f>
        <v>0</v>
      </c>
    </row>
    <row r="79" spans="1:16" hidden="1">
      <c r="A79" s="542"/>
      <c r="B79" s="543" t="str">
        <f>Tableau4[[#This Row],[Tranche]]&amp;" "&amp;Tableau4[[#This Row],[type (titulaire / ST)]]</f>
        <v>Avenants et OS Tranche Optionnelle 1 Titulaire</v>
      </c>
      <c r="C79" s="544" t="str">
        <f>DONNEES!A274</f>
        <v>Avenants et OS Tranche Optionnelle 1</v>
      </c>
      <c r="D79" s="545" t="str">
        <f>DONNEES!C274</f>
        <v>Titulaire</v>
      </c>
      <c r="E79" s="545" t="str">
        <f>DONNEES!D274</f>
        <v>ERREBA</v>
      </c>
      <c r="F79" s="546">
        <f>DONNEES!E274</f>
        <v>0</v>
      </c>
      <c r="G79" s="546">
        <f>DONNEES!F274</f>
        <v>0</v>
      </c>
      <c r="H79" s="546">
        <f t="shared" ref="H79:H84" si="3">F79+G79</f>
        <v>0</v>
      </c>
      <c r="I79" s="547"/>
      <c r="J79" s="547"/>
      <c r="K79" s="548"/>
      <c r="L79" s="549">
        <f>Tableau4[[#This Row],[montant HT2]]</f>
        <v>0</v>
      </c>
      <c r="M79" s="549">
        <f>Tableau4[[#This Row],[ montant HT3]]</f>
        <v>0</v>
      </c>
      <c r="P79" s="550">
        <f>(Tableau4[[#This Row],[montant HT2]]*$D$10)+(Tableau4[[#This Row],[ montant HT3]]*$E$10)</f>
        <v>0</v>
      </c>
    </row>
    <row r="80" spans="1:16" hidden="1">
      <c r="A80" s="542"/>
      <c r="B80" s="543" t="str">
        <f>Tableau4[[#This Row],[Tranche]]&amp;" "&amp;Tableau4[[#This Row],[type (titulaire / ST)]]</f>
        <v>Avenants et OS Tranche Optionnelle 2 Titulaire</v>
      </c>
      <c r="C80" s="544" t="str">
        <f>DONNEES!A275</f>
        <v>Avenants et OS Tranche Optionnelle 2</v>
      </c>
      <c r="D80" s="545" t="str">
        <f>DONNEES!C275</f>
        <v>Titulaire</v>
      </c>
      <c r="E80" s="545" t="str">
        <f>DONNEES!D275</f>
        <v>ERREBA</v>
      </c>
      <c r="F80" s="546">
        <f>DONNEES!E275</f>
        <v>0</v>
      </c>
      <c r="G80" s="546">
        <f>DONNEES!F275</f>
        <v>0</v>
      </c>
      <c r="H80" s="546">
        <f t="shared" si="3"/>
        <v>0</v>
      </c>
      <c r="I80" s="547"/>
      <c r="J80" s="547"/>
      <c r="K80" s="548"/>
      <c r="L80" s="549">
        <f>Tableau4[[#This Row],[montant HT2]]</f>
        <v>0</v>
      </c>
      <c r="M80" s="549">
        <f>Tableau4[[#This Row],[ montant HT3]]</f>
        <v>0</v>
      </c>
      <c r="P80" s="550">
        <f>(Tableau4[[#This Row],[montant HT2]]*$D$10)+(Tableau4[[#This Row],[ montant HT3]]*$E$10)</f>
        <v>0</v>
      </c>
    </row>
    <row r="81" spans="1:16" hidden="1">
      <c r="A81" s="542"/>
      <c r="B81" s="543" t="str">
        <f>Tableau4[[#This Row],[Tranche]]&amp;" "&amp;Tableau4[[#This Row],[type (titulaire / ST)]]</f>
        <v>Avenants et OS Tranche Optionnelle 3 Titulaire</v>
      </c>
      <c r="C81" s="544" t="str">
        <f>DONNEES!A276</f>
        <v>Avenants et OS Tranche Optionnelle 3</v>
      </c>
      <c r="D81" s="545" t="str">
        <f>DONNEES!C276</f>
        <v>Titulaire</v>
      </c>
      <c r="E81" s="545" t="str">
        <f>DONNEES!D276</f>
        <v>ERREBA</v>
      </c>
      <c r="F81" s="546">
        <f>DONNEES!E276</f>
        <v>0</v>
      </c>
      <c r="G81" s="546">
        <f>DONNEES!F276</f>
        <v>0</v>
      </c>
      <c r="H81" s="546">
        <f t="shared" si="3"/>
        <v>0</v>
      </c>
      <c r="I81" s="547"/>
      <c r="J81" s="547"/>
      <c r="K81" s="548"/>
      <c r="L81" s="549">
        <f>Tableau4[[#This Row],[montant HT2]]</f>
        <v>0</v>
      </c>
      <c r="M81" s="549">
        <f>Tableau4[[#This Row],[ montant HT3]]</f>
        <v>0</v>
      </c>
      <c r="P81" s="550">
        <f>(Tableau4[[#This Row],[montant HT2]]*$D$10)+(Tableau4[[#This Row],[ montant HT3]]*$E$10)</f>
        <v>0</v>
      </c>
    </row>
    <row r="82" spans="1:16" hidden="1">
      <c r="A82" s="542"/>
      <c r="B82" s="543" t="str">
        <f>Tableau4[[#This Row],[Tranche]]&amp;" "&amp;Tableau4[[#This Row],[type (titulaire / ST)]]</f>
        <v>Avenants et OS Tranche Optionnelle 4 Titulaire</v>
      </c>
      <c r="C82" s="544" t="str">
        <f>DONNEES!A277</f>
        <v>Avenants et OS Tranche Optionnelle 4</v>
      </c>
      <c r="D82" s="545" t="str">
        <f>DONNEES!C277</f>
        <v>Titulaire</v>
      </c>
      <c r="E82" s="545" t="str">
        <f>DONNEES!D277</f>
        <v>ERREBA</v>
      </c>
      <c r="F82" s="546">
        <f>DONNEES!E277</f>
        <v>0</v>
      </c>
      <c r="G82" s="546">
        <f>DONNEES!F277</f>
        <v>0</v>
      </c>
      <c r="H82" s="546">
        <f t="shared" si="3"/>
        <v>0</v>
      </c>
      <c r="I82" s="547"/>
      <c r="J82" s="547"/>
      <c r="K82" s="548"/>
      <c r="L82" s="549">
        <f>Tableau4[[#This Row],[montant HT2]]</f>
        <v>0</v>
      </c>
      <c r="M82" s="549">
        <f>Tableau4[[#This Row],[ montant HT3]]</f>
        <v>0</v>
      </c>
      <c r="P82" s="550">
        <f>(Tableau4[[#This Row],[montant HT2]]*$D$10)+(Tableau4[[#This Row],[ montant HT3]]*$E$10)</f>
        <v>0</v>
      </c>
    </row>
    <row r="83" spans="1:16" hidden="1">
      <c r="A83" s="542"/>
      <c r="B83" s="543" t="str">
        <f>Tableau4[[#This Row],[Tranche]]&amp;" "&amp;Tableau4[[#This Row],[type (titulaire / ST)]]</f>
        <v>Avenants et OS Tranche Optionnelle 5 Titulaire</v>
      </c>
      <c r="C83" s="551" t="str">
        <f>DONNEES!A278</f>
        <v>Avenants et OS Tranche Optionnelle 5</v>
      </c>
      <c r="D83" s="552" t="str">
        <f>DONNEES!C278</f>
        <v>Titulaire</v>
      </c>
      <c r="E83" s="552" t="str">
        <f>DONNEES!D278</f>
        <v>ERREBA</v>
      </c>
      <c r="F83" s="553">
        <f>DONNEES!E278</f>
        <v>0</v>
      </c>
      <c r="G83" s="546">
        <f>DONNEES!F278</f>
        <v>0</v>
      </c>
      <c r="H83" s="553">
        <f t="shared" si="3"/>
        <v>0</v>
      </c>
      <c r="I83" s="554"/>
      <c r="J83" s="547"/>
      <c r="K83" s="548"/>
      <c r="L83" s="555">
        <f>Tableau4[[#This Row],[montant HT2]]</f>
        <v>0</v>
      </c>
      <c r="M83" s="549">
        <f>Tableau4[[#This Row],[ montant HT3]]</f>
        <v>0</v>
      </c>
      <c r="P83" s="550">
        <f>(Tableau4[[#This Row],[montant HT2]]*$D$10)+(Tableau4[[#This Row],[ montant HT3]]*$E$10)</f>
        <v>0</v>
      </c>
    </row>
    <row r="84" spans="1:16" hidden="1">
      <c r="A84" s="542"/>
      <c r="B84" s="543" t="str">
        <f>Tableau4[[#This Row],[Tranche]]&amp;" "&amp;Tableau4[[#This Row],[type (titulaire / ST)]]</f>
        <v>Avenants et OS Tranche Optionnelle 6 Titulaire</v>
      </c>
      <c r="C84" s="551" t="str">
        <f>DONNEES!A279</f>
        <v>Avenants et OS Tranche Optionnelle 6</v>
      </c>
      <c r="D84" s="552" t="str">
        <f>DONNEES!C279</f>
        <v>Titulaire</v>
      </c>
      <c r="E84" s="552" t="str">
        <f>DONNEES!D279</f>
        <v>ERREBA</v>
      </c>
      <c r="F84" s="553">
        <f>DONNEES!E279</f>
        <v>0</v>
      </c>
      <c r="G84" s="546">
        <f>DONNEES!F279</f>
        <v>0</v>
      </c>
      <c r="H84" s="553">
        <f t="shared" si="3"/>
        <v>0</v>
      </c>
      <c r="I84" s="554"/>
      <c r="J84" s="547"/>
      <c r="K84" s="548"/>
      <c r="L84" s="555">
        <f>Tableau4[[#This Row],[montant HT2]]</f>
        <v>0</v>
      </c>
      <c r="M84" s="549">
        <f>Tableau4[[#This Row],[ montant HT3]]</f>
        <v>0</v>
      </c>
      <c r="P84" s="550">
        <f>(Tableau4[[#This Row],[montant HT2]]*$D$10)+(Tableau4[[#This Row],[ montant HT3]]*$E$10)</f>
        <v>0</v>
      </c>
    </row>
    <row r="85" spans="1:16">
      <c r="A85" s="542"/>
      <c r="B85" s="543" t="str">
        <f>Tableau4[[#This Row],[Tranche]]&amp;" "&amp;Tableau4[[#This Row],[type (titulaire / ST)]]</f>
        <v>Tranche FERME Cotraitant 1</v>
      </c>
      <c r="C85" s="551" t="str">
        <f>DONNEES!A280</f>
        <v>Tranche FERME</v>
      </c>
      <c r="D85" s="545" t="str">
        <f>DONNEES!C280</f>
        <v>Cotraitant 1</v>
      </c>
      <c r="E85" s="545" t="str">
        <f>DONNEES!D280</f>
        <v>SPIE</v>
      </c>
      <c r="F85" s="546">
        <f>DONNEES!E280</f>
        <v>10000</v>
      </c>
      <c r="G85" s="546">
        <f>DONNEES!F280</f>
        <v>0</v>
      </c>
      <c r="H85" s="549">
        <f t="shared" ref="H85:H88" si="4">F85+G85</f>
        <v>10000</v>
      </c>
      <c r="I85" s="547">
        <v>4000</v>
      </c>
      <c r="J85" s="547"/>
      <c r="K85" s="556"/>
      <c r="L85" s="549">
        <f>Tableau4[[#This Row],[montant HT2]]</f>
        <v>4000</v>
      </c>
      <c r="M85" s="549">
        <f>Tableau4[[#This Row],[ montant HT3]]</f>
        <v>0</v>
      </c>
      <c r="P85" s="550">
        <f>(Tableau4[[#This Row],[montant HT2]]*$D$10)+(Tableau4[[#This Row],[ montant HT3]]*$E$10)</f>
        <v>800</v>
      </c>
    </row>
    <row r="86" spans="1:16" hidden="1">
      <c r="A86" s="542"/>
      <c r="B86" s="543" t="str">
        <f>Tableau4[[#This Row],[Tranche]]&amp;" "&amp;Tableau4[[#This Row],[type (titulaire / ST)]]</f>
        <v>Tranche FERME 0</v>
      </c>
      <c r="C86" s="551" t="str">
        <f>DONNEES!A281</f>
        <v>Tranche FERME</v>
      </c>
      <c r="D86" s="545">
        <f>DONNEES!C281</f>
        <v>0</v>
      </c>
      <c r="E86" s="545">
        <f>DONNEES!D281</f>
        <v>0</v>
      </c>
      <c r="F86" s="546">
        <f>DONNEES!E281</f>
        <v>0</v>
      </c>
      <c r="G86" s="546">
        <f>DONNEES!F281</f>
        <v>0</v>
      </c>
      <c r="H86" s="549">
        <f t="shared" si="4"/>
        <v>0</v>
      </c>
      <c r="I86" s="547"/>
      <c r="J86" s="547"/>
      <c r="K86" s="556"/>
      <c r="L86" s="549">
        <f>Tableau4[[#This Row],[montant HT2]]</f>
        <v>0</v>
      </c>
      <c r="M86" s="549">
        <f>Tableau4[[#This Row],[ montant HT3]]</f>
        <v>0</v>
      </c>
      <c r="P86" s="550">
        <f>(Tableau4[[#This Row],[montant HT2]]*$D$10)+(Tableau4[[#This Row],[ montant HT3]]*$E$10)</f>
        <v>0</v>
      </c>
    </row>
    <row r="87" spans="1:16" hidden="1">
      <c r="A87" s="542"/>
      <c r="B87" s="543" t="str">
        <f>Tableau4[[#This Row],[Tranche]]&amp;" "&amp;Tableau4[[#This Row],[type (titulaire / ST)]]</f>
        <v>Tranche FERME 0</v>
      </c>
      <c r="C87" s="551" t="str">
        <f>DONNEES!A282</f>
        <v>Tranche FERME</v>
      </c>
      <c r="D87" s="545">
        <f>DONNEES!C282</f>
        <v>0</v>
      </c>
      <c r="E87" s="545">
        <f>DONNEES!D282</f>
        <v>0</v>
      </c>
      <c r="F87" s="546">
        <f>DONNEES!E282</f>
        <v>0</v>
      </c>
      <c r="G87" s="546">
        <f>DONNEES!F282</f>
        <v>0</v>
      </c>
      <c r="H87" s="549">
        <f t="shared" si="4"/>
        <v>0</v>
      </c>
      <c r="I87" s="547"/>
      <c r="J87" s="547"/>
      <c r="K87" s="556"/>
      <c r="L87" s="549">
        <f>Tableau4[[#This Row],[montant HT2]]</f>
        <v>0</v>
      </c>
      <c r="M87" s="549">
        <f>Tableau4[[#This Row],[ montant HT3]]</f>
        <v>0</v>
      </c>
      <c r="P87" s="550">
        <f>(Tableau4[[#This Row],[montant HT2]]*$D$10)+(Tableau4[[#This Row],[ montant HT3]]*$E$10)</f>
        <v>0</v>
      </c>
    </row>
    <row r="88" spans="1:16" hidden="1">
      <c r="A88" s="542"/>
      <c r="B88" s="543" t="str">
        <f>Tableau4[[#This Row],[Tranche]]&amp;" "&amp;Tableau4[[#This Row],[type (titulaire / ST)]]</f>
        <v>Tranche FERME 0</v>
      </c>
      <c r="C88" s="551" t="str">
        <f>DONNEES!A283</f>
        <v>Tranche FERME</v>
      </c>
      <c r="D88" s="552">
        <f>DONNEES!C283</f>
        <v>0</v>
      </c>
      <c r="E88" s="552">
        <f>DONNEES!D283</f>
        <v>0</v>
      </c>
      <c r="F88" s="553">
        <f>DONNEES!E283</f>
        <v>0</v>
      </c>
      <c r="G88" s="546">
        <f>DONNEES!F283</f>
        <v>0</v>
      </c>
      <c r="H88" s="555">
        <f t="shared" si="4"/>
        <v>0</v>
      </c>
      <c r="I88" s="554"/>
      <c r="J88" s="547"/>
      <c r="K88" s="556"/>
      <c r="L88" s="555">
        <f>Tableau4[[#This Row],[montant HT2]]</f>
        <v>0</v>
      </c>
      <c r="M88" s="549">
        <f>Tableau4[[#This Row],[ montant HT3]]</f>
        <v>0</v>
      </c>
      <c r="P88" s="550">
        <f>(Tableau4[[#This Row],[montant HT2]]*$D$10)+(Tableau4[[#This Row],[ montant HT3]]*$E$10)</f>
        <v>0</v>
      </c>
    </row>
    <row r="89" spans="1:16" hidden="1">
      <c r="A89" s="542"/>
      <c r="B89" s="543" t="str">
        <f>Tableau4[[#This Row],[Tranche]]&amp;" "&amp;Tableau4[[#This Row],[type (titulaire / ST)]]</f>
        <v>Tranche FERME 0</v>
      </c>
      <c r="C89" s="551" t="str">
        <f>DONNEES!A284</f>
        <v>Tranche FERME</v>
      </c>
      <c r="D89" s="545">
        <f>DONNEES!C284</f>
        <v>0</v>
      </c>
      <c r="E89" s="545">
        <f>DONNEES!D284</f>
        <v>0</v>
      </c>
      <c r="F89" s="546">
        <f>DONNEES!E284</f>
        <v>0</v>
      </c>
      <c r="G89" s="546">
        <f>DONNEES!F284</f>
        <v>0</v>
      </c>
      <c r="H89" s="549">
        <f t="shared" ref="H89:H140" si="5">F89+G89</f>
        <v>0</v>
      </c>
      <c r="I89" s="547"/>
      <c r="J89" s="547"/>
      <c r="K89" s="556"/>
      <c r="L89" s="549">
        <f>Tableau4[[#This Row],[montant HT2]]</f>
        <v>0</v>
      </c>
      <c r="M89" s="549">
        <f>Tableau4[[#This Row],[ montant HT3]]</f>
        <v>0</v>
      </c>
      <c r="P89" s="550">
        <f>(Tableau4[[#This Row],[montant HT2]]*$D$10)+(Tableau4[[#This Row],[ montant HT3]]*$E$10)</f>
        <v>0</v>
      </c>
    </row>
    <row r="90" spans="1:16" hidden="1">
      <c r="A90" s="542"/>
      <c r="B90" s="543" t="str">
        <f>Tableau4[[#This Row],[Tranche]]&amp;" "&amp;Tableau4[[#This Row],[type (titulaire / ST)]]</f>
        <v>Tranche FERME 0</v>
      </c>
      <c r="C90" s="551" t="str">
        <f>DONNEES!A285</f>
        <v>Tranche FERME</v>
      </c>
      <c r="D90" s="545">
        <f>DONNEES!C285</f>
        <v>0</v>
      </c>
      <c r="E90" s="545">
        <f>DONNEES!D285</f>
        <v>0</v>
      </c>
      <c r="F90" s="546">
        <f>DONNEES!E285</f>
        <v>0</v>
      </c>
      <c r="G90" s="546">
        <f>DONNEES!F285</f>
        <v>0</v>
      </c>
      <c r="H90" s="549">
        <f t="shared" si="5"/>
        <v>0</v>
      </c>
      <c r="I90" s="547"/>
      <c r="J90" s="547"/>
      <c r="K90" s="556"/>
      <c r="L90" s="549">
        <f>Tableau4[[#This Row],[montant HT2]]</f>
        <v>0</v>
      </c>
      <c r="M90" s="549">
        <f>Tableau4[[#This Row],[ montant HT3]]</f>
        <v>0</v>
      </c>
      <c r="P90" s="550">
        <f>(Tableau4[[#This Row],[montant HT2]]*$D$10)+(Tableau4[[#This Row],[ montant HT3]]*$E$10)</f>
        <v>0</v>
      </c>
    </row>
    <row r="91" spans="1:16" hidden="1">
      <c r="A91" s="542"/>
      <c r="B91" s="543" t="str">
        <f>Tableau4[[#This Row],[Tranche]]&amp;" "&amp;Tableau4[[#This Row],[type (titulaire / ST)]]</f>
        <v>Tranche FERME 0</v>
      </c>
      <c r="C91" s="551" t="str">
        <f>DONNEES!A286</f>
        <v>Tranche FERME</v>
      </c>
      <c r="D91" s="545">
        <f>DONNEES!C286</f>
        <v>0</v>
      </c>
      <c r="E91" s="545">
        <f>DONNEES!D286</f>
        <v>0</v>
      </c>
      <c r="F91" s="546">
        <f>DONNEES!E286</f>
        <v>0</v>
      </c>
      <c r="G91" s="546">
        <f>DONNEES!F286</f>
        <v>0</v>
      </c>
      <c r="H91" s="549">
        <f t="shared" si="5"/>
        <v>0</v>
      </c>
      <c r="I91" s="547"/>
      <c r="J91" s="547"/>
      <c r="K91" s="556"/>
      <c r="L91" s="549">
        <f>Tableau4[[#This Row],[montant HT2]]</f>
        <v>0</v>
      </c>
      <c r="M91" s="549">
        <f>Tableau4[[#This Row],[ montant HT3]]</f>
        <v>0</v>
      </c>
      <c r="P91" s="550">
        <f>(Tableau4[[#This Row],[montant HT2]]*$D$10)+(Tableau4[[#This Row],[ montant HT3]]*$E$10)</f>
        <v>0</v>
      </c>
    </row>
    <row r="92" spans="1:16" hidden="1">
      <c r="A92" s="542"/>
      <c r="B92" s="543" t="str">
        <f>Tableau4[[#This Row],[Tranche]]&amp;" "&amp;Tableau4[[#This Row],[type (titulaire / ST)]]</f>
        <v>Tranche OPTIONNELLE 1 Cotraitant 1</v>
      </c>
      <c r="C92" s="551" t="str">
        <f>DONNEES!A287</f>
        <v>Tranche OPTIONNELLE 1</v>
      </c>
      <c r="D92" s="545" t="str">
        <f>DONNEES!C287</f>
        <v>Cotraitant 1</v>
      </c>
      <c r="E92" s="545" t="str">
        <f>DONNEES!D287</f>
        <v>SPIE</v>
      </c>
      <c r="F92" s="546">
        <f>DONNEES!E287</f>
        <v>0</v>
      </c>
      <c r="G92" s="546">
        <f>DONNEES!F287</f>
        <v>0</v>
      </c>
      <c r="H92" s="549">
        <f t="shared" si="5"/>
        <v>0</v>
      </c>
      <c r="I92" s="547"/>
      <c r="J92" s="547"/>
      <c r="K92" s="556"/>
      <c r="L92" s="549">
        <f>Tableau4[[#This Row],[montant HT2]]</f>
        <v>0</v>
      </c>
      <c r="M92" s="549">
        <f>Tableau4[[#This Row],[ montant HT3]]</f>
        <v>0</v>
      </c>
      <c r="P92" s="550">
        <f>(Tableau4[[#This Row],[montant HT2]]*$D$10)+(Tableau4[[#This Row],[ montant HT3]]*$E$10)</f>
        <v>0</v>
      </c>
    </row>
    <row r="93" spans="1:16" hidden="1">
      <c r="A93" s="542"/>
      <c r="B93" s="543" t="str">
        <f>Tableau4[[#This Row],[Tranche]]&amp;" "&amp;Tableau4[[#This Row],[type (titulaire / ST)]]</f>
        <v>Tranche OPTIONNELLE 1 0</v>
      </c>
      <c r="C93" s="551" t="str">
        <f>DONNEES!A288</f>
        <v>Tranche OPTIONNELLE 1</v>
      </c>
      <c r="D93" s="545">
        <f>DONNEES!C288</f>
        <v>0</v>
      </c>
      <c r="E93" s="545">
        <f>DONNEES!D288</f>
        <v>0</v>
      </c>
      <c r="F93" s="546">
        <f>DONNEES!E288</f>
        <v>0</v>
      </c>
      <c r="G93" s="546">
        <f>DONNEES!F288</f>
        <v>0</v>
      </c>
      <c r="H93" s="549">
        <f t="shared" si="5"/>
        <v>0</v>
      </c>
      <c r="I93" s="547"/>
      <c r="J93" s="547"/>
      <c r="K93" s="556"/>
      <c r="L93" s="549">
        <f>Tableau4[[#This Row],[montant HT2]]</f>
        <v>0</v>
      </c>
      <c r="M93" s="549">
        <f>Tableau4[[#This Row],[ montant HT3]]</f>
        <v>0</v>
      </c>
      <c r="P93" s="550">
        <f>(Tableau4[[#This Row],[montant HT2]]*$D$10)+(Tableau4[[#This Row],[ montant HT3]]*$E$10)</f>
        <v>0</v>
      </c>
    </row>
    <row r="94" spans="1:16" hidden="1">
      <c r="A94" s="542"/>
      <c r="B94" s="543" t="str">
        <f>Tableau4[[#This Row],[Tranche]]&amp;" "&amp;Tableau4[[#This Row],[type (titulaire / ST)]]</f>
        <v>Tranche OPTIONNELLE 1 0</v>
      </c>
      <c r="C94" s="551" t="str">
        <f>DONNEES!A289</f>
        <v>Tranche OPTIONNELLE 1</v>
      </c>
      <c r="D94" s="545">
        <f>DONNEES!C289</f>
        <v>0</v>
      </c>
      <c r="E94" s="545">
        <f>DONNEES!D289</f>
        <v>0</v>
      </c>
      <c r="F94" s="546">
        <f>DONNEES!E289</f>
        <v>0</v>
      </c>
      <c r="G94" s="546">
        <f>DONNEES!F289</f>
        <v>0</v>
      </c>
      <c r="H94" s="549">
        <f t="shared" si="5"/>
        <v>0</v>
      </c>
      <c r="I94" s="547"/>
      <c r="J94" s="547"/>
      <c r="K94" s="556"/>
      <c r="L94" s="549">
        <f>Tableau4[[#This Row],[montant HT2]]</f>
        <v>0</v>
      </c>
      <c r="M94" s="549">
        <f>Tableau4[[#This Row],[ montant HT3]]</f>
        <v>0</v>
      </c>
      <c r="P94" s="550">
        <f>(Tableau4[[#This Row],[montant HT2]]*$D$10)+(Tableau4[[#This Row],[ montant HT3]]*$E$10)</f>
        <v>0</v>
      </c>
    </row>
    <row r="95" spans="1:16" hidden="1">
      <c r="A95" s="542"/>
      <c r="B95" s="543" t="str">
        <f>Tableau4[[#This Row],[Tranche]]&amp;" "&amp;Tableau4[[#This Row],[type (titulaire / ST)]]</f>
        <v>Tranche OPTIONNELLE 1 0</v>
      </c>
      <c r="C95" s="551" t="str">
        <f>DONNEES!A290</f>
        <v>Tranche OPTIONNELLE 1</v>
      </c>
      <c r="D95" s="545">
        <f>DONNEES!C290</f>
        <v>0</v>
      </c>
      <c r="E95" s="545">
        <f>DONNEES!D290</f>
        <v>0</v>
      </c>
      <c r="F95" s="546">
        <f>DONNEES!E290</f>
        <v>0</v>
      </c>
      <c r="G95" s="546">
        <f>DONNEES!F290</f>
        <v>0</v>
      </c>
      <c r="H95" s="549">
        <f t="shared" si="5"/>
        <v>0</v>
      </c>
      <c r="I95" s="547"/>
      <c r="J95" s="547"/>
      <c r="K95" s="556"/>
      <c r="L95" s="549">
        <f>Tableau4[[#This Row],[montant HT2]]</f>
        <v>0</v>
      </c>
      <c r="M95" s="549">
        <f>Tableau4[[#This Row],[ montant HT3]]</f>
        <v>0</v>
      </c>
      <c r="P95" s="550">
        <f>(Tableau4[[#This Row],[montant HT2]]*$D$10)+(Tableau4[[#This Row],[ montant HT3]]*$E$10)</f>
        <v>0</v>
      </c>
    </row>
    <row r="96" spans="1:16" hidden="1">
      <c r="A96" s="542"/>
      <c r="B96" s="543" t="str">
        <f>Tableau4[[#This Row],[Tranche]]&amp;" "&amp;Tableau4[[#This Row],[type (titulaire / ST)]]</f>
        <v>Tranche OPTIONNELLE 1 0</v>
      </c>
      <c r="C96" s="551" t="str">
        <f>DONNEES!A291</f>
        <v>Tranche OPTIONNELLE 1</v>
      </c>
      <c r="D96" s="545">
        <f>DONNEES!C291</f>
        <v>0</v>
      </c>
      <c r="E96" s="545">
        <f>DONNEES!D291</f>
        <v>0</v>
      </c>
      <c r="F96" s="546">
        <f>DONNEES!E291</f>
        <v>0</v>
      </c>
      <c r="G96" s="546">
        <f>DONNEES!F291</f>
        <v>0</v>
      </c>
      <c r="H96" s="549">
        <f t="shared" si="5"/>
        <v>0</v>
      </c>
      <c r="I96" s="547"/>
      <c r="J96" s="547"/>
      <c r="K96" s="556"/>
      <c r="L96" s="549">
        <f>Tableau4[[#This Row],[montant HT2]]</f>
        <v>0</v>
      </c>
      <c r="M96" s="549">
        <f>Tableau4[[#This Row],[ montant HT3]]</f>
        <v>0</v>
      </c>
      <c r="P96" s="550">
        <f>(Tableau4[[#This Row],[montant HT2]]*$D$10)+(Tableau4[[#This Row],[ montant HT3]]*$E$10)</f>
        <v>0</v>
      </c>
    </row>
    <row r="97" spans="1:16" hidden="1">
      <c r="A97" s="542"/>
      <c r="B97" s="543" t="str">
        <f>Tableau4[[#This Row],[Tranche]]&amp;" "&amp;Tableau4[[#This Row],[type (titulaire / ST)]]</f>
        <v>Tranche OPTIONNELLE 1 0</v>
      </c>
      <c r="C97" s="551" t="str">
        <f>DONNEES!A292</f>
        <v>Tranche OPTIONNELLE 1</v>
      </c>
      <c r="D97" s="545">
        <f>DONNEES!C292</f>
        <v>0</v>
      </c>
      <c r="E97" s="545">
        <f>DONNEES!D292</f>
        <v>0</v>
      </c>
      <c r="F97" s="546">
        <f>DONNEES!E292</f>
        <v>0</v>
      </c>
      <c r="G97" s="546">
        <f>DONNEES!F292</f>
        <v>0</v>
      </c>
      <c r="H97" s="549">
        <f t="shared" si="5"/>
        <v>0</v>
      </c>
      <c r="I97" s="547"/>
      <c r="J97" s="547"/>
      <c r="K97" s="556"/>
      <c r="L97" s="549">
        <f>Tableau4[[#This Row],[montant HT2]]</f>
        <v>0</v>
      </c>
      <c r="M97" s="549">
        <f>Tableau4[[#This Row],[ montant HT3]]</f>
        <v>0</v>
      </c>
      <c r="P97" s="550">
        <f>(Tableau4[[#This Row],[montant HT2]]*$D$10)+(Tableau4[[#This Row],[ montant HT3]]*$E$10)</f>
        <v>0</v>
      </c>
    </row>
    <row r="98" spans="1:16" hidden="1">
      <c r="A98" s="542"/>
      <c r="B98" s="543" t="str">
        <f>Tableau4[[#This Row],[Tranche]]&amp;" "&amp;Tableau4[[#This Row],[type (titulaire / ST)]]</f>
        <v>Tranche OPTIONNELLE 1 0</v>
      </c>
      <c r="C98" s="551" t="str">
        <f>DONNEES!A293</f>
        <v>Tranche OPTIONNELLE 1</v>
      </c>
      <c r="D98" s="545">
        <f>DONNEES!C293</f>
        <v>0</v>
      </c>
      <c r="E98" s="545">
        <f>DONNEES!D293</f>
        <v>0</v>
      </c>
      <c r="F98" s="546">
        <f>DONNEES!E293</f>
        <v>0</v>
      </c>
      <c r="G98" s="546">
        <f>DONNEES!F293</f>
        <v>0</v>
      </c>
      <c r="H98" s="549">
        <f t="shared" si="5"/>
        <v>0</v>
      </c>
      <c r="I98" s="547"/>
      <c r="J98" s="547"/>
      <c r="K98" s="556"/>
      <c r="L98" s="549">
        <f>Tableau4[[#This Row],[montant HT2]]</f>
        <v>0</v>
      </c>
      <c r="M98" s="549">
        <f>Tableau4[[#This Row],[ montant HT3]]</f>
        <v>0</v>
      </c>
      <c r="P98" s="550">
        <f>(Tableau4[[#This Row],[montant HT2]]*$D$10)+(Tableau4[[#This Row],[ montant HT3]]*$E$10)</f>
        <v>0</v>
      </c>
    </row>
    <row r="99" spans="1:16" hidden="1">
      <c r="A99" s="542"/>
      <c r="B99" s="543" t="str">
        <f>Tableau4[[#This Row],[Tranche]]&amp;" "&amp;Tableau4[[#This Row],[type (titulaire / ST)]]</f>
        <v>Tranche OPTIONNELLE 2 Cotraitant 1</v>
      </c>
      <c r="C99" s="551" t="str">
        <f>DONNEES!A294</f>
        <v>Tranche OPTIONNELLE 2</v>
      </c>
      <c r="D99" s="545" t="str">
        <f>DONNEES!C294</f>
        <v>Cotraitant 1</v>
      </c>
      <c r="E99" s="545" t="str">
        <f>DONNEES!D294</f>
        <v>SPIE</v>
      </c>
      <c r="F99" s="546">
        <f>DONNEES!E294</f>
        <v>0</v>
      </c>
      <c r="G99" s="546">
        <f>DONNEES!F294</f>
        <v>0</v>
      </c>
      <c r="H99" s="549">
        <f t="shared" si="5"/>
        <v>0</v>
      </c>
      <c r="I99" s="547"/>
      <c r="J99" s="547"/>
      <c r="K99" s="556"/>
      <c r="L99" s="549">
        <f>Tableau4[[#This Row],[montant HT2]]</f>
        <v>0</v>
      </c>
      <c r="M99" s="549">
        <f>Tableau4[[#This Row],[ montant HT3]]</f>
        <v>0</v>
      </c>
      <c r="P99" s="550">
        <f>(Tableau4[[#This Row],[montant HT2]]*$D$10)+(Tableau4[[#This Row],[ montant HT3]]*$E$10)</f>
        <v>0</v>
      </c>
    </row>
    <row r="100" spans="1:16" hidden="1">
      <c r="A100" s="542"/>
      <c r="B100" s="543" t="str">
        <f>Tableau4[[#This Row],[Tranche]]&amp;" "&amp;Tableau4[[#This Row],[type (titulaire / ST)]]</f>
        <v>Tranche OPTIONNELLE 2 0</v>
      </c>
      <c r="C100" s="551" t="str">
        <f>DONNEES!A295</f>
        <v>Tranche OPTIONNELLE 2</v>
      </c>
      <c r="D100" s="545">
        <f>DONNEES!C295</f>
        <v>0</v>
      </c>
      <c r="E100" s="545">
        <f>DONNEES!D295</f>
        <v>0</v>
      </c>
      <c r="F100" s="546">
        <f>DONNEES!E295</f>
        <v>0</v>
      </c>
      <c r="G100" s="546">
        <f>DONNEES!F295</f>
        <v>0</v>
      </c>
      <c r="H100" s="549">
        <f t="shared" si="5"/>
        <v>0</v>
      </c>
      <c r="I100" s="547"/>
      <c r="J100" s="547"/>
      <c r="K100" s="556"/>
      <c r="L100" s="549">
        <f>Tableau4[[#This Row],[montant HT2]]</f>
        <v>0</v>
      </c>
      <c r="M100" s="549">
        <f>Tableau4[[#This Row],[ montant HT3]]</f>
        <v>0</v>
      </c>
      <c r="P100" s="550">
        <f>(Tableau4[[#This Row],[montant HT2]]*$D$10)+(Tableau4[[#This Row],[ montant HT3]]*$E$10)</f>
        <v>0</v>
      </c>
    </row>
    <row r="101" spans="1:16" hidden="1">
      <c r="A101" s="542"/>
      <c r="B101" s="543" t="str">
        <f>Tableau4[[#This Row],[Tranche]]&amp;" "&amp;Tableau4[[#This Row],[type (titulaire / ST)]]</f>
        <v>Tranche OPTIONNELLE 2 0</v>
      </c>
      <c r="C101" s="551" t="str">
        <f>DONNEES!A296</f>
        <v>Tranche OPTIONNELLE 2</v>
      </c>
      <c r="D101" s="545">
        <f>DONNEES!C296</f>
        <v>0</v>
      </c>
      <c r="E101" s="545">
        <f>DONNEES!D296</f>
        <v>0</v>
      </c>
      <c r="F101" s="546">
        <f>DONNEES!E296</f>
        <v>0</v>
      </c>
      <c r="G101" s="546">
        <f>DONNEES!F296</f>
        <v>0</v>
      </c>
      <c r="H101" s="549">
        <f t="shared" si="5"/>
        <v>0</v>
      </c>
      <c r="I101" s="547"/>
      <c r="J101" s="547"/>
      <c r="K101" s="556"/>
      <c r="L101" s="549">
        <f>Tableau4[[#This Row],[montant HT2]]</f>
        <v>0</v>
      </c>
      <c r="M101" s="549">
        <f>Tableau4[[#This Row],[ montant HT3]]</f>
        <v>0</v>
      </c>
      <c r="P101" s="550">
        <f>(Tableau4[[#This Row],[montant HT2]]*$D$10)+(Tableau4[[#This Row],[ montant HT3]]*$E$10)</f>
        <v>0</v>
      </c>
    </row>
    <row r="102" spans="1:16" hidden="1">
      <c r="A102" s="542"/>
      <c r="B102" s="543" t="str">
        <f>Tableau4[[#This Row],[Tranche]]&amp;" "&amp;Tableau4[[#This Row],[type (titulaire / ST)]]</f>
        <v>Tranche OPTIONNELLE 2 0</v>
      </c>
      <c r="C102" s="551" t="str">
        <f>DONNEES!A297</f>
        <v>Tranche OPTIONNELLE 2</v>
      </c>
      <c r="D102" s="545">
        <f>DONNEES!C297</f>
        <v>0</v>
      </c>
      <c r="E102" s="545">
        <f>DONNEES!D297</f>
        <v>0</v>
      </c>
      <c r="F102" s="546">
        <f>DONNEES!E297</f>
        <v>0</v>
      </c>
      <c r="G102" s="546">
        <f>DONNEES!F297</f>
        <v>0</v>
      </c>
      <c r="H102" s="549">
        <f t="shared" si="5"/>
        <v>0</v>
      </c>
      <c r="I102" s="547"/>
      <c r="J102" s="547"/>
      <c r="K102" s="556"/>
      <c r="L102" s="549">
        <f>Tableau4[[#This Row],[montant HT2]]</f>
        <v>0</v>
      </c>
      <c r="M102" s="549">
        <f>Tableau4[[#This Row],[ montant HT3]]</f>
        <v>0</v>
      </c>
      <c r="P102" s="550">
        <f>(Tableau4[[#This Row],[montant HT2]]*$D$10)+(Tableau4[[#This Row],[ montant HT3]]*$E$10)</f>
        <v>0</v>
      </c>
    </row>
    <row r="103" spans="1:16" hidden="1">
      <c r="A103" s="542"/>
      <c r="B103" s="543" t="str">
        <f>Tableau4[[#This Row],[Tranche]]&amp;" "&amp;Tableau4[[#This Row],[type (titulaire / ST)]]</f>
        <v>Tranche OPTIONNELLE 2 0</v>
      </c>
      <c r="C103" s="551" t="str">
        <f>DONNEES!A298</f>
        <v>Tranche OPTIONNELLE 2</v>
      </c>
      <c r="D103" s="545">
        <f>DONNEES!C298</f>
        <v>0</v>
      </c>
      <c r="E103" s="545">
        <f>DONNEES!D298</f>
        <v>0</v>
      </c>
      <c r="F103" s="546">
        <f>DONNEES!E298</f>
        <v>0</v>
      </c>
      <c r="G103" s="546">
        <f>DONNEES!F298</f>
        <v>0</v>
      </c>
      <c r="H103" s="549">
        <f t="shared" si="5"/>
        <v>0</v>
      </c>
      <c r="I103" s="547"/>
      <c r="J103" s="547"/>
      <c r="K103" s="556"/>
      <c r="L103" s="549">
        <f>Tableau4[[#This Row],[montant HT2]]</f>
        <v>0</v>
      </c>
      <c r="M103" s="549">
        <f>Tableau4[[#This Row],[ montant HT3]]</f>
        <v>0</v>
      </c>
      <c r="P103" s="550">
        <f>(Tableau4[[#This Row],[montant HT2]]*$D$10)+(Tableau4[[#This Row],[ montant HT3]]*$E$10)</f>
        <v>0</v>
      </c>
    </row>
    <row r="104" spans="1:16" hidden="1">
      <c r="A104" s="542"/>
      <c r="B104" s="543" t="str">
        <f>Tableau4[[#This Row],[Tranche]]&amp;" "&amp;Tableau4[[#This Row],[type (titulaire / ST)]]</f>
        <v>Tranche OPTIONNELLE 2 0</v>
      </c>
      <c r="C104" s="551" t="str">
        <f>DONNEES!A299</f>
        <v>Tranche OPTIONNELLE 2</v>
      </c>
      <c r="D104" s="545">
        <f>DONNEES!C299</f>
        <v>0</v>
      </c>
      <c r="E104" s="545">
        <f>DONNEES!D299</f>
        <v>0</v>
      </c>
      <c r="F104" s="546">
        <f>DONNEES!E299</f>
        <v>0</v>
      </c>
      <c r="G104" s="546">
        <f>DONNEES!F299</f>
        <v>0</v>
      </c>
      <c r="H104" s="549">
        <f t="shared" si="5"/>
        <v>0</v>
      </c>
      <c r="I104" s="547"/>
      <c r="J104" s="547"/>
      <c r="K104" s="556"/>
      <c r="L104" s="549">
        <f>Tableau4[[#This Row],[montant HT2]]</f>
        <v>0</v>
      </c>
      <c r="M104" s="549">
        <f>Tableau4[[#This Row],[ montant HT3]]</f>
        <v>0</v>
      </c>
      <c r="P104" s="550">
        <f>(Tableau4[[#This Row],[montant HT2]]*$D$10)+(Tableau4[[#This Row],[ montant HT3]]*$E$10)</f>
        <v>0</v>
      </c>
    </row>
    <row r="105" spans="1:16" hidden="1">
      <c r="A105" s="542"/>
      <c r="B105" s="543" t="str">
        <f>Tableau4[[#This Row],[Tranche]]&amp;" "&amp;Tableau4[[#This Row],[type (titulaire / ST)]]</f>
        <v>Tranche OPTIONNELLE 2 0</v>
      </c>
      <c r="C105" s="551" t="str">
        <f>DONNEES!A300</f>
        <v>Tranche OPTIONNELLE 2</v>
      </c>
      <c r="D105" s="545">
        <f>DONNEES!C300</f>
        <v>0</v>
      </c>
      <c r="E105" s="545">
        <f>DONNEES!D300</f>
        <v>0</v>
      </c>
      <c r="F105" s="546">
        <f>DONNEES!E300</f>
        <v>0</v>
      </c>
      <c r="G105" s="546">
        <f>DONNEES!F300</f>
        <v>0</v>
      </c>
      <c r="H105" s="549">
        <f t="shared" si="5"/>
        <v>0</v>
      </c>
      <c r="I105" s="547"/>
      <c r="J105" s="547"/>
      <c r="K105" s="556"/>
      <c r="L105" s="549">
        <f>Tableau4[[#This Row],[montant HT2]]</f>
        <v>0</v>
      </c>
      <c r="M105" s="549">
        <f>Tableau4[[#This Row],[ montant HT3]]</f>
        <v>0</v>
      </c>
      <c r="P105" s="550">
        <f>(Tableau4[[#This Row],[montant HT2]]*$D$10)+(Tableau4[[#This Row],[ montant HT3]]*$E$10)</f>
        <v>0</v>
      </c>
    </row>
    <row r="106" spans="1:16" hidden="1">
      <c r="A106" s="542"/>
      <c r="B106" s="543" t="str">
        <f>Tableau4[[#This Row],[Tranche]]&amp;" "&amp;Tableau4[[#This Row],[type (titulaire / ST)]]</f>
        <v>Tranche OPTIONNELLE 3 Cotraitant 1</v>
      </c>
      <c r="C106" s="551" t="str">
        <f>DONNEES!A301</f>
        <v>Tranche OPTIONNELLE 3</v>
      </c>
      <c r="D106" s="545" t="str">
        <f>DONNEES!C301</f>
        <v>Cotraitant 1</v>
      </c>
      <c r="E106" s="545" t="str">
        <f>DONNEES!D301</f>
        <v>SPIE</v>
      </c>
      <c r="F106" s="546">
        <f>DONNEES!E301</f>
        <v>0</v>
      </c>
      <c r="G106" s="546">
        <f>DONNEES!F301</f>
        <v>0</v>
      </c>
      <c r="H106" s="549">
        <f t="shared" si="5"/>
        <v>0</v>
      </c>
      <c r="I106" s="547"/>
      <c r="J106" s="547"/>
      <c r="K106" s="556"/>
      <c r="L106" s="549">
        <f>Tableau4[[#This Row],[montant HT2]]</f>
        <v>0</v>
      </c>
      <c r="M106" s="549">
        <f>Tableau4[[#This Row],[ montant HT3]]</f>
        <v>0</v>
      </c>
      <c r="P106" s="550">
        <f>(Tableau4[[#This Row],[montant HT2]]*$D$10)+(Tableau4[[#This Row],[ montant HT3]]*$E$10)</f>
        <v>0</v>
      </c>
    </row>
    <row r="107" spans="1:16" hidden="1">
      <c r="A107" s="542"/>
      <c r="B107" s="543" t="str">
        <f>Tableau4[[#This Row],[Tranche]]&amp;" "&amp;Tableau4[[#This Row],[type (titulaire / ST)]]</f>
        <v>Tranche OPTIONNELLE 3 0</v>
      </c>
      <c r="C107" s="551" t="str">
        <f>DONNEES!A302</f>
        <v>Tranche OPTIONNELLE 3</v>
      </c>
      <c r="D107" s="545">
        <f>DONNEES!C302</f>
        <v>0</v>
      </c>
      <c r="E107" s="545">
        <f>DONNEES!D302</f>
        <v>0</v>
      </c>
      <c r="F107" s="546">
        <f>DONNEES!E302</f>
        <v>0</v>
      </c>
      <c r="G107" s="546">
        <f>DONNEES!F302</f>
        <v>0</v>
      </c>
      <c r="H107" s="549">
        <f t="shared" si="5"/>
        <v>0</v>
      </c>
      <c r="I107" s="547"/>
      <c r="J107" s="547"/>
      <c r="K107" s="556"/>
      <c r="L107" s="549">
        <f>Tableau4[[#This Row],[montant HT2]]</f>
        <v>0</v>
      </c>
      <c r="M107" s="549">
        <f>Tableau4[[#This Row],[ montant HT3]]</f>
        <v>0</v>
      </c>
      <c r="P107" s="550">
        <f>(Tableau4[[#This Row],[montant HT2]]*$D$10)+(Tableau4[[#This Row],[ montant HT3]]*$E$10)</f>
        <v>0</v>
      </c>
    </row>
    <row r="108" spans="1:16" hidden="1">
      <c r="A108" s="542"/>
      <c r="B108" s="543" t="str">
        <f>Tableau4[[#This Row],[Tranche]]&amp;" "&amp;Tableau4[[#This Row],[type (titulaire / ST)]]</f>
        <v>Tranche OPTIONNELLE 3 0</v>
      </c>
      <c r="C108" s="551" t="str">
        <f>DONNEES!A303</f>
        <v>Tranche OPTIONNELLE 3</v>
      </c>
      <c r="D108" s="545">
        <f>DONNEES!C303</f>
        <v>0</v>
      </c>
      <c r="E108" s="545">
        <f>DONNEES!D303</f>
        <v>0</v>
      </c>
      <c r="F108" s="546">
        <f>DONNEES!E303</f>
        <v>0</v>
      </c>
      <c r="G108" s="546">
        <f>DONNEES!F303</f>
        <v>0</v>
      </c>
      <c r="H108" s="549">
        <f t="shared" si="5"/>
        <v>0</v>
      </c>
      <c r="I108" s="547"/>
      <c r="J108" s="547"/>
      <c r="K108" s="556"/>
      <c r="L108" s="549">
        <f>Tableau4[[#This Row],[montant HT2]]</f>
        <v>0</v>
      </c>
      <c r="M108" s="549">
        <f>Tableau4[[#This Row],[ montant HT3]]</f>
        <v>0</v>
      </c>
      <c r="P108" s="550">
        <f>(Tableau4[[#This Row],[montant HT2]]*$D$10)+(Tableau4[[#This Row],[ montant HT3]]*$E$10)</f>
        <v>0</v>
      </c>
    </row>
    <row r="109" spans="1:16" hidden="1">
      <c r="A109" s="542"/>
      <c r="B109" s="543" t="str">
        <f>Tableau4[[#This Row],[Tranche]]&amp;" "&amp;Tableau4[[#This Row],[type (titulaire / ST)]]</f>
        <v>Tranche OPTIONNELLE 3 0</v>
      </c>
      <c r="C109" s="551" t="str">
        <f>DONNEES!A304</f>
        <v>Tranche OPTIONNELLE 3</v>
      </c>
      <c r="D109" s="545">
        <f>DONNEES!C304</f>
        <v>0</v>
      </c>
      <c r="E109" s="545">
        <f>DONNEES!D304</f>
        <v>0</v>
      </c>
      <c r="F109" s="546">
        <f>DONNEES!E304</f>
        <v>0</v>
      </c>
      <c r="G109" s="546">
        <f>DONNEES!F304</f>
        <v>0</v>
      </c>
      <c r="H109" s="549">
        <f t="shared" si="5"/>
        <v>0</v>
      </c>
      <c r="I109" s="547"/>
      <c r="J109" s="547"/>
      <c r="K109" s="556"/>
      <c r="L109" s="549">
        <f>Tableau4[[#This Row],[montant HT2]]</f>
        <v>0</v>
      </c>
      <c r="M109" s="549">
        <f>Tableau4[[#This Row],[ montant HT3]]</f>
        <v>0</v>
      </c>
      <c r="P109" s="550">
        <f>(Tableau4[[#This Row],[montant HT2]]*$D$10)+(Tableau4[[#This Row],[ montant HT3]]*$E$10)</f>
        <v>0</v>
      </c>
    </row>
    <row r="110" spans="1:16" hidden="1">
      <c r="A110" s="542"/>
      <c r="B110" s="543" t="str">
        <f>Tableau4[[#This Row],[Tranche]]&amp;" "&amp;Tableau4[[#This Row],[type (titulaire / ST)]]</f>
        <v>Tranche OPTIONNELLE 3 0</v>
      </c>
      <c r="C110" s="551" t="str">
        <f>DONNEES!A305</f>
        <v>Tranche OPTIONNELLE 3</v>
      </c>
      <c r="D110" s="545">
        <f>DONNEES!C305</f>
        <v>0</v>
      </c>
      <c r="E110" s="545">
        <f>DONNEES!D305</f>
        <v>0</v>
      </c>
      <c r="F110" s="546">
        <f>DONNEES!E305</f>
        <v>0</v>
      </c>
      <c r="G110" s="546">
        <f>DONNEES!F305</f>
        <v>0</v>
      </c>
      <c r="H110" s="549">
        <f t="shared" si="5"/>
        <v>0</v>
      </c>
      <c r="I110" s="547"/>
      <c r="J110" s="547"/>
      <c r="K110" s="556"/>
      <c r="L110" s="549">
        <f>Tableau4[[#This Row],[montant HT2]]</f>
        <v>0</v>
      </c>
      <c r="M110" s="549">
        <f>Tableau4[[#This Row],[ montant HT3]]</f>
        <v>0</v>
      </c>
      <c r="P110" s="550">
        <f>(Tableau4[[#This Row],[montant HT2]]*$D$10)+(Tableau4[[#This Row],[ montant HT3]]*$E$10)</f>
        <v>0</v>
      </c>
    </row>
    <row r="111" spans="1:16" hidden="1">
      <c r="A111" s="542"/>
      <c r="B111" s="543" t="str">
        <f>Tableau4[[#This Row],[Tranche]]&amp;" "&amp;Tableau4[[#This Row],[type (titulaire / ST)]]</f>
        <v>Tranche OPTIONNELLE 3 0</v>
      </c>
      <c r="C111" s="551" t="str">
        <f>DONNEES!A306</f>
        <v>Tranche OPTIONNELLE 3</v>
      </c>
      <c r="D111" s="545">
        <f>DONNEES!C306</f>
        <v>0</v>
      </c>
      <c r="E111" s="545">
        <f>DONNEES!D306</f>
        <v>0</v>
      </c>
      <c r="F111" s="546">
        <f>DONNEES!E306</f>
        <v>0</v>
      </c>
      <c r="G111" s="546">
        <f>DONNEES!F306</f>
        <v>0</v>
      </c>
      <c r="H111" s="549">
        <f t="shared" si="5"/>
        <v>0</v>
      </c>
      <c r="I111" s="547"/>
      <c r="J111" s="547"/>
      <c r="K111" s="556"/>
      <c r="L111" s="549">
        <f>Tableau4[[#This Row],[montant HT2]]</f>
        <v>0</v>
      </c>
      <c r="M111" s="549">
        <f>Tableau4[[#This Row],[ montant HT3]]</f>
        <v>0</v>
      </c>
      <c r="P111" s="550">
        <f>(Tableau4[[#This Row],[montant HT2]]*$D$10)+(Tableau4[[#This Row],[ montant HT3]]*$E$10)</f>
        <v>0</v>
      </c>
    </row>
    <row r="112" spans="1:16" hidden="1">
      <c r="A112" s="542"/>
      <c r="B112" s="543" t="str">
        <f>Tableau4[[#This Row],[Tranche]]&amp;" "&amp;Tableau4[[#This Row],[type (titulaire / ST)]]</f>
        <v>Tranche OPTIONNELLE 3 0</v>
      </c>
      <c r="C112" s="551" t="str">
        <f>DONNEES!A307</f>
        <v>Tranche OPTIONNELLE 3</v>
      </c>
      <c r="D112" s="545">
        <f>DONNEES!C307</f>
        <v>0</v>
      </c>
      <c r="E112" s="545">
        <f>DONNEES!D307</f>
        <v>0</v>
      </c>
      <c r="F112" s="546">
        <f>DONNEES!E307</f>
        <v>0</v>
      </c>
      <c r="G112" s="546">
        <f>DONNEES!F307</f>
        <v>0</v>
      </c>
      <c r="H112" s="549">
        <f t="shared" si="5"/>
        <v>0</v>
      </c>
      <c r="I112" s="547"/>
      <c r="J112" s="547"/>
      <c r="K112" s="556"/>
      <c r="L112" s="549">
        <f>Tableau4[[#This Row],[montant HT2]]</f>
        <v>0</v>
      </c>
      <c r="M112" s="549">
        <f>Tableau4[[#This Row],[ montant HT3]]</f>
        <v>0</v>
      </c>
      <c r="P112" s="550">
        <f>(Tableau4[[#This Row],[montant HT2]]*$D$10)+(Tableau4[[#This Row],[ montant HT3]]*$E$10)</f>
        <v>0</v>
      </c>
    </row>
    <row r="113" spans="1:16" hidden="1">
      <c r="A113" s="542"/>
      <c r="B113" s="543" t="str">
        <f>Tableau4[[#This Row],[Tranche]]&amp;" "&amp;Tableau4[[#This Row],[type (titulaire / ST)]]</f>
        <v>Tranche OPTIONNELLE 4 Cotraitant 1</v>
      </c>
      <c r="C113" s="551" t="str">
        <f>DONNEES!A308</f>
        <v>Tranche OPTIONNELLE 4</v>
      </c>
      <c r="D113" s="545" t="str">
        <f>DONNEES!C308</f>
        <v>Cotraitant 1</v>
      </c>
      <c r="E113" s="545" t="str">
        <f>DONNEES!D308</f>
        <v>SPIE</v>
      </c>
      <c r="F113" s="546">
        <f>DONNEES!E308</f>
        <v>0</v>
      </c>
      <c r="G113" s="546">
        <f>DONNEES!F308</f>
        <v>0</v>
      </c>
      <c r="H113" s="549">
        <f t="shared" si="5"/>
        <v>0</v>
      </c>
      <c r="I113" s="547"/>
      <c r="J113" s="547"/>
      <c r="K113" s="556"/>
      <c r="L113" s="549">
        <f>Tableau4[[#This Row],[montant HT2]]</f>
        <v>0</v>
      </c>
      <c r="M113" s="549">
        <f>Tableau4[[#This Row],[ montant HT3]]</f>
        <v>0</v>
      </c>
      <c r="P113" s="550">
        <f>(Tableau4[[#This Row],[montant HT2]]*$D$10)+(Tableau4[[#This Row],[ montant HT3]]*$E$10)</f>
        <v>0</v>
      </c>
    </row>
    <row r="114" spans="1:16" hidden="1">
      <c r="A114" s="542"/>
      <c r="B114" s="543" t="str">
        <f>Tableau4[[#This Row],[Tranche]]&amp;" "&amp;Tableau4[[#This Row],[type (titulaire / ST)]]</f>
        <v>Tranche OPTIONNELLE 4 0</v>
      </c>
      <c r="C114" s="551" t="str">
        <f>DONNEES!A309</f>
        <v>Tranche OPTIONNELLE 4</v>
      </c>
      <c r="D114" s="545">
        <f>DONNEES!C309</f>
        <v>0</v>
      </c>
      <c r="E114" s="545">
        <f>DONNEES!D309</f>
        <v>0</v>
      </c>
      <c r="F114" s="546">
        <f>DONNEES!E309</f>
        <v>0</v>
      </c>
      <c r="G114" s="546">
        <f>DONNEES!F309</f>
        <v>0</v>
      </c>
      <c r="H114" s="549">
        <f t="shared" si="5"/>
        <v>0</v>
      </c>
      <c r="I114" s="547"/>
      <c r="J114" s="547"/>
      <c r="K114" s="556"/>
      <c r="L114" s="549">
        <f>Tableau4[[#This Row],[montant HT2]]</f>
        <v>0</v>
      </c>
      <c r="M114" s="549">
        <f>Tableau4[[#This Row],[ montant HT3]]</f>
        <v>0</v>
      </c>
      <c r="P114" s="550">
        <f>(Tableau4[[#This Row],[montant HT2]]*$D$10)+(Tableau4[[#This Row],[ montant HT3]]*$E$10)</f>
        <v>0</v>
      </c>
    </row>
    <row r="115" spans="1:16" hidden="1">
      <c r="A115" s="542"/>
      <c r="B115" s="543" t="str">
        <f>Tableau4[[#This Row],[Tranche]]&amp;" "&amp;Tableau4[[#This Row],[type (titulaire / ST)]]</f>
        <v>Tranche OPTIONNELLE 4 0</v>
      </c>
      <c r="C115" s="551" t="str">
        <f>DONNEES!A310</f>
        <v>Tranche OPTIONNELLE 4</v>
      </c>
      <c r="D115" s="545">
        <f>DONNEES!C310</f>
        <v>0</v>
      </c>
      <c r="E115" s="545">
        <f>DONNEES!D310</f>
        <v>0</v>
      </c>
      <c r="F115" s="546">
        <f>DONNEES!E310</f>
        <v>0</v>
      </c>
      <c r="G115" s="546">
        <f>DONNEES!F310</f>
        <v>0</v>
      </c>
      <c r="H115" s="549">
        <f t="shared" ref="H115:H126" si="6">F115+G115</f>
        <v>0</v>
      </c>
      <c r="I115" s="547"/>
      <c r="J115" s="547"/>
      <c r="K115" s="556"/>
      <c r="L115" s="549">
        <f>Tableau4[[#This Row],[montant HT2]]</f>
        <v>0</v>
      </c>
      <c r="M115" s="549">
        <f>Tableau4[[#This Row],[ montant HT3]]</f>
        <v>0</v>
      </c>
      <c r="P115" s="550">
        <f>(Tableau4[[#This Row],[montant HT2]]*$D$10)+(Tableau4[[#This Row],[ montant HT3]]*$E$10)</f>
        <v>0</v>
      </c>
    </row>
    <row r="116" spans="1:16" hidden="1">
      <c r="A116" s="542"/>
      <c r="B116" s="543" t="str">
        <f>Tableau4[[#This Row],[Tranche]]&amp;" "&amp;Tableau4[[#This Row],[type (titulaire / ST)]]</f>
        <v>Tranche OPTIONNELLE 4 0</v>
      </c>
      <c r="C116" s="551" t="str">
        <f>DONNEES!A311</f>
        <v>Tranche OPTIONNELLE 4</v>
      </c>
      <c r="D116" s="545">
        <f>DONNEES!C311</f>
        <v>0</v>
      </c>
      <c r="E116" s="545">
        <f>DONNEES!D311</f>
        <v>0</v>
      </c>
      <c r="F116" s="546">
        <f>DONNEES!E311</f>
        <v>0</v>
      </c>
      <c r="G116" s="546">
        <f>DONNEES!F311</f>
        <v>0</v>
      </c>
      <c r="H116" s="549">
        <f t="shared" si="6"/>
        <v>0</v>
      </c>
      <c r="I116" s="547"/>
      <c r="J116" s="547"/>
      <c r="K116" s="556"/>
      <c r="L116" s="549">
        <f>Tableau4[[#This Row],[montant HT2]]</f>
        <v>0</v>
      </c>
      <c r="M116" s="549">
        <f>Tableau4[[#This Row],[ montant HT3]]</f>
        <v>0</v>
      </c>
      <c r="P116" s="550">
        <f>(Tableau4[[#This Row],[montant HT2]]*$D$10)+(Tableau4[[#This Row],[ montant HT3]]*$E$10)</f>
        <v>0</v>
      </c>
    </row>
    <row r="117" spans="1:16" hidden="1">
      <c r="A117" s="542"/>
      <c r="B117" s="543" t="str">
        <f>Tableau4[[#This Row],[Tranche]]&amp;" "&amp;Tableau4[[#This Row],[type (titulaire / ST)]]</f>
        <v>Tranche OPTIONNELLE 4 0</v>
      </c>
      <c r="C117" s="551" t="str">
        <f>DONNEES!A312</f>
        <v>Tranche OPTIONNELLE 4</v>
      </c>
      <c r="D117" s="545">
        <f>DONNEES!C312</f>
        <v>0</v>
      </c>
      <c r="E117" s="545">
        <f>DONNEES!D312</f>
        <v>0</v>
      </c>
      <c r="F117" s="546">
        <f>DONNEES!E312</f>
        <v>0</v>
      </c>
      <c r="G117" s="546">
        <f>DONNEES!F312</f>
        <v>0</v>
      </c>
      <c r="H117" s="549">
        <f t="shared" si="6"/>
        <v>0</v>
      </c>
      <c r="I117" s="547"/>
      <c r="J117" s="547"/>
      <c r="K117" s="556"/>
      <c r="L117" s="549">
        <f>Tableau4[[#This Row],[montant HT2]]</f>
        <v>0</v>
      </c>
      <c r="M117" s="549">
        <f>Tableau4[[#This Row],[ montant HT3]]</f>
        <v>0</v>
      </c>
      <c r="P117" s="550">
        <f>(Tableau4[[#This Row],[montant HT2]]*$D$10)+(Tableau4[[#This Row],[ montant HT3]]*$E$10)</f>
        <v>0</v>
      </c>
    </row>
    <row r="118" spans="1:16" hidden="1">
      <c r="A118" s="542"/>
      <c r="B118" s="543" t="str">
        <f>Tableau4[[#This Row],[Tranche]]&amp;" "&amp;Tableau4[[#This Row],[type (titulaire / ST)]]</f>
        <v>Tranche OPTIONNELLE 4 0</v>
      </c>
      <c r="C118" s="551" t="str">
        <f>DONNEES!A313</f>
        <v>Tranche OPTIONNELLE 4</v>
      </c>
      <c r="D118" s="545">
        <f>DONNEES!C313</f>
        <v>0</v>
      </c>
      <c r="E118" s="545">
        <f>DONNEES!D313</f>
        <v>0</v>
      </c>
      <c r="F118" s="546">
        <f>DONNEES!E313</f>
        <v>0</v>
      </c>
      <c r="G118" s="546">
        <f>DONNEES!F313</f>
        <v>0</v>
      </c>
      <c r="H118" s="549">
        <f t="shared" si="6"/>
        <v>0</v>
      </c>
      <c r="I118" s="547"/>
      <c r="J118" s="547"/>
      <c r="K118" s="556"/>
      <c r="L118" s="549">
        <f>Tableau4[[#This Row],[montant HT2]]</f>
        <v>0</v>
      </c>
      <c r="M118" s="549">
        <f>Tableau4[[#This Row],[ montant HT3]]</f>
        <v>0</v>
      </c>
      <c r="P118" s="550">
        <f>(Tableau4[[#This Row],[montant HT2]]*$D$10)+(Tableau4[[#This Row],[ montant HT3]]*$E$10)</f>
        <v>0</v>
      </c>
    </row>
    <row r="119" spans="1:16" hidden="1">
      <c r="A119" s="542"/>
      <c r="B119" s="543" t="str">
        <f>Tableau4[[#This Row],[Tranche]]&amp;" "&amp;Tableau4[[#This Row],[type (titulaire / ST)]]</f>
        <v>Tranche OPTIONNELLE 4 0</v>
      </c>
      <c r="C119" s="551" t="str">
        <f>DONNEES!A314</f>
        <v>Tranche OPTIONNELLE 4</v>
      </c>
      <c r="D119" s="545">
        <f>DONNEES!C314</f>
        <v>0</v>
      </c>
      <c r="E119" s="545">
        <f>DONNEES!D314</f>
        <v>0</v>
      </c>
      <c r="F119" s="546">
        <f>DONNEES!E314</f>
        <v>0</v>
      </c>
      <c r="G119" s="546">
        <f>DONNEES!F314</f>
        <v>0</v>
      </c>
      <c r="H119" s="549">
        <f t="shared" si="6"/>
        <v>0</v>
      </c>
      <c r="I119" s="547"/>
      <c r="J119" s="547"/>
      <c r="K119" s="556"/>
      <c r="L119" s="549">
        <f>Tableau4[[#This Row],[montant HT2]]</f>
        <v>0</v>
      </c>
      <c r="M119" s="549">
        <f>Tableau4[[#This Row],[ montant HT3]]</f>
        <v>0</v>
      </c>
      <c r="P119" s="550">
        <f>(Tableau4[[#This Row],[montant HT2]]*$D$10)+(Tableau4[[#This Row],[ montant HT3]]*$E$10)</f>
        <v>0</v>
      </c>
    </row>
    <row r="120" spans="1:16" hidden="1">
      <c r="A120" s="542"/>
      <c r="B120" s="543" t="str">
        <f>Tableau4[[#This Row],[Tranche]]&amp;" "&amp;Tableau4[[#This Row],[type (titulaire / ST)]]</f>
        <v>Tranche OPTIONNELLE 5 Cotraitant 1</v>
      </c>
      <c r="C120" s="551" t="str">
        <f>DONNEES!A315</f>
        <v>Tranche OPTIONNELLE 5</v>
      </c>
      <c r="D120" s="545" t="str">
        <f>DONNEES!C315</f>
        <v>Cotraitant 1</v>
      </c>
      <c r="E120" s="545" t="str">
        <f>DONNEES!D315</f>
        <v>SPIE</v>
      </c>
      <c r="F120" s="546">
        <f>DONNEES!E315</f>
        <v>0</v>
      </c>
      <c r="G120" s="546">
        <f>DONNEES!F315</f>
        <v>0</v>
      </c>
      <c r="H120" s="549">
        <f t="shared" si="6"/>
        <v>0</v>
      </c>
      <c r="I120" s="547"/>
      <c r="J120" s="547"/>
      <c r="K120" s="556"/>
      <c r="L120" s="549">
        <f>Tableau4[[#This Row],[montant HT2]]</f>
        <v>0</v>
      </c>
      <c r="M120" s="549">
        <f>Tableau4[[#This Row],[ montant HT3]]</f>
        <v>0</v>
      </c>
      <c r="P120" s="550">
        <f>(Tableau4[[#This Row],[montant HT2]]*$D$10)+(Tableau4[[#This Row],[ montant HT3]]*$E$10)</f>
        <v>0</v>
      </c>
    </row>
    <row r="121" spans="1:16" hidden="1">
      <c r="A121" s="542"/>
      <c r="B121" s="543" t="str">
        <f>Tableau4[[#This Row],[Tranche]]&amp;" "&amp;Tableau4[[#This Row],[type (titulaire / ST)]]</f>
        <v>Tranche OPTIONNELLE 5 0</v>
      </c>
      <c r="C121" s="551" t="str">
        <f>DONNEES!A316</f>
        <v>Tranche OPTIONNELLE 5</v>
      </c>
      <c r="D121" s="545">
        <f>DONNEES!C316</f>
        <v>0</v>
      </c>
      <c r="E121" s="545">
        <f>DONNEES!D316</f>
        <v>0</v>
      </c>
      <c r="F121" s="546">
        <f>DONNEES!E316</f>
        <v>0</v>
      </c>
      <c r="G121" s="546">
        <f>DONNEES!F316</f>
        <v>0</v>
      </c>
      <c r="H121" s="549">
        <f t="shared" si="6"/>
        <v>0</v>
      </c>
      <c r="I121" s="547"/>
      <c r="J121" s="547"/>
      <c r="K121" s="556"/>
      <c r="L121" s="549">
        <f>Tableau4[[#This Row],[montant HT2]]</f>
        <v>0</v>
      </c>
      <c r="M121" s="549">
        <f>Tableau4[[#This Row],[ montant HT3]]</f>
        <v>0</v>
      </c>
      <c r="P121" s="550">
        <f>(Tableau4[[#This Row],[montant HT2]]*$D$10)+(Tableau4[[#This Row],[ montant HT3]]*$E$10)</f>
        <v>0</v>
      </c>
    </row>
    <row r="122" spans="1:16" hidden="1">
      <c r="A122" s="542"/>
      <c r="B122" s="543" t="str">
        <f>Tableau4[[#This Row],[Tranche]]&amp;" "&amp;Tableau4[[#This Row],[type (titulaire / ST)]]</f>
        <v>Tranche OPTIONNELLE 5 0</v>
      </c>
      <c r="C122" s="551" t="str">
        <f>DONNEES!A317</f>
        <v>Tranche OPTIONNELLE 5</v>
      </c>
      <c r="D122" s="545">
        <f>DONNEES!C317</f>
        <v>0</v>
      </c>
      <c r="E122" s="545">
        <f>DONNEES!D317</f>
        <v>0</v>
      </c>
      <c r="F122" s="546">
        <f>DONNEES!E317</f>
        <v>0</v>
      </c>
      <c r="G122" s="546">
        <f>DONNEES!F317</f>
        <v>0</v>
      </c>
      <c r="H122" s="549">
        <f t="shared" si="6"/>
        <v>0</v>
      </c>
      <c r="I122" s="547"/>
      <c r="J122" s="547"/>
      <c r="K122" s="556"/>
      <c r="L122" s="549">
        <f>Tableau4[[#This Row],[montant HT2]]</f>
        <v>0</v>
      </c>
      <c r="M122" s="549">
        <f>Tableau4[[#This Row],[ montant HT3]]</f>
        <v>0</v>
      </c>
      <c r="P122" s="550">
        <f>(Tableau4[[#This Row],[montant HT2]]*$D$10)+(Tableau4[[#This Row],[ montant HT3]]*$E$10)</f>
        <v>0</v>
      </c>
    </row>
    <row r="123" spans="1:16" hidden="1">
      <c r="A123" s="542"/>
      <c r="B123" s="543" t="str">
        <f>Tableau4[[#This Row],[Tranche]]&amp;" "&amp;Tableau4[[#This Row],[type (titulaire / ST)]]</f>
        <v>Tranche OPTIONNELLE 5 0</v>
      </c>
      <c r="C123" s="551" t="str">
        <f>DONNEES!A318</f>
        <v>Tranche OPTIONNELLE 5</v>
      </c>
      <c r="D123" s="545">
        <f>DONNEES!C318</f>
        <v>0</v>
      </c>
      <c r="E123" s="545">
        <f>DONNEES!D318</f>
        <v>0</v>
      </c>
      <c r="F123" s="546">
        <f>DONNEES!E318</f>
        <v>0</v>
      </c>
      <c r="G123" s="546">
        <f>DONNEES!F318</f>
        <v>0</v>
      </c>
      <c r="H123" s="549">
        <f t="shared" si="6"/>
        <v>0</v>
      </c>
      <c r="I123" s="547"/>
      <c r="J123" s="547"/>
      <c r="K123" s="556"/>
      <c r="L123" s="549">
        <f>Tableau4[[#This Row],[montant HT2]]</f>
        <v>0</v>
      </c>
      <c r="M123" s="549">
        <f>Tableau4[[#This Row],[ montant HT3]]</f>
        <v>0</v>
      </c>
      <c r="P123" s="550">
        <f>(Tableau4[[#This Row],[montant HT2]]*$D$10)+(Tableau4[[#This Row],[ montant HT3]]*$E$10)</f>
        <v>0</v>
      </c>
    </row>
    <row r="124" spans="1:16" hidden="1">
      <c r="A124" s="542"/>
      <c r="B124" s="543" t="str">
        <f>Tableau4[[#This Row],[Tranche]]&amp;" "&amp;Tableau4[[#This Row],[type (titulaire / ST)]]</f>
        <v>Tranche OPTIONNELLE 5 0</v>
      </c>
      <c r="C124" s="551" t="str">
        <f>DONNEES!A319</f>
        <v>Tranche OPTIONNELLE 5</v>
      </c>
      <c r="D124" s="545">
        <f>DONNEES!C319</f>
        <v>0</v>
      </c>
      <c r="E124" s="545">
        <f>DONNEES!D319</f>
        <v>0</v>
      </c>
      <c r="F124" s="546">
        <f>DONNEES!E319</f>
        <v>0</v>
      </c>
      <c r="G124" s="546">
        <f>DONNEES!F319</f>
        <v>0</v>
      </c>
      <c r="H124" s="549">
        <f t="shared" si="6"/>
        <v>0</v>
      </c>
      <c r="I124" s="547"/>
      <c r="J124" s="547"/>
      <c r="K124" s="556"/>
      <c r="L124" s="549">
        <f>Tableau4[[#This Row],[montant HT2]]</f>
        <v>0</v>
      </c>
      <c r="M124" s="549">
        <f>Tableau4[[#This Row],[ montant HT3]]</f>
        <v>0</v>
      </c>
      <c r="P124" s="550">
        <f>(Tableau4[[#This Row],[montant HT2]]*$D$10)+(Tableau4[[#This Row],[ montant HT3]]*$E$10)</f>
        <v>0</v>
      </c>
    </row>
    <row r="125" spans="1:16" hidden="1">
      <c r="A125" s="542"/>
      <c r="B125" s="543" t="str">
        <f>Tableau4[[#This Row],[Tranche]]&amp;" "&amp;Tableau4[[#This Row],[type (titulaire / ST)]]</f>
        <v>Tranche OPTIONNELLE 5 0</v>
      </c>
      <c r="C125" s="551" t="str">
        <f>DONNEES!A320</f>
        <v>Tranche OPTIONNELLE 5</v>
      </c>
      <c r="D125" s="545">
        <f>DONNEES!C320</f>
        <v>0</v>
      </c>
      <c r="E125" s="545">
        <f>DONNEES!D320</f>
        <v>0</v>
      </c>
      <c r="F125" s="546">
        <f>DONNEES!E320</f>
        <v>0</v>
      </c>
      <c r="G125" s="546">
        <f>DONNEES!F320</f>
        <v>0</v>
      </c>
      <c r="H125" s="549">
        <f t="shared" si="6"/>
        <v>0</v>
      </c>
      <c r="I125" s="547"/>
      <c r="J125" s="547"/>
      <c r="K125" s="556"/>
      <c r="L125" s="549">
        <f>Tableau4[[#This Row],[montant HT2]]</f>
        <v>0</v>
      </c>
      <c r="M125" s="549">
        <f>Tableau4[[#This Row],[ montant HT3]]</f>
        <v>0</v>
      </c>
      <c r="P125" s="550">
        <f>(Tableau4[[#This Row],[montant HT2]]*$D$10)+(Tableau4[[#This Row],[ montant HT3]]*$E$10)</f>
        <v>0</v>
      </c>
    </row>
    <row r="126" spans="1:16" hidden="1">
      <c r="A126" s="542"/>
      <c r="B126" s="543" t="str">
        <f>Tableau4[[#This Row],[Tranche]]&amp;" "&amp;Tableau4[[#This Row],[type (titulaire / ST)]]</f>
        <v>Tranche OPTIONNELLE 5 0</v>
      </c>
      <c r="C126" s="551" t="str">
        <f>DONNEES!A321</f>
        <v>Tranche OPTIONNELLE 5</v>
      </c>
      <c r="D126" s="545">
        <f>DONNEES!C321</f>
        <v>0</v>
      </c>
      <c r="E126" s="545">
        <f>DONNEES!D321</f>
        <v>0</v>
      </c>
      <c r="F126" s="546">
        <f>DONNEES!E321</f>
        <v>0</v>
      </c>
      <c r="G126" s="546">
        <f>DONNEES!F321</f>
        <v>0</v>
      </c>
      <c r="H126" s="549">
        <f t="shared" si="6"/>
        <v>0</v>
      </c>
      <c r="I126" s="547"/>
      <c r="J126" s="547"/>
      <c r="K126" s="556"/>
      <c r="L126" s="549">
        <f>Tableau4[[#This Row],[montant HT2]]</f>
        <v>0</v>
      </c>
      <c r="M126" s="549">
        <f>Tableau4[[#This Row],[ montant HT3]]</f>
        <v>0</v>
      </c>
      <c r="P126" s="550">
        <f>(Tableau4[[#This Row],[montant HT2]]*$D$10)+(Tableau4[[#This Row],[ montant HT3]]*$E$10)</f>
        <v>0</v>
      </c>
    </row>
    <row r="127" spans="1:16" hidden="1">
      <c r="A127" s="542"/>
      <c r="B127" s="543" t="str">
        <f>Tableau4[[#This Row],[Tranche]]&amp;" "&amp;Tableau4[[#This Row],[type (titulaire / ST)]]</f>
        <v>Tranche OPTIONNELLE 6 Cotraitant 1</v>
      </c>
      <c r="C127" s="551" t="str">
        <f>DONNEES!A322</f>
        <v>Tranche OPTIONNELLE 6</v>
      </c>
      <c r="D127" s="545" t="str">
        <f>DONNEES!C322</f>
        <v>Cotraitant 1</v>
      </c>
      <c r="E127" s="545" t="str">
        <f>DONNEES!D322</f>
        <v>SPIE</v>
      </c>
      <c r="F127" s="546">
        <f>DONNEES!E322</f>
        <v>0</v>
      </c>
      <c r="G127" s="546">
        <f>DONNEES!F322</f>
        <v>0</v>
      </c>
      <c r="H127" s="549">
        <f t="shared" si="5"/>
        <v>0</v>
      </c>
      <c r="I127" s="547"/>
      <c r="J127" s="547"/>
      <c r="K127" s="556"/>
      <c r="L127" s="549">
        <f>Tableau4[[#This Row],[montant HT2]]</f>
        <v>0</v>
      </c>
      <c r="M127" s="549">
        <f>Tableau4[[#This Row],[ montant HT3]]</f>
        <v>0</v>
      </c>
      <c r="P127" s="550">
        <f>(Tableau4[[#This Row],[montant HT2]]*$D$10)+(Tableau4[[#This Row],[ montant HT3]]*$E$10)</f>
        <v>0</v>
      </c>
    </row>
    <row r="128" spans="1:16" hidden="1">
      <c r="A128" s="542"/>
      <c r="B128" s="543" t="str">
        <f>Tableau4[[#This Row],[Tranche]]&amp;" "&amp;Tableau4[[#This Row],[type (titulaire / ST)]]</f>
        <v>Tranche OPTIONNELLE 6 0</v>
      </c>
      <c r="C128" s="551" t="str">
        <f>DONNEES!A323</f>
        <v>Tranche OPTIONNELLE 6</v>
      </c>
      <c r="D128" s="545">
        <f>DONNEES!C323</f>
        <v>0</v>
      </c>
      <c r="E128" s="545">
        <f>DONNEES!D323</f>
        <v>0</v>
      </c>
      <c r="F128" s="546">
        <f>DONNEES!E323</f>
        <v>0</v>
      </c>
      <c r="G128" s="546">
        <f>DONNEES!F323</f>
        <v>0</v>
      </c>
      <c r="H128" s="549">
        <f t="shared" si="5"/>
        <v>0</v>
      </c>
      <c r="I128" s="547"/>
      <c r="J128" s="547"/>
      <c r="K128" s="556"/>
      <c r="L128" s="549">
        <f>Tableau4[[#This Row],[montant HT2]]</f>
        <v>0</v>
      </c>
      <c r="M128" s="549">
        <f>Tableau4[[#This Row],[ montant HT3]]</f>
        <v>0</v>
      </c>
      <c r="P128" s="550">
        <f>(Tableau4[[#This Row],[montant HT2]]*$D$10)+(Tableau4[[#This Row],[ montant HT3]]*$E$10)</f>
        <v>0</v>
      </c>
    </row>
    <row r="129" spans="1:16" hidden="1">
      <c r="A129" s="542"/>
      <c r="B129" s="543" t="str">
        <f>Tableau4[[#This Row],[Tranche]]&amp;" "&amp;Tableau4[[#This Row],[type (titulaire / ST)]]</f>
        <v>Tranche OPTIONNELLE 6 0</v>
      </c>
      <c r="C129" s="551" t="str">
        <f>DONNEES!A324</f>
        <v>Tranche OPTIONNELLE 6</v>
      </c>
      <c r="D129" s="545">
        <f>DONNEES!C324</f>
        <v>0</v>
      </c>
      <c r="E129" s="545">
        <f>DONNEES!D324</f>
        <v>0</v>
      </c>
      <c r="F129" s="546">
        <f>DONNEES!E324</f>
        <v>0</v>
      </c>
      <c r="G129" s="546">
        <f>DONNEES!F324</f>
        <v>0</v>
      </c>
      <c r="H129" s="549">
        <f t="shared" si="5"/>
        <v>0</v>
      </c>
      <c r="I129" s="547"/>
      <c r="J129" s="547"/>
      <c r="K129" s="556"/>
      <c r="L129" s="549">
        <f>Tableau4[[#This Row],[montant HT2]]</f>
        <v>0</v>
      </c>
      <c r="M129" s="549">
        <f>Tableau4[[#This Row],[ montant HT3]]</f>
        <v>0</v>
      </c>
      <c r="P129" s="550">
        <f>(Tableau4[[#This Row],[montant HT2]]*$D$10)+(Tableau4[[#This Row],[ montant HT3]]*$E$10)</f>
        <v>0</v>
      </c>
    </row>
    <row r="130" spans="1:16" hidden="1">
      <c r="A130" s="542"/>
      <c r="B130" s="543" t="str">
        <f>Tableau4[[#This Row],[Tranche]]&amp;" "&amp;Tableau4[[#This Row],[type (titulaire / ST)]]</f>
        <v>Tranche OPTIONNELLE 6 0</v>
      </c>
      <c r="C130" s="551" t="str">
        <f>DONNEES!A325</f>
        <v>Tranche OPTIONNELLE 6</v>
      </c>
      <c r="D130" s="552">
        <f>DONNEES!C325</f>
        <v>0</v>
      </c>
      <c r="E130" s="552">
        <f>DONNEES!D325</f>
        <v>0</v>
      </c>
      <c r="F130" s="546">
        <f>DONNEES!E325</f>
        <v>0</v>
      </c>
      <c r="G130" s="546">
        <f>DONNEES!F325</f>
        <v>0</v>
      </c>
      <c r="H130" s="549">
        <f t="shared" si="5"/>
        <v>0</v>
      </c>
      <c r="I130" s="554"/>
      <c r="J130" s="547"/>
      <c r="K130" s="556"/>
      <c r="L130" s="555">
        <f>Tableau4[[#This Row],[montant HT2]]</f>
        <v>0</v>
      </c>
      <c r="M130" s="549">
        <f>Tableau4[[#This Row],[ montant HT3]]</f>
        <v>0</v>
      </c>
      <c r="P130" s="550">
        <f>(Tableau4[[#This Row],[montant HT2]]*$D$10)+(Tableau4[[#This Row],[ montant HT3]]*$E$10)</f>
        <v>0</v>
      </c>
    </row>
    <row r="131" spans="1:16" hidden="1">
      <c r="A131" s="542"/>
      <c r="B131" s="543" t="str">
        <f>Tableau4[[#This Row],[Tranche]]&amp;" "&amp;Tableau4[[#This Row],[type (titulaire / ST)]]</f>
        <v>Tranche OPTIONNELLE 6 0</v>
      </c>
      <c r="C131" s="551" t="str">
        <f>DONNEES!A326</f>
        <v>Tranche OPTIONNELLE 6</v>
      </c>
      <c r="D131" s="545">
        <f>DONNEES!C326</f>
        <v>0</v>
      </c>
      <c r="E131" s="545">
        <f>DONNEES!D326</f>
        <v>0</v>
      </c>
      <c r="F131" s="546">
        <f>DONNEES!E326</f>
        <v>0</v>
      </c>
      <c r="G131" s="546">
        <f>DONNEES!F326</f>
        <v>0</v>
      </c>
      <c r="H131" s="549">
        <f t="shared" si="5"/>
        <v>0</v>
      </c>
      <c r="I131" s="547"/>
      <c r="J131" s="547"/>
      <c r="K131" s="556"/>
      <c r="L131" s="549">
        <f>Tableau4[[#This Row],[montant HT2]]</f>
        <v>0</v>
      </c>
      <c r="M131" s="549">
        <f>Tableau4[[#This Row],[ montant HT3]]</f>
        <v>0</v>
      </c>
      <c r="P131" s="550">
        <f>(Tableau4[[#This Row],[montant HT2]]*$D$10)+(Tableau4[[#This Row],[ montant HT3]]*$E$10)</f>
        <v>0</v>
      </c>
    </row>
    <row r="132" spans="1:16" hidden="1">
      <c r="A132" s="542"/>
      <c r="B132" s="543" t="str">
        <f>Tableau4[[#This Row],[Tranche]]&amp;" "&amp;Tableau4[[#This Row],[type (titulaire / ST)]]</f>
        <v>Tranche OPTIONNELLE 6 0</v>
      </c>
      <c r="C132" s="551" t="str">
        <f>DONNEES!A327</f>
        <v>Tranche OPTIONNELLE 6</v>
      </c>
      <c r="D132" s="545">
        <f>DONNEES!C327</f>
        <v>0</v>
      </c>
      <c r="E132" s="545">
        <f>DONNEES!D327</f>
        <v>0</v>
      </c>
      <c r="F132" s="546">
        <f>DONNEES!E327</f>
        <v>0</v>
      </c>
      <c r="G132" s="546">
        <f>DONNEES!F327</f>
        <v>0</v>
      </c>
      <c r="H132" s="549">
        <f t="shared" si="5"/>
        <v>0</v>
      </c>
      <c r="I132" s="547"/>
      <c r="J132" s="547"/>
      <c r="K132" s="556"/>
      <c r="L132" s="549">
        <f>Tableau4[[#This Row],[montant HT2]]</f>
        <v>0</v>
      </c>
      <c r="M132" s="549">
        <f>Tableau4[[#This Row],[ montant HT3]]</f>
        <v>0</v>
      </c>
      <c r="P132" s="550">
        <f>(Tableau4[[#This Row],[montant HT2]]*$D$10)+(Tableau4[[#This Row],[ montant HT3]]*$E$10)</f>
        <v>0</v>
      </c>
    </row>
    <row r="133" spans="1:16" hidden="1">
      <c r="A133" s="542"/>
      <c r="B133" s="543" t="str">
        <f>Tableau4[[#This Row],[Tranche]]&amp;" "&amp;Tableau4[[#This Row],[type (titulaire / ST)]]</f>
        <v>Tranche OPTIONNELLE 6 0</v>
      </c>
      <c r="C133" s="551" t="str">
        <f>DONNEES!A328</f>
        <v>Tranche OPTIONNELLE 6</v>
      </c>
      <c r="D133" s="545">
        <f>DONNEES!C328</f>
        <v>0</v>
      </c>
      <c r="E133" s="545">
        <f>DONNEES!D328</f>
        <v>0</v>
      </c>
      <c r="F133" s="546">
        <f>DONNEES!E328</f>
        <v>0</v>
      </c>
      <c r="G133" s="546">
        <f>DONNEES!F328</f>
        <v>0</v>
      </c>
      <c r="H133" s="549">
        <f t="shared" si="5"/>
        <v>0</v>
      </c>
      <c r="I133" s="547"/>
      <c r="J133" s="547"/>
      <c r="K133" s="556"/>
      <c r="L133" s="549">
        <f>Tableau4[[#This Row],[montant HT2]]</f>
        <v>0</v>
      </c>
      <c r="M133" s="549">
        <f>Tableau4[[#This Row],[ montant HT3]]</f>
        <v>0</v>
      </c>
      <c r="P133" s="550">
        <f>(Tableau4[[#This Row],[montant HT2]]*$D$10)+(Tableau4[[#This Row],[ montant HT3]]*$E$10)</f>
        <v>0</v>
      </c>
    </row>
    <row r="134" spans="1:16" hidden="1">
      <c r="A134" s="542"/>
      <c r="B134" s="543" t="str">
        <f>Tableau4[[#This Row],[Tranche]]&amp;" "&amp;Tableau4[[#This Row],[type (titulaire / ST)]]</f>
        <v>Avenants et OS Tranche Ferme Cotraitant 1</v>
      </c>
      <c r="C134" s="551" t="str">
        <f>DONNEES!A329</f>
        <v>Avenants et OS Tranche Ferme</v>
      </c>
      <c r="D134" s="545" t="str">
        <f>DONNEES!C329</f>
        <v>Cotraitant 1</v>
      </c>
      <c r="E134" s="545" t="str">
        <f>DONNEES!D329</f>
        <v>SPIE</v>
      </c>
      <c r="F134" s="546">
        <f>DONNEES!E329</f>
        <v>0</v>
      </c>
      <c r="G134" s="546">
        <f>DONNEES!F329</f>
        <v>0</v>
      </c>
      <c r="H134" s="549">
        <f t="shared" si="5"/>
        <v>0</v>
      </c>
      <c r="I134" s="547"/>
      <c r="J134" s="547"/>
      <c r="K134" s="556"/>
      <c r="L134" s="549">
        <f>Tableau4[[#This Row],[montant HT2]]</f>
        <v>0</v>
      </c>
      <c r="M134" s="549">
        <f>Tableau4[[#This Row],[ montant HT3]]</f>
        <v>0</v>
      </c>
      <c r="P134" s="550">
        <f>(Tableau4[[#This Row],[montant HT2]]*$D$10)+(Tableau4[[#This Row],[ montant HT3]]*$E$10)</f>
        <v>0</v>
      </c>
    </row>
    <row r="135" spans="1:16" hidden="1">
      <c r="A135" s="542"/>
      <c r="B135" s="543" t="str">
        <f>Tableau4[[#This Row],[Tranche]]&amp;" "&amp;Tableau4[[#This Row],[type (titulaire / ST)]]</f>
        <v>Avenants et OS Tranche Optionnelle 1 Cotraitant 1</v>
      </c>
      <c r="C135" s="551" t="str">
        <f>DONNEES!A330</f>
        <v>Avenants et OS Tranche Optionnelle 1</v>
      </c>
      <c r="D135" s="552" t="str">
        <f>DONNEES!C330</f>
        <v>Cotraitant 1</v>
      </c>
      <c r="E135" s="552" t="str">
        <f>DONNEES!D330</f>
        <v>SPIE</v>
      </c>
      <c r="F135" s="546">
        <f>DONNEES!E330</f>
        <v>0</v>
      </c>
      <c r="G135" s="546">
        <f>DONNEES!F330</f>
        <v>0</v>
      </c>
      <c r="H135" s="549">
        <f t="shared" si="5"/>
        <v>0</v>
      </c>
      <c r="I135" s="554"/>
      <c r="J135" s="547"/>
      <c r="K135" s="556"/>
      <c r="L135" s="555">
        <f>Tableau4[[#This Row],[montant HT2]]</f>
        <v>0</v>
      </c>
      <c r="M135" s="549">
        <f>Tableau4[[#This Row],[ montant HT3]]</f>
        <v>0</v>
      </c>
      <c r="P135" s="550">
        <f>(Tableau4[[#This Row],[montant HT2]]*$D$10)+(Tableau4[[#This Row],[ montant HT3]]*$E$10)</f>
        <v>0</v>
      </c>
    </row>
    <row r="136" spans="1:16" hidden="1">
      <c r="A136" s="542"/>
      <c r="B136" s="543" t="str">
        <f>Tableau4[[#This Row],[Tranche]]&amp;" "&amp;Tableau4[[#This Row],[type (titulaire / ST)]]</f>
        <v>Avenants et OS Tranche Optionnelle 2 Cotraitant 1</v>
      </c>
      <c r="C136" s="551" t="str">
        <f>DONNEES!A331</f>
        <v>Avenants et OS Tranche Optionnelle 2</v>
      </c>
      <c r="D136" s="545" t="str">
        <f>DONNEES!C331</f>
        <v>Cotraitant 1</v>
      </c>
      <c r="E136" s="545" t="str">
        <f>DONNEES!D331</f>
        <v>SPIE</v>
      </c>
      <c r="F136" s="546">
        <f>DONNEES!E331</f>
        <v>0</v>
      </c>
      <c r="G136" s="546">
        <f>DONNEES!F331</f>
        <v>0</v>
      </c>
      <c r="H136" s="549">
        <f t="shared" si="5"/>
        <v>0</v>
      </c>
      <c r="I136" s="547"/>
      <c r="J136" s="547"/>
      <c r="K136" s="556"/>
      <c r="L136" s="549">
        <f>Tableau4[[#This Row],[montant HT2]]</f>
        <v>0</v>
      </c>
      <c r="M136" s="549">
        <f>Tableau4[[#This Row],[ montant HT3]]</f>
        <v>0</v>
      </c>
      <c r="P136" s="550">
        <f>(Tableau4[[#This Row],[montant HT2]]*$D$10)+(Tableau4[[#This Row],[ montant HT3]]*$E$10)</f>
        <v>0</v>
      </c>
    </row>
    <row r="137" spans="1:16" hidden="1">
      <c r="A137" s="542"/>
      <c r="B137" s="543" t="str">
        <f>Tableau4[[#This Row],[Tranche]]&amp;" "&amp;Tableau4[[#This Row],[type (titulaire / ST)]]</f>
        <v>Avenants et OS Tranche Optionnelle 3 Cotraitant 1</v>
      </c>
      <c r="C137" s="551" t="str">
        <f>DONNEES!A332</f>
        <v>Avenants et OS Tranche Optionnelle 3</v>
      </c>
      <c r="D137" s="545" t="str">
        <f>DONNEES!C332</f>
        <v>Cotraitant 1</v>
      </c>
      <c r="E137" s="545" t="str">
        <f>DONNEES!D332</f>
        <v>SPIE</v>
      </c>
      <c r="F137" s="546">
        <f>DONNEES!E332</f>
        <v>0</v>
      </c>
      <c r="G137" s="546">
        <f>DONNEES!F332</f>
        <v>0</v>
      </c>
      <c r="H137" s="549">
        <f t="shared" si="5"/>
        <v>0</v>
      </c>
      <c r="I137" s="547"/>
      <c r="J137" s="547"/>
      <c r="K137" s="556"/>
      <c r="L137" s="549">
        <f>Tableau4[[#This Row],[montant HT2]]</f>
        <v>0</v>
      </c>
      <c r="M137" s="549">
        <f>Tableau4[[#This Row],[ montant HT3]]</f>
        <v>0</v>
      </c>
      <c r="P137" s="550">
        <f>(Tableau4[[#This Row],[montant HT2]]*$D$10)+(Tableau4[[#This Row],[ montant HT3]]*$E$10)</f>
        <v>0</v>
      </c>
    </row>
    <row r="138" spans="1:16" hidden="1">
      <c r="A138" s="542"/>
      <c r="B138" s="543" t="str">
        <f>Tableau4[[#This Row],[Tranche]]&amp;" "&amp;Tableau4[[#This Row],[type (titulaire / ST)]]</f>
        <v>Avenants et OS Tranche Optionnelle 4 Cotraitant 1</v>
      </c>
      <c r="C138" s="551" t="str">
        <f>DONNEES!A333</f>
        <v>Avenants et OS Tranche Optionnelle 4</v>
      </c>
      <c r="D138" s="552" t="str">
        <f>DONNEES!C333</f>
        <v>Cotraitant 1</v>
      </c>
      <c r="E138" s="552" t="str">
        <f>DONNEES!D333</f>
        <v>SPIE</v>
      </c>
      <c r="F138" s="546">
        <f>DONNEES!E333</f>
        <v>0</v>
      </c>
      <c r="G138" s="546">
        <f>DONNEES!F333</f>
        <v>0</v>
      </c>
      <c r="H138" s="549">
        <f t="shared" si="5"/>
        <v>0</v>
      </c>
      <c r="I138" s="554"/>
      <c r="J138" s="547"/>
      <c r="K138" s="556"/>
      <c r="L138" s="555">
        <f>Tableau4[[#This Row],[montant HT2]]</f>
        <v>0</v>
      </c>
      <c r="M138" s="549">
        <f>Tableau4[[#This Row],[ montant HT3]]</f>
        <v>0</v>
      </c>
      <c r="P138" s="550">
        <f>(Tableau4[[#This Row],[montant HT2]]*$D$10)+(Tableau4[[#This Row],[ montant HT3]]*$E$10)</f>
        <v>0</v>
      </c>
    </row>
    <row r="139" spans="1:16" hidden="1">
      <c r="A139" s="542"/>
      <c r="B139" s="543" t="str">
        <f>Tableau4[[#This Row],[Tranche]]&amp;" "&amp;Tableau4[[#This Row],[type (titulaire / ST)]]</f>
        <v>Avenants et OS Tranche Optionnelle 5 Cotraitant 1</v>
      </c>
      <c r="C139" s="551" t="str">
        <f>DONNEES!A334</f>
        <v>Avenants et OS Tranche Optionnelle 5</v>
      </c>
      <c r="D139" s="545" t="str">
        <f>DONNEES!C334</f>
        <v>Cotraitant 1</v>
      </c>
      <c r="E139" s="545" t="str">
        <f>DONNEES!D334</f>
        <v>SPIE</v>
      </c>
      <c r="F139" s="546">
        <f>DONNEES!E334</f>
        <v>0</v>
      </c>
      <c r="G139" s="546">
        <f>DONNEES!F334</f>
        <v>0</v>
      </c>
      <c r="H139" s="549">
        <f t="shared" si="5"/>
        <v>0</v>
      </c>
      <c r="I139" s="547"/>
      <c r="J139" s="547"/>
      <c r="K139" s="556"/>
      <c r="L139" s="549">
        <f>Tableau4[[#This Row],[montant HT2]]</f>
        <v>0</v>
      </c>
      <c r="M139" s="549">
        <f>Tableau4[[#This Row],[ montant HT3]]</f>
        <v>0</v>
      </c>
      <c r="P139" s="550">
        <f>(Tableau4[[#This Row],[montant HT2]]*$D$10)+(Tableau4[[#This Row],[ montant HT3]]*$E$10)</f>
        <v>0</v>
      </c>
    </row>
    <row r="140" spans="1:16" hidden="1">
      <c r="A140" s="542"/>
      <c r="B140" s="543" t="str">
        <f>Tableau4[[#This Row],[Tranche]]&amp;" "&amp;Tableau4[[#This Row],[type (titulaire / ST)]]</f>
        <v>Avenants et OS Tranche Optionnelle 6 Cotraitant 1</v>
      </c>
      <c r="C140" s="551" t="str">
        <f>DONNEES!A335</f>
        <v>Avenants et OS Tranche Optionnelle 6</v>
      </c>
      <c r="D140" s="552" t="str">
        <f>DONNEES!C335</f>
        <v>Cotraitant 1</v>
      </c>
      <c r="E140" s="552" t="str">
        <f>DONNEES!D335</f>
        <v>SPIE</v>
      </c>
      <c r="F140" s="546">
        <f>DONNEES!E335</f>
        <v>0</v>
      </c>
      <c r="G140" s="546">
        <f>DONNEES!F335</f>
        <v>0</v>
      </c>
      <c r="H140" s="549">
        <f t="shared" si="5"/>
        <v>0</v>
      </c>
      <c r="I140" s="554"/>
      <c r="J140" s="547"/>
      <c r="K140" s="556"/>
      <c r="L140" s="549">
        <f>Tableau4[[#This Row],[montant HT2]]</f>
        <v>0</v>
      </c>
      <c r="M140" s="549">
        <f>Tableau4[[#This Row],[ montant HT3]]</f>
        <v>0</v>
      </c>
      <c r="P140" s="550">
        <f>(Tableau4[[#This Row],[montant HT2]]*$D$10)+(Tableau4[[#This Row],[ montant HT3]]*$E$10)</f>
        <v>0</v>
      </c>
    </row>
    <row r="141" spans="1:16">
      <c r="B141" s="510"/>
      <c r="C141" s="557"/>
      <c r="D141" s="557"/>
      <c r="E141" s="557"/>
      <c r="F141" s="558"/>
      <c r="G141" s="558"/>
      <c r="H141" s="558"/>
      <c r="I141" s="559"/>
      <c r="J141" s="559"/>
      <c r="K141" s="548"/>
    </row>
    <row r="142" spans="1:16">
      <c r="B142" s="510"/>
      <c r="C142" s="557"/>
      <c r="D142" s="557"/>
      <c r="E142" s="557"/>
      <c r="F142" s="558"/>
      <c r="G142" s="558"/>
      <c r="H142" s="558"/>
      <c r="I142" s="559"/>
      <c r="J142" s="559"/>
      <c r="K142" s="510"/>
    </row>
    <row r="143" spans="1:16">
      <c r="B143" s="510"/>
      <c r="F143" s="510"/>
      <c r="G143" s="510"/>
      <c r="H143" s="510"/>
      <c r="I143" s="510"/>
      <c r="J143" s="510"/>
      <c r="K143" s="510"/>
    </row>
    <row r="144" spans="1:16" ht="166.5">
      <c r="B144" s="510"/>
      <c r="C144" s="778" t="s">
        <v>18</v>
      </c>
      <c r="D144" s="773" t="s">
        <v>24</v>
      </c>
      <c r="E144" s="773"/>
      <c r="F144" s="560" t="s">
        <v>479</v>
      </c>
      <c r="G144" s="560" t="s">
        <v>479</v>
      </c>
      <c r="H144" s="780" t="s">
        <v>56</v>
      </c>
      <c r="I144" s="782" t="str">
        <f>IF(W31&gt;0,"AVANCEMENT GLOBAL TITULAIRE et SOUS-TRAITANTS","AVANCEMENT")</f>
        <v>AVANCEMENT</v>
      </c>
      <c r="J144" s="782" t="str">
        <f>IF(I144="AVANCEMENT GLOBAL TITULAIRE et SOUS-TRAITANTS","AVANCEMENT DU SEUL TITULAIRE","")</f>
        <v/>
      </c>
      <c r="K144" s="510"/>
    </row>
    <row r="145" spans="1:14">
      <c r="B145" s="510"/>
      <c r="C145" s="779"/>
      <c r="D145" s="561">
        <f>D10</f>
        <v>0.2</v>
      </c>
      <c r="E145" s="561">
        <f>E10</f>
        <v>0.1</v>
      </c>
      <c r="F145" s="561">
        <f>D145</f>
        <v>0.2</v>
      </c>
      <c r="G145" s="561">
        <f>E145</f>
        <v>0.1</v>
      </c>
      <c r="H145" s="781"/>
      <c r="I145" s="783"/>
      <c r="J145" s="783"/>
      <c r="K145" s="510"/>
    </row>
    <row r="146" spans="1:14">
      <c r="A146" s="562" t="s">
        <v>471</v>
      </c>
      <c r="B146" s="563" t="s">
        <v>454</v>
      </c>
      <c r="C146" s="564" t="s">
        <v>469</v>
      </c>
      <c r="D146" s="565" t="s">
        <v>474</v>
      </c>
      <c r="E146" s="565" t="s">
        <v>480</v>
      </c>
      <c r="F146" s="566" t="s">
        <v>481</v>
      </c>
      <c r="G146" s="566" t="s">
        <v>482</v>
      </c>
      <c r="H146" s="567" t="s">
        <v>56</v>
      </c>
      <c r="I146" s="568" t="s">
        <v>483</v>
      </c>
      <c r="J146" s="569" t="s">
        <v>484</v>
      </c>
      <c r="K146" s="510"/>
    </row>
    <row r="147" spans="1:14" ht="79.5" customHeight="1">
      <c r="A147" s="570"/>
      <c r="B147" s="571" t="s">
        <v>485</v>
      </c>
      <c r="C147" s="572" t="s">
        <v>19</v>
      </c>
      <c r="D147" s="573"/>
      <c r="E147" s="573"/>
      <c r="F147" s="574">
        <v>12000</v>
      </c>
      <c r="G147" s="575">
        <v>12000</v>
      </c>
      <c r="H147" s="575">
        <f>SUM(D147+E147+F147+G147)</f>
        <v>24000</v>
      </c>
      <c r="I147" s="576"/>
      <c r="J147" s="577"/>
      <c r="K147" s="578"/>
      <c r="L147" s="578"/>
      <c r="M147" s="578"/>
      <c r="N147" s="578"/>
    </row>
    <row r="148" spans="1:14" ht="66.75" customHeight="1">
      <c r="A148" s="579"/>
      <c r="B148" s="580" t="s">
        <v>486</v>
      </c>
      <c r="C148" s="581" t="s">
        <v>461</v>
      </c>
      <c r="D148" s="582"/>
      <c r="E148" s="583"/>
      <c r="F148" s="582"/>
      <c r="G148" s="582"/>
      <c r="H148" s="584">
        <f>D148+E148+F148+G148</f>
        <v>0</v>
      </c>
      <c r="I148" s="585"/>
      <c r="J148" s="586"/>
      <c r="K148" s="578"/>
      <c r="L148" s="578"/>
      <c r="M148" s="578"/>
      <c r="N148" s="578"/>
    </row>
    <row r="149" spans="1:14" ht="69.75" customHeight="1">
      <c r="A149" s="579"/>
      <c r="B149" s="580" t="s">
        <v>487</v>
      </c>
      <c r="C149" s="587" t="s">
        <v>396</v>
      </c>
      <c r="D149" s="582"/>
      <c r="E149" s="588"/>
      <c r="F149" s="582"/>
      <c r="G149" s="582"/>
      <c r="H149" s="584">
        <f>F149+G149+D149+E149</f>
        <v>0</v>
      </c>
      <c r="I149" s="589">
        <f>IFERROR((D149+E149+F149+G149)/(H147-H148),0)</f>
        <v>0</v>
      </c>
      <c r="J149" s="586"/>
      <c r="K149" s="578"/>
      <c r="L149" s="578"/>
      <c r="M149" s="578"/>
      <c r="N149" s="578"/>
    </row>
    <row r="150" spans="1:14">
      <c r="A150" s="579"/>
      <c r="B150" s="580" t="s">
        <v>488</v>
      </c>
      <c r="C150" s="590" t="s">
        <v>20</v>
      </c>
      <c r="D150" s="591">
        <f>SUM(I29:I35)</f>
        <v>5000</v>
      </c>
      <c r="E150" s="591">
        <f>SUM(J29:J35)</f>
        <v>0</v>
      </c>
      <c r="F150" s="591"/>
      <c r="G150" s="591"/>
      <c r="H150" s="584">
        <f t="shared" ref="H150:H157" si="7">F150+D150+E150+G150</f>
        <v>5000</v>
      </c>
      <c r="I150" s="589">
        <f>IFERROR(IF(SUM(H30:H35)&gt;0,SUM(F150+D150+E150+G150)/F12,SUM(F150+D150+E150+G150)/H29),0)</f>
        <v>6.25E-2</v>
      </c>
      <c r="J150" s="592" t="str">
        <f>IFERROR(IF(SUM(H30:H35)&gt;0,SUM(F150+D150+E150+G150)/H29,""),0)</f>
        <v/>
      </c>
      <c r="K150" s="578"/>
      <c r="L150" s="578"/>
      <c r="M150" s="578"/>
      <c r="N150" s="578"/>
    </row>
    <row r="151" spans="1:14" hidden="1">
      <c r="A151" s="579"/>
      <c r="B151" s="580" t="s">
        <v>489</v>
      </c>
      <c r="C151" s="590" t="s">
        <v>21</v>
      </c>
      <c r="D151" s="591">
        <f>SUM(I36:I42)</f>
        <v>0</v>
      </c>
      <c r="E151" s="591">
        <f>SUM(J36:J42)</f>
        <v>0</v>
      </c>
      <c r="F151" s="591"/>
      <c r="G151" s="591"/>
      <c r="H151" s="584">
        <f t="shared" si="7"/>
        <v>0</v>
      </c>
      <c r="I151" s="589">
        <f t="shared" ref="I151:I156" si="8">IFERROR(IF(H73&gt;0,SUM(F151+D151+E151+G151)/F13,SUM(F151+D151+E151+G151)/H30),0)</f>
        <v>0</v>
      </c>
      <c r="J151" s="592" t="str">
        <f t="shared" ref="J151:J156" si="9">IFERROR(IF(H73&gt;0,SUM(F151+D151+E151+G151)/H30,""),0)</f>
        <v/>
      </c>
      <c r="K151" s="578"/>
      <c r="L151" s="578"/>
      <c r="M151" s="578"/>
      <c r="N151" s="578"/>
    </row>
    <row r="152" spans="1:14" hidden="1">
      <c r="A152" s="579"/>
      <c r="B152" s="580" t="s">
        <v>490</v>
      </c>
      <c r="C152" s="590" t="s">
        <v>22</v>
      </c>
      <c r="D152" s="591">
        <f>SUM(I43:I49)</f>
        <v>0</v>
      </c>
      <c r="E152" s="591">
        <f>SUM(J43:J49)</f>
        <v>0</v>
      </c>
      <c r="F152" s="591"/>
      <c r="G152" s="591"/>
      <c r="H152" s="584">
        <f t="shared" si="7"/>
        <v>0</v>
      </c>
      <c r="I152" s="589">
        <f t="shared" si="8"/>
        <v>0</v>
      </c>
      <c r="J152" s="592" t="str">
        <f t="shared" si="9"/>
        <v/>
      </c>
      <c r="K152" s="578"/>
      <c r="L152" s="578"/>
      <c r="M152" s="578"/>
      <c r="N152" s="578"/>
    </row>
    <row r="153" spans="1:14" hidden="1">
      <c r="A153" s="579"/>
      <c r="B153" s="580" t="s">
        <v>491</v>
      </c>
      <c r="C153" s="590" t="s">
        <v>23</v>
      </c>
      <c r="D153" s="591">
        <f>SUM(I50:I56)</f>
        <v>0</v>
      </c>
      <c r="E153" s="591">
        <f>SUM(J50:J56)</f>
        <v>0</v>
      </c>
      <c r="F153" s="591"/>
      <c r="G153" s="591"/>
      <c r="H153" s="584">
        <f t="shared" si="7"/>
        <v>0</v>
      </c>
      <c r="I153" s="589">
        <f t="shared" si="8"/>
        <v>0</v>
      </c>
      <c r="J153" s="592" t="str">
        <f t="shared" si="9"/>
        <v/>
      </c>
      <c r="K153" s="578"/>
      <c r="L153" s="578"/>
      <c r="M153" s="578"/>
      <c r="N153" s="578"/>
    </row>
    <row r="154" spans="1:14" hidden="1">
      <c r="A154" s="579"/>
      <c r="B154" s="580" t="s">
        <v>492</v>
      </c>
      <c r="C154" s="590" t="s">
        <v>419</v>
      </c>
      <c r="D154" s="591">
        <f>SUM(I57:I63)</f>
        <v>0</v>
      </c>
      <c r="E154" s="591">
        <f>SUM(J57:J63)</f>
        <v>0</v>
      </c>
      <c r="F154" s="591"/>
      <c r="G154" s="591"/>
      <c r="H154" s="584">
        <f t="shared" si="7"/>
        <v>0</v>
      </c>
      <c r="I154" s="589">
        <f t="shared" si="8"/>
        <v>0</v>
      </c>
      <c r="J154" s="592" t="str">
        <f t="shared" si="9"/>
        <v/>
      </c>
      <c r="K154" s="578"/>
      <c r="L154" s="578"/>
      <c r="M154" s="578"/>
      <c r="N154" s="578"/>
    </row>
    <row r="155" spans="1:14" hidden="1">
      <c r="A155" s="579"/>
      <c r="B155" s="580" t="s">
        <v>493</v>
      </c>
      <c r="C155" s="590" t="s">
        <v>420</v>
      </c>
      <c r="D155" s="591">
        <f>SUM(I64:I70)</f>
        <v>0</v>
      </c>
      <c r="E155" s="591">
        <f>SUM(J64:J70)</f>
        <v>0</v>
      </c>
      <c r="F155" s="591"/>
      <c r="G155" s="591"/>
      <c r="H155" s="584">
        <f t="shared" si="7"/>
        <v>0</v>
      </c>
      <c r="I155" s="589">
        <f t="shared" si="8"/>
        <v>0</v>
      </c>
      <c r="J155" s="592" t="str">
        <f t="shared" si="9"/>
        <v/>
      </c>
      <c r="K155" s="578"/>
      <c r="L155" s="578"/>
      <c r="M155" s="578"/>
      <c r="N155" s="578"/>
    </row>
    <row r="156" spans="1:14" hidden="1">
      <c r="A156" s="579"/>
      <c r="B156" s="580" t="s">
        <v>494</v>
      </c>
      <c r="C156" s="590" t="s">
        <v>421</v>
      </c>
      <c r="D156" s="591">
        <f>SUM(I71:I77)</f>
        <v>0</v>
      </c>
      <c r="E156" s="591">
        <f>SUM(J71:J77)</f>
        <v>0</v>
      </c>
      <c r="F156" s="591"/>
      <c r="G156" s="591"/>
      <c r="H156" s="584">
        <f t="shared" si="7"/>
        <v>0</v>
      </c>
      <c r="I156" s="589">
        <f t="shared" si="8"/>
        <v>0</v>
      </c>
      <c r="J156" s="592" t="str">
        <f t="shared" si="9"/>
        <v/>
      </c>
      <c r="K156" s="578"/>
      <c r="L156" s="578"/>
      <c r="M156" s="578"/>
      <c r="N156" s="578"/>
    </row>
    <row r="157" spans="1:14" hidden="1">
      <c r="A157" s="579"/>
      <c r="B157" s="580" t="s">
        <v>495</v>
      </c>
      <c r="C157" s="590" t="s">
        <v>459</v>
      </c>
      <c r="D157" s="591">
        <f>SUM(I78:I84)</f>
        <v>0</v>
      </c>
      <c r="E157" s="591">
        <f>SUM(J78:J84)</f>
        <v>0</v>
      </c>
      <c r="F157" s="591"/>
      <c r="G157" s="591"/>
      <c r="H157" s="584">
        <f t="shared" si="7"/>
        <v>0</v>
      </c>
      <c r="I157" s="589">
        <f>IFERROR((F157+D157+E157+G157)/F19,0)</f>
        <v>0</v>
      </c>
      <c r="J157" s="586"/>
      <c r="K157" s="578"/>
      <c r="L157" s="578"/>
      <c r="M157" s="578"/>
      <c r="N157" s="578"/>
    </row>
    <row r="158" spans="1:14" ht="84">
      <c r="A158" s="579"/>
      <c r="B158" s="593" t="s">
        <v>496</v>
      </c>
      <c r="C158" s="594" t="s">
        <v>675</v>
      </c>
      <c r="D158" s="584">
        <f>SUM(D150:D157)</f>
        <v>5000</v>
      </c>
      <c r="E158" s="584">
        <f>SUM(E150:E157)</f>
        <v>0</v>
      </c>
      <c r="F158" s="584">
        <f>SUM(F150:F157)</f>
        <v>0</v>
      </c>
      <c r="G158" s="584">
        <f>SUM(G150:G157)</f>
        <v>0</v>
      </c>
      <c r="H158" s="584">
        <f t="shared" ref="H158:H163" si="10">D158+E158+F158+G158</f>
        <v>5000</v>
      </c>
      <c r="I158" s="589">
        <f>IFERROR((F158+E158+D158+G158)/(D21+E21),0)</f>
        <v>5.5555555555555552E-2</v>
      </c>
      <c r="J158" s="586"/>
      <c r="K158" s="578"/>
      <c r="L158" s="578"/>
      <c r="M158" s="578"/>
      <c r="N158" s="578"/>
    </row>
    <row r="159" spans="1:14" ht="166.5">
      <c r="A159" s="579"/>
      <c r="B159" s="593" t="s">
        <v>497</v>
      </c>
      <c r="C159" s="595" t="s">
        <v>676</v>
      </c>
      <c r="D159" s="596">
        <f>IF(D158&lt;=0,D147,(D158-D147-D149))</f>
        <v>5000</v>
      </c>
      <c r="E159" s="596">
        <f>IF(E158&lt;=0,E147,(E158-E147-E149))</f>
        <v>0</v>
      </c>
      <c r="F159" s="596">
        <f>(F147-F149)+F158</f>
        <v>12000</v>
      </c>
      <c r="G159" s="596">
        <f>(G147-G149)+G158</f>
        <v>12000</v>
      </c>
      <c r="H159" s="596">
        <f t="shared" si="10"/>
        <v>29000</v>
      </c>
      <c r="I159" s="597"/>
      <c r="J159" s="598"/>
      <c r="K159" s="510"/>
    </row>
    <row r="160" spans="1:14" hidden="1">
      <c r="A160" s="579"/>
      <c r="B160" s="580" t="s">
        <v>498</v>
      </c>
      <c r="C160" s="599" t="s">
        <v>648</v>
      </c>
      <c r="D160" s="584">
        <v>0</v>
      </c>
      <c r="E160" s="584">
        <v>0</v>
      </c>
      <c r="F160" s="584"/>
      <c r="G160" s="584"/>
      <c r="H160" s="584">
        <f>SUM(D160+E160+F160+G160)</f>
        <v>0</v>
      </c>
      <c r="I160" s="597"/>
      <c r="J160" s="598"/>
      <c r="K160" s="510"/>
    </row>
    <row r="161" spans="1:11">
      <c r="A161" s="579"/>
      <c r="B161" s="593" t="s">
        <v>499</v>
      </c>
      <c r="C161" s="594" t="s">
        <v>211</v>
      </c>
      <c r="D161" s="596">
        <f>D159+D160</f>
        <v>5000</v>
      </c>
      <c r="E161" s="596">
        <f>E159+E160</f>
        <v>0</v>
      </c>
      <c r="F161" s="596">
        <f>F159+F160</f>
        <v>12000</v>
      </c>
      <c r="G161" s="596">
        <f>G159+G160</f>
        <v>12000</v>
      </c>
      <c r="H161" s="596">
        <f t="shared" si="10"/>
        <v>29000</v>
      </c>
      <c r="I161" s="597"/>
      <c r="J161" s="598"/>
      <c r="K161" s="510"/>
    </row>
    <row r="162" spans="1:11" hidden="1">
      <c r="A162" s="579"/>
      <c r="B162" s="580" t="s">
        <v>500</v>
      </c>
      <c r="C162" s="590" t="s">
        <v>43</v>
      </c>
      <c r="D162" s="596">
        <f>SUM(D147*D10)</f>
        <v>0</v>
      </c>
      <c r="E162" s="596">
        <f>SUM(E147*E10)</f>
        <v>0</v>
      </c>
      <c r="F162" s="584">
        <f>SUM(F147*D10)</f>
        <v>2400</v>
      </c>
      <c r="G162" s="584">
        <f>SUM(G147*E10)</f>
        <v>1200</v>
      </c>
      <c r="H162" s="584">
        <f>SUM(F162+G162+E162+D162)</f>
        <v>3600</v>
      </c>
      <c r="I162" s="597"/>
      <c r="J162" s="598"/>
      <c r="K162" s="510"/>
    </row>
    <row r="163" spans="1:11">
      <c r="A163" s="579"/>
      <c r="B163" s="580" t="s">
        <v>501</v>
      </c>
      <c r="C163" s="590" t="s">
        <v>460</v>
      </c>
      <c r="D163" s="596">
        <f>D158*D10</f>
        <v>1000</v>
      </c>
      <c r="E163" s="596">
        <f>E158*E10</f>
        <v>0</v>
      </c>
      <c r="F163" s="600">
        <f>F158*D10</f>
        <v>0</v>
      </c>
      <c r="G163" s="600">
        <f>G158*E10</f>
        <v>0</v>
      </c>
      <c r="H163" s="584">
        <f t="shared" si="10"/>
        <v>1000</v>
      </c>
      <c r="I163" s="597"/>
      <c r="J163" s="598"/>
      <c r="K163" s="510"/>
    </row>
    <row r="164" spans="1:11" hidden="1">
      <c r="A164" s="579"/>
      <c r="B164" s="580" t="s">
        <v>502</v>
      </c>
      <c r="C164" s="599" t="s">
        <v>649</v>
      </c>
      <c r="D164" s="584">
        <f>SUM(D160*D10)</f>
        <v>0</v>
      </c>
      <c r="E164" s="584">
        <f>SUM(E160*E10)</f>
        <v>0</v>
      </c>
      <c r="F164" s="584">
        <f>SUM(F160*D10)</f>
        <v>0</v>
      </c>
      <c r="G164" s="584">
        <f>SUM(G160*D10)</f>
        <v>0</v>
      </c>
      <c r="H164" s="584">
        <f>SUM(D164+E164+F164+G164)</f>
        <v>0</v>
      </c>
      <c r="I164" s="597"/>
      <c r="J164" s="598"/>
      <c r="K164" s="510"/>
    </row>
    <row r="165" spans="1:11" ht="166.5" hidden="1">
      <c r="A165" s="579"/>
      <c r="B165" s="580" t="s">
        <v>503</v>
      </c>
      <c r="C165" s="587" t="s">
        <v>157</v>
      </c>
      <c r="D165" s="596">
        <f>D149*D10</f>
        <v>0</v>
      </c>
      <c r="E165" s="596">
        <f>E149*E10</f>
        <v>0</v>
      </c>
      <c r="F165" s="596">
        <f>F149*D10</f>
        <v>0</v>
      </c>
      <c r="G165" s="596">
        <f>G149*E10</f>
        <v>0</v>
      </c>
      <c r="H165" s="584">
        <f>D165+E165+F165+G165</f>
        <v>0</v>
      </c>
      <c r="I165" s="597"/>
      <c r="J165" s="598"/>
      <c r="K165" s="510"/>
    </row>
    <row r="166" spans="1:11" hidden="1">
      <c r="A166" s="579"/>
      <c r="B166" s="580" t="s">
        <v>504</v>
      </c>
      <c r="C166" s="601" t="s">
        <v>280</v>
      </c>
      <c r="D166" s="596">
        <f>D148*D10</f>
        <v>0</v>
      </c>
      <c r="E166" s="596">
        <f>E148*E10</f>
        <v>0</v>
      </c>
      <c r="F166" s="596">
        <f>F148*D10</f>
        <v>0</v>
      </c>
      <c r="G166" s="596">
        <f>G148*E10</f>
        <v>0</v>
      </c>
      <c r="H166" s="584">
        <f>D166+E166+F166+G166</f>
        <v>0</v>
      </c>
      <c r="I166" s="597"/>
      <c r="J166" s="598"/>
      <c r="K166" s="510"/>
    </row>
    <row r="167" spans="1:11" ht="84">
      <c r="A167" s="579"/>
      <c r="B167" s="593" t="s">
        <v>505</v>
      </c>
      <c r="C167" s="594" t="s">
        <v>677</v>
      </c>
      <c r="D167" s="596">
        <f>SUM(D162:D164)-D165</f>
        <v>1000</v>
      </c>
      <c r="E167" s="596">
        <f>SUM(E162:E164)-E165</f>
        <v>0</v>
      </c>
      <c r="F167" s="596">
        <f>SUM(F162:F164)-F165</f>
        <v>2400</v>
      </c>
      <c r="G167" s="596">
        <f>SUM(G162:G164)-G165</f>
        <v>1200</v>
      </c>
      <c r="H167" s="596">
        <f>SUM(H162:H164)-H165</f>
        <v>4600</v>
      </c>
      <c r="I167" s="597"/>
      <c r="J167" s="598"/>
      <c r="K167" s="510"/>
    </row>
    <row r="168" spans="1:11">
      <c r="A168" s="579"/>
      <c r="B168" s="593" t="s">
        <v>506</v>
      </c>
      <c r="C168" s="594" t="s">
        <v>174</v>
      </c>
      <c r="D168" s="602">
        <f>D161+D167</f>
        <v>6000</v>
      </c>
      <c r="E168" s="602">
        <f>E161+E167</f>
        <v>0</v>
      </c>
      <c r="F168" s="602">
        <f>F161+F167</f>
        <v>14400</v>
      </c>
      <c r="G168" s="602">
        <f>G161+G167</f>
        <v>13200</v>
      </c>
      <c r="H168" s="602">
        <f>H161+H167</f>
        <v>33600</v>
      </c>
      <c r="I168" s="597"/>
      <c r="J168" s="598"/>
      <c r="K168" s="510"/>
    </row>
    <row r="169" spans="1:11" hidden="1">
      <c r="A169" s="603"/>
      <c r="B169" s="604" t="s">
        <v>507</v>
      </c>
      <c r="C169" s="572" t="s">
        <v>19</v>
      </c>
      <c r="D169" s="573"/>
      <c r="E169" s="573"/>
      <c r="F169" s="574"/>
      <c r="G169" s="575">
        <v>0</v>
      </c>
      <c r="H169" s="575">
        <f>SUM(D169+E169+F169+G169)</f>
        <v>0</v>
      </c>
      <c r="I169" s="576"/>
      <c r="J169" s="577"/>
      <c r="K169" s="510"/>
    </row>
    <row r="170" spans="1:11" ht="166.5" hidden="1">
      <c r="A170" s="605"/>
      <c r="B170" s="606" t="s">
        <v>508</v>
      </c>
      <c r="C170" s="581" t="s">
        <v>461</v>
      </c>
      <c r="D170" s="582"/>
      <c r="E170" s="583"/>
      <c r="F170" s="607"/>
      <c r="G170" s="608"/>
      <c r="H170" s="584">
        <f>D170+E170+F170+G170</f>
        <v>0</v>
      </c>
      <c r="I170" s="585"/>
      <c r="J170" s="586"/>
      <c r="K170" s="510"/>
    </row>
    <row r="171" spans="1:11" hidden="1">
      <c r="A171" s="605"/>
      <c r="B171" s="606" t="s">
        <v>509</v>
      </c>
      <c r="C171" s="587" t="s">
        <v>396</v>
      </c>
      <c r="D171" s="582"/>
      <c r="E171" s="588"/>
      <c r="F171" s="582"/>
      <c r="G171" s="582"/>
      <c r="H171" s="584">
        <f>F171+G171+D171+E171</f>
        <v>0</v>
      </c>
      <c r="I171" s="589">
        <f>IFERROR((D171+E171+F171+G171)/(H169-H170),0)</f>
        <v>0</v>
      </c>
      <c r="J171" s="586"/>
      <c r="K171" s="510"/>
    </row>
    <row r="172" spans="1:11">
      <c r="A172" s="605"/>
      <c r="B172" s="606" t="s">
        <v>510</v>
      </c>
      <c r="C172" s="590" t="s">
        <v>20</v>
      </c>
      <c r="D172" s="591">
        <f>SUM(I85:I91)</f>
        <v>4000</v>
      </c>
      <c r="E172" s="591">
        <f>SUM(J85:J91)</f>
        <v>0</v>
      </c>
      <c r="F172" s="591"/>
      <c r="G172" s="591"/>
      <c r="H172" s="584">
        <f t="shared" ref="H172:H179" si="11">F172+D172+E172+G172</f>
        <v>4000</v>
      </c>
      <c r="I172" s="589">
        <f>IFERROR(IF(SUM(H54:H59)&gt;0,SUM(F172+D172+E172+G172)/F36,SUM(F172+D172+E172+G172)/H53),0)</f>
        <v>0</v>
      </c>
      <c r="J172" s="592" t="str">
        <f>IFERROR(IF(SUM(H54:H59)&gt;0,SUM(F172+D172+E172+G172)/H53,""),0)</f>
        <v/>
      </c>
      <c r="K172" s="510"/>
    </row>
    <row r="173" spans="1:11" hidden="1">
      <c r="A173" s="605"/>
      <c r="B173" s="606" t="s">
        <v>511</v>
      </c>
      <c r="C173" s="590" t="s">
        <v>21</v>
      </c>
      <c r="D173" s="591">
        <f>SUM(I92:I98)</f>
        <v>0</v>
      </c>
      <c r="E173" s="591">
        <f>SUM(J92:J98)</f>
        <v>0</v>
      </c>
      <c r="F173" s="591"/>
      <c r="G173" s="591"/>
      <c r="H173" s="584">
        <f t="shared" si="11"/>
        <v>0</v>
      </c>
      <c r="I173" s="589">
        <f t="shared" ref="I173:I178" si="12">IFERROR(IF(H154&gt;0,SUM(F173+D173+E173+G173)/F37,SUM(F173+D173+E173+G173)/H54),0)</f>
        <v>0</v>
      </c>
      <c r="J173" s="592" t="str">
        <f t="shared" ref="J173:J178" si="13">IFERROR(IF(H154&gt;0,SUM(F173+D173+E173+G173)/H54,""),0)</f>
        <v/>
      </c>
      <c r="K173" s="510"/>
    </row>
    <row r="174" spans="1:11" hidden="1">
      <c r="A174" s="605"/>
      <c r="B174" s="606" t="s">
        <v>512</v>
      </c>
      <c r="C174" s="590" t="s">
        <v>22</v>
      </c>
      <c r="D174" s="591">
        <f>SUM(I99:I105)</f>
        <v>0</v>
      </c>
      <c r="E174" s="591">
        <f>SUM(J99:J105)</f>
        <v>0</v>
      </c>
      <c r="F174" s="591"/>
      <c r="G174" s="591"/>
      <c r="H174" s="584">
        <f t="shared" si="11"/>
        <v>0</v>
      </c>
      <c r="I174" s="589">
        <f t="shared" si="12"/>
        <v>0</v>
      </c>
      <c r="J174" s="592" t="str">
        <f t="shared" si="13"/>
        <v/>
      </c>
      <c r="K174" s="510"/>
    </row>
    <row r="175" spans="1:11" hidden="1">
      <c r="A175" s="605"/>
      <c r="B175" s="606" t="s">
        <v>513</v>
      </c>
      <c r="C175" s="590" t="s">
        <v>23</v>
      </c>
      <c r="D175" s="591">
        <f>SUM(I106:I112)</f>
        <v>0</v>
      </c>
      <c r="E175" s="591">
        <f>SUM(J106:J112)</f>
        <v>0</v>
      </c>
      <c r="F175" s="591"/>
      <c r="G175" s="591"/>
      <c r="H175" s="584">
        <f t="shared" si="11"/>
        <v>0</v>
      </c>
      <c r="I175" s="589">
        <f t="shared" si="12"/>
        <v>0</v>
      </c>
      <c r="J175" s="592" t="str">
        <f t="shared" si="13"/>
        <v/>
      </c>
      <c r="K175" s="510"/>
    </row>
    <row r="176" spans="1:11" hidden="1">
      <c r="A176" s="605"/>
      <c r="B176" s="606" t="s">
        <v>514</v>
      </c>
      <c r="C176" s="590" t="s">
        <v>419</v>
      </c>
      <c r="D176" s="591">
        <f>SUM(I113:I119)</f>
        <v>0</v>
      </c>
      <c r="E176" s="591">
        <f>SUM(J113:J119)</f>
        <v>0</v>
      </c>
      <c r="F176" s="591"/>
      <c r="G176" s="591"/>
      <c r="H176" s="584">
        <f t="shared" si="11"/>
        <v>0</v>
      </c>
      <c r="I176" s="589">
        <f t="shared" si="12"/>
        <v>0</v>
      </c>
      <c r="J176" s="592" t="str">
        <f t="shared" si="13"/>
        <v/>
      </c>
      <c r="K176" s="510"/>
    </row>
    <row r="177" spans="1:244" hidden="1">
      <c r="A177" s="605"/>
      <c r="B177" s="606" t="s">
        <v>515</v>
      </c>
      <c r="C177" s="590" t="s">
        <v>420</v>
      </c>
      <c r="D177" s="591">
        <f>SUM(I120:I126)</f>
        <v>0</v>
      </c>
      <c r="E177" s="591">
        <f>SUM(J120:J126)</f>
        <v>0</v>
      </c>
      <c r="F177" s="591"/>
      <c r="G177" s="591"/>
      <c r="H177" s="584">
        <f t="shared" si="11"/>
        <v>0</v>
      </c>
      <c r="I177" s="589">
        <f t="shared" si="12"/>
        <v>0</v>
      </c>
      <c r="J177" s="592">
        <f t="shared" si="13"/>
        <v>0</v>
      </c>
      <c r="K177" s="510"/>
    </row>
    <row r="178" spans="1:244" hidden="1">
      <c r="A178" s="605"/>
      <c r="B178" s="606" t="s">
        <v>516</v>
      </c>
      <c r="C178" s="590" t="s">
        <v>421</v>
      </c>
      <c r="D178" s="591">
        <f>SUM(I127:I133)</f>
        <v>0</v>
      </c>
      <c r="E178" s="591">
        <f>SUM(J127:J133)</f>
        <v>0</v>
      </c>
      <c r="F178" s="591"/>
      <c r="G178" s="591"/>
      <c r="H178" s="584">
        <f t="shared" si="11"/>
        <v>0</v>
      </c>
      <c r="I178" s="589">
        <f t="shared" si="12"/>
        <v>0</v>
      </c>
      <c r="J178" s="592">
        <f t="shared" si="13"/>
        <v>0</v>
      </c>
      <c r="K178" s="510"/>
    </row>
    <row r="179" spans="1:244" hidden="1">
      <c r="A179" s="605"/>
      <c r="B179" s="606" t="s">
        <v>517</v>
      </c>
      <c r="C179" s="590" t="s">
        <v>459</v>
      </c>
      <c r="D179" s="591">
        <f>SUM(I134:I140)</f>
        <v>0</v>
      </c>
      <c r="E179" s="591">
        <f>SUM(J134:J140)</f>
        <v>0</v>
      </c>
      <c r="F179" s="591"/>
      <c r="G179" s="591"/>
      <c r="H179" s="584">
        <f t="shared" si="11"/>
        <v>0</v>
      </c>
      <c r="I179" s="589">
        <f>IFERROR((F179+D179+E179+G179)/F43,0)</f>
        <v>0</v>
      </c>
      <c r="J179" s="586"/>
      <c r="K179" s="510"/>
    </row>
    <row r="180" spans="1:244" ht="84">
      <c r="A180" s="605"/>
      <c r="B180" s="609" t="s">
        <v>518</v>
      </c>
      <c r="C180" s="594" t="s">
        <v>675</v>
      </c>
      <c r="D180" s="584">
        <f>SUM(D172:D179)</f>
        <v>4000</v>
      </c>
      <c r="E180" s="584">
        <f>SUM(E172:E179)</f>
        <v>0</v>
      </c>
      <c r="F180" s="584">
        <f>SUM(F172:F179)</f>
        <v>0</v>
      </c>
      <c r="G180" s="584">
        <f>SUM(G172:G179)</f>
        <v>0</v>
      </c>
      <c r="H180" s="584">
        <f t="shared" ref="H180:H185" si="14">D180+E180+F180+G180</f>
        <v>4000</v>
      </c>
      <c r="I180" s="589">
        <f>IFERROR((F180+E180+D180+G180)/(D45+E45),0)</f>
        <v>0</v>
      </c>
      <c r="J180" s="586"/>
      <c r="K180" s="510"/>
    </row>
    <row r="181" spans="1:244" ht="166.5">
      <c r="A181" s="605"/>
      <c r="B181" s="609" t="s">
        <v>519</v>
      </c>
      <c r="C181" s="595" t="s">
        <v>676</v>
      </c>
      <c r="D181" s="596">
        <f>IF(D180&lt;=0,D169,(D180-D169-D171))</f>
        <v>4000</v>
      </c>
      <c r="E181" s="596">
        <f>IF(E180&lt;=0,E169,(E180-E169-E171))</f>
        <v>0</v>
      </c>
      <c r="F181" s="596">
        <f>(F169-F171)+F180</f>
        <v>0</v>
      </c>
      <c r="G181" s="596">
        <f>(G169-G171)+G180</f>
        <v>0</v>
      </c>
      <c r="H181" s="596">
        <f t="shared" si="14"/>
        <v>4000</v>
      </c>
      <c r="I181" s="597"/>
      <c r="J181" s="598"/>
      <c r="K181" s="510"/>
    </row>
    <row r="182" spans="1:244" hidden="1">
      <c r="A182" s="605"/>
      <c r="B182" s="606" t="s">
        <v>520</v>
      </c>
      <c r="C182" s="599" t="s">
        <v>648</v>
      </c>
      <c r="D182" s="584">
        <v>0</v>
      </c>
      <c r="E182" s="584">
        <v>0</v>
      </c>
      <c r="F182" s="584"/>
      <c r="G182" s="584"/>
      <c r="H182" s="584">
        <f>SUM(D182+E182+F182+G182)</f>
        <v>0</v>
      </c>
      <c r="I182" s="597"/>
      <c r="J182" s="598"/>
      <c r="K182" s="510"/>
    </row>
    <row r="183" spans="1:244">
      <c r="A183" s="605"/>
      <c r="B183" s="609" t="s">
        <v>521</v>
      </c>
      <c r="C183" s="594" t="s">
        <v>211</v>
      </c>
      <c r="D183" s="596">
        <f>D181+D182</f>
        <v>4000</v>
      </c>
      <c r="E183" s="596">
        <f>E181+E182</f>
        <v>0</v>
      </c>
      <c r="F183" s="596">
        <f>F181+F182</f>
        <v>0</v>
      </c>
      <c r="G183" s="596">
        <f>G181+G182</f>
        <v>0</v>
      </c>
      <c r="H183" s="596">
        <f t="shared" si="14"/>
        <v>4000</v>
      </c>
      <c r="I183" s="597"/>
      <c r="J183" s="598"/>
      <c r="K183" s="510"/>
    </row>
    <row r="184" spans="1:244" hidden="1">
      <c r="A184" s="605"/>
      <c r="B184" s="606" t="s">
        <v>522</v>
      </c>
      <c r="C184" s="590" t="s">
        <v>43</v>
      </c>
      <c r="D184" s="596">
        <f>SUM(D169*D10)</f>
        <v>0</v>
      </c>
      <c r="E184" s="596">
        <f>SUM(E169*E10)</f>
        <v>0</v>
      </c>
      <c r="F184" s="584">
        <f>SUM(F169*D10)</f>
        <v>0</v>
      </c>
      <c r="G184" s="584">
        <f>SUM(G169*E10)</f>
        <v>0</v>
      </c>
      <c r="H184" s="584">
        <f>SUM(D184+E184+F184+G184)</f>
        <v>0</v>
      </c>
      <c r="I184" s="597"/>
      <c r="J184" s="598"/>
      <c r="K184" s="510"/>
    </row>
    <row r="185" spans="1:244">
      <c r="A185" s="605"/>
      <c r="B185" s="606" t="s">
        <v>523</v>
      </c>
      <c r="C185" s="590" t="s">
        <v>460</v>
      </c>
      <c r="D185" s="596">
        <f>D180*D10</f>
        <v>800</v>
      </c>
      <c r="E185" s="596">
        <f>E180*E10</f>
        <v>0</v>
      </c>
      <c r="F185" s="610">
        <f>F180*D10</f>
        <v>0</v>
      </c>
      <c r="G185" s="610">
        <f>G180*E10</f>
        <v>0</v>
      </c>
      <c r="H185" s="584">
        <f t="shared" si="14"/>
        <v>800</v>
      </c>
      <c r="I185" s="597"/>
      <c r="J185" s="598"/>
      <c r="K185" s="510"/>
    </row>
    <row r="186" spans="1:244" hidden="1">
      <c r="A186" s="605"/>
      <c r="B186" s="606" t="s">
        <v>524</v>
      </c>
      <c r="C186" s="599" t="s">
        <v>649</v>
      </c>
      <c r="D186" s="584">
        <f>SUM(D182*D10)</f>
        <v>0</v>
      </c>
      <c r="E186" s="584">
        <f>SUM(E182*E10)</f>
        <v>0</v>
      </c>
      <c r="F186" s="584">
        <f>SUM(F182*D10)</f>
        <v>0</v>
      </c>
      <c r="G186" s="584">
        <f>SUM(G182*D10)</f>
        <v>0</v>
      </c>
      <c r="H186" s="584">
        <f>SUM(D186+E186+F186+G186)</f>
        <v>0</v>
      </c>
      <c r="I186" s="597"/>
      <c r="J186" s="598"/>
      <c r="K186" s="510"/>
    </row>
    <row r="187" spans="1:244" ht="166.5" hidden="1">
      <c r="A187" s="605"/>
      <c r="B187" s="606" t="s">
        <v>525</v>
      </c>
      <c r="C187" s="587" t="s">
        <v>157</v>
      </c>
      <c r="D187" s="596">
        <f>D171*D10</f>
        <v>0</v>
      </c>
      <c r="E187" s="596">
        <f>E171*E10</f>
        <v>0</v>
      </c>
      <c r="F187" s="596">
        <f>F171*F145</f>
        <v>0</v>
      </c>
      <c r="G187" s="596">
        <f>G171*E10</f>
        <v>0</v>
      </c>
      <c r="H187" s="584">
        <f>D187+E187+F187+G187</f>
        <v>0</v>
      </c>
      <c r="I187" s="597"/>
      <c r="J187" s="598"/>
      <c r="K187" s="510"/>
    </row>
    <row r="188" spans="1:244" hidden="1">
      <c r="A188" s="605"/>
      <c r="B188" s="606" t="s">
        <v>526</v>
      </c>
      <c r="C188" s="601" t="s">
        <v>280</v>
      </c>
      <c r="D188" s="596">
        <f>D170*D10</f>
        <v>0</v>
      </c>
      <c r="E188" s="596">
        <f>E170*E10</f>
        <v>0</v>
      </c>
      <c r="F188" s="596">
        <f>F170*D10</f>
        <v>0</v>
      </c>
      <c r="G188" s="596">
        <f>G170*E10</f>
        <v>0</v>
      </c>
      <c r="H188" s="584">
        <f>D188+E188+F188+G188</f>
        <v>0</v>
      </c>
      <c r="I188" s="597"/>
      <c r="J188" s="598"/>
      <c r="K188" s="510"/>
    </row>
    <row r="189" spans="1:244" ht="84">
      <c r="A189" s="605"/>
      <c r="B189" s="609" t="s">
        <v>527</v>
      </c>
      <c r="C189" s="594" t="s">
        <v>677</v>
      </c>
      <c r="D189" s="596">
        <f>SUM(D184:D186)-D187</f>
        <v>800</v>
      </c>
      <c r="E189" s="596">
        <f>SUM(E184:E186)-E187</f>
        <v>0</v>
      </c>
      <c r="F189" s="596">
        <f>SUM(F184:F186)-F187</f>
        <v>0</v>
      </c>
      <c r="G189" s="596">
        <f>SUM(G184:G186)-G187</f>
        <v>0</v>
      </c>
      <c r="H189" s="596">
        <f>SUM(H184:H186)-H187</f>
        <v>800</v>
      </c>
      <c r="I189" s="597"/>
      <c r="J189" s="598"/>
      <c r="K189" s="510"/>
    </row>
    <row r="190" spans="1:244">
      <c r="A190" s="605"/>
      <c r="B190" s="609" t="s">
        <v>528</v>
      </c>
      <c r="C190" s="594" t="s">
        <v>174</v>
      </c>
      <c r="D190" s="602">
        <f>D183+D189</f>
        <v>4800</v>
      </c>
      <c r="E190" s="602">
        <f>E183+E189</f>
        <v>0</v>
      </c>
      <c r="F190" s="602">
        <f>F183+F189</f>
        <v>0</v>
      </c>
      <c r="G190" s="602">
        <f>G183+G189</f>
        <v>0</v>
      </c>
      <c r="H190" s="602">
        <f>H183+H189</f>
        <v>4800</v>
      </c>
      <c r="I190" s="597"/>
      <c r="J190" s="598"/>
      <c r="K190" s="510"/>
    </row>
    <row r="191" spans="1:244" hidden="1">
      <c r="A191" s="605"/>
      <c r="B191" s="611"/>
      <c r="C191" s="612"/>
      <c r="D191" s="613"/>
      <c r="E191" s="613"/>
      <c r="F191" s="613"/>
      <c r="G191" s="613"/>
      <c r="H191" s="614"/>
      <c r="I191" s="615"/>
      <c r="J191" s="616"/>
      <c r="K191" s="617"/>
      <c r="L191" s="617"/>
      <c r="M191" s="617"/>
      <c r="N191" s="617"/>
      <c r="O191" s="617"/>
      <c r="P191" s="617"/>
      <c r="Q191" s="617"/>
      <c r="R191" s="617"/>
      <c r="S191" s="617"/>
      <c r="T191" s="617"/>
      <c r="U191" s="617"/>
      <c r="V191" s="617"/>
      <c r="W191" s="617"/>
      <c r="X191" s="617"/>
      <c r="Y191" s="617"/>
      <c r="Z191" s="617"/>
      <c r="AA191" s="617"/>
      <c r="AB191" s="617"/>
      <c r="AC191" s="617"/>
      <c r="AD191" s="617"/>
      <c r="AE191" s="617"/>
      <c r="AF191" s="617"/>
      <c r="AG191" s="617"/>
      <c r="AH191" s="617"/>
      <c r="AI191" s="617"/>
      <c r="AJ191" s="617"/>
      <c r="AK191" s="617"/>
      <c r="AL191" s="617"/>
      <c r="AM191" s="617"/>
      <c r="AN191" s="617"/>
      <c r="AO191" s="617"/>
      <c r="AP191" s="617"/>
      <c r="AQ191" s="617"/>
      <c r="AR191" s="617"/>
      <c r="AS191" s="617"/>
      <c r="AT191" s="617"/>
      <c r="AU191" s="617"/>
      <c r="AV191" s="617"/>
      <c r="AW191" s="617"/>
      <c r="AX191" s="617"/>
      <c r="AY191" s="617"/>
      <c r="AZ191" s="617"/>
      <c r="BA191" s="617"/>
      <c r="BB191" s="617"/>
      <c r="BC191" s="617"/>
      <c r="BD191" s="617"/>
      <c r="BE191" s="617"/>
      <c r="BF191" s="617"/>
      <c r="BG191" s="617"/>
      <c r="BH191" s="617"/>
      <c r="BI191" s="617"/>
      <c r="BJ191" s="617"/>
      <c r="BK191" s="617"/>
      <c r="BL191" s="617"/>
      <c r="BM191" s="617"/>
      <c r="BN191" s="617"/>
      <c r="BO191" s="617"/>
      <c r="BP191" s="617"/>
      <c r="BQ191" s="617"/>
      <c r="BR191" s="617"/>
      <c r="BS191" s="617"/>
      <c r="BT191" s="617"/>
      <c r="BU191" s="617"/>
      <c r="BV191" s="617"/>
      <c r="BW191" s="617"/>
      <c r="BX191" s="617"/>
      <c r="BY191" s="617"/>
      <c r="BZ191" s="617"/>
      <c r="CA191" s="617"/>
      <c r="CB191" s="617"/>
      <c r="CC191" s="617"/>
      <c r="CD191" s="617"/>
      <c r="CE191" s="617"/>
      <c r="CF191" s="617"/>
      <c r="CG191" s="617"/>
      <c r="CH191" s="617"/>
      <c r="CI191" s="617"/>
      <c r="CJ191" s="617"/>
      <c r="CK191" s="617"/>
      <c r="CL191" s="617"/>
      <c r="CM191" s="617"/>
      <c r="CN191" s="617"/>
      <c r="CO191" s="617"/>
      <c r="CP191" s="617"/>
      <c r="CQ191" s="617"/>
      <c r="CR191" s="617"/>
      <c r="CS191" s="617"/>
      <c r="CT191" s="617"/>
      <c r="CU191" s="617"/>
      <c r="CV191" s="617"/>
      <c r="CW191" s="617"/>
      <c r="CX191" s="617"/>
      <c r="CY191" s="617"/>
      <c r="CZ191" s="617"/>
      <c r="DA191" s="617"/>
      <c r="DB191" s="617"/>
      <c r="DC191" s="617"/>
      <c r="DD191" s="617"/>
      <c r="DE191" s="617"/>
      <c r="DF191" s="617"/>
      <c r="DG191" s="617"/>
      <c r="DH191" s="617"/>
      <c r="DI191" s="617"/>
      <c r="DJ191" s="617"/>
      <c r="DK191" s="617"/>
      <c r="DL191" s="617"/>
      <c r="DM191" s="617"/>
      <c r="DN191" s="617"/>
      <c r="DO191" s="617"/>
      <c r="DP191" s="617"/>
      <c r="DQ191" s="617"/>
      <c r="DR191" s="617"/>
      <c r="DS191" s="617"/>
      <c r="DT191" s="617"/>
      <c r="DU191" s="617"/>
      <c r="DV191" s="617"/>
      <c r="DW191" s="617"/>
      <c r="DX191" s="617"/>
      <c r="DY191" s="617"/>
      <c r="DZ191" s="617"/>
      <c r="EA191" s="617"/>
      <c r="EB191" s="617"/>
      <c r="EC191" s="617"/>
      <c r="ED191" s="617"/>
      <c r="EE191" s="617"/>
      <c r="EF191" s="617"/>
      <c r="EG191" s="617"/>
      <c r="EH191" s="617"/>
      <c r="EI191" s="617"/>
      <c r="EJ191" s="617"/>
      <c r="EK191" s="617"/>
      <c r="EL191" s="617"/>
      <c r="EM191" s="617"/>
      <c r="EN191" s="617"/>
      <c r="EO191" s="617"/>
      <c r="EP191" s="617"/>
      <c r="EQ191" s="617"/>
      <c r="ER191" s="617"/>
      <c r="ES191" s="617"/>
      <c r="ET191" s="617"/>
      <c r="EU191" s="617"/>
      <c r="EV191" s="617"/>
      <c r="EW191" s="617"/>
      <c r="EX191" s="617"/>
      <c r="EY191" s="617"/>
      <c r="EZ191" s="617"/>
      <c r="FA191" s="617"/>
      <c r="FB191" s="617"/>
      <c r="FC191" s="617"/>
      <c r="FD191" s="617"/>
      <c r="FE191" s="617"/>
      <c r="FF191" s="617"/>
      <c r="FG191" s="617"/>
      <c r="FH191" s="617"/>
      <c r="FI191" s="617"/>
      <c r="FJ191" s="617"/>
      <c r="FK191" s="617"/>
      <c r="FL191" s="617"/>
      <c r="FM191" s="617"/>
      <c r="FN191" s="617"/>
      <c r="FO191" s="617"/>
      <c r="FP191" s="617"/>
      <c r="FQ191" s="617"/>
      <c r="FR191" s="617"/>
      <c r="FS191" s="617"/>
      <c r="FT191" s="617"/>
      <c r="FU191" s="617"/>
      <c r="FV191" s="617"/>
      <c r="FW191" s="617"/>
      <c r="FX191" s="617"/>
      <c r="FY191" s="617"/>
      <c r="FZ191" s="617"/>
      <c r="GA191" s="617"/>
      <c r="GB191" s="617"/>
      <c r="GC191" s="617"/>
      <c r="GD191" s="617"/>
      <c r="GE191" s="617"/>
      <c r="GF191" s="617"/>
      <c r="GG191" s="617"/>
      <c r="GH191" s="617"/>
      <c r="GI191" s="617"/>
      <c r="GJ191" s="617"/>
      <c r="GK191" s="617"/>
      <c r="GL191" s="617"/>
      <c r="GM191" s="617"/>
      <c r="GN191" s="617"/>
      <c r="GO191" s="617"/>
      <c r="GP191" s="617"/>
      <c r="GQ191" s="617"/>
      <c r="GR191" s="617"/>
      <c r="GS191" s="617"/>
      <c r="GT191" s="617"/>
      <c r="GU191" s="617"/>
      <c r="GV191" s="617"/>
      <c r="GW191" s="617"/>
      <c r="GX191" s="617"/>
      <c r="GY191" s="617"/>
      <c r="GZ191" s="617"/>
      <c r="HA191" s="617"/>
      <c r="HB191" s="617"/>
      <c r="HC191" s="617"/>
      <c r="HD191" s="617"/>
      <c r="HE191" s="617"/>
      <c r="HF191" s="617"/>
      <c r="HG191" s="617"/>
      <c r="HH191" s="617"/>
      <c r="HI191" s="617"/>
      <c r="HJ191" s="617"/>
      <c r="HK191" s="617"/>
      <c r="HL191" s="617"/>
      <c r="HM191" s="617"/>
      <c r="HN191" s="617"/>
      <c r="HO191" s="617"/>
      <c r="HP191" s="617"/>
      <c r="HQ191" s="617"/>
      <c r="HR191" s="617"/>
      <c r="HS191" s="617"/>
      <c r="HT191" s="617"/>
      <c r="HU191" s="617"/>
      <c r="HV191" s="617"/>
      <c r="HW191" s="617"/>
      <c r="HX191" s="617"/>
      <c r="HY191" s="617"/>
      <c r="HZ191" s="617"/>
      <c r="IA191" s="617"/>
      <c r="IB191" s="617"/>
      <c r="IC191" s="617"/>
      <c r="ID191" s="617"/>
      <c r="IE191" s="617"/>
      <c r="IF191" s="617"/>
      <c r="IG191" s="617"/>
      <c r="IH191" s="617"/>
      <c r="II191" s="617"/>
      <c r="IJ191" s="617"/>
    </row>
    <row r="192" spans="1:244" hidden="1">
      <c r="A192" s="618"/>
      <c r="B192" s="514" t="s">
        <v>572</v>
      </c>
      <c r="C192" s="619"/>
      <c r="D192" s="620"/>
      <c r="E192" s="620"/>
      <c r="F192" s="620"/>
      <c r="G192" s="620"/>
      <c r="H192" s="596">
        <f>D192+E192+F192+G192</f>
        <v>0</v>
      </c>
      <c r="I192" s="621"/>
      <c r="J192" s="622"/>
      <c r="K192" s="510"/>
    </row>
    <row r="193" spans="1:19" hidden="1">
      <c r="A193" s="618"/>
      <c r="B193" s="623" t="s">
        <v>573</v>
      </c>
      <c r="C193" s="619"/>
      <c r="D193" s="624"/>
      <c r="E193" s="625"/>
      <c r="F193" s="626"/>
      <c r="G193" s="626"/>
      <c r="H193" s="596">
        <f t="shared" ref="H193:H206" si="15">D193+E193+F193+G193</f>
        <v>0</v>
      </c>
      <c r="I193" s="627"/>
      <c r="J193" s="622"/>
      <c r="K193" s="510"/>
    </row>
    <row r="194" spans="1:19" hidden="1">
      <c r="A194" s="618"/>
      <c r="B194" s="514" t="s">
        <v>529</v>
      </c>
      <c r="C194" s="619"/>
      <c r="D194" s="620"/>
      <c r="E194" s="620"/>
      <c r="F194" s="620"/>
      <c r="G194" s="620"/>
      <c r="H194" s="596">
        <f t="shared" si="15"/>
        <v>0</v>
      </c>
      <c r="I194" s="621"/>
      <c r="J194" s="622"/>
      <c r="K194" s="510"/>
      <c r="S194" s="510">
        <f>(D194+E194+D196+E196+D198+D200+D206+E198+E200+E206)</f>
        <v>0</v>
      </c>
    </row>
    <row r="195" spans="1:19" hidden="1">
      <c r="A195" s="618"/>
      <c r="B195" s="623" t="s">
        <v>530</v>
      </c>
      <c r="C195" s="628"/>
      <c r="D195" s="626"/>
      <c r="E195" s="626"/>
      <c r="F195" s="626"/>
      <c r="G195" s="626"/>
      <c r="H195" s="596">
        <f t="shared" si="15"/>
        <v>0</v>
      </c>
      <c r="I195" s="627"/>
      <c r="J195" s="629"/>
      <c r="K195" s="510"/>
    </row>
    <row r="196" spans="1:19" hidden="1">
      <c r="A196" s="618"/>
      <c r="B196" s="623" t="s">
        <v>531</v>
      </c>
      <c r="C196" s="630"/>
      <c r="D196" s="626"/>
      <c r="E196" s="626"/>
      <c r="F196" s="626"/>
      <c r="G196" s="626"/>
      <c r="H196" s="596">
        <f t="shared" si="15"/>
        <v>0</v>
      </c>
      <c r="I196" s="631"/>
      <c r="J196" s="629"/>
      <c r="K196" s="510"/>
    </row>
    <row r="197" spans="1:19" hidden="1">
      <c r="A197" s="618"/>
      <c r="B197" s="623" t="s">
        <v>532</v>
      </c>
      <c r="C197" s="630"/>
      <c r="D197" s="626"/>
      <c r="E197" s="626"/>
      <c r="F197" s="626"/>
      <c r="G197" s="626"/>
      <c r="H197" s="596">
        <f t="shared" si="15"/>
        <v>0</v>
      </c>
      <c r="I197" s="627"/>
      <c r="J197" s="629"/>
      <c r="K197" s="510"/>
    </row>
    <row r="198" spans="1:19" hidden="1" collapsed="1">
      <c r="A198" s="618"/>
      <c r="B198" s="623" t="s">
        <v>533</v>
      </c>
      <c r="C198" s="630"/>
      <c r="D198" s="626"/>
      <c r="E198" s="626"/>
      <c r="F198" s="626"/>
      <c r="G198" s="626"/>
      <c r="H198" s="596">
        <f t="shared" si="15"/>
        <v>0</v>
      </c>
      <c r="I198" s="631"/>
      <c r="J198" s="629"/>
      <c r="K198" s="510"/>
    </row>
    <row r="199" spans="1:19" hidden="1">
      <c r="A199" s="618"/>
      <c r="B199" s="623" t="s">
        <v>534</v>
      </c>
      <c r="C199" s="630"/>
      <c r="D199" s="626"/>
      <c r="E199" s="626"/>
      <c r="F199" s="626"/>
      <c r="G199" s="626"/>
      <c r="H199" s="596">
        <f t="shared" si="15"/>
        <v>0</v>
      </c>
      <c r="I199" s="627"/>
      <c r="J199" s="629"/>
      <c r="K199" s="510"/>
    </row>
    <row r="200" spans="1:19" hidden="1">
      <c r="A200" s="618"/>
      <c r="B200" s="623" t="s">
        <v>535</v>
      </c>
      <c r="C200" s="630"/>
      <c r="D200" s="626"/>
      <c r="E200" s="626"/>
      <c r="F200" s="626"/>
      <c r="G200" s="626"/>
      <c r="H200" s="596">
        <f t="shared" si="15"/>
        <v>0</v>
      </c>
      <c r="I200" s="631"/>
      <c r="J200" s="629"/>
      <c r="K200" s="510"/>
    </row>
    <row r="201" spans="1:19" hidden="1">
      <c r="A201" s="618"/>
      <c r="B201" s="623" t="s">
        <v>536</v>
      </c>
      <c r="C201" s="630"/>
      <c r="D201" s="626"/>
      <c r="E201" s="626"/>
      <c r="F201" s="626"/>
      <c r="G201" s="626"/>
      <c r="H201" s="596">
        <f t="shared" si="15"/>
        <v>0</v>
      </c>
      <c r="I201" s="627"/>
      <c r="J201" s="629"/>
      <c r="K201" s="510"/>
    </row>
    <row r="202" spans="1:19" hidden="1">
      <c r="A202" s="618"/>
      <c r="B202" s="623" t="s">
        <v>537</v>
      </c>
      <c r="C202" s="630"/>
      <c r="D202" s="626"/>
      <c r="E202" s="626"/>
      <c r="F202" s="626"/>
      <c r="G202" s="626"/>
      <c r="H202" s="596">
        <f t="shared" si="15"/>
        <v>0</v>
      </c>
      <c r="I202" s="631"/>
      <c r="J202" s="629"/>
      <c r="K202" s="510"/>
    </row>
    <row r="203" spans="1:19" hidden="1">
      <c r="A203" s="618"/>
      <c r="B203" s="623" t="s">
        <v>538</v>
      </c>
      <c r="C203" s="630"/>
      <c r="D203" s="626"/>
      <c r="E203" s="626"/>
      <c r="F203" s="626"/>
      <c r="G203" s="626"/>
      <c r="H203" s="596">
        <f t="shared" si="15"/>
        <v>0</v>
      </c>
      <c r="I203" s="627"/>
      <c r="J203" s="629"/>
      <c r="K203" s="510"/>
    </row>
    <row r="204" spans="1:19" hidden="1">
      <c r="A204" s="618"/>
      <c r="B204" s="623" t="s">
        <v>539</v>
      </c>
      <c r="C204" s="630"/>
      <c r="D204" s="626"/>
      <c r="E204" s="626"/>
      <c r="F204" s="626"/>
      <c r="G204" s="626"/>
      <c r="H204" s="596">
        <f t="shared" si="15"/>
        <v>0</v>
      </c>
      <c r="I204" s="631"/>
      <c r="J204" s="629"/>
      <c r="K204" s="510"/>
    </row>
    <row r="205" spans="1:19" hidden="1">
      <c r="A205" s="618"/>
      <c r="B205" s="623" t="s">
        <v>540</v>
      </c>
      <c r="C205" s="630"/>
      <c r="D205" s="626"/>
      <c r="E205" s="626"/>
      <c r="F205" s="626"/>
      <c r="G205" s="626"/>
      <c r="H205" s="596">
        <f t="shared" si="15"/>
        <v>0</v>
      </c>
      <c r="I205" s="632"/>
      <c r="J205" s="633"/>
      <c r="K205" s="510"/>
    </row>
    <row r="206" spans="1:19" hidden="1">
      <c r="A206" s="618"/>
      <c r="B206" s="623" t="s">
        <v>560</v>
      </c>
      <c r="C206" s="630"/>
      <c r="D206" s="626"/>
      <c r="E206" s="626"/>
      <c r="F206" s="626"/>
      <c r="G206" s="626"/>
      <c r="H206" s="596">
        <f t="shared" si="15"/>
        <v>0</v>
      </c>
      <c r="I206" s="634"/>
      <c r="J206" s="510"/>
      <c r="K206" s="510"/>
    </row>
    <row r="207" spans="1:19" hidden="1">
      <c r="A207" s="618"/>
      <c r="B207" s="514" t="s">
        <v>541</v>
      </c>
      <c r="C207" s="635" t="s">
        <v>47</v>
      </c>
      <c r="D207" s="636"/>
      <c r="E207" s="637"/>
      <c r="F207" s="636"/>
      <c r="G207" s="637"/>
      <c r="H207" s="596">
        <f>E207+G207</f>
        <v>0</v>
      </c>
      <c r="I207" s="759"/>
      <c r="J207" s="760"/>
      <c r="K207" s="510"/>
    </row>
    <row r="208" spans="1:19" hidden="1">
      <c r="A208" s="618"/>
      <c r="B208" s="514" t="s">
        <v>542</v>
      </c>
      <c r="C208" s="635" t="s">
        <v>161</v>
      </c>
      <c r="D208" s="636"/>
      <c r="E208" s="637"/>
      <c r="F208" s="636"/>
      <c r="G208" s="637"/>
      <c r="H208" s="596">
        <f>E208+G208</f>
        <v>0</v>
      </c>
      <c r="I208" s="510"/>
      <c r="J208" s="510"/>
      <c r="K208" s="510"/>
    </row>
    <row r="209" spans="1:11" ht="84" hidden="1">
      <c r="A209" s="618"/>
      <c r="B209" s="514" t="s">
        <v>543</v>
      </c>
      <c r="C209" s="635" t="s">
        <v>678</v>
      </c>
      <c r="D209" s="636"/>
      <c r="E209" s="638"/>
      <c r="F209" s="639"/>
      <c r="G209" s="640"/>
      <c r="H209" s="510">
        <f>E209</f>
        <v>0</v>
      </c>
      <c r="I209" s="510"/>
      <c r="J209" s="510"/>
      <c r="K209" s="510"/>
    </row>
    <row r="210" spans="1:11" hidden="1">
      <c r="A210" s="618"/>
      <c r="B210" s="514" t="s">
        <v>544</v>
      </c>
      <c r="C210" s="635" t="s">
        <v>669</v>
      </c>
      <c r="D210" s="636"/>
      <c r="E210" s="624"/>
      <c r="F210" s="510"/>
      <c r="G210" s="578"/>
      <c r="H210" s="510">
        <f t="shared" ref="H210:H211" si="16">E210</f>
        <v>0</v>
      </c>
      <c r="I210" s="578"/>
      <c r="J210" s="578"/>
      <c r="K210" s="510"/>
    </row>
    <row r="211" spans="1:11" hidden="1">
      <c r="A211" s="618"/>
      <c r="B211" s="514" t="s">
        <v>545</v>
      </c>
      <c r="C211" s="635" t="s">
        <v>49</v>
      </c>
      <c r="D211" s="636"/>
      <c r="E211" s="641"/>
      <c r="F211" s="510"/>
      <c r="G211" s="578"/>
      <c r="H211" s="510">
        <f t="shared" si="16"/>
        <v>0</v>
      </c>
      <c r="I211" s="578"/>
      <c r="J211" s="578"/>
      <c r="K211" s="510"/>
    </row>
    <row r="212" spans="1:11" hidden="1">
      <c r="A212" s="642"/>
      <c r="B212" s="514" t="s">
        <v>546</v>
      </c>
      <c r="C212" s="619"/>
      <c r="D212" s="620"/>
      <c r="E212" s="620"/>
      <c r="F212" s="620"/>
      <c r="G212" s="620"/>
      <c r="H212" s="596">
        <f>D212+E212+F212+G212</f>
        <v>0</v>
      </c>
      <c r="I212" s="621"/>
      <c r="J212" s="622"/>
      <c r="K212" s="510"/>
    </row>
    <row r="213" spans="1:11" hidden="1">
      <c r="A213" s="642"/>
      <c r="B213" s="623" t="s">
        <v>547</v>
      </c>
      <c r="C213" s="619"/>
      <c r="D213" s="624"/>
      <c r="E213" s="625"/>
      <c r="F213" s="626"/>
      <c r="G213" s="626"/>
      <c r="H213" s="596">
        <f t="shared" ref="H213:H241" si="17">D213+E213+F213+G213</f>
        <v>0</v>
      </c>
      <c r="I213" s="621"/>
      <c r="J213" s="622"/>
      <c r="K213" s="510"/>
    </row>
    <row r="214" spans="1:11" hidden="1">
      <c r="A214" s="642"/>
      <c r="B214" s="514" t="s">
        <v>548</v>
      </c>
      <c r="C214" s="619"/>
      <c r="D214" s="620"/>
      <c r="E214" s="620"/>
      <c r="F214" s="620"/>
      <c r="G214" s="620"/>
      <c r="H214" s="596">
        <f t="shared" si="17"/>
        <v>0</v>
      </c>
      <c r="I214" s="621"/>
      <c r="J214" s="622"/>
      <c r="K214" s="510"/>
    </row>
    <row r="215" spans="1:11" hidden="1">
      <c r="A215" s="642"/>
      <c r="B215" s="623" t="s">
        <v>549</v>
      </c>
      <c r="C215" s="628"/>
      <c r="D215" s="626"/>
      <c r="E215" s="626"/>
      <c r="F215" s="626"/>
      <c r="G215" s="626"/>
      <c r="H215" s="596">
        <f t="shared" si="17"/>
        <v>0</v>
      </c>
      <c r="I215" s="621"/>
      <c r="J215" s="622"/>
      <c r="K215" s="510"/>
    </row>
    <row r="216" spans="1:11" hidden="1">
      <c r="A216" s="642"/>
      <c r="B216" s="623" t="s">
        <v>550</v>
      </c>
      <c r="C216" s="630"/>
      <c r="D216" s="626"/>
      <c r="E216" s="626"/>
      <c r="F216" s="626"/>
      <c r="G216" s="626"/>
      <c r="H216" s="596">
        <f t="shared" si="17"/>
        <v>0</v>
      </c>
      <c r="I216" s="621"/>
      <c r="J216" s="622"/>
      <c r="K216" s="510"/>
    </row>
    <row r="217" spans="1:11" hidden="1">
      <c r="A217" s="642"/>
      <c r="B217" s="623" t="s">
        <v>551</v>
      </c>
      <c r="C217" s="630"/>
      <c r="D217" s="626"/>
      <c r="E217" s="626"/>
      <c r="F217" s="626"/>
      <c r="G217" s="626"/>
      <c r="H217" s="596">
        <f t="shared" si="17"/>
        <v>0</v>
      </c>
      <c r="I217" s="621"/>
      <c r="J217" s="622"/>
      <c r="K217" s="510"/>
    </row>
    <row r="218" spans="1:11" hidden="1">
      <c r="A218" s="642"/>
      <c r="B218" s="623" t="s">
        <v>552</v>
      </c>
      <c r="C218" s="630"/>
      <c r="D218" s="626"/>
      <c r="E218" s="626"/>
      <c r="F218" s="626"/>
      <c r="G218" s="626"/>
      <c r="H218" s="596">
        <f t="shared" si="17"/>
        <v>0</v>
      </c>
      <c r="I218" s="621"/>
      <c r="J218" s="622"/>
      <c r="K218" s="510"/>
    </row>
    <row r="219" spans="1:11" hidden="1">
      <c r="A219" s="642"/>
      <c r="B219" s="623" t="s">
        <v>553</v>
      </c>
      <c r="C219" s="630"/>
      <c r="D219" s="626"/>
      <c r="E219" s="626"/>
      <c r="F219" s="626"/>
      <c r="G219" s="626"/>
      <c r="H219" s="596">
        <f t="shared" si="17"/>
        <v>0</v>
      </c>
      <c r="I219" s="621"/>
      <c r="J219" s="622"/>
      <c r="K219" s="510"/>
    </row>
    <row r="220" spans="1:11" hidden="1">
      <c r="A220" s="642"/>
      <c r="B220" s="623" t="s">
        <v>554</v>
      </c>
      <c r="C220" s="630"/>
      <c r="D220" s="626"/>
      <c r="E220" s="626"/>
      <c r="F220" s="626"/>
      <c r="G220" s="626"/>
      <c r="H220" s="596">
        <f t="shared" si="17"/>
        <v>0</v>
      </c>
      <c r="I220" s="621"/>
      <c r="J220" s="622"/>
      <c r="K220" s="510"/>
    </row>
    <row r="221" spans="1:11" hidden="1">
      <c r="A221" s="642"/>
      <c r="B221" s="623" t="s">
        <v>555</v>
      </c>
      <c r="C221" s="630"/>
      <c r="D221" s="626"/>
      <c r="E221" s="626"/>
      <c r="F221" s="626"/>
      <c r="G221" s="626"/>
      <c r="H221" s="596">
        <f t="shared" si="17"/>
        <v>0</v>
      </c>
      <c r="I221" s="621"/>
      <c r="J221" s="622"/>
      <c r="K221" s="510"/>
    </row>
    <row r="222" spans="1:11" hidden="1">
      <c r="A222" s="642"/>
      <c r="B222" s="623" t="s">
        <v>556</v>
      </c>
      <c r="C222" s="630"/>
      <c r="D222" s="626"/>
      <c r="E222" s="626"/>
      <c r="F222" s="626"/>
      <c r="G222" s="626"/>
      <c r="H222" s="596">
        <f t="shared" si="17"/>
        <v>0</v>
      </c>
      <c r="I222" s="621"/>
      <c r="J222" s="622"/>
      <c r="K222" s="510"/>
    </row>
    <row r="223" spans="1:11" hidden="1">
      <c r="A223" s="642"/>
      <c r="B223" s="623" t="s">
        <v>557</v>
      </c>
      <c r="C223" s="630"/>
      <c r="D223" s="626"/>
      <c r="E223" s="626"/>
      <c r="F223" s="626"/>
      <c r="G223" s="626"/>
      <c r="H223" s="596">
        <f t="shared" si="17"/>
        <v>0</v>
      </c>
      <c r="I223" s="621"/>
      <c r="J223" s="622"/>
      <c r="K223" s="510"/>
    </row>
    <row r="224" spans="1:11" hidden="1">
      <c r="A224" s="642"/>
      <c r="B224" s="623" t="s">
        <v>558</v>
      </c>
      <c r="C224" s="630"/>
      <c r="D224" s="626"/>
      <c r="E224" s="626"/>
      <c r="F224" s="626"/>
      <c r="G224" s="626"/>
      <c r="H224" s="596">
        <f t="shared" si="17"/>
        <v>0</v>
      </c>
      <c r="I224" s="621"/>
      <c r="J224" s="622"/>
      <c r="K224" s="510"/>
    </row>
    <row r="225" spans="1:11" hidden="1">
      <c r="A225" s="642"/>
      <c r="B225" s="623" t="s">
        <v>559</v>
      </c>
      <c r="C225" s="630"/>
      <c r="D225" s="626"/>
      <c r="E225" s="626"/>
      <c r="F225" s="626"/>
      <c r="G225" s="626"/>
      <c r="H225" s="596">
        <f t="shared" si="17"/>
        <v>0</v>
      </c>
      <c r="I225" s="621"/>
      <c r="J225" s="622"/>
      <c r="K225" s="510"/>
    </row>
    <row r="226" spans="1:11" hidden="1">
      <c r="A226" s="642"/>
      <c r="B226" s="623" t="s">
        <v>561</v>
      </c>
      <c r="C226" s="630"/>
      <c r="D226" s="626"/>
      <c r="E226" s="626"/>
      <c r="F226" s="626"/>
      <c r="G226" s="626"/>
      <c r="H226" s="596">
        <f t="shared" si="17"/>
        <v>0</v>
      </c>
      <c r="I226" s="621"/>
      <c r="J226" s="622"/>
      <c r="K226" s="510"/>
    </row>
    <row r="227" spans="1:11">
      <c r="A227" s="642"/>
      <c r="B227" s="623" t="s">
        <v>603</v>
      </c>
      <c r="C227" s="643" t="s">
        <v>686</v>
      </c>
      <c r="D227" s="626">
        <f>SUM(((D150+D172)*D10)+(D150+D172))*0.05</f>
        <v>540</v>
      </c>
      <c r="E227" s="626">
        <f>SUM(((E150+E172)*E10)+(E150+E172))*0.05</f>
        <v>0</v>
      </c>
      <c r="F227" s="626">
        <f>SUM(((F150+F172)*D10)+(F150+F172))*0.05</f>
        <v>0</v>
      </c>
      <c r="G227" s="626">
        <f>SUM(((G150+G172)*E10)+(G150+G172))*0.05</f>
        <v>0</v>
      </c>
      <c r="H227" s="596">
        <f t="shared" si="17"/>
        <v>540</v>
      </c>
      <c r="I227" s="621"/>
      <c r="J227" s="622"/>
      <c r="K227" s="510"/>
    </row>
    <row r="228" spans="1:11" hidden="1">
      <c r="A228" s="642"/>
      <c r="B228" s="623" t="s">
        <v>604</v>
      </c>
      <c r="C228" s="630"/>
      <c r="D228" s="626"/>
      <c r="E228" s="626"/>
      <c r="F228" s="626"/>
      <c r="G228" s="626"/>
      <c r="H228" s="596">
        <f t="shared" si="17"/>
        <v>0</v>
      </c>
      <c r="I228" s="621"/>
      <c r="J228" s="622"/>
      <c r="K228" s="510"/>
    </row>
    <row r="229" spans="1:11" hidden="1">
      <c r="A229" s="642"/>
      <c r="B229" s="514" t="s">
        <v>605</v>
      </c>
      <c r="C229" s="630"/>
      <c r="D229" s="626"/>
      <c r="E229" s="626"/>
      <c r="F229" s="626"/>
      <c r="G229" s="626"/>
      <c r="H229" s="596">
        <f t="shared" si="17"/>
        <v>0</v>
      </c>
      <c r="I229" s="621"/>
      <c r="J229" s="622"/>
      <c r="K229" s="510"/>
    </row>
    <row r="230" spans="1:11" hidden="1">
      <c r="A230" s="642"/>
      <c r="B230" s="623" t="s">
        <v>606</v>
      </c>
      <c r="C230" s="630"/>
      <c r="D230" s="626"/>
      <c r="E230" s="626"/>
      <c r="F230" s="626"/>
      <c r="G230" s="626"/>
      <c r="H230" s="596">
        <f t="shared" si="17"/>
        <v>0</v>
      </c>
      <c r="I230" s="621"/>
      <c r="J230" s="622"/>
      <c r="K230" s="510"/>
    </row>
    <row r="231" spans="1:11" hidden="1">
      <c r="A231" s="642"/>
      <c r="B231" s="623" t="s">
        <v>607</v>
      </c>
      <c r="C231" s="630"/>
      <c r="D231" s="626"/>
      <c r="E231" s="626"/>
      <c r="F231" s="626"/>
      <c r="G231" s="626"/>
      <c r="H231" s="596">
        <f t="shared" si="17"/>
        <v>0</v>
      </c>
      <c r="I231" s="621"/>
      <c r="J231" s="622"/>
      <c r="K231" s="510"/>
    </row>
    <row r="232" spans="1:11" hidden="1">
      <c r="A232" s="642"/>
      <c r="B232" s="623" t="s">
        <v>608</v>
      </c>
      <c r="C232" s="630"/>
      <c r="D232" s="626"/>
      <c r="E232" s="626"/>
      <c r="F232" s="626"/>
      <c r="G232" s="626"/>
      <c r="H232" s="596">
        <f t="shared" si="17"/>
        <v>0</v>
      </c>
      <c r="I232" s="621"/>
      <c r="J232" s="622"/>
      <c r="K232" s="510"/>
    </row>
    <row r="233" spans="1:11" hidden="1">
      <c r="A233" s="642"/>
      <c r="B233" s="623" t="s">
        <v>609</v>
      </c>
      <c r="C233" s="630"/>
      <c r="D233" s="626"/>
      <c r="E233" s="626"/>
      <c r="F233" s="626"/>
      <c r="G233" s="626"/>
      <c r="H233" s="596">
        <f t="shared" si="17"/>
        <v>0</v>
      </c>
      <c r="I233" s="621"/>
      <c r="J233" s="622"/>
      <c r="K233" s="510"/>
    </row>
    <row r="234" spans="1:11" hidden="1">
      <c r="A234" s="642"/>
      <c r="B234" s="623" t="s">
        <v>610</v>
      </c>
      <c r="C234" s="630"/>
      <c r="D234" s="626"/>
      <c r="E234" s="626"/>
      <c r="F234" s="626"/>
      <c r="G234" s="626"/>
      <c r="H234" s="596">
        <f t="shared" si="17"/>
        <v>0</v>
      </c>
      <c r="I234" s="621"/>
      <c r="J234" s="622"/>
      <c r="K234" s="510"/>
    </row>
    <row r="235" spans="1:11" hidden="1">
      <c r="A235" s="642"/>
      <c r="B235" s="623" t="s">
        <v>611</v>
      </c>
      <c r="C235" s="630"/>
      <c r="D235" s="626"/>
      <c r="E235" s="626"/>
      <c r="F235" s="626"/>
      <c r="G235" s="626"/>
      <c r="H235" s="596">
        <f t="shared" si="17"/>
        <v>0</v>
      </c>
      <c r="I235" s="621"/>
      <c r="J235" s="622"/>
      <c r="K235" s="510"/>
    </row>
    <row r="236" spans="1:11" hidden="1">
      <c r="A236" s="642"/>
      <c r="B236" s="623" t="s">
        <v>612</v>
      </c>
      <c r="C236" s="630"/>
      <c r="D236" s="626"/>
      <c r="E236" s="626"/>
      <c r="F236" s="626"/>
      <c r="G236" s="626"/>
      <c r="H236" s="596">
        <f t="shared" si="17"/>
        <v>0</v>
      </c>
      <c r="I236" s="621"/>
      <c r="J236" s="622"/>
      <c r="K236" s="510"/>
    </row>
    <row r="237" spans="1:11" hidden="1">
      <c r="A237" s="642"/>
      <c r="B237" s="623" t="s">
        <v>613</v>
      </c>
      <c r="C237" s="630"/>
      <c r="D237" s="626"/>
      <c r="E237" s="626"/>
      <c r="F237" s="626"/>
      <c r="G237" s="626"/>
      <c r="H237" s="596">
        <f t="shared" si="17"/>
        <v>0</v>
      </c>
      <c r="I237" s="621"/>
      <c r="J237" s="622"/>
      <c r="K237" s="510"/>
    </row>
    <row r="238" spans="1:11" hidden="1">
      <c r="A238" s="642"/>
      <c r="B238" s="623" t="s">
        <v>614</v>
      </c>
      <c r="C238" s="630"/>
      <c r="D238" s="626"/>
      <c r="E238" s="626"/>
      <c r="F238" s="626"/>
      <c r="G238" s="626"/>
      <c r="H238" s="596">
        <f t="shared" si="17"/>
        <v>0</v>
      </c>
      <c r="I238" s="621"/>
      <c r="J238" s="622"/>
      <c r="K238" s="510"/>
    </row>
    <row r="239" spans="1:11" hidden="1">
      <c r="A239" s="642"/>
      <c r="B239" s="623" t="s">
        <v>615</v>
      </c>
      <c r="C239" s="630"/>
      <c r="D239" s="626"/>
      <c r="E239" s="626"/>
      <c r="F239" s="626"/>
      <c r="G239" s="626"/>
      <c r="H239" s="596">
        <f t="shared" si="17"/>
        <v>0</v>
      </c>
      <c r="I239" s="621"/>
      <c r="J239" s="622"/>
      <c r="K239" s="510"/>
    </row>
    <row r="240" spans="1:11" hidden="1">
      <c r="A240" s="642"/>
      <c r="B240" s="623" t="s">
        <v>616</v>
      </c>
      <c r="C240" s="630"/>
      <c r="D240" s="626"/>
      <c r="E240" s="626"/>
      <c r="F240" s="626"/>
      <c r="G240" s="626"/>
      <c r="H240" s="596">
        <f t="shared" si="17"/>
        <v>0</v>
      </c>
      <c r="I240" s="621"/>
      <c r="J240" s="622"/>
      <c r="K240" s="510"/>
    </row>
    <row r="241" spans="1:11" hidden="1">
      <c r="A241" s="642"/>
      <c r="B241" s="623" t="s">
        <v>617</v>
      </c>
      <c r="C241" s="630"/>
      <c r="D241" s="626"/>
      <c r="E241" s="626"/>
      <c r="F241" s="626"/>
      <c r="G241" s="626"/>
      <c r="H241" s="596">
        <f t="shared" si="17"/>
        <v>0</v>
      </c>
      <c r="I241" s="621"/>
      <c r="J241" s="622"/>
      <c r="K241" s="510"/>
    </row>
    <row r="242" spans="1:11" hidden="1">
      <c r="A242" s="642"/>
      <c r="B242" s="514" t="s">
        <v>664</v>
      </c>
      <c r="C242" s="635" t="s">
        <v>47</v>
      </c>
      <c r="D242" s="636"/>
      <c r="E242" s="637"/>
      <c r="F242" s="636"/>
      <c r="G242" s="637"/>
      <c r="H242" s="644">
        <f>G242+E242</f>
        <v>0</v>
      </c>
      <c r="I242" s="621"/>
      <c r="J242" s="622"/>
      <c r="K242" s="510"/>
    </row>
    <row r="243" spans="1:11" hidden="1">
      <c r="A243" s="642"/>
      <c r="B243" s="514" t="s">
        <v>665</v>
      </c>
      <c r="C243" s="635" t="s">
        <v>161</v>
      </c>
      <c r="D243" s="636"/>
      <c r="E243" s="645"/>
      <c r="F243" s="636"/>
      <c r="G243" s="637"/>
      <c r="H243" s="644">
        <f>G243+E243</f>
        <v>0</v>
      </c>
      <c r="I243" s="621"/>
      <c r="J243" s="622"/>
      <c r="K243" s="510"/>
    </row>
    <row r="244" spans="1:11" ht="84">
      <c r="A244" s="642"/>
      <c r="B244" s="514" t="s">
        <v>666</v>
      </c>
      <c r="C244" s="635" t="s">
        <v>678</v>
      </c>
      <c r="D244" s="636"/>
      <c r="E244" s="638">
        <f>SUM(H227+H228+H229+H230+H231+H232+H233+H234+H235+H236+H237+H238+H239+H240+H241+H242+H243)</f>
        <v>540</v>
      </c>
      <c r="F244" s="639"/>
      <c r="G244" s="640"/>
      <c r="H244" s="646">
        <f>E244</f>
        <v>540</v>
      </c>
      <c r="I244" s="621"/>
      <c r="J244" s="622"/>
      <c r="K244" s="510"/>
    </row>
    <row r="245" spans="1:11">
      <c r="A245" s="642"/>
      <c r="B245" s="514" t="s">
        <v>667</v>
      </c>
      <c r="C245" s="635" t="s">
        <v>669</v>
      </c>
      <c r="D245" s="636"/>
      <c r="E245" s="624">
        <f>SUM((D168+E168+F168+G168)-E244)</f>
        <v>33060</v>
      </c>
      <c r="F245" s="510"/>
      <c r="G245" s="578"/>
      <c r="H245" s="578">
        <f>E245</f>
        <v>33060</v>
      </c>
      <c r="I245" s="621"/>
      <c r="J245" s="622"/>
      <c r="K245" s="510"/>
    </row>
    <row r="246" spans="1:11">
      <c r="A246" s="642"/>
      <c r="B246" s="514" t="s">
        <v>673</v>
      </c>
      <c r="C246" s="635" t="s">
        <v>674</v>
      </c>
      <c r="D246" s="636"/>
      <c r="E246" s="624">
        <f>SUM(D190+E190+F190+G190)</f>
        <v>4800</v>
      </c>
      <c r="F246" s="510"/>
      <c r="G246" s="578"/>
      <c r="H246" s="578">
        <f>E246</f>
        <v>4800</v>
      </c>
      <c r="I246" s="621"/>
      <c r="J246" s="622"/>
      <c r="K246" s="510"/>
    </row>
    <row r="247" spans="1:11" hidden="1">
      <c r="A247" s="642"/>
      <c r="B247" s="514" t="s">
        <v>668</v>
      </c>
      <c r="C247" s="635" t="s">
        <v>670</v>
      </c>
      <c r="D247" s="636"/>
      <c r="E247" s="641">
        <f>SUM(F147+F158+F160+F162+F163+F164+G147+G158+G160+G162+G163+G164)</f>
        <v>27600</v>
      </c>
      <c r="F247" s="510"/>
      <c r="G247" s="578"/>
      <c r="H247" s="578">
        <f>E247</f>
        <v>27600</v>
      </c>
      <c r="I247" s="621"/>
      <c r="J247" s="622"/>
      <c r="K247" s="510"/>
    </row>
    <row r="248" spans="1:11" hidden="1">
      <c r="A248" s="642"/>
      <c r="B248" s="514" t="s">
        <v>672</v>
      </c>
      <c r="C248" s="635" t="s">
        <v>671</v>
      </c>
      <c r="D248" s="636"/>
      <c r="E248" s="647">
        <f>SUM(F169+F180+F182+F184+F185+F186+G169+G180+G182+G184+G185+G186)</f>
        <v>0</v>
      </c>
      <c r="F248" s="510"/>
      <c r="G248" s="578"/>
      <c r="H248" s="648">
        <f>E248</f>
        <v>0</v>
      </c>
      <c r="I248" s="621"/>
      <c r="J248" s="622"/>
      <c r="K248" s="510"/>
    </row>
    <row r="249" spans="1:11" hidden="1">
      <c r="A249" s="642"/>
      <c r="B249" s="514" t="s">
        <v>618</v>
      </c>
      <c r="C249" s="635" t="s">
        <v>47</v>
      </c>
      <c r="D249" s="636"/>
      <c r="E249" s="637"/>
      <c r="F249" s="636"/>
      <c r="G249" s="637"/>
      <c r="H249" s="644">
        <f>G249+E249</f>
        <v>0</v>
      </c>
      <c r="I249" s="621"/>
      <c r="J249" s="622"/>
      <c r="K249" s="510"/>
    </row>
    <row r="250" spans="1:11" hidden="1">
      <c r="A250" s="642"/>
      <c r="B250" s="514" t="s">
        <v>619</v>
      </c>
      <c r="C250" s="635" t="s">
        <v>161</v>
      </c>
      <c r="D250" s="636"/>
      <c r="E250" s="645"/>
      <c r="F250" s="636"/>
      <c r="G250" s="637"/>
      <c r="H250" s="644">
        <f>G250+E250</f>
        <v>0</v>
      </c>
      <c r="I250" s="621"/>
      <c r="J250" s="622"/>
      <c r="K250" s="510"/>
    </row>
    <row r="251" spans="1:11" ht="84" hidden="1">
      <c r="A251" s="642"/>
      <c r="B251" s="514" t="s">
        <v>620</v>
      </c>
      <c r="C251" s="635" t="s">
        <v>678</v>
      </c>
      <c r="D251" s="636"/>
      <c r="E251" s="638"/>
      <c r="F251" s="639"/>
      <c r="G251" s="640"/>
      <c r="H251" s="646">
        <f>F251+E251</f>
        <v>0</v>
      </c>
      <c r="I251" s="510"/>
      <c r="J251" s="510"/>
      <c r="K251" s="510"/>
    </row>
    <row r="252" spans="1:11" hidden="1">
      <c r="A252" s="642"/>
      <c r="B252" s="514" t="s">
        <v>621</v>
      </c>
      <c r="C252" s="635" t="s">
        <v>48</v>
      </c>
      <c r="D252" s="636"/>
      <c r="E252" s="624"/>
      <c r="F252" s="510"/>
      <c r="G252" s="578"/>
      <c r="H252" s="649">
        <f>E252</f>
        <v>0</v>
      </c>
      <c r="I252" s="578"/>
      <c r="J252" s="578"/>
      <c r="K252" s="510"/>
    </row>
    <row r="253" spans="1:11" hidden="1">
      <c r="A253" s="634"/>
      <c r="B253" s="514" t="s">
        <v>622</v>
      </c>
      <c r="C253" s="635" t="s">
        <v>49</v>
      </c>
      <c r="D253" s="636"/>
      <c r="E253" s="641"/>
      <c r="F253" s="510"/>
      <c r="G253" s="578"/>
      <c r="H253" s="650">
        <f>E253</f>
        <v>0</v>
      </c>
      <c r="I253" s="578"/>
      <c r="J253" s="578"/>
      <c r="K253" s="510"/>
    </row>
    <row r="254" spans="1:11">
      <c r="B254" s="651" t="s">
        <v>632</v>
      </c>
      <c r="C254" s="652" t="s">
        <v>630</v>
      </c>
      <c r="D254" s="636"/>
      <c r="E254" s="653">
        <f>SUM(E245-E247)</f>
        <v>5460</v>
      </c>
      <c r="F254" s="510"/>
      <c r="G254" s="510"/>
      <c r="H254" s="654">
        <f>E254</f>
        <v>5460</v>
      </c>
      <c r="I254" s="548"/>
      <c r="J254" s="548"/>
      <c r="K254" s="510"/>
    </row>
    <row r="255" spans="1:11">
      <c r="B255" s="651" t="s">
        <v>633</v>
      </c>
      <c r="C255" s="652" t="s">
        <v>631</v>
      </c>
      <c r="D255" s="636"/>
      <c r="E255" s="653">
        <f>SUM((D190+E190+F190+G190)-E251)</f>
        <v>4800</v>
      </c>
      <c r="F255" s="510"/>
      <c r="G255" s="510"/>
      <c r="H255" s="654">
        <f>E255</f>
        <v>4800</v>
      </c>
      <c r="I255" s="548"/>
      <c r="J255" s="548"/>
      <c r="K255" s="510"/>
    </row>
    <row r="256" spans="1:11" hidden="1">
      <c r="B256" s="655">
        <v>18</v>
      </c>
      <c r="C256" s="656" t="s">
        <v>175</v>
      </c>
      <c r="D256" s="772" t="str">
        <f>IF(S194&lt;=0,"sans objet",S194)</f>
        <v>sans objet</v>
      </c>
      <c r="E256" s="772"/>
      <c r="F256" s="510"/>
      <c r="G256" s="510"/>
      <c r="H256" s="510"/>
      <c r="I256" s="510"/>
      <c r="J256" s="510"/>
      <c r="K256" s="510"/>
    </row>
    <row r="257" spans="2:34" hidden="1">
      <c r="B257" s="655">
        <v>19</v>
      </c>
      <c r="C257" s="656" t="s">
        <v>203</v>
      </c>
      <c r="D257" s="772">
        <f>D148+E148+D166+E166</f>
        <v>0</v>
      </c>
      <c r="E257" s="772"/>
      <c r="F257" s="510"/>
      <c r="G257" s="510"/>
      <c r="H257" s="510"/>
      <c r="I257" s="510"/>
      <c r="J257" s="510"/>
      <c r="K257" s="510"/>
    </row>
    <row r="258" spans="2:34" hidden="1">
      <c r="B258" s="655"/>
      <c r="C258" s="656" t="s">
        <v>338</v>
      </c>
      <c r="D258" s="769">
        <f>D207+D208</f>
        <v>0</v>
      </c>
      <c r="E258" s="770"/>
      <c r="F258" s="510"/>
      <c r="G258" s="657"/>
      <c r="H258" s="510"/>
      <c r="I258" s="510"/>
      <c r="J258" s="510"/>
      <c r="K258" s="510"/>
    </row>
    <row r="259" spans="2:34" hidden="1">
      <c r="B259" s="658">
        <v>20</v>
      </c>
      <c r="C259" s="659" t="s">
        <v>339</v>
      </c>
      <c r="D259" s="766">
        <f>IF(D256="sans objet",E254,E254+D256)</f>
        <v>5460</v>
      </c>
      <c r="E259" s="766"/>
      <c r="F259" s="510"/>
      <c r="G259" s="657"/>
      <c r="H259" s="510"/>
      <c r="I259" s="510"/>
      <c r="J259" s="510"/>
      <c r="K259" s="510"/>
    </row>
    <row r="260" spans="2:34">
      <c r="B260" s="660"/>
      <c r="C260" s="661"/>
      <c r="D260" s="771" t="s">
        <v>59</v>
      </c>
      <c r="E260" s="771"/>
      <c r="F260" s="510"/>
      <c r="G260" s="657"/>
      <c r="H260" s="510"/>
      <c r="I260" s="510"/>
      <c r="J260" s="510"/>
      <c r="K260" s="510"/>
    </row>
    <row r="261" spans="2:34">
      <c r="B261" s="514">
        <v>21</v>
      </c>
      <c r="C261" s="635" t="str">
        <f>IF(F1="DGD","Refaction","Ne rien inscrire avant le DGD")</f>
        <v>Ne rien inscrire avant le DGD</v>
      </c>
      <c r="D261" s="765"/>
      <c r="E261" s="765"/>
      <c r="F261" s="510"/>
      <c r="G261" s="657"/>
      <c r="H261" s="510"/>
      <c r="I261" s="510"/>
      <c r="J261" s="510"/>
      <c r="K261" s="510"/>
    </row>
    <row r="262" spans="2:34">
      <c r="B262" s="510"/>
      <c r="C262" s="510"/>
      <c r="D262" s="510"/>
      <c r="E262" s="510"/>
      <c r="F262" s="510"/>
      <c r="G262" s="510"/>
      <c r="H262" s="510"/>
      <c r="I262" s="510"/>
      <c r="J262" s="510"/>
      <c r="K262" s="510"/>
    </row>
    <row r="263" spans="2:34" ht="166.5">
      <c r="B263" s="510"/>
      <c r="C263" s="662" t="s">
        <v>454</v>
      </c>
      <c r="D263" s="663" t="s">
        <v>54</v>
      </c>
      <c r="E263" s="664" t="s">
        <v>61</v>
      </c>
      <c r="F263" s="664" t="s">
        <v>60</v>
      </c>
      <c r="G263" s="664" t="s">
        <v>62</v>
      </c>
      <c r="H263" s="664" t="s">
        <v>63</v>
      </c>
      <c r="I263" s="665" t="s">
        <v>64</v>
      </c>
      <c r="J263" s="666" t="s">
        <v>468</v>
      </c>
      <c r="K263" s="510"/>
      <c r="AH263" s="509"/>
    </row>
    <row r="264" spans="2:34">
      <c r="B264" s="510"/>
      <c r="C264" s="667" t="str">
        <f>D29</f>
        <v>Titulaire</v>
      </c>
      <c r="D264" s="668" t="str">
        <f>E29</f>
        <v>ERREBA</v>
      </c>
      <c r="E264" s="669">
        <f>SUM(L29+M29+L36+M36+L43+M43+L50+M50+L57+M57+L64+M64+L71+M71+L78+M78)</f>
        <v>5000</v>
      </c>
      <c r="F264" s="669">
        <f>SUM(E264+R27+W20+W21+D164+E164+D160+E160)-D149-E149-D165-E165</f>
        <v>6000</v>
      </c>
      <c r="G264" s="670"/>
      <c r="H264" s="669">
        <f>G264+E264</f>
        <v>5000</v>
      </c>
      <c r="I264" s="671">
        <f>J264-H160-H264</f>
        <v>75000</v>
      </c>
      <c r="J264" s="672">
        <f>H29+H36+H43+H50+H57+H64+H71+H78+H79+H80+H81+H82+H83+H84</f>
        <v>80000</v>
      </c>
      <c r="K264" s="510"/>
      <c r="AH264" s="509"/>
    </row>
    <row r="265" spans="2:34">
      <c r="B265" s="510"/>
      <c r="C265" s="667" t="str">
        <f>D85</f>
        <v>Cotraitant 1</v>
      </c>
      <c r="D265" s="668" t="str">
        <f>E85</f>
        <v>SPIE</v>
      </c>
      <c r="E265" s="669">
        <f>L85+M85+L92+M92+L99+M99+L106+M106+L113+M113+L120+M120+L127+M127</f>
        <v>4000</v>
      </c>
      <c r="F265" s="669">
        <f>SUM(E265+W23+W24+D182+E182+D186+E186)-D171-E171-D187-E187</f>
        <v>4800</v>
      </c>
      <c r="G265" s="670"/>
      <c r="H265" s="669">
        <f>G265+E265</f>
        <v>4000</v>
      </c>
      <c r="I265" s="671">
        <f>J265-H182-H265</f>
        <v>6000</v>
      </c>
      <c r="J265" s="672">
        <f>H85+H92+H99+H106+H113+H120+H127+H134+H135+H136+H137+H138+H139+H140</f>
        <v>10000</v>
      </c>
      <c r="K265" s="510"/>
      <c r="AH265" s="509"/>
    </row>
    <row r="266" spans="2:34" ht="166.5">
      <c r="B266" s="510"/>
      <c r="C266" s="673" t="s">
        <v>454</v>
      </c>
      <c r="D266" s="663" t="s">
        <v>54</v>
      </c>
      <c r="E266" s="664" t="s">
        <v>61</v>
      </c>
      <c r="F266" s="664" t="s">
        <v>60</v>
      </c>
      <c r="G266" s="664" t="s">
        <v>62</v>
      </c>
      <c r="H266" s="664" t="s">
        <v>63</v>
      </c>
      <c r="I266" s="665" t="s">
        <v>64</v>
      </c>
      <c r="J266" s="674" t="s">
        <v>624</v>
      </c>
      <c r="K266" s="510"/>
      <c r="AH266" s="509"/>
    </row>
    <row r="267" spans="2:34" hidden="1">
      <c r="B267" s="510"/>
      <c r="C267" s="675">
        <f t="shared" ref="C267:D272" si="18">D30</f>
        <v>0</v>
      </c>
      <c r="D267" s="676">
        <f t="shared" si="18"/>
        <v>0</v>
      </c>
      <c r="E267" s="677">
        <f t="shared" ref="E267:E314" si="19">I30+J30</f>
        <v>0</v>
      </c>
      <c r="F267" s="677">
        <f t="shared" ref="F267:F272" si="20">IF(C267="ST TVA autoliquidée",E267,(E267+P30))</f>
        <v>0</v>
      </c>
      <c r="G267" s="678"/>
      <c r="H267" s="669">
        <f>G267+E267</f>
        <v>0</v>
      </c>
      <c r="I267" s="671">
        <f>J267-H267</f>
        <v>0</v>
      </c>
      <c r="J267" s="672">
        <f t="shared" ref="J267:J272" si="21">H30</f>
        <v>0</v>
      </c>
      <c r="K267" s="510" t="str">
        <f>IF(C267="ST TVA autoliquidée",E267*0.2,"")</f>
        <v/>
      </c>
      <c r="AH267" s="509"/>
    </row>
    <row r="268" spans="2:34" hidden="1">
      <c r="B268" s="510"/>
      <c r="C268" s="675">
        <f t="shared" si="18"/>
        <v>0</v>
      </c>
      <c r="D268" s="676">
        <f t="shared" si="18"/>
        <v>0</v>
      </c>
      <c r="E268" s="677">
        <f t="shared" si="19"/>
        <v>0</v>
      </c>
      <c r="F268" s="677">
        <f t="shared" si="20"/>
        <v>0</v>
      </c>
      <c r="G268" s="678"/>
      <c r="H268" s="669">
        <f t="shared" ref="H268:H308" si="22">G268+E268</f>
        <v>0</v>
      </c>
      <c r="I268" s="671">
        <f t="shared" ref="I268:I308" si="23">J268-H268</f>
        <v>0</v>
      </c>
      <c r="J268" s="672">
        <f t="shared" si="21"/>
        <v>0</v>
      </c>
      <c r="K268" s="510" t="str">
        <f t="shared" ref="K268:K308" si="24">IF(C268="ST TVA non-autoliquidée",E268*0.2,"")</f>
        <v/>
      </c>
      <c r="AH268" s="509"/>
    </row>
    <row r="269" spans="2:34" hidden="1">
      <c r="B269" s="510"/>
      <c r="C269" s="675">
        <f t="shared" si="18"/>
        <v>0</v>
      </c>
      <c r="D269" s="676">
        <f t="shared" si="18"/>
        <v>0</v>
      </c>
      <c r="E269" s="677">
        <f t="shared" si="19"/>
        <v>0</v>
      </c>
      <c r="F269" s="677">
        <f t="shared" si="20"/>
        <v>0</v>
      </c>
      <c r="G269" s="678"/>
      <c r="H269" s="669">
        <f t="shared" si="22"/>
        <v>0</v>
      </c>
      <c r="I269" s="671">
        <f t="shared" si="23"/>
        <v>0</v>
      </c>
      <c r="J269" s="672">
        <f t="shared" si="21"/>
        <v>0</v>
      </c>
      <c r="K269" s="510" t="str">
        <f t="shared" si="24"/>
        <v/>
      </c>
      <c r="AH269" s="509"/>
    </row>
    <row r="270" spans="2:34" hidden="1">
      <c r="B270" s="510"/>
      <c r="C270" s="675">
        <f t="shared" si="18"/>
        <v>0</v>
      </c>
      <c r="D270" s="676">
        <f t="shared" si="18"/>
        <v>0</v>
      </c>
      <c r="E270" s="677">
        <f t="shared" si="19"/>
        <v>0</v>
      </c>
      <c r="F270" s="677">
        <f t="shared" si="20"/>
        <v>0</v>
      </c>
      <c r="G270" s="678"/>
      <c r="H270" s="669">
        <f t="shared" si="22"/>
        <v>0</v>
      </c>
      <c r="I270" s="671">
        <f t="shared" si="23"/>
        <v>0</v>
      </c>
      <c r="J270" s="672">
        <f t="shared" si="21"/>
        <v>0</v>
      </c>
      <c r="K270" s="510" t="str">
        <f t="shared" si="24"/>
        <v/>
      </c>
      <c r="AH270" s="509"/>
    </row>
    <row r="271" spans="2:34" hidden="1">
      <c r="B271" s="510"/>
      <c r="C271" s="675">
        <f t="shared" si="18"/>
        <v>0</v>
      </c>
      <c r="D271" s="676">
        <f t="shared" si="18"/>
        <v>0</v>
      </c>
      <c r="E271" s="677">
        <f t="shared" si="19"/>
        <v>0</v>
      </c>
      <c r="F271" s="677">
        <f t="shared" si="20"/>
        <v>0</v>
      </c>
      <c r="G271" s="678"/>
      <c r="H271" s="669">
        <f t="shared" si="22"/>
        <v>0</v>
      </c>
      <c r="I271" s="671">
        <f t="shared" si="23"/>
        <v>0</v>
      </c>
      <c r="J271" s="672">
        <f t="shared" si="21"/>
        <v>0</v>
      </c>
      <c r="K271" s="510" t="str">
        <f t="shared" si="24"/>
        <v/>
      </c>
      <c r="AH271" s="509"/>
    </row>
    <row r="272" spans="2:34" hidden="1">
      <c r="B272" s="510"/>
      <c r="C272" s="675">
        <f t="shared" si="18"/>
        <v>0</v>
      </c>
      <c r="D272" s="676">
        <f t="shared" si="18"/>
        <v>0</v>
      </c>
      <c r="E272" s="677">
        <f t="shared" si="19"/>
        <v>0</v>
      </c>
      <c r="F272" s="677">
        <f t="shared" si="20"/>
        <v>0</v>
      </c>
      <c r="G272" s="678"/>
      <c r="H272" s="669">
        <f t="shared" si="22"/>
        <v>0</v>
      </c>
      <c r="I272" s="671">
        <f t="shared" si="23"/>
        <v>0</v>
      </c>
      <c r="J272" s="672">
        <f t="shared" si="21"/>
        <v>0</v>
      </c>
      <c r="K272" s="510" t="str">
        <f t="shared" si="24"/>
        <v/>
      </c>
      <c r="AH272" s="509"/>
    </row>
    <row r="273" spans="2:34" hidden="1">
      <c r="B273" s="510"/>
      <c r="C273" s="675">
        <f t="shared" ref="C273:D278" si="25">D37</f>
        <v>0</v>
      </c>
      <c r="D273" s="676">
        <f t="shared" si="25"/>
        <v>0</v>
      </c>
      <c r="E273" s="677">
        <f t="shared" si="19"/>
        <v>0</v>
      </c>
      <c r="F273" s="677">
        <f t="shared" ref="F273:F278" si="26">IF(C273="ST TVA autoliquidée",E273,(E273+P37))</f>
        <v>0</v>
      </c>
      <c r="G273" s="678"/>
      <c r="H273" s="669">
        <f t="shared" si="22"/>
        <v>0</v>
      </c>
      <c r="I273" s="671">
        <f t="shared" si="23"/>
        <v>0</v>
      </c>
      <c r="J273" s="672">
        <f t="shared" ref="J273:J278" si="27">H37</f>
        <v>0</v>
      </c>
      <c r="K273" s="510" t="str">
        <f t="shared" si="24"/>
        <v/>
      </c>
      <c r="AH273" s="509"/>
    </row>
    <row r="274" spans="2:34" hidden="1">
      <c r="B274" s="510"/>
      <c r="C274" s="675">
        <f t="shared" si="25"/>
        <v>0</v>
      </c>
      <c r="D274" s="676">
        <f t="shared" si="25"/>
        <v>0</v>
      </c>
      <c r="E274" s="677">
        <f t="shared" si="19"/>
        <v>0</v>
      </c>
      <c r="F274" s="677">
        <f t="shared" si="26"/>
        <v>0</v>
      </c>
      <c r="G274" s="678"/>
      <c r="H274" s="669">
        <f t="shared" si="22"/>
        <v>0</v>
      </c>
      <c r="I274" s="671">
        <f t="shared" si="23"/>
        <v>0</v>
      </c>
      <c r="J274" s="672">
        <f t="shared" si="27"/>
        <v>0</v>
      </c>
      <c r="K274" s="510" t="str">
        <f t="shared" si="24"/>
        <v/>
      </c>
      <c r="AH274" s="509"/>
    </row>
    <row r="275" spans="2:34" hidden="1">
      <c r="B275" s="510"/>
      <c r="C275" s="675">
        <f t="shared" si="25"/>
        <v>0</v>
      </c>
      <c r="D275" s="676">
        <f t="shared" si="25"/>
        <v>0</v>
      </c>
      <c r="E275" s="677">
        <f t="shared" si="19"/>
        <v>0</v>
      </c>
      <c r="F275" s="677">
        <f t="shared" si="26"/>
        <v>0</v>
      </c>
      <c r="G275" s="678"/>
      <c r="H275" s="669">
        <f t="shared" si="22"/>
        <v>0</v>
      </c>
      <c r="I275" s="671">
        <f t="shared" si="23"/>
        <v>0</v>
      </c>
      <c r="J275" s="672">
        <f t="shared" si="27"/>
        <v>0</v>
      </c>
      <c r="K275" s="510" t="str">
        <f t="shared" si="24"/>
        <v/>
      </c>
      <c r="AH275" s="509"/>
    </row>
    <row r="276" spans="2:34" hidden="1">
      <c r="B276" s="510"/>
      <c r="C276" s="675">
        <f t="shared" si="25"/>
        <v>0</v>
      </c>
      <c r="D276" s="676">
        <f t="shared" si="25"/>
        <v>0</v>
      </c>
      <c r="E276" s="677">
        <f t="shared" si="19"/>
        <v>0</v>
      </c>
      <c r="F276" s="677">
        <f t="shared" si="26"/>
        <v>0</v>
      </c>
      <c r="G276" s="678"/>
      <c r="H276" s="669">
        <f t="shared" si="22"/>
        <v>0</v>
      </c>
      <c r="I276" s="671">
        <f t="shared" si="23"/>
        <v>0</v>
      </c>
      <c r="J276" s="672">
        <f t="shared" si="27"/>
        <v>0</v>
      </c>
      <c r="K276" s="510" t="str">
        <f t="shared" si="24"/>
        <v/>
      </c>
      <c r="AH276" s="509"/>
    </row>
    <row r="277" spans="2:34" hidden="1">
      <c r="B277" s="510"/>
      <c r="C277" s="675">
        <f t="shared" si="25"/>
        <v>0</v>
      </c>
      <c r="D277" s="676">
        <f t="shared" si="25"/>
        <v>0</v>
      </c>
      <c r="E277" s="677">
        <f t="shared" si="19"/>
        <v>0</v>
      </c>
      <c r="F277" s="677">
        <f t="shared" si="26"/>
        <v>0</v>
      </c>
      <c r="G277" s="678"/>
      <c r="H277" s="669">
        <f t="shared" si="22"/>
        <v>0</v>
      </c>
      <c r="I277" s="671">
        <f t="shared" si="23"/>
        <v>0</v>
      </c>
      <c r="J277" s="672">
        <f t="shared" si="27"/>
        <v>0</v>
      </c>
      <c r="K277" s="510" t="str">
        <f t="shared" si="24"/>
        <v/>
      </c>
      <c r="AH277" s="509"/>
    </row>
    <row r="278" spans="2:34" hidden="1">
      <c r="B278" s="510"/>
      <c r="C278" s="675">
        <f t="shared" si="25"/>
        <v>0</v>
      </c>
      <c r="D278" s="676">
        <f t="shared" si="25"/>
        <v>0</v>
      </c>
      <c r="E278" s="677">
        <f t="shared" si="19"/>
        <v>0</v>
      </c>
      <c r="F278" s="677">
        <f t="shared" si="26"/>
        <v>0</v>
      </c>
      <c r="G278" s="678"/>
      <c r="H278" s="669">
        <f t="shared" si="22"/>
        <v>0</v>
      </c>
      <c r="I278" s="671">
        <f t="shared" si="23"/>
        <v>0</v>
      </c>
      <c r="J278" s="672">
        <f t="shared" si="27"/>
        <v>0</v>
      </c>
      <c r="K278" s="510" t="str">
        <f t="shared" si="24"/>
        <v/>
      </c>
      <c r="AH278" s="509"/>
    </row>
    <row r="279" spans="2:34" hidden="1">
      <c r="B279" s="510"/>
      <c r="C279" s="675">
        <f t="shared" ref="C279:D284" si="28">D44</f>
        <v>0</v>
      </c>
      <c r="D279" s="676">
        <f t="shared" si="28"/>
        <v>0</v>
      </c>
      <c r="E279" s="677">
        <f t="shared" si="19"/>
        <v>0</v>
      </c>
      <c r="F279" s="677">
        <f t="shared" ref="F279:F284" si="29">IF(C279="ST TVA autoliquidée",E279,(E279+P44))</f>
        <v>0</v>
      </c>
      <c r="G279" s="678"/>
      <c r="H279" s="669">
        <f t="shared" si="22"/>
        <v>0</v>
      </c>
      <c r="I279" s="671">
        <f t="shared" si="23"/>
        <v>0</v>
      </c>
      <c r="J279" s="672">
        <f t="shared" ref="J279:J284" si="30">H44</f>
        <v>0</v>
      </c>
      <c r="K279" s="510" t="str">
        <f t="shared" si="24"/>
        <v/>
      </c>
      <c r="AH279" s="509"/>
    </row>
    <row r="280" spans="2:34" hidden="1">
      <c r="B280" s="510"/>
      <c r="C280" s="675">
        <f t="shared" si="28"/>
        <v>0</v>
      </c>
      <c r="D280" s="676">
        <f t="shared" si="28"/>
        <v>0</v>
      </c>
      <c r="E280" s="677">
        <f t="shared" si="19"/>
        <v>0</v>
      </c>
      <c r="F280" s="677">
        <f t="shared" si="29"/>
        <v>0</v>
      </c>
      <c r="G280" s="678"/>
      <c r="H280" s="669">
        <f t="shared" si="22"/>
        <v>0</v>
      </c>
      <c r="I280" s="671">
        <f t="shared" si="23"/>
        <v>0</v>
      </c>
      <c r="J280" s="672">
        <f t="shared" si="30"/>
        <v>0</v>
      </c>
      <c r="K280" s="510" t="str">
        <f t="shared" si="24"/>
        <v/>
      </c>
      <c r="AH280" s="509"/>
    </row>
    <row r="281" spans="2:34" hidden="1">
      <c r="B281" s="510"/>
      <c r="C281" s="675">
        <f t="shared" si="28"/>
        <v>0</v>
      </c>
      <c r="D281" s="676">
        <f t="shared" si="28"/>
        <v>0</v>
      </c>
      <c r="E281" s="677">
        <f t="shared" si="19"/>
        <v>0</v>
      </c>
      <c r="F281" s="677">
        <f t="shared" si="29"/>
        <v>0</v>
      </c>
      <c r="G281" s="678"/>
      <c r="H281" s="669">
        <f t="shared" si="22"/>
        <v>0</v>
      </c>
      <c r="I281" s="671">
        <f t="shared" si="23"/>
        <v>0</v>
      </c>
      <c r="J281" s="672">
        <f t="shared" si="30"/>
        <v>0</v>
      </c>
      <c r="K281" s="510" t="str">
        <f t="shared" si="24"/>
        <v/>
      </c>
      <c r="AH281" s="509"/>
    </row>
    <row r="282" spans="2:34" hidden="1">
      <c r="B282" s="510"/>
      <c r="C282" s="675">
        <f t="shared" si="28"/>
        <v>0</v>
      </c>
      <c r="D282" s="676">
        <f t="shared" si="28"/>
        <v>0</v>
      </c>
      <c r="E282" s="677">
        <f t="shared" si="19"/>
        <v>0</v>
      </c>
      <c r="F282" s="677">
        <f t="shared" si="29"/>
        <v>0</v>
      </c>
      <c r="G282" s="678"/>
      <c r="H282" s="669">
        <f t="shared" si="22"/>
        <v>0</v>
      </c>
      <c r="I282" s="671">
        <f t="shared" si="23"/>
        <v>0</v>
      </c>
      <c r="J282" s="672">
        <f t="shared" si="30"/>
        <v>0</v>
      </c>
      <c r="K282" s="510" t="str">
        <f t="shared" si="24"/>
        <v/>
      </c>
      <c r="AH282" s="509"/>
    </row>
    <row r="283" spans="2:34" hidden="1">
      <c r="B283" s="510"/>
      <c r="C283" s="675">
        <f t="shared" si="28"/>
        <v>0</v>
      </c>
      <c r="D283" s="676">
        <f t="shared" si="28"/>
        <v>0</v>
      </c>
      <c r="E283" s="677">
        <f t="shared" si="19"/>
        <v>0</v>
      </c>
      <c r="F283" s="677">
        <f t="shared" si="29"/>
        <v>0</v>
      </c>
      <c r="G283" s="678"/>
      <c r="H283" s="669">
        <f t="shared" si="22"/>
        <v>0</v>
      </c>
      <c r="I283" s="671">
        <f t="shared" si="23"/>
        <v>0</v>
      </c>
      <c r="J283" s="672">
        <f t="shared" si="30"/>
        <v>0</v>
      </c>
      <c r="K283" s="510" t="str">
        <f t="shared" si="24"/>
        <v/>
      </c>
      <c r="AH283" s="509"/>
    </row>
    <row r="284" spans="2:34" hidden="1">
      <c r="B284" s="510"/>
      <c r="C284" s="675">
        <f t="shared" si="28"/>
        <v>0</v>
      </c>
      <c r="D284" s="676">
        <f t="shared" si="28"/>
        <v>0</v>
      </c>
      <c r="E284" s="677">
        <f t="shared" si="19"/>
        <v>0</v>
      </c>
      <c r="F284" s="677">
        <f t="shared" si="29"/>
        <v>0</v>
      </c>
      <c r="G284" s="678"/>
      <c r="H284" s="669">
        <f t="shared" si="22"/>
        <v>0</v>
      </c>
      <c r="I284" s="671">
        <f t="shared" si="23"/>
        <v>0</v>
      </c>
      <c r="J284" s="672">
        <f t="shared" si="30"/>
        <v>0</v>
      </c>
      <c r="K284" s="510" t="str">
        <f t="shared" si="24"/>
        <v/>
      </c>
      <c r="AH284" s="509"/>
    </row>
    <row r="285" spans="2:34" hidden="1">
      <c r="B285" s="510"/>
      <c r="C285" s="675">
        <f t="shared" ref="C285:D290" si="31">D51</f>
        <v>0</v>
      </c>
      <c r="D285" s="676">
        <f t="shared" si="31"/>
        <v>0</v>
      </c>
      <c r="E285" s="677">
        <f t="shared" si="19"/>
        <v>0</v>
      </c>
      <c r="F285" s="677">
        <f t="shared" ref="F285:F290" si="32">IF(C285="ST TVA autoliquidée",E285,(E285+P51))</f>
        <v>0</v>
      </c>
      <c r="G285" s="678"/>
      <c r="H285" s="669">
        <f t="shared" si="22"/>
        <v>0</v>
      </c>
      <c r="I285" s="671">
        <f t="shared" si="23"/>
        <v>0</v>
      </c>
      <c r="J285" s="672">
        <f t="shared" ref="J285:J290" si="33">H51</f>
        <v>0</v>
      </c>
      <c r="K285" s="510" t="str">
        <f t="shared" si="24"/>
        <v/>
      </c>
      <c r="AH285" s="509"/>
    </row>
    <row r="286" spans="2:34" hidden="1">
      <c r="B286" s="510"/>
      <c r="C286" s="675">
        <f t="shared" si="31"/>
        <v>0</v>
      </c>
      <c r="D286" s="676">
        <f t="shared" si="31"/>
        <v>0</v>
      </c>
      <c r="E286" s="677">
        <f t="shared" si="19"/>
        <v>0</v>
      </c>
      <c r="F286" s="677">
        <f t="shared" si="32"/>
        <v>0</v>
      </c>
      <c r="G286" s="678"/>
      <c r="H286" s="669">
        <f t="shared" si="22"/>
        <v>0</v>
      </c>
      <c r="I286" s="671">
        <f t="shared" si="23"/>
        <v>0</v>
      </c>
      <c r="J286" s="672">
        <f t="shared" si="33"/>
        <v>0</v>
      </c>
      <c r="K286" s="510" t="str">
        <f t="shared" si="24"/>
        <v/>
      </c>
      <c r="AH286" s="509"/>
    </row>
    <row r="287" spans="2:34" hidden="1">
      <c r="B287" s="510"/>
      <c r="C287" s="675">
        <f t="shared" si="31"/>
        <v>0</v>
      </c>
      <c r="D287" s="676">
        <f t="shared" si="31"/>
        <v>0</v>
      </c>
      <c r="E287" s="677">
        <f t="shared" si="19"/>
        <v>0</v>
      </c>
      <c r="F287" s="677">
        <f t="shared" si="32"/>
        <v>0</v>
      </c>
      <c r="G287" s="678"/>
      <c r="H287" s="669">
        <f t="shared" si="22"/>
        <v>0</v>
      </c>
      <c r="I287" s="671">
        <f t="shared" si="23"/>
        <v>0</v>
      </c>
      <c r="J287" s="672">
        <f t="shared" si="33"/>
        <v>0</v>
      </c>
      <c r="K287" s="510" t="str">
        <f t="shared" si="24"/>
        <v/>
      </c>
      <c r="AH287" s="509"/>
    </row>
    <row r="288" spans="2:34" hidden="1">
      <c r="B288" s="510"/>
      <c r="C288" s="675">
        <f t="shared" si="31"/>
        <v>0</v>
      </c>
      <c r="D288" s="676">
        <f t="shared" si="31"/>
        <v>0</v>
      </c>
      <c r="E288" s="677">
        <f t="shared" si="19"/>
        <v>0</v>
      </c>
      <c r="F288" s="677">
        <f t="shared" si="32"/>
        <v>0</v>
      </c>
      <c r="G288" s="678"/>
      <c r="H288" s="669">
        <f t="shared" si="22"/>
        <v>0</v>
      </c>
      <c r="I288" s="671">
        <f t="shared" si="23"/>
        <v>0</v>
      </c>
      <c r="J288" s="672">
        <f t="shared" si="33"/>
        <v>0</v>
      </c>
      <c r="K288" s="510" t="str">
        <f t="shared" si="24"/>
        <v/>
      </c>
      <c r="AH288" s="509"/>
    </row>
    <row r="289" spans="2:34" hidden="1">
      <c r="B289" s="510"/>
      <c r="C289" s="675">
        <f t="shared" si="31"/>
        <v>0</v>
      </c>
      <c r="D289" s="676">
        <f t="shared" si="31"/>
        <v>0</v>
      </c>
      <c r="E289" s="677">
        <f t="shared" si="19"/>
        <v>0</v>
      </c>
      <c r="F289" s="677">
        <f t="shared" si="32"/>
        <v>0</v>
      </c>
      <c r="G289" s="678"/>
      <c r="H289" s="669">
        <f t="shared" si="22"/>
        <v>0</v>
      </c>
      <c r="I289" s="671">
        <f t="shared" si="23"/>
        <v>0</v>
      </c>
      <c r="J289" s="672">
        <f t="shared" si="33"/>
        <v>0</v>
      </c>
      <c r="K289" s="510" t="str">
        <f t="shared" si="24"/>
        <v/>
      </c>
      <c r="AH289" s="509"/>
    </row>
    <row r="290" spans="2:34" hidden="1">
      <c r="B290" s="510"/>
      <c r="C290" s="675">
        <f t="shared" si="31"/>
        <v>0</v>
      </c>
      <c r="D290" s="676">
        <f t="shared" si="31"/>
        <v>0</v>
      </c>
      <c r="E290" s="677">
        <f t="shared" si="19"/>
        <v>0</v>
      </c>
      <c r="F290" s="677">
        <f t="shared" si="32"/>
        <v>0</v>
      </c>
      <c r="G290" s="678"/>
      <c r="H290" s="669">
        <f t="shared" si="22"/>
        <v>0</v>
      </c>
      <c r="I290" s="671">
        <f t="shared" si="23"/>
        <v>0</v>
      </c>
      <c r="J290" s="672">
        <f t="shared" si="33"/>
        <v>0</v>
      </c>
      <c r="K290" s="510" t="str">
        <f t="shared" si="24"/>
        <v/>
      </c>
      <c r="AH290" s="509"/>
    </row>
    <row r="291" spans="2:34" hidden="1">
      <c r="B291" s="510"/>
      <c r="C291" s="675">
        <f t="shared" ref="C291:D296" si="34">D58</f>
        <v>0</v>
      </c>
      <c r="D291" s="676">
        <f t="shared" si="34"/>
        <v>0</v>
      </c>
      <c r="E291" s="677">
        <f t="shared" si="19"/>
        <v>0</v>
      </c>
      <c r="F291" s="677">
        <f t="shared" ref="F291:F296" si="35">IF(C291="ST TVA autoliquidée",E291,(E291+P58))</f>
        <v>0</v>
      </c>
      <c r="G291" s="678"/>
      <c r="H291" s="669">
        <f t="shared" si="22"/>
        <v>0</v>
      </c>
      <c r="I291" s="671">
        <f t="shared" si="23"/>
        <v>0</v>
      </c>
      <c r="J291" s="672">
        <f t="shared" ref="J291:J296" si="36">H58</f>
        <v>0</v>
      </c>
      <c r="K291" s="510" t="str">
        <f t="shared" si="24"/>
        <v/>
      </c>
      <c r="AH291" s="509"/>
    </row>
    <row r="292" spans="2:34" hidden="1">
      <c r="B292" s="510"/>
      <c r="C292" s="675">
        <f t="shared" si="34"/>
        <v>0</v>
      </c>
      <c r="D292" s="676">
        <f t="shared" si="34"/>
        <v>0</v>
      </c>
      <c r="E292" s="677">
        <f t="shared" si="19"/>
        <v>0</v>
      </c>
      <c r="F292" s="677">
        <f t="shared" si="35"/>
        <v>0</v>
      </c>
      <c r="G292" s="678"/>
      <c r="H292" s="669">
        <f t="shared" si="22"/>
        <v>0</v>
      </c>
      <c r="I292" s="671">
        <f t="shared" si="23"/>
        <v>0</v>
      </c>
      <c r="J292" s="672">
        <f t="shared" si="36"/>
        <v>0</v>
      </c>
      <c r="K292" s="510" t="str">
        <f t="shared" si="24"/>
        <v/>
      </c>
      <c r="AH292" s="509"/>
    </row>
    <row r="293" spans="2:34" hidden="1">
      <c r="B293" s="510"/>
      <c r="C293" s="675">
        <f t="shared" si="34"/>
        <v>0</v>
      </c>
      <c r="D293" s="676">
        <f t="shared" si="34"/>
        <v>0</v>
      </c>
      <c r="E293" s="677">
        <f t="shared" si="19"/>
        <v>0</v>
      </c>
      <c r="F293" s="677">
        <f t="shared" si="35"/>
        <v>0</v>
      </c>
      <c r="G293" s="678"/>
      <c r="H293" s="669">
        <f t="shared" si="22"/>
        <v>0</v>
      </c>
      <c r="I293" s="671">
        <f t="shared" si="23"/>
        <v>0</v>
      </c>
      <c r="J293" s="672">
        <f t="shared" si="36"/>
        <v>0</v>
      </c>
      <c r="K293" s="510" t="str">
        <f t="shared" si="24"/>
        <v/>
      </c>
      <c r="AH293" s="509"/>
    </row>
    <row r="294" spans="2:34" hidden="1">
      <c r="B294" s="510"/>
      <c r="C294" s="675">
        <f t="shared" si="34"/>
        <v>0</v>
      </c>
      <c r="D294" s="676">
        <f t="shared" si="34"/>
        <v>0</v>
      </c>
      <c r="E294" s="677">
        <f t="shared" si="19"/>
        <v>0</v>
      </c>
      <c r="F294" s="677">
        <f t="shared" si="35"/>
        <v>0</v>
      </c>
      <c r="G294" s="678"/>
      <c r="H294" s="669">
        <f t="shared" si="22"/>
        <v>0</v>
      </c>
      <c r="I294" s="671">
        <f t="shared" si="23"/>
        <v>0</v>
      </c>
      <c r="J294" s="672">
        <f t="shared" si="36"/>
        <v>0</v>
      </c>
      <c r="K294" s="510" t="str">
        <f t="shared" si="24"/>
        <v/>
      </c>
      <c r="AH294" s="509"/>
    </row>
    <row r="295" spans="2:34" hidden="1">
      <c r="B295" s="510"/>
      <c r="C295" s="675">
        <f t="shared" si="34"/>
        <v>0</v>
      </c>
      <c r="D295" s="676">
        <f t="shared" si="34"/>
        <v>0</v>
      </c>
      <c r="E295" s="677">
        <f t="shared" si="19"/>
        <v>0</v>
      </c>
      <c r="F295" s="677">
        <f t="shared" si="35"/>
        <v>0</v>
      </c>
      <c r="G295" s="678"/>
      <c r="H295" s="669">
        <f t="shared" si="22"/>
        <v>0</v>
      </c>
      <c r="I295" s="671">
        <f t="shared" si="23"/>
        <v>0</v>
      </c>
      <c r="J295" s="672">
        <f t="shared" si="36"/>
        <v>0</v>
      </c>
      <c r="K295" s="510" t="str">
        <f t="shared" si="24"/>
        <v/>
      </c>
      <c r="AH295" s="509"/>
    </row>
    <row r="296" spans="2:34" hidden="1">
      <c r="B296" s="510"/>
      <c r="C296" s="675">
        <f t="shared" si="34"/>
        <v>0</v>
      </c>
      <c r="D296" s="676">
        <f t="shared" si="34"/>
        <v>0</v>
      </c>
      <c r="E296" s="677">
        <f t="shared" si="19"/>
        <v>0</v>
      </c>
      <c r="F296" s="677">
        <f t="shared" si="35"/>
        <v>0</v>
      </c>
      <c r="G296" s="678"/>
      <c r="H296" s="669">
        <f t="shared" si="22"/>
        <v>0</v>
      </c>
      <c r="I296" s="671">
        <f t="shared" si="23"/>
        <v>0</v>
      </c>
      <c r="J296" s="672">
        <f t="shared" si="36"/>
        <v>0</v>
      </c>
      <c r="K296" s="510" t="str">
        <f t="shared" si="24"/>
        <v/>
      </c>
      <c r="AH296" s="509"/>
    </row>
    <row r="297" spans="2:34" hidden="1">
      <c r="B297" s="510"/>
      <c r="C297" s="675">
        <f t="shared" ref="C297:D302" si="37">D65</f>
        <v>0</v>
      </c>
      <c r="D297" s="676">
        <f t="shared" si="37"/>
        <v>0</v>
      </c>
      <c r="E297" s="677">
        <f t="shared" si="19"/>
        <v>0</v>
      </c>
      <c r="F297" s="677">
        <f t="shared" ref="F297:F302" si="38">IF(C297="ST TVA autoliquidée",E297,(E297+P65))</f>
        <v>0</v>
      </c>
      <c r="G297" s="678"/>
      <c r="H297" s="669">
        <f t="shared" si="22"/>
        <v>0</v>
      </c>
      <c r="I297" s="671">
        <f t="shared" si="23"/>
        <v>0</v>
      </c>
      <c r="J297" s="672">
        <f t="shared" ref="J297:J302" si="39">H65</f>
        <v>0</v>
      </c>
      <c r="K297" s="510" t="str">
        <f t="shared" si="24"/>
        <v/>
      </c>
      <c r="AH297" s="509"/>
    </row>
    <row r="298" spans="2:34" hidden="1">
      <c r="B298" s="510"/>
      <c r="C298" s="675">
        <f t="shared" si="37"/>
        <v>0</v>
      </c>
      <c r="D298" s="676">
        <f t="shared" si="37"/>
        <v>0</v>
      </c>
      <c r="E298" s="677">
        <f t="shared" si="19"/>
        <v>0</v>
      </c>
      <c r="F298" s="677">
        <f t="shared" si="38"/>
        <v>0</v>
      </c>
      <c r="G298" s="678"/>
      <c r="H298" s="669">
        <f t="shared" si="22"/>
        <v>0</v>
      </c>
      <c r="I298" s="671">
        <f t="shared" si="23"/>
        <v>0</v>
      </c>
      <c r="J298" s="672">
        <f t="shared" si="39"/>
        <v>0</v>
      </c>
      <c r="K298" s="510" t="str">
        <f t="shared" si="24"/>
        <v/>
      </c>
      <c r="AH298" s="509"/>
    </row>
    <row r="299" spans="2:34" hidden="1">
      <c r="B299" s="510"/>
      <c r="C299" s="675">
        <f t="shared" si="37"/>
        <v>0</v>
      </c>
      <c r="D299" s="676">
        <f t="shared" si="37"/>
        <v>0</v>
      </c>
      <c r="E299" s="677">
        <f t="shared" si="19"/>
        <v>0</v>
      </c>
      <c r="F299" s="677">
        <f t="shared" si="38"/>
        <v>0</v>
      </c>
      <c r="G299" s="678"/>
      <c r="H299" s="669">
        <f t="shared" si="22"/>
        <v>0</v>
      </c>
      <c r="I299" s="671">
        <f t="shared" si="23"/>
        <v>0</v>
      </c>
      <c r="J299" s="672">
        <f t="shared" si="39"/>
        <v>0</v>
      </c>
      <c r="K299" s="510" t="str">
        <f t="shared" si="24"/>
        <v/>
      </c>
      <c r="AH299" s="509"/>
    </row>
    <row r="300" spans="2:34" hidden="1">
      <c r="B300" s="510"/>
      <c r="C300" s="675">
        <f t="shared" si="37"/>
        <v>0</v>
      </c>
      <c r="D300" s="676">
        <f t="shared" si="37"/>
        <v>0</v>
      </c>
      <c r="E300" s="677">
        <f t="shared" si="19"/>
        <v>0</v>
      </c>
      <c r="F300" s="677">
        <f t="shared" si="38"/>
        <v>0</v>
      </c>
      <c r="G300" s="678"/>
      <c r="H300" s="669">
        <f t="shared" si="22"/>
        <v>0</v>
      </c>
      <c r="I300" s="671">
        <f t="shared" si="23"/>
        <v>0</v>
      </c>
      <c r="J300" s="672">
        <f t="shared" si="39"/>
        <v>0</v>
      </c>
      <c r="K300" s="510" t="str">
        <f t="shared" si="24"/>
        <v/>
      </c>
      <c r="AH300" s="509"/>
    </row>
    <row r="301" spans="2:34" hidden="1">
      <c r="B301" s="510"/>
      <c r="C301" s="675">
        <f t="shared" si="37"/>
        <v>0</v>
      </c>
      <c r="D301" s="676">
        <f t="shared" si="37"/>
        <v>0</v>
      </c>
      <c r="E301" s="677">
        <f t="shared" si="19"/>
        <v>0</v>
      </c>
      <c r="F301" s="677">
        <f t="shared" si="38"/>
        <v>0</v>
      </c>
      <c r="G301" s="678"/>
      <c r="H301" s="669">
        <f t="shared" si="22"/>
        <v>0</v>
      </c>
      <c r="I301" s="671">
        <f t="shared" si="23"/>
        <v>0</v>
      </c>
      <c r="J301" s="672">
        <f t="shared" si="39"/>
        <v>0</v>
      </c>
      <c r="K301" s="510" t="str">
        <f t="shared" si="24"/>
        <v/>
      </c>
      <c r="AH301" s="509"/>
    </row>
    <row r="302" spans="2:34" hidden="1">
      <c r="B302" s="510"/>
      <c r="C302" s="675">
        <f t="shared" si="37"/>
        <v>0</v>
      </c>
      <c r="D302" s="676">
        <f t="shared" si="37"/>
        <v>0</v>
      </c>
      <c r="E302" s="677">
        <f t="shared" si="19"/>
        <v>0</v>
      </c>
      <c r="F302" s="677">
        <f t="shared" si="38"/>
        <v>0</v>
      </c>
      <c r="G302" s="678"/>
      <c r="H302" s="669">
        <f t="shared" si="22"/>
        <v>0</v>
      </c>
      <c r="I302" s="671">
        <f t="shared" si="23"/>
        <v>0</v>
      </c>
      <c r="J302" s="672">
        <f t="shared" si="39"/>
        <v>0</v>
      </c>
      <c r="K302" s="510" t="str">
        <f t="shared" si="24"/>
        <v/>
      </c>
      <c r="AH302" s="509"/>
    </row>
    <row r="303" spans="2:34" hidden="1">
      <c r="B303" s="510"/>
      <c r="C303" s="675">
        <f t="shared" ref="C303:D308" si="40">D72</f>
        <v>0</v>
      </c>
      <c r="D303" s="676">
        <f t="shared" si="40"/>
        <v>0</v>
      </c>
      <c r="E303" s="677">
        <f t="shared" si="19"/>
        <v>0</v>
      </c>
      <c r="F303" s="677">
        <f t="shared" ref="F303:F308" si="41">IF(C303="ST TVA autoliquidée",E303,(E303+P72))</f>
        <v>0</v>
      </c>
      <c r="G303" s="678"/>
      <c r="H303" s="669">
        <f t="shared" si="22"/>
        <v>0</v>
      </c>
      <c r="I303" s="671">
        <f t="shared" si="23"/>
        <v>0</v>
      </c>
      <c r="J303" s="672">
        <f t="shared" ref="J303:J308" si="42">H72</f>
        <v>0</v>
      </c>
      <c r="K303" s="510" t="str">
        <f t="shared" si="24"/>
        <v/>
      </c>
      <c r="AH303" s="509"/>
    </row>
    <row r="304" spans="2:34" hidden="1">
      <c r="B304" s="510"/>
      <c r="C304" s="675">
        <f t="shared" si="40"/>
        <v>0</v>
      </c>
      <c r="D304" s="676">
        <f t="shared" si="40"/>
        <v>0</v>
      </c>
      <c r="E304" s="677">
        <f t="shared" si="19"/>
        <v>0</v>
      </c>
      <c r="F304" s="677">
        <f t="shared" si="41"/>
        <v>0</v>
      </c>
      <c r="G304" s="678"/>
      <c r="H304" s="669">
        <f t="shared" si="22"/>
        <v>0</v>
      </c>
      <c r="I304" s="671">
        <f t="shared" si="23"/>
        <v>0</v>
      </c>
      <c r="J304" s="672">
        <f t="shared" si="42"/>
        <v>0</v>
      </c>
      <c r="K304" s="510" t="str">
        <f t="shared" si="24"/>
        <v/>
      </c>
      <c r="AH304" s="509"/>
    </row>
    <row r="305" spans="1:34" hidden="1">
      <c r="B305" s="510"/>
      <c r="C305" s="675">
        <f t="shared" si="40"/>
        <v>0</v>
      </c>
      <c r="D305" s="676">
        <f t="shared" si="40"/>
        <v>0</v>
      </c>
      <c r="E305" s="677">
        <f t="shared" si="19"/>
        <v>0</v>
      </c>
      <c r="F305" s="677">
        <f t="shared" si="41"/>
        <v>0</v>
      </c>
      <c r="G305" s="678"/>
      <c r="H305" s="669">
        <f t="shared" si="22"/>
        <v>0</v>
      </c>
      <c r="I305" s="671">
        <f t="shared" si="23"/>
        <v>0</v>
      </c>
      <c r="J305" s="672">
        <f t="shared" si="42"/>
        <v>0</v>
      </c>
      <c r="K305" s="510" t="str">
        <f t="shared" si="24"/>
        <v/>
      </c>
      <c r="AH305" s="509"/>
    </row>
    <row r="306" spans="1:34" hidden="1">
      <c r="B306" s="510"/>
      <c r="C306" s="675">
        <f t="shared" si="40"/>
        <v>0</v>
      </c>
      <c r="D306" s="676">
        <f t="shared" si="40"/>
        <v>0</v>
      </c>
      <c r="E306" s="677">
        <f t="shared" si="19"/>
        <v>0</v>
      </c>
      <c r="F306" s="677">
        <f t="shared" si="41"/>
        <v>0</v>
      </c>
      <c r="G306" s="678"/>
      <c r="H306" s="669">
        <f t="shared" si="22"/>
        <v>0</v>
      </c>
      <c r="I306" s="671">
        <f t="shared" si="23"/>
        <v>0</v>
      </c>
      <c r="J306" s="672">
        <f t="shared" si="42"/>
        <v>0</v>
      </c>
      <c r="K306" s="510" t="str">
        <f t="shared" si="24"/>
        <v/>
      </c>
      <c r="AH306" s="509"/>
    </row>
    <row r="307" spans="1:34" hidden="1">
      <c r="B307" s="510"/>
      <c r="C307" s="675">
        <f t="shared" si="40"/>
        <v>0</v>
      </c>
      <c r="D307" s="676">
        <f t="shared" si="40"/>
        <v>0</v>
      </c>
      <c r="E307" s="677">
        <f t="shared" si="19"/>
        <v>0</v>
      </c>
      <c r="F307" s="677">
        <f t="shared" si="41"/>
        <v>0</v>
      </c>
      <c r="G307" s="678"/>
      <c r="H307" s="669">
        <f t="shared" si="22"/>
        <v>0</v>
      </c>
      <c r="I307" s="671">
        <f t="shared" si="23"/>
        <v>0</v>
      </c>
      <c r="J307" s="672">
        <f t="shared" si="42"/>
        <v>0</v>
      </c>
      <c r="K307" s="510" t="str">
        <f t="shared" si="24"/>
        <v/>
      </c>
      <c r="AH307" s="509"/>
    </row>
    <row r="308" spans="1:34" hidden="1">
      <c r="B308" s="510"/>
      <c r="C308" s="675">
        <f t="shared" si="40"/>
        <v>0</v>
      </c>
      <c r="D308" s="676">
        <f t="shared" si="40"/>
        <v>0</v>
      </c>
      <c r="E308" s="677">
        <f t="shared" si="19"/>
        <v>0</v>
      </c>
      <c r="F308" s="677">
        <f t="shared" si="41"/>
        <v>0</v>
      </c>
      <c r="G308" s="678"/>
      <c r="H308" s="669">
        <f t="shared" si="22"/>
        <v>0</v>
      </c>
      <c r="I308" s="671">
        <f t="shared" si="23"/>
        <v>0</v>
      </c>
      <c r="J308" s="672">
        <f t="shared" si="42"/>
        <v>0</v>
      </c>
      <c r="K308" s="510" t="str">
        <f t="shared" si="24"/>
        <v/>
      </c>
      <c r="AH308" s="509"/>
    </row>
    <row r="309" spans="1:34" s="681" customFormat="1" hidden="1">
      <c r="A309" s="679"/>
      <c r="B309" s="510"/>
      <c r="C309" s="675">
        <f t="shared" ref="C309:D314" si="43">D72</f>
        <v>0</v>
      </c>
      <c r="D309" s="676">
        <f t="shared" si="43"/>
        <v>0</v>
      </c>
      <c r="E309" s="677">
        <f t="shared" si="19"/>
        <v>0</v>
      </c>
      <c r="F309" s="677">
        <f t="shared" ref="F309:F314" si="44">IF(C309="ST TVA autoliquidée",E309,(E309+P72))</f>
        <v>0</v>
      </c>
      <c r="G309" s="678"/>
      <c r="H309" s="669">
        <f>G309+E309</f>
        <v>0</v>
      </c>
      <c r="I309" s="671">
        <f>J309-H309</f>
        <v>0</v>
      </c>
      <c r="J309" s="672">
        <f t="shared" ref="J309:J314" si="45">H72</f>
        <v>0</v>
      </c>
      <c r="K309" s="536"/>
      <c r="L309" s="510"/>
      <c r="M309" s="510"/>
      <c r="N309" s="510"/>
      <c r="O309" s="510"/>
      <c r="P309" s="510"/>
      <c r="Q309" s="536"/>
      <c r="R309" s="536"/>
      <c r="S309" s="536"/>
      <c r="T309" s="536"/>
      <c r="U309" s="536"/>
      <c r="V309" s="536"/>
      <c r="W309" s="680"/>
      <c r="X309" s="536"/>
      <c r="Y309" s="536"/>
      <c r="Z309" s="536"/>
      <c r="AA309" s="536"/>
      <c r="AB309" s="536"/>
      <c r="AC309" s="536"/>
      <c r="AD309" s="536"/>
      <c r="AE309" s="536"/>
      <c r="AF309" s="536"/>
      <c r="AG309" s="536"/>
    </row>
    <row r="310" spans="1:34" hidden="1">
      <c r="B310" s="510"/>
      <c r="C310" s="675">
        <f t="shared" si="43"/>
        <v>0</v>
      </c>
      <c r="D310" s="676">
        <f t="shared" si="43"/>
        <v>0</v>
      </c>
      <c r="E310" s="677">
        <f t="shared" si="19"/>
        <v>0</v>
      </c>
      <c r="F310" s="677">
        <f t="shared" si="44"/>
        <v>0</v>
      </c>
      <c r="G310" s="678"/>
      <c r="H310" s="669">
        <f t="shared" ref="H310:H350" si="46">G310+E310</f>
        <v>0</v>
      </c>
      <c r="I310" s="671">
        <f t="shared" ref="I310:I350" si="47">J310-H310</f>
        <v>0</v>
      </c>
      <c r="J310" s="672">
        <f t="shared" si="45"/>
        <v>0</v>
      </c>
      <c r="K310" s="510"/>
      <c r="AH310" s="509"/>
    </row>
    <row r="311" spans="1:34" hidden="1">
      <c r="B311" s="510"/>
      <c r="C311" s="675">
        <f t="shared" si="43"/>
        <v>0</v>
      </c>
      <c r="D311" s="676">
        <f t="shared" si="43"/>
        <v>0</v>
      </c>
      <c r="E311" s="677">
        <f t="shared" si="19"/>
        <v>0</v>
      </c>
      <c r="F311" s="677">
        <f t="shared" si="44"/>
        <v>0</v>
      </c>
      <c r="G311" s="678"/>
      <c r="H311" s="669">
        <f t="shared" si="46"/>
        <v>0</v>
      </c>
      <c r="I311" s="671">
        <f t="shared" si="47"/>
        <v>0</v>
      </c>
      <c r="J311" s="672">
        <f t="shared" si="45"/>
        <v>0</v>
      </c>
      <c r="K311" s="510"/>
      <c r="AH311" s="509"/>
    </row>
    <row r="312" spans="1:34" hidden="1">
      <c r="B312" s="510"/>
      <c r="C312" s="675">
        <f t="shared" si="43"/>
        <v>0</v>
      </c>
      <c r="D312" s="676">
        <f t="shared" si="43"/>
        <v>0</v>
      </c>
      <c r="E312" s="677">
        <f t="shared" si="19"/>
        <v>0</v>
      </c>
      <c r="F312" s="677">
        <f t="shared" si="44"/>
        <v>0</v>
      </c>
      <c r="G312" s="678"/>
      <c r="H312" s="669">
        <f t="shared" si="46"/>
        <v>0</v>
      </c>
      <c r="I312" s="671">
        <f t="shared" si="47"/>
        <v>0</v>
      </c>
      <c r="J312" s="672">
        <f t="shared" si="45"/>
        <v>0</v>
      </c>
      <c r="K312" s="510"/>
      <c r="AH312" s="509"/>
    </row>
    <row r="313" spans="1:34" hidden="1">
      <c r="B313" s="510"/>
      <c r="C313" s="675">
        <f t="shared" si="43"/>
        <v>0</v>
      </c>
      <c r="D313" s="676">
        <f t="shared" si="43"/>
        <v>0</v>
      </c>
      <c r="E313" s="677">
        <f t="shared" si="19"/>
        <v>0</v>
      </c>
      <c r="F313" s="677">
        <f t="shared" si="44"/>
        <v>0</v>
      </c>
      <c r="G313" s="678"/>
      <c r="H313" s="669">
        <f t="shared" si="46"/>
        <v>0</v>
      </c>
      <c r="I313" s="671">
        <f t="shared" si="47"/>
        <v>0</v>
      </c>
      <c r="J313" s="672">
        <f t="shared" si="45"/>
        <v>0</v>
      </c>
      <c r="K313" s="510"/>
      <c r="AH313" s="509"/>
    </row>
    <row r="314" spans="1:34" hidden="1">
      <c r="B314" s="510"/>
      <c r="C314" s="675">
        <f t="shared" si="43"/>
        <v>0</v>
      </c>
      <c r="D314" s="676">
        <f t="shared" si="43"/>
        <v>0</v>
      </c>
      <c r="E314" s="677">
        <f t="shared" si="19"/>
        <v>0</v>
      </c>
      <c r="F314" s="677">
        <f t="shared" si="44"/>
        <v>0</v>
      </c>
      <c r="G314" s="678"/>
      <c r="H314" s="669">
        <f t="shared" si="46"/>
        <v>0</v>
      </c>
      <c r="I314" s="671">
        <f t="shared" si="47"/>
        <v>0</v>
      </c>
      <c r="J314" s="672">
        <f t="shared" si="45"/>
        <v>0</v>
      </c>
      <c r="K314" s="510"/>
      <c r="AH314" s="509"/>
    </row>
    <row r="315" spans="1:34" hidden="1">
      <c r="B315" s="510"/>
      <c r="C315" s="675">
        <f t="shared" ref="C315:D320" si="48">D86</f>
        <v>0</v>
      </c>
      <c r="D315" s="676">
        <f t="shared" si="48"/>
        <v>0</v>
      </c>
      <c r="E315" s="677">
        <f t="shared" ref="E315:E320" si="49">I86+J86</f>
        <v>0</v>
      </c>
      <c r="F315" s="677">
        <f t="shared" ref="F315:F320" si="50">IF(C315="ST TVA autoliquidée",E315,(E315+P86))</f>
        <v>0</v>
      </c>
      <c r="G315" s="678"/>
      <c r="H315" s="669">
        <f t="shared" si="46"/>
        <v>0</v>
      </c>
      <c r="I315" s="671">
        <f t="shared" si="47"/>
        <v>0</v>
      </c>
      <c r="J315" s="672">
        <f t="shared" ref="J315:J320" si="51">H86</f>
        <v>0</v>
      </c>
      <c r="K315" s="510"/>
      <c r="AH315" s="509"/>
    </row>
    <row r="316" spans="1:34" hidden="1">
      <c r="B316" s="510"/>
      <c r="C316" s="675">
        <f t="shared" si="48"/>
        <v>0</v>
      </c>
      <c r="D316" s="676">
        <f t="shared" si="48"/>
        <v>0</v>
      </c>
      <c r="E316" s="677">
        <f t="shared" si="49"/>
        <v>0</v>
      </c>
      <c r="F316" s="677">
        <f t="shared" si="50"/>
        <v>0</v>
      </c>
      <c r="G316" s="678"/>
      <c r="H316" s="669">
        <f t="shared" si="46"/>
        <v>0</v>
      </c>
      <c r="I316" s="671">
        <f t="shared" si="47"/>
        <v>0</v>
      </c>
      <c r="J316" s="672">
        <f t="shared" si="51"/>
        <v>0</v>
      </c>
      <c r="K316" s="510"/>
      <c r="AH316" s="509"/>
    </row>
    <row r="317" spans="1:34" hidden="1">
      <c r="B317" s="510"/>
      <c r="C317" s="675">
        <f t="shared" si="48"/>
        <v>0</v>
      </c>
      <c r="D317" s="676">
        <f t="shared" si="48"/>
        <v>0</v>
      </c>
      <c r="E317" s="677">
        <f t="shared" si="49"/>
        <v>0</v>
      </c>
      <c r="F317" s="677">
        <f t="shared" si="50"/>
        <v>0</v>
      </c>
      <c r="G317" s="678"/>
      <c r="H317" s="669">
        <f t="shared" si="46"/>
        <v>0</v>
      </c>
      <c r="I317" s="671">
        <f t="shared" si="47"/>
        <v>0</v>
      </c>
      <c r="J317" s="672">
        <f t="shared" si="51"/>
        <v>0</v>
      </c>
      <c r="K317" s="510"/>
      <c r="AH317" s="509"/>
    </row>
    <row r="318" spans="1:34" hidden="1">
      <c r="B318" s="510"/>
      <c r="C318" s="675">
        <f t="shared" si="48"/>
        <v>0</v>
      </c>
      <c r="D318" s="676">
        <f t="shared" si="48"/>
        <v>0</v>
      </c>
      <c r="E318" s="677">
        <f t="shared" si="49"/>
        <v>0</v>
      </c>
      <c r="F318" s="677">
        <f t="shared" si="50"/>
        <v>0</v>
      </c>
      <c r="G318" s="678"/>
      <c r="H318" s="669">
        <f t="shared" si="46"/>
        <v>0</v>
      </c>
      <c r="I318" s="671">
        <f t="shared" si="47"/>
        <v>0</v>
      </c>
      <c r="J318" s="672">
        <f t="shared" si="51"/>
        <v>0</v>
      </c>
      <c r="K318" s="510"/>
      <c r="AH318" s="509"/>
    </row>
    <row r="319" spans="1:34" hidden="1">
      <c r="B319" s="510"/>
      <c r="C319" s="675">
        <f t="shared" si="48"/>
        <v>0</v>
      </c>
      <c r="D319" s="676">
        <f t="shared" si="48"/>
        <v>0</v>
      </c>
      <c r="E319" s="677">
        <f t="shared" si="49"/>
        <v>0</v>
      </c>
      <c r="F319" s="677">
        <f t="shared" si="50"/>
        <v>0</v>
      </c>
      <c r="G319" s="678"/>
      <c r="H319" s="669">
        <f t="shared" si="46"/>
        <v>0</v>
      </c>
      <c r="I319" s="671">
        <f t="shared" si="47"/>
        <v>0</v>
      </c>
      <c r="J319" s="672">
        <f t="shared" si="51"/>
        <v>0</v>
      </c>
      <c r="K319" s="510"/>
      <c r="AH319" s="509"/>
    </row>
    <row r="320" spans="1:34" hidden="1">
      <c r="B320" s="510"/>
      <c r="C320" s="675">
        <f t="shared" si="48"/>
        <v>0</v>
      </c>
      <c r="D320" s="676">
        <f t="shared" si="48"/>
        <v>0</v>
      </c>
      <c r="E320" s="677">
        <f t="shared" si="49"/>
        <v>0</v>
      </c>
      <c r="F320" s="677">
        <f t="shared" si="50"/>
        <v>0</v>
      </c>
      <c r="G320" s="678"/>
      <c r="H320" s="669">
        <f t="shared" si="46"/>
        <v>0</v>
      </c>
      <c r="I320" s="671">
        <f t="shared" si="47"/>
        <v>0</v>
      </c>
      <c r="J320" s="672">
        <f t="shared" si="51"/>
        <v>0</v>
      </c>
      <c r="K320" s="510"/>
      <c r="AH320" s="509"/>
    </row>
    <row r="321" spans="2:34" hidden="1">
      <c r="B321" s="510"/>
      <c r="C321" s="675">
        <f t="shared" ref="C321:D326" si="52">D93</f>
        <v>0</v>
      </c>
      <c r="D321" s="676">
        <f t="shared" si="52"/>
        <v>0</v>
      </c>
      <c r="E321" s="677">
        <f t="shared" ref="E321:E326" si="53">I93+J93</f>
        <v>0</v>
      </c>
      <c r="F321" s="677">
        <f t="shared" ref="F321:F326" si="54">IF(C321="ST TVA autoliquidée",E321,(E321+P93))</f>
        <v>0</v>
      </c>
      <c r="G321" s="678"/>
      <c r="H321" s="669">
        <f t="shared" si="46"/>
        <v>0</v>
      </c>
      <c r="I321" s="671">
        <f t="shared" si="47"/>
        <v>0</v>
      </c>
      <c r="J321" s="672">
        <f t="shared" ref="J321:J326" si="55">H93</f>
        <v>0</v>
      </c>
      <c r="K321" s="510"/>
      <c r="AH321" s="509"/>
    </row>
    <row r="322" spans="2:34" hidden="1">
      <c r="B322" s="510"/>
      <c r="C322" s="675">
        <f t="shared" si="52"/>
        <v>0</v>
      </c>
      <c r="D322" s="676">
        <f t="shared" si="52"/>
        <v>0</v>
      </c>
      <c r="E322" s="677">
        <f t="shared" si="53"/>
        <v>0</v>
      </c>
      <c r="F322" s="677">
        <f t="shared" si="54"/>
        <v>0</v>
      </c>
      <c r="G322" s="678"/>
      <c r="H322" s="669">
        <f t="shared" si="46"/>
        <v>0</v>
      </c>
      <c r="I322" s="671">
        <f t="shared" si="47"/>
        <v>0</v>
      </c>
      <c r="J322" s="672">
        <f t="shared" si="55"/>
        <v>0</v>
      </c>
      <c r="K322" s="510"/>
      <c r="AH322" s="509"/>
    </row>
    <row r="323" spans="2:34" hidden="1">
      <c r="B323" s="510"/>
      <c r="C323" s="675">
        <f t="shared" si="52"/>
        <v>0</v>
      </c>
      <c r="D323" s="676">
        <f t="shared" si="52"/>
        <v>0</v>
      </c>
      <c r="E323" s="677">
        <f t="shared" si="53"/>
        <v>0</v>
      </c>
      <c r="F323" s="677">
        <f t="shared" si="54"/>
        <v>0</v>
      </c>
      <c r="G323" s="678"/>
      <c r="H323" s="669">
        <f t="shared" si="46"/>
        <v>0</v>
      </c>
      <c r="I323" s="671">
        <f t="shared" si="47"/>
        <v>0</v>
      </c>
      <c r="J323" s="672">
        <f t="shared" si="55"/>
        <v>0</v>
      </c>
      <c r="K323" s="510"/>
      <c r="AH323" s="509"/>
    </row>
    <row r="324" spans="2:34" hidden="1">
      <c r="B324" s="510"/>
      <c r="C324" s="675">
        <f t="shared" si="52"/>
        <v>0</v>
      </c>
      <c r="D324" s="676">
        <f t="shared" si="52"/>
        <v>0</v>
      </c>
      <c r="E324" s="677">
        <f t="shared" si="53"/>
        <v>0</v>
      </c>
      <c r="F324" s="677">
        <f t="shared" si="54"/>
        <v>0</v>
      </c>
      <c r="G324" s="678"/>
      <c r="H324" s="669">
        <f t="shared" si="46"/>
        <v>0</v>
      </c>
      <c r="I324" s="671">
        <f t="shared" si="47"/>
        <v>0</v>
      </c>
      <c r="J324" s="672">
        <f t="shared" si="55"/>
        <v>0</v>
      </c>
      <c r="K324" s="510"/>
      <c r="AH324" s="509"/>
    </row>
    <row r="325" spans="2:34" hidden="1">
      <c r="B325" s="510"/>
      <c r="C325" s="675">
        <f t="shared" si="52"/>
        <v>0</v>
      </c>
      <c r="D325" s="676">
        <f t="shared" si="52"/>
        <v>0</v>
      </c>
      <c r="E325" s="677">
        <f t="shared" si="53"/>
        <v>0</v>
      </c>
      <c r="F325" s="677">
        <f t="shared" si="54"/>
        <v>0</v>
      </c>
      <c r="G325" s="678"/>
      <c r="H325" s="669">
        <f t="shared" si="46"/>
        <v>0</v>
      </c>
      <c r="I325" s="671">
        <f t="shared" si="47"/>
        <v>0</v>
      </c>
      <c r="J325" s="672">
        <f t="shared" si="55"/>
        <v>0</v>
      </c>
      <c r="K325" s="510"/>
      <c r="AH325" s="509"/>
    </row>
    <row r="326" spans="2:34" hidden="1">
      <c r="B326" s="510"/>
      <c r="C326" s="675">
        <f t="shared" si="52"/>
        <v>0</v>
      </c>
      <c r="D326" s="676">
        <f t="shared" si="52"/>
        <v>0</v>
      </c>
      <c r="E326" s="677">
        <f t="shared" si="53"/>
        <v>0</v>
      </c>
      <c r="F326" s="677">
        <f t="shared" si="54"/>
        <v>0</v>
      </c>
      <c r="G326" s="678"/>
      <c r="H326" s="669">
        <f t="shared" si="46"/>
        <v>0</v>
      </c>
      <c r="I326" s="671">
        <f t="shared" si="47"/>
        <v>0</v>
      </c>
      <c r="J326" s="672">
        <f t="shared" si="55"/>
        <v>0</v>
      </c>
      <c r="K326" s="510"/>
      <c r="AH326" s="509"/>
    </row>
    <row r="327" spans="2:34" hidden="1">
      <c r="B327" s="510"/>
      <c r="C327" s="675">
        <f t="shared" ref="C327:D332" si="56">D100</f>
        <v>0</v>
      </c>
      <c r="D327" s="676">
        <f t="shared" si="56"/>
        <v>0</v>
      </c>
      <c r="E327" s="677">
        <f t="shared" ref="E327:E332" si="57">I100+J100</f>
        <v>0</v>
      </c>
      <c r="F327" s="677">
        <f t="shared" ref="F327:F332" si="58">IF(C327="ST TVA autoliquidée",E327,(E327+P100))</f>
        <v>0</v>
      </c>
      <c r="G327" s="678"/>
      <c r="H327" s="669">
        <f t="shared" si="46"/>
        <v>0</v>
      </c>
      <c r="I327" s="671">
        <f t="shared" si="47"/>
        <v>0</v>
      </c>
      <c r="J327" s="672">
        <f t="shared" ref="J327:J332" si="59">H100</f>
        <v>0</v>
      </c>
      <c r="K327" s="510"/>
      <c r="AH327" s="509"/>
    </row>
    <row r="328" spans="2:34" hidden="1">
      <c r="B328" s="510"/>
      <c r="C328" s="675">
        <f t="shared" si="56"/>
        <v>0</v>
      </c>
      <c r="D328" s="676">
        <f t="shared" si="56"/>
        <v>0</v>
      </c>
      <c r="E328" s="677">
        <f t="shared" si="57"/>
        <v>0</v>
      </c>
      <c r="F328" s="677">
        <f t="shared" si="58"/>
        <v>0</v>
      </c>
      <c r="G328" s="678"/>
      <c r="H328" s="669">
        <f t="shared" si="46"/>
        <v>0</v>
      </c>
      <c r="I328" s="671">
        <f t="shared" si="47"/>
        <v>0</v>
      </c>
      <c r="J328" s="672">
        <f t="shared" si="59"/>
        <v>0</v>
      </c>
      <c r="K328" s="510"/>
      <c r="AH328" s="509"/>
    </row>
    <row r="329" spans="2:34" hidden="1">
      <c r="B329" s="510"/>
      <c r="C329" s="675">
        <f t="shared" si="56"/>
        <v>0</v>
      </c>
      <c r="D329" s="676">
        <f t="shared" si="56"/>
        <v>0</v>
      </c>
      <c r="E329" s="677">
        <f t="shared" si="57"/>
        <v>0</v>
      </c>
      <c r="F329" s="677">
        <f t="shared" si="58"/>
        <v>0</v>
      </c>
      <c r="G329" s="678"/>
      <c r="H329" s="669">
        <f t="shared" si="46"/>
        <v>0</v>
      </c>
      <c r="I329" s="671">
        <f t="shared" si="47"/>
        <v>0</v>
      </c>
      <c r="J329" s="672">
        <f t="shared" si="59"/>
        <v>0</v>
      </c>
      <c r="K329" s="510"/>
      <c r="AH329" s="509"/>
    </row>
    <row r="330" spans="2:34" hidden="1">
      <c r="B330" s="510"/>
      <c r="C330" s="675">
        <f t="shared" si="56"/>
        <v>0</v>
      </c>
      <c r="D330" s="676">
        <f t="shared" si="56"/>
        <v>0</v>
      </c>
      <c r="E330" s="677">
        <f t="shared" si="57"/>
        <v>0</v>
      </c>
      <c r="F330" s="677">
        <f t="shared" si="58"/>
        <v>0</v>
      </c>
      <c r="G330" s="678"/>
      <c r="H330" s="669">
        <f t="shared" si="46"/>
        <v>0</v>
      </c>
      <c r="I330" s="671">
        <f t="shared" si="47"/>
        <v>0</v>
      </c>
      <c r="J330" s="672">
        <f t="shared" si="59"/>
        <v>0</v>
      </c>
      <c r="K330" s="510"/>
      <c r="AH330" s="509"/>
    </row>
    <row r="331" spans="2:34" hidden="1">
      <c r="B331" s="510"/>
      <c r="C331" s="675">
        <f t="shared" si="56"/>
        <v>0</v>
      </c>
      <c r="D331" s="676">
        <f t="shared" si="56"/>
        <v>0</v>
      </c>
      <c r="E331" s="677">
        <f t="shared" si="57"/>
        <v>0</v>
      </c>
      <c r="F331" s="677">
        <f t="shared" si="58"/>
        <v>0</v>
      </c>
      <c r="G331" s="678"/>
      <c r="H331" s="669">
        <f t="shared" si="46"/>
        <v>0</v>
      </c>
      <c r="I331" s="671">
        <f t="shared" si="47"/>
        <v>0</v>
      </c>
      <c r="J331" s="672">
        <f t="shared" si="59"/>
        <v>0</v>
      </c>
      <c r="K331" s="510"/>
      <c r="AH331" s="509"/>
    </row>
    <row r="332" spans="2:34" hidden="1">
      <c r="B332" s="510"/>
      <c r="C332" s="675">
        <f t="shared" si="56"/>
        <v>0</v>
      </c>
      <c r="D332" s="676">
        <f t="shared" si="56"/>
        <v>0</v>
      </c>
      <c r="E332" s="677">
        <f t="shared" si="57"/>
        <v>0</v>
      </c>
      <c r="F332" s="677">
        <f t="shared" si="58"/>
        <v>0</v>
      </c>
      <c r="G332" s="678"/>
      <c r="H332" s="669">
        <f t="shared" si="46"/>
        <v>0</v>
      </c>
      <c r="I332" s="671">
        <f t="shared" si="47"/>
        <v>0</v>
      </c>
      <c r="J332" s="672">
        <f t="shared" si="59"/>
        <v>0</v>
      </c>
      <c r="K332" s="510"/>
      <c r="AH332" s="509"/>
    </row>
    <row r="333" spans="2:34" hidden="1">
      <c r="B333" s="510"/>
      <c r="C333" s="675">
        <f t="shared" ref="C333:D338" si="60">D107</f>
        <v>0</v>
      </c>
      <c r="D333" s="676">
        <f t="shared" si="60"/>
        <v>0</v>
      </c>
      <c r="E333" s="677">
        <f t="shared" ref="E333:E338" si="61">I107+J107</f>
        <v>0</v>
      </c>
      <c r="F333" s="677">
        <f t="shared" ref="F333:F338" si="62">IF(C333="ST TVA autoliquidée",E333,(E333+P107))</f>
        <v>0</v>
      </c>
      <c r="G333" s="678"/>
      <c r="H333" s="669">
        <f t="shared" si="46"/>
        <v>0</v>
      </c>
      <c r="I333" s="671">
        <f t="shared" si="47"/>
        <v>0</v>
      </c>
      <c r="J333" s="672">
        <f t="shared" ref="J333:J338" si="63">H107</f>
        <v>0</v>
      </c>
      <c r="K333" s="510"/>
      <c r="AH333" s="509"/>
    </row>
    <row r="334" spans="2:34" hidden="1">
      <c r="B334" s="510"/>
      <c r="C334" s="675">
        <f t="shared" si="60"/>
        <v>0</v>
      </c>
      <c r="D334" s="676">
        <f t="shared" si="60"/>
        <v>0</v>
      </c>
      <c r="E334" s="677">
        <f t="shared" si="61"/>
        <v>0</v>
      </c>
      <c r="F334" s="677">
        <f t="shared" si="62"/>
        <v>0</v>
      </c>
      <c r="G334" s="678"/>
      <c r="H334" s="669">
        <f t="shared" si="46"/>
        <v>0</v>
      </c>
      <c r="I334" s="671">
        <f t="shared" si="47"/>
        <v>0</v>
      </c>
      <c r="J334" s="672">
        <f t="shared" si="63"/>
        <v>0</v>
      </c>
      <c r="K334" s="510"/>
      <c r="AH334" s="509"/>
    </row>
    <row r="335" spans="2:34" hidden="1">
      <c r="B335" s="510"/>
      <c r="C335" s="675">
        <f t="shared" si="60"/>
        <v>0</v>
      </c>
      <c r="D335" s="676">
        <f t="shared" si="60"/>
        <v>0</v>
      </c>
      <c r="E335" s="677">
        <f t="shared" si="61"/>
        <v>0</v>
      </c>
      <c r="F335" s="677">
        <f t="shared" si="62"/>
        <v>0</v>
      </c>
      <c r="G335" s="678"/>
      <c r="H335" s="669">
        <f t="shared" si="46"/>
        <v>0</v>
      </c>
      <c r="I335" s="671">
        <f t="shared" si="47"/>
        <v>0</v>
      </c>
      <c r="J335" s="672">
        <f t="shared" si="63"/>
        <v>0</v>
      </c>
      <c r="K335" s="510"/>
      <c r="AH335" s="509"/>
    </row>
    <row r="336" spans="2:34" hidden="1">
      <c r="B336" s="510"/>
      <c r="C336" s="675">
        <f t="shared" si="60"/>
        <v>0</v>
      </c>
      <c r="D336" s="676">
        <f t="shared" si="60"/>
        <v>0</v>
      </c>
      <c r="E336" s="677">
        <f t="shared" si="61"/>
        <v>0</v>
      </c>
      <c r="F336" s="677">
        <f t="shared" si="62"/>
        <v>0</v>
      </c>
      <c r="G336" s="678"/>
      <c r="H336" s="669">
        <f t="shared" si="46"/>
        <v>0</v>
      </c>
      <c r="I336" s="671">
        <f t="shared" si="47"/>
        <v>0</v>
      </c>
      <c r="J336" s="672">
        <f t="shared" si="63"/>
        <v>0</v>
      </c>
      <c r="K336" s="510"/>
      <c r="AH336" s="509"/>
    </row>
    <row r="337" spans="2:34" hidden="1">
      <c r="B337" s="510"/>
      <c r="C337" s="675">
        <f t="shared" si="60"/>
        <v>0</v>
      </c>
      <c r="D337" s="676">
        <f t="shared" si="60"/>
        <v>0</v>
      </c>
      <c r="E337" s="677">
        <f t="shared" si="61"/>
        <v>0</v>
      </c>
      <c r="F337" s="677">
        <f t="shared" si="62"/>
        <v>0</v>
      </c>
      <c r="G337" s="678"/>
      <c r="H337" s="669">
        <f t="shared" si="46"/>
        <v>0</v>
      </c>
      <c r="I337" s="671">
        <f t="shared" si="47"/>
        <v>0</v>
      </c>
      <c r="J337" s="672">
        <f t="shared" si="63"/>
        <v>0</v>
      </c>
      <c r="K337" s="510"/>
      <c r="AH337" s="509"/>
    </row>
    <row r="338" spans="2:34" hidden="1">
      <c r="B338" s="510"/>
      <c r="C338" s="675">
        <f t="shared" si="60"/>
        <v>0</v>
      </c>
      <c r="D338" s="676">
        <f t="shared" si="60"/>
        <v>0</v>
      </c>
      <c r="E338" s="677">
        <f t="shared" si="61"/>
        <v>0</v>
      </c>
      <c r="F338" s="677">
        <f t="shared" si="62"/>
        <v>0</v>
      </c>
      <c r="G338" s="678"/>
      <c r="H338" s="669">
        <f t="shared" si="46"/>
        <v>0</v>
      </c>
      <c r="I338" s="671">
        <f t="shared" si="47"/>
        <v>0</v>
      </c>
      <c r="J338" s="672">
        <f t="shared" si="63"/>
        <v>0</v>
      </c>
      <c r="K338" s="510"/>
      <c r="AH338" s="509"/>
    </row>
    <row r="339" spans="2:34" hidden="1">
      <c r="B339" s="510"/>
      <c r="C339" s="675">
        <f t="shared" ref="C339:D344" si="64">D114</f>
        <v>0</v>
      </c>
      <c r="D339" s="676">
        <f t="shared" si="64"/>
        <v>0</v>
      </c>
      <c r="E339" s="677">
        <f t="shared" ref="E339:E344" si="65">I114+J114</f>
        <v>0</v>
      </c>
      <c r="F339" s="677">
        <f t="shared" ref="F339:F344" si="66">IF(C339="ST TVA autoliquidée",E339,(E339+P114))</f>
        <v>0</v>
      </c>
      <c r="G339" s="678"/>
      <c r="H339" s="669">
        <f t="shared" si="46"/>
        <v>0</v>
      </c>
      <c r="I339" s="671">
        <f t="shared" si="47"/>
        <v>0</v>
      </c>
      <c r="J339" s="672">
        <f t="shared" ref="J339:J344" si="67">H114</f>
        <v>0</v>
      </c>
      <c r="K339" s="510"/>
      <c r="AH339" s="509"/>
    </row>
    <row r="340" spans="2:34" hidden="1">
      <c r="B340" s="510"/>
      <c r="C340" s="675">
        <f t="shared" si="64"/>
        <v>0</v>
      </c>
      <c r="D340" s="676">
        <f t="shared" si="64"/>
        <v>0</v>
      </c>
      <c r="E340" s="677">
        <f t="shared" si="65"/>
        <v>0</v>
      </c>
      <c r="F340" s="677">
        <f t="shared" si="66"/>
        <v>0</v>
      </c>
      <c r="G340" s="678"/>
      <c r="H340" s="669">
        <f t="shared" si="46"/>
        <v>0</v>
      </c>
      <c r="I340" s="671">
        <f t="shared" si="47"/>
        <v>0</v>
      </c>
      <c r="J340" s="672">
        <f t="shared" si="67"/>
        <v>0</v>
      </c>
      <c r="K340" s="510"/>
      <c r="AH340" s="509"/>
    </row>
    <row r="341" spans="2:34" hidden="1">
      <c r="B341" s="510"/>
      <c r="C341" s="675">
        <f t="shared" si="64"/>
        <v>0</v>
      </c>
      <c r="D341" s="676">
        <f t="shared" si="64"/>
        <v>0</v>
      </c>
      <c r="E341" s="677">
        <f t="shared" si="65"/>
        <v>0</v>
      </c>
      <c r="F341" s="677">
        <f t="shared" si="66"/>
        <v>0</v>
      </c>
      <c r="G341" s="678"/>
      <c r="H341" s="669">
        <f t="shared" si="46"/>
        <v>0</v>
      </c>
      <c r="I341" s="671">
        <f t="shared" si="47"/>
        <v>0</v>
      </c>
      <c r="J341" s="672">
        <f t="shared" si="67"/>
        <v>0</v>
      </c>
      <c r="K341" s="510"/>
      <c r="AH341" s="509"/>
    </row>
    <row r="342" spans="2:34" hidden="1">
      <c r="B342" s="510"/>
      <c r="C342" s="675">
        <f t="shared" si="64"/>
        <v>0</v>
      </c>
      <c r="D342" s="676">
        <f t="shared" si="64"/>
        <v>0</v>
      </c>
      <c r="E342" s="677">
        <f t="shared" si="65"/>
        <v>0</v>
      </c>
      <c r="F342" s="677">
        <f t="shared" si="66"/>
        <v>0</v>
      </c>
      <c r="G342" s="678"/>
      <c r="H342" s="669">
        <f t="shared" si="46"/>
        <v>0</v>
      </c>
      <c r="I342" s="671">
        <f t="shared" si="47"/>
        <v>0</v>
      </c>
      <c r="J342" s="672">
        <f t="shared" si="67"/>
        <v>0</v>
      </c>
      <c r="K342" s="510"/>
      <c r="AH342" s="509"/>
    </row>
    <row r="343" spans="2:34" hidden="1">
      <c r="B343" s="510"/>
      <c r="C343" s="675">
        <f t="shared" si="64"/>
        <v>0</v>
      </c>
      <c r="D343" s="676">
        <f t="shared" si="64"/>
        <v>0</v>
      </c>
      <c r="E343" s="677">
        <f t="shared" si="65"/>
        <v>0</v>
      </c>
      <c r="F343" s="677">
        <f t="shared" si="66"/>
        <v>0</v>
      </c>
      <c r="G343" s="678"/>
      <c r="H343" s="669">
        <f t="shared" si="46"/>
        <v>0</v>
      </c>
      <c r="I343" s="671">
        <f t="shared" si="47"/>
        <v>0</v>
      </c>
      <c r="J343" s="672">
        <f t="shared" si="67"/>
        <v>0</v>
      </c>
      <c r="K343" s="510"/>
      <c r="AH343" s="509"/>
    </row>
    <row r="344" spans="2:34" hidden="1">
      <c r="B344" s="510"/>
      <c r="C344" s="675">
        <f t="shared" si="64"/>
        <v>0</v>
      </c>
      <c r="D344" s="676">
        <f t="shared" si="64"/>
        <v>0</v>
      </c>
      <c r="E344" s="677">
        <f t="shared" si="65"/>
        <v>0</v>
      </c>
      <c r="F344" s="677">
        <f t="shared" si="66"/>
        <v>0</v>
      </c>
      <c r="G344" s="678"/>
      <c r="H344" s="669">
        <f t="shared" si="46"/>
        <v>0</v>
      </c>
      <c r="I344" s="671">
        <f t="shared" si="47"/>
        <v>0</v>
      </c>
      <c r="J344" s="672">
        <f t="shared" si="67"/>
        <v>0</v>
      </c>
      <c r="K344" s="510"/>
      <c r="AH344" s="509"/>
    </row>
    <row r="345" spans="2:34" hidden="1">
      <c r="B345" s="510"/>
      <c r="C345" s="675">
        <f t="shared" ref="C345:D350" si="68">D121</f>
        <v>0</v>
      </c>
      <c r="D345" s="676">
        <f t="shared" si="68"/>
        <v>0</v>
      </c>
      <c r="E345" s="677">
        <f t="shared" ref="E345:E350" si="69">I121+J121</f>
        <v>0</v>
      </c>
      <c r="F345" s="677">
        <f t="shared" ref="F345:F350" si="70">IF(C345="ST TVA autoliquidée",E345,(E345+P121))</f>
        <v>0</v>
      </c>
      <c r="G345" s="678"/>
      <c r="H345" s="669">
        <f t="shared" si="46"/>
        <v>0</v>
      </c>
      <c r="I345" s="671">
        <f t="shared" si="47"/>
        <v>0</v>
      </c>
      <c r="J345" s="672">
        <f t="shared" ref="J345:J350" si="71">H121</f>
        <v>0</v>
      </c>
      <c r="K345" s="510"/>
      <c r="AH345" s="509"/>
    </row>
    <row r="346" spans="2:34" hidden="1">
      <c r="B346" s="510"/>
      <c r="C346" s="675">
        <f t="shared" si="68"/>
        <v>0</v>
      </c>
      <c r="D346" s="676">
        <f t="shared" si="68"/>
        <v>0</v>
      </c>
      <c r="E346" s="677">
        <f t="shared" si="69"/>
        <v>0</v>
      </c>
      <c r="F346" s="677">
        <f t="shared" si="70"/>
        <v>0</v>
      </c>
      <c r="G346" s="678"/>
      <c r="H346" s="669">
        <f t="shared" si="46"/>
        <v>0</v>
      </c>
      <c r="I346" s="671">
        <f t="shared" si="47"/>
        <v>0</v>
      </c>
      <c r="J346" s="672">
        <f t="shared" si="71"/>
        <v>0</v>
      </c>
      <c r="K346" s="510"/>
      <c r="AH346" s="509"/>
    </row>
    <row r="347" spans="2:34" hidden="1">
      <c r="B347" s="510"/>
      <c r="C347" s="675">
        <f t="shared" si="68"/>
        <v>0</v>
      </c>
      <c r="D347" s="676">
        <f t="shared" si="68"/>
        <v>0</v>
      </c>
      <c r="E347" s="677">
        <f t="shared" si="69"/>
        <v>0</v>
      </c>
      <c r="F347" s="677">
        <f t="shared" si="70"/>
        <v>0</v>
      </c>
      <c r="G347" s="678"/>
      <c r="H347" s="669">
        <f t="shared" si="46"/>
        <v>0</v>
      </c>
      <c r="I347" s="671">
        <f t="shared" si="47"/>
        <v>0</v>
      </c>
      <c r="J347" s="672">
        <f t="shared" si="71"/>
        <v>0</v>
      </c>
      <c r="K347" s="510"/>
      <c r="AH347" s="509"/>
    </row>
    <row r="348" spans="2:34" hidden="1">
      <c r="B348" s="510"/>
      <c r="C348" s="675">
        <f t="shared" si="68"/>
        <v>0</v>
      </c>
      <c r="D348" s="676">
        <f t="shared" si="68"/>
        <v>0</v>
      </c>
      <c r="E348" s="677">
        <f t="shared" si="69"/>
        <v>0</v>
      </c>
      <c r="F348" s="677">
        <f t="shared" si="70"/>
        <v>0</v>
      </c>
      <c r="G348" s="678"/>
      <c r="H348" s="669">
        <f t="shared" si="46"/>
        <v>0</v>
      </c>
      <c r="I348" s="671">
        <f t="shared" si="47"/>
        <v>0</v>
      </c>
      <c r="J348" s="672">
        <f t="shared" si="71"/>
        <v>0</v>
      </c>
      <c r="K348" s="510"/>
      <c r="AH348" s="509"/>
    </row>
    <row r="349" spans="2:34" hidden="1">
      <c r="B349" s="510"/>
      <c r="C349" s="675">
        <f t="shared" si="68"/>
        <v>0</v>
      </c>
      <c r="D349" s="676">
        <f t="shared" si="68"/>
        <v>0</v>
      </c>
      <c r="E349" s="677">
        <f t="shared" si="69"/>
        <v>0</v>
      </c>
      <c r="F349" s="677">
        <f t="shared" si="70"/>
        <v>0</v>
      </c>
      <c r="G349" s="678"/>
      <c r="H349" s="669">
        <f t="shared" si="46"/>
        <v>0</v>
      </c>
      <c r="I349" s="671">
        <f t="shared" si="47"/>
        <v>0</v>
      </c>
      <c r="J349" s="672">
        <f t="shared" si="71"/>
        <v>0</v>
      </c>
      <c r="K349" s="510"/>
      <c r="AH349" s="509"/>
    </row>
    <row r="350" spans="2:34" hidden="1">
      <c r="B350" s="510"/>
      <c r="C350" s="675">
        <f t="shared" si="68"/>
        <v>0</v>
      </c>
      <c r="D350" s="676">
        <f t="shared" si="68"/>
        <v>0</v>
      </c>
      <c r="E350" s="677">
        <f t="shared" si="69"/>
        <v>0</v>
      </c>
      <c r="F350" s="677">
        <f t="shared" si="70"/>
        <v>0</v>
      </c>
      <c r="G350" s="678"/>
      <c r="H350" s="669">
        <f t="shared" si="46"/>
        <v>0</v>
      </c>
      <c r="I350" s="671">
        <f t="shared" si="47"/>
        <v>0</v>
      </c>
      <c r="J350" s="672">
        <f t="shared" si="71"/>
        <v>0</v>
      </c>
      <c r="K350" s="510"/>
      <c r="AH350" s="509"/>
    </row>
    <row r="351" spans="2:34" hidden="1">
      <c r="B351" s="510"/>
      <c r="C351" s="675">
        <f t="shared" ref="C351:D356" si="72">D128</f>
        <v>0</v>
      </c>
      <c r="D351" s="676">
        <f t="shared" si="72"/>
        <v>0</v>
      </c>
      <c r="E351" s="677">
        <f>I128+J128</f>
        <v>0</v>
      </c>
      <c r="F351" s="677">
        <f t="shared" ref="F351:F356" si="73">IF(C351="ST TVA autoliquidée",E351,(E351+P128))</f>
        <v>0</v>
      </c>
      <c r="G351" s="678"/>
      <c r="H351" s="669">
        <f t="shared" ref="H351:H356" si="74">G351+E351</f>
        <v>0</v>
      </c>
      <c r="I351" s="671">
        <f t="shared" ref="I351:I356" si="75">J351-H351</f>
        <v>0</v>
      </c>
      <c r="J351" s="672">
        <f>H128</f>
        <v>0</v>
      </c>
      <c r="K351" s="510"/>
      <c r="AH351" s="509"/>
    </row>
    <row r="352" spans="2:34" hidden="1">
      <c r="B352" s="510"/>
      <c r="C352" s="675">
        <f t="shared" si="72"/>
        <v>0</v>
      </c>
      <c r="D352" s="676">
        <f t="shared" si="72"/>
        <v>0</v>
      </c>
      <c r="E352" s="677">
        <f t="shared" ref="E352:E356" si="76">I129+J129</f>
        <v>0</v>
      </c>
      <c r="F352" s="677">
        <f t="shared" si="73"/>
        <v>0</v>
      </c>
      <c r="G352" s="678"/>
      <c r="H352" s="669">
        <f t="shared" si="74"/>
        <v>0</v>
      </c>
      <c r="I352" s="671">
        <f t="shared" si="75"/>
        <v>0</v>
      </c>
      <c r="J352" s="672">
        <f t="shared" ref="J352:J356" si="77">H129</f>
        <v>0</v>
      </c>
      <c r="K352" s="510"/>
      <c r="AH352" s="509"/>
    </row>
    <row r="353" spans="2:34" hidden="1">
      <c r="B353" s="510"/>
      <c r="C353" s="675">
        <f t="shared" si="72"/>
        <v>0</v>
      </c>
      <c r="D353" s="676">
        <f t="shared" si="72"/>
        <v>0</v>
      </c>
      <c r="E353" s="677">
        <f t="shared" si="76"/>
        <v>0</v>
      </c>
      <c r="F353" s="677">
        <f t="shared" si="73"/>
        <v>0</v>
      </c>
      <c r="G353" s="678"/>
      <c r="H353" s="669">
        <f t="shared" si="74"/>
        <v>0</v>
      </c>
      <c r="I353" s="671">
        <f t="shared" si="75"/>
        <v>0</v>
      </c>
      <c r="J353" s="672">
        <f t="shared" si="77"/>
        <v>0</v>
      </c>
      <c r="K353" s="510"/>
      <c r="AH353" s="509"/>
    </row>
    <row r="354" spans="2:34" hidden="1">
      <c r="B354" s="510"/>
      <c r="C354" s="675">
        <f t="shared" si="72"/>
        <v>0</v>
      </c>
      <c r="D354" s="676">
        <f t="shared" si="72"/>
        <v>0</v>
      </c>
      <c r="E354" s="677">
        <f t="shared" si="76"/>
        <v>0</v>
      </c>
      <c r="F354" s="677">
        <f t="shared" si="73"/>
        <v>0</v>
      </c>
      <c r="G354" s="678"/>
      <c r="H354" s="669">
        <f t="shared" si="74"/>
        <v>0</v>
      </c>
      <c r="I354" s="671">
        <f t="shared" si="75"/>
        <v>0</v>
      </c>
      <c r="J354" s="672">
        <f t="shared" si="77"/>
        <v>0</v>
      </c>
      <c r="K354" s="510"/>
      <c r="AH354" s="509"/>
    </row>
    <row r="355" spans="2:34" hidden="1">
      <c r="B355" s="510"/>
      <c r="C355" s="675">
        <f t="shared" si="72"/>
        <v>0</v>
      </c>
      <c r="D355" s="676">
        <f t="shared" si="72"/>
        <v>0</v>
      </c>
      <c r="E355" s="677">
        <f t="shared" si="76"/>
        <v>0</v>
      </c>
      <c r="F355" s="677">
        <f t="shared" si="73"/>
        <v>0</v>
      </c>
      <c r="G355" s="678"/>
      <c r="H355" s="669">
        <f t="shared" si="74"/>
        <v>0</v>
      </c>
      <c r="I355" s="671">
        <f t="shared" si="75"/>
        <v>0</v>
      </c>
      <c r="J355" s="672">
        <f t="shared" si="77"/>
        <v>0</v>
      </c>
      <c r="K355" s="510"/>
      <c r="AH355" s="509"/>
    </row>
    <row r="356" spans="2:34" hidden="1">
      <c r="B356" s="510"/>
      <c r="C356" s="682">
        <f t="shared" si="72"/>
        <v>0</v>
      </c>
      <c r="D356" s="683">
        <f t="shared" si="72"/>
        <v>0</v>
      </c>
      <c r="E356" s="677">
        <f t="shared" si="76"/>
        <v>0</v>
      </c>
      <c r="F356" s="677">
        <f t="shared" si="73"/>
        <v>0</v>
      </c>
      <c r="G356" s="684"/>
      <c r="H356" s="685">
        <f t="shared" si="74"/>
        <v>0</v>
      </c>
      <c r="I356" s="686">
        <f t="shared" si="75"/>
        <v>0</v>
      </c>
      <c r="J356" s="672">
        <f t="shared" si="77"/>
        <v>0</v>
      </c>
      <c r="K356" s="510"/>
      <c r="AH356" s="509"/>
    </row>
    <row r="357" spans="2:34">
      <c r="K357" s="511"/>
      <c r="L357" s="511"/>
      <c r="M357" s="511"/>
      <c r="N357" s="511"/>
    </row>
    <row r="358" spans="2:34">
      <c r="B358" s="510"/>
      <c r="C358" s="688" t="s">
        <v>65</v>
      </c>
      <c r="D358" s="688" t="s">
        <v>454</v>
      </c>
      <c r="E358" s="688" t="s">
        <v>469</v>
      </c>
      <c r="F358" s="688" t="s">
        <v>281</v>
      </c>
      <c r="G358" s="688" t="s">
        <v>471</v>
      </c>
      <c r="H358" s="688" t="s">
        <v>472</v>
      </c>
      <c r="J358" s="510"/>
      <c r="K358" s="510"/>
    </row>
    <row r="359" spans="2:34" hidden="1">
      <c r="B359" s="634"/>
      <c r="C359" s="689" t="s">
        <v>66</v>
      </c>
      <c r="D359" s="690" t="s">
        <v>67</v>
      </c>
      <c r="E359" s="690" t="s">
        <v>68</v>
      </c>
      <c r="F359" s="690" t="s">
        <v>66</v>
      </c>
      <c r="G359" s="690" t="s">
        <v>69</v>
      </c>
      <c r="H359" s="691" t="s">
        <v>68</v>
      </c>
      <c r="J359" s="510"/>
      <c r="K359" s="510"/>
    </row>
    <row r="360" spans="2:34" hidden="1">
      <c r="B360" s="634"/>
      <c r="C360" s="692">
        <v>1</v>
      </c>
      <c r="D360" s="693"/>
      <c r="E360" s="694"/>
      <c r="F360" s="693"/>
      <c r="G360" s="693"/>
      <c r="H360" s="695"/>
      <c r="J360" s="510"/>
      <c r="K360" s="510"/>
    </row>
    <row r="361" spans="2:34" hidden="1">
      <c r="C361" s="692">
        <v>2</v>
      </c>
      <c r="D361" s="693"/>
      <c r="E361" s="694"/>
      <c r="F361" s="693"/>
      <c r="G361" s="693"/>
      <c r="H361" s="695"/>
      <c r="J361" s="510"/>
      <c r="K361" s="510"/>
    </row>
    <row r="362" spans="2:34" hidden="1">
      <c r="B362" s="510"/>
      <c r="C362" s="692">
        <v>3</v>
      </c>
      <c r="D362" s="693"/>
      <c r="E362" s="694"/>
      <c r="F362" s="693"/>
      <c r="G362" s="693"/>
      <c r="H362" s="695"/>
      <c r="J362" s="510"/>
      <c r="K362" s="510"/>
    </row>
    <row r="363" spans="2:34" hidden="1">
      <c r="B363" s="510"/>
      <c r="C363" s="692">
        <v>4</v>
      </c>
      <c r="D363" s="693"/>
      <c r="E363" s="694"/>
      <c r="F363" s="693"/>
      <c r="G363" s="693"/>
      <c r="H363" s="695"/>
      <c r="J363" s="510"/>
      <c r="K363" s="510"/>
    </row>
    <row r="364" spans="2:34" hidden="1">
      <c r="B364" s="510"/>
      <c r="C364" s="692">
        <v>5</v>
      </c>
      <c r="D364" s="693"/>
      <c r="E364" s="694"/>
      <c r="F364" s="693"/>
      <c r="G364" s="693"/>
      <c r="H364" s="695"/>
      <c r="J364" s="510"/>
      <c r="K364" s="510"/>
    </row>
    <row r="365" spans="2:34" hidden="1">
      <c r="B365" s="510"/>
      <c r="C365" s="692">
        <v>6</v>
      </c>
      <c r="D365" s="693"/>
      <c r="E365" s="694"/>
      <c r="F365" s="693"/>
      <c r="G365" s="693"/>
      <c r="H365" s="695"/>
      <c r="J365" s="510"/>
      <c r="K365" s="510"/>
    </row>
    <row r="366" spans="2:34" hidden="1">
      <c r="B366" s="510"/>
      <c r="C366" s="692">
        <v>7</v>
      </c>
      <c r="D366" s="693"/>
      <c r="E366" s="694"/>
      <c r="F366" s="693"/>
      <c r="G366" s="693"/>
      <c r="H366" s="695"/>
      <c r="J366" s="510"/>
      <c r="K366" s="510"/>
    </row>
    <row r="367" spans="2:34" hidden="1">
      <c r="B367" s="510"/>
      <c r="C367" s="692">
        <v>8</v>
      </c>
      <c r="D367" s="693"/>
      <c r="E367" s="694"/>
      <c r="F367" s="693"/>
      <c r="G367" s="693"/>
      <c r="H367" s="695"/>
      <c r="J367" s="510"/>
      <c r="K367" s="510"/>
    </row>
    <row r="368" spans="2:34" hidden="1">
      <c r="B368" s="510"/>
      <c r="C368" s="692">
        <v>9</v>
      </c>
      <c r="D368" s="693"/>
      <c r="E368" s="694"/>
      <c r="F368" s="693"/>
      <c r="G368" s="693"/>
      <c r="H368" s="695"/>
      <c r="J368" s="510"/>
      <c r="K368" s="510"/>
    </row>
    <row r="369" spans="2:11" hidden="1">
      <c r="B369" s="510"/>
      <c r="C369" s="692">
        <v>10</v>
      </c>
      <c r="D369" s="693"/>
      <c r="E369" s="694"/>
      <c r="F369" s="693"/>
      <c r="G369" s="693"/>
      <c r="H369" s="695"/>
      <c r="J369" s="510"/>
      <c r="K369" s="510"/>
    </row>
    <row r="370" spans="2:11" hidden="1">
      <c r="B370" s="510"/>
      <c r="C370" s="692">
        <v>11</v>
      </c>
      <c r="D370" s="693"/>
      <c r="E370" s="694"/>
      <c r="F370" s="693"/>
      <c r="G370" s="693"/>
      <c r="H370" s="695"/>
      <c r="J370" s="510"/>
      <c r="K370" s="510"/>
    </row>
    <row r="371" spans="2:11" hidden="1">
      <c r="B371" s="510"/>
      <c r="C371" s="692">
        <v>12</v>
      </c>
      <c r="D371" s="693"/>
      <c r="E371" s="694"/>
      <c r="F371" s="693"/>
      <c r="G371" s="693"/>
      <c r="H371" s="695"/>
      <c r="J371" s="510"/>
      <c r="K371" s="510"/>
    </row>
    <row r="372" spans="2:11" hidden="1">
      <c r="B372" s="510"/>
      <c r="C372" s="692">
        <v>13</v>
      </c>
      <c r="D372" s="693"/>
      <c r="E372" s="694"/>
      <c r="F372" s="693"/>
      <c r="G372" s="693"/>
      <c r="H372" s="695"/>
      <c r="J372" s="510"/>
      <c r="K372" s="510"/>
    </row>
    <row r="373" spans="2:11" hidden="1">
      <c r="B373" s="510"/>
      <c r="C373" s="692">
        <v>14</v>
      </c>
      <c r="D373" s="693"/>
      <c r="E373" s="694"/>
      <c r="F373" s="693"/>
      <c r="G373" s="693"/>
      <c r="H373" s="695"/>
      <c r="J373" s="510"/>
      <c r="K373" s="510"/>
    </row>
    <row r="374" spans="2:11" hidden="1">
      <c r="C374" s="692">
        <v>15</v>
      </c>
      <c r="D374" s="693"/>
      <c r="E374" s="694"/>
      <c r="F374" s="693"/>
      <c r="G374" s="693"/>
      <c r="H374" s="695"/>
    </row>
    <row r="375" spans="2:11" hidden="1">
      <c r="C375" s="692">
        <v>16</v>
      </c>
      <c r="D375" s="693"/>
      <c r="E375" s="694"/>
      <c r="F375" s="693"/>
      <c r="G375" s="693"/>
      <c r="H375" s="695"/>
    </row>
    <row r="376" spans="2:11" hidden="1">
      <c r="C376" s="692">
        <v>17</v>
      </c>
      <c r="D376" s="693"/>
      <c r="E376" s="694"/>
      <c r="F376" s="693"/>
      <c r="G376" s="693"/>
      <c r="H376" s="695"/>
    </row>
    <row r="377" spans="2:11" hidden="1">
      <c r="C377" s="692">
        <v>18</v>
      </c>
      <c r="D377" s="693"/>
      <c r="E377" s="694"/>
      <c r="F377" s="693"/>
      <c r="G377" s="693"/>
      <c r="H377" s="695"/>
    </row>
    <row r="378" spans="2:11" hidden="1">
      <c r="C378" s="692">
        <v>19</v>
      </c>
      <c r="D378" s="693"/>
      <c r="E378" s="694"/>
      <c r="F378" s="693"/>
      <c r="G378" s="693"/>
      <c r="H378" s="695"/>
    </row>
    <row r="379" spans="2:11" hidden="1">
      <c r="C379" s="692">
        <v>20</v>
      </c>
      <c r="D379" s="693"/>
      <c r="E379" s="694"/>
      <c r="F379" s="693"/>
      <c r="G379" s="693"/>
      <c r="H379" s="695"/>
    </row>
    <row r="380" spans="2:11" hidden="1">
      <c r="C380" s="692">
        <v>21</v>
      </c>
      <c r="D380" s="693"/>
      <c r="E380" s="694"/>
      <c r="F380" s="693"/>
      <c r="G380" s="693"/>
      <c r="H380" s="695"/>
    </row>
    <row r="381" spans="2:11" hidden="1">
      <c r="C381" s="692">
        <v>22</v>
      </c>
      <c r="D381" s="693"/>
      <c r="E381" s="694"/>
      <c r="F381" s="693"/>
      <c r="G381" s="693"/>
      <c r="H381" s="695"/>
    </row>
    <row r="382" spans="2:11" hidden="1">
      <c r="C382" s="692">
        <v>23</v>
      </c>
      <c r="D382" s="693"/>
      <c r="E382" s="694"/>
      <c r="F382" s="693"/>
      <c r="G382" s="693"/>
      <c r="H382" s="695"/>
    </row>
    <row r="383" spans="2:11" hidden="1">
      <c r="C383" s="692">
        <v>24</v>
      </c>
      <c r="D383" s="693"/>
      <c r="E383" s="694"/>
      <c r="F383" s="693"/>
      <c r="G383" s="693"/>
      <c r="H383" s="695"/>
    </row>
    <row r="384" spans="2:11" hidden="1">
      <c r="C384" s="692">
        <v>25</v>
      </c>
      <c r="D384" s="693"/>
      <c r="E384" s="694"/>
      <c r="F384" s="693"/>
      <c r="G384" s="693"/>
      <c r="H384" s="695"/>
    </row>
    <row r="385" spans="3:8" hidden="1">
      <c r="C385" s="692">
        <v>26</v>
      </c>
      <c r="D385" s="693"/>
      <c r="E385" s="694"/>
      <c r="F385" s="693"/>
      <c r="G385" s="693"/>
      <c r="H385" s="695"/>
    </row>
    <row r="386" spans="3:8" hidden="1">
      <c r="C386" s="692">
        <v>27</v>
      </c>
      <c r="D386" s="693"/>
      <c r="E386" s="694"/>
      <c r="F386" s="693"/>
      <c r="G386" s="693"/>
      <c r="H386" s="695"/>
    </row>
    <row r="387" spans="3:8" hidden="1">
      <c r="C387" s="692">
        <v>28</v>
      </c>
      <c r="D387" s="693"/>
      <c r="E387" s="694"/>
      <c r="F387" s="693"/>
      <c r="G387" s="693"/>
      <c r="H387" s="695"/>
    </row>
    <row r="388" spans="3:8" hidden="1">
      <c r="C388" s="692">
        <v>29</v>
      </c>
      <c r="D388" s="693"/>
      <c r="E388" s="694"/>
      <c r="F388" s="693"/>
      <c r="G388" s="693"/>
      <c r="H388" s="695"/>
    </row>
    <row r="389" spans="3:8" hidden="1">
      <c r="C389" s="692">
        <v>30</v>
      </c>
      <c r="D389" s="693"/>
      <c r="E389" s="694"/>
      <c r="F389" s="693"/>
      <c r="G389" s="693"/>
      <c r="H389" s="695"/>
    </row>
    <row r="390" spans="3:8" hidden="1">
      <c r="C390" s="692">
        <v>31</v>
      </c>
      <c r="D390" s="693"/>
      <c r="E390" s="694"/>
      <c r="F390" s="693"/>
      <c r="G390" s="693"/>
      <c r="H390" s="695"/>
    </row>
    <row r="391" spans="3:8" hidden="1">
      <c r="C391" s="692">
        <v>32</v>
      </c>
      <c r="D391" s="693"/>
      <c r="E391" s="694"/>
      <c r="F391" s="693"/>
      <c r="G391" s="693"/>
      <c r="H391" s="695"/>
    </row>
    <row r="392" spans="3:8" hidden="1">
      <c r="C392" s="692">
        <v>33</v>
      </c>
      <c r="D392" s="693"/>
      <c r="E392" s="694"/>
      <c r="F392" s="693"/>
      <c r="G392" s="693"/>
      <c r="H392" s="695"/>
    </row>
    <row r="393" spans="3:8" hidden="1">
      <c r="C393" s="692">
        <v>34</v>
      </c>
      <c r="D393" s="693"/>
      <c r="E393" s="694"/>
      <c r="F393" s="693"/>
      <c r="G393" s="693"/>
      <c r="H393" s="695"/>
    </row>
    <row r="394" spans="3:8" hidden="1">
      <c r="C394" s="692">
        <v>35</v>
      </c>
      <c r="D394" s="693"/>
      <c r="E394" s="694"/>
      <c r="F394" s="693"/>
      <c r="G394" s="693"/>
      <c r="H394" s="695"/>
    </row>
    <row r="395" spans="3:8" hidden="1">
      <c r="C395" s="692">
        <v>36</v>
      </c>
      <c r="D395" s="693"/>
      <c r="E395" s="694"/>
      <c r="F395" s="693"/>
      <c r="G395" s="693"/>
      <c r="H395" s="695"/>
    </row>
    <row r="396" spans="3:8" hidden="1">
      <c r="C396" s="692">
        <v>37</v>
      </c>
      <c r="D396" s="693"/>
      <c r="E396" s="694"/>
      <c r="F396" s="693"/>
      <c r="G396" s="693"/>
      <c r="H396" s="695"/>
    </row>
    <row r="397" spans="3:8" hidden="1">
      <c r="C397" s="692">
        <v>38</v>
      </c>
      <c r="D397" s="693"/>
      <c r="E397" s="694"/>
      <c r="F397" s="693"/>
      <c r="G397" s="693"/>
      <c r="H397" s="695"/>
    </row>
    <row r="398" spans="3:8" hidden="1">
      <c r="C398" s="692">
        <v>39</v>
      </c>
      <c r="D398" s="693"/>
      <c r="E398" s="694"/>
      <c r="F398" s="693"/>
      <c r="G398" s="693"/>
      <c r="H398" s="695"/>
    </row>
    <row r="399" spans="3:8" hidden="1">
      <c r="C399" s="696">
        <v>40</v>
      </c>
      <c r="D399" s="697"/>
      <c r="E399" s="698"/>
      <c r="F399" s="697"/>
      <c r="G399" s="697"/>
      <c r="H399" s="699"/>
    </row>
    <row r="401" spans="11:14">
      <c r="K401" s="511"/>
      <c r="L401" s="511"/>
      <c r="M401" s="511"/>
      <c r="N401" s="511"/>
    </row>
    <row r="1169" spans="6:6">
      <c r="F1169" s="509">
        <v>0</v>
      </c>
    </row>
    <row r="1172" spans="6:6">
      <c r="F1172" s="509">
        <v>0</v>
      </c>
    </row>
  </sheetData>
  <sheetProtection algorithmName="SHA-512" hashValue="VG1EQfLAKVu6WRqwD7UYopaaup08Q/ayc5CyXXZgLS6DPNugGEk90hXd8X/McRQ1m0zRT2LtK6Y64yueQ4Yrtw==" saltValue="3RiLenDKcL5BDTdTJjHmCw==" spinCount="100000" sheet="1" objects="1" scenarios="1"/>
  <mergeCells count="24">
    <mergeCell ref="L26:M26"/>
    <mergeCell ref="I26:J26"/>
    <mergeCell ref="C27:E27"/>
    <mergeCell ref="C144:C145"/>
    <mergeCell ref="H144:H145"/>
    <mergeCell ref="I144:I145"/>
    <mergeCell ref="J144:J145"/>
    <mergeCell ref="D261:E261"/>
    <mergeCell ref="D259:E259"/>
    <mergeCell ref="C26:G26"/>
    <mergeCell ref="D258:E258"/>
    <mergeCell ref="D260:E260"/>
    <mergeCell ref="D256:E256"/>
    <mergeCell ref="D257:E257"/>
    <mergeCell ref="D144:E144"/>
    <mergeCell ref="F1:G1"/>
    <mergeCell ref="I207:J207"/>
    <mergeCell ref="H4:I4"/>
    <mergeCell ref="E3:I3"/>
    <mergeCell ref="E2:I2"/>
    <mergeCell ref="E5:I5"/>
    <mergeCell ref="C9:F9"/>
    <mergeCell ref="E4:F4"/>
    <mergeCell ref="E6:I6"/>
  </mergeCells>
  <dataValidations count="1">
    <dataValidation type="decimal" operator="greaterThanOrEqual" allowBlank="1" showInputMessage="1" showErrorMessage="1" sqref="D148:E157 F148:G156 D170:G178" xr:uid="{00000000-0002-0000-0500-000000000000}">
      <formula1>0</formula1>
    </dataValidation>
  </dataValidations>
  <pageMargins left="0.7" right="0.7" top="0.75" bottom="0.75" header="0.3" footer="0.3"/>
  <pageSetup paperSize="9" scale="10" orientation="landscape" r:id="rId1"/>
  <ignoredErrors>
    <ignoredError sqref="C268:D308 C267:D267 G267:I267 G308:I308 G268:I271 G272:I272 G273:I273 G274:I277 G278:I278 G279:I279 G280:I283 G284:I284 G285:I285 G286:I288 G289:I289 G290:I290 G291:I291 G292:I295 G296:I296 G297:I300 G301:I302 G303:I306 G307:I307" calculatedColumn="1"/>
  </ignoredErrors>
  <drawing r:id="rId2"/>
  <legacyDrawing r:id="rId3"/>
  <tableParts count="5">
    <tablePart r:id="rId4"/>
    <tablePart r:id="rId5"/>
    <tablePart r:id="rId6"/>
    <tablePart r:id="rId7"/>
    <tablePart r:id="rId8"/>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1000000}">
          <x14:formula1>
            <xm:f>LISTES!$F$1:$F$12</xm:f>
          </x14:formula1>
          <xm:sqref>F7</xm:sqref>
        </x14:dataValidation>
        <x14:dataValidation type="list" allowBlank="1" showInputMessage="1" showErrorMessage="1" xr:uid="{00000000-0002-0000-0500-000002000000}">
          <x14:formula1>
            <xm:f>LISTES!$G$1:$G$8</xm:f>
          </x14:formula1>
          <xm:sqref>H7</xm:sqref>
        </x14:dataValidation>
        <x14:dataValidation type="list" allowBlank="1" showInputMessage="1" showErrorMessage="1" xr:uid="{00000000-0002-0000-0500-000003000000}">
          <x14:formula1>
            <xm:f>LISTES!$E$1:$E$33</xm:f>
          </x14:formula1>
          <xm:sqref>F1:G1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5">
    <tabColor theme="7"/>
    <pageSetUpPr fitToPage="1"/>
  </sheetPr>
  <dimension ref="A1:S42"/>
  <sheetViews>
    <sheetView showGridLines="0" zoomScale="85" zoomScaleNormal="85" zoomScaleSheetLayoutView="100" workbookViewId="0">
      <selection activeCell="C11" sqref="C11:D11"/>
    </sheetView>
  </sheetViews>
  <sheetFormatPr baseColWidth="10" defaultRowHeight="18" outlineLevelCol="1"/>
  <cols>
    <col min="1" max="1" width="30.140625" style="25" customWidth="1"/>
    <col min="2" max="2" width="51.85546875" style="25" customWidth="1"/>
    <col min="3" max="3" width="7.7109375" style="26" customWidth="1"/>
    <col min="4" max="4" width="19.5703125" style="26" customWidth="1"/>
    <col min="5" max="5" width="4.140625" style="26" customWidth="1"/>
    <col min="6" max="6" width="26.140625" style="27" customWidth="1"/>
    <col min="7" max="7" width="8.5703125" style="25" customWidth="1"/>
    <col min="8" max="8" width="56.28515625" style="345" customWidth="1" outlineLevel="1"/>
    <col min="9" max="9" width="29" style="345" bestFit="1" customWidth="1"/>
    <col min="10" max="10" width="15.42578125" style="345" bestFit="1" customWidth="1"/>
    <col min="11" max="11" width="12.140625" style="345" bestFit="1" customWidth="1"/>
    <col min="12" max="14" width="11.42578125" style="345"/>
    <col min="15" max="15" width="24.28515625" style="345" hidden="1" customWidth="1"/>
    <col min="16" max="16" width="20.7109375" style="345" hidden="1" customWidth="1"/>
    <col min="17" max="17" width="0" style="345" hidden="1" customWidth="1"/>
    <col min="18" max="18" width="20.85546875" style="345" bestFit="1" customWidth="1"/>
    <col min="19" max="16384" width="11.42578125" style="25"/>
  </cols>
  <sheetData>
    <row r="1" spans="1:19" ht="59.25" customHeight="1">
      <c r="A1" s="845" t="s">
        <v>283</v>
      </c>
      <c r="B1" s="845"/>
      <c r="C1" s="845"/>
      <c r="D1" s="845"/>
      <c r="E1" s="845"/>
      <c r="F1" s="845"/>
      <c r="K1" s="345" t="s">
        <v>662</v>
      </c>
      <c r="N1" s="345" t="s">
        <v>663</v>
      </c>
    </row>
    <row r="2" spans="1:19" ht="38.25" customHeight="1">
      <c r="A2" s="846" t="s">
        <v>214</v>
      </c>
      <c r="B2" s="847"/>
      <c r="C2" s="847"/>
      <c r="D2" s="847"/>
      <c r="E2" s="847"/>
      <c r="F2" s="848"/>
      <c r="G2" s="24"/>
      <c r="H2" s="346">
        <f>C8+F8</f>
        <v>80000</v>
      </c>
      <c r="L2" s="345" t="s">
        <v>356</v>
      </c>
      <c r="M2" s="507">
        <f>DONNEES!H19</f>
        <v>0</v>
      </c>
    </row>
    <row r="3" spans="1:19" ht="38.25" customHeight="1">
      <c r="A3" s="854" t="s">
        <v>228</v>
      </c>
      <c r="B3" s="854"/>
      <c r="C3" s="854"/>
      <c r="D3" s="854"/>
      <c r="E3" s="854"/>
      <c r="F3" s="854"/>
      <c r="G3" s="24"/>
      <c r="H3" s="347"/>
      <c r="L3" s="345" t="s">
        <v>357</v>
      </c>
      <c r="M3" s="507">
        <f>DONNEES!H20</f>
        <v>0</v>
      </c>
    </row>
    <row r="4" spans="1:19" ht="44.25" customHeight="1" thickBot="1">
      <c r="A4" s="855" t="s">
        <v>286</v>
      </c>
      <c r="B4" s="855"/>
      <c r="C4" s="855"/>
      <c r="D4" s="855"/>
      <c r="E4" s="855"/>
      <c r="F4" s="855"/>
      <c r="L4" s="345" t="s">
        <v>358</v>
      </c>
      <c r="M4" s="507">
        <f>DONNEES!H21</f>
        <v>0</v>
      </c>
    </row>
    <row r="5" spans="1:19" ht="30" customHeight="1" thickBot="1">
      <c r="A5" s="28" t="s">
        <v>162</v>
      </c>
      <c r="B5" s="29" t="str">
        <f>IFERROR((DONNEES!C7),0)</f>
        <v>2019P000T12345</v>
      </c>
      <c r="C5" s="30"/>
      <c r="D5" s="30"/>
      <c r="E5" s="53"/>
      <c r="F5" s="31"/>
      <c r="G5" s="32"/>
      <c r="L5" s="345" t="s">
        <v>415</v>
      </c>
      <c r="M5" s="507">
        <f>DONNEES!H22</f>
        <v>0</v>
      </c>
    </row>
    <row r="6" spans="1:19" ht="15" customHeight="1" thickBot="1">
      <c r="A6" s="33"/>
      <c r="B6" s="33"/>
      <c r="C6" s="852" t="s">
        <v>197</v>
      </c>
      <c r="D6" s="853"/>
      <c r="E6" s="44"/>
      <c r="F6" s="39" t="s">
        <v>197</v>
      </c>
      <c r="L6" s="345" t="s">
        <v>416</v>
      </c>
      <c r="M6" s="507">
        <f>DONNEES!H23</f>
        <v>0</v>
      </c>
      <c r="P6" s="348"/>
    </row>
    <row r="7" spans="1:19" ht="24.95" customHeight="1">
      <c r="A7" s="36"/>
      <c r="B7" s="37"/>
      <c r="C7" s="849">
        <f>DONNEES!C17</f>
        <v>0.2</v>
      </c>
      <c r="D7" s="849"/>
      <c r="E7" s="38"/>
      <c r="F7" s="50">
        <f>DONNEES!E17</f>
        <v>0.1</v>
      </c>
      <c r="G7" s="133"/>
      <c r="H7" s="850"/>
      <c r="I7" s="850"/>
      <c r="J7" s="349"/>
      <c r="L7" s="345" t="s">
        <v>417</v>
      </c>
      <c r="M7" s="507">
        <f>DONNEES!H24</f>
        <v>0</v>
      </c>
      <c r="N7" s="349"/>
      <c r="P7" s="348"/>
    </row>
    <row r="8" spans="1:19" ht="58.5" customHeight="1">
      <c r="A8" s="831" t="s">
        <v>436</v>
      </c>
      <c r="B8" s="832"/>
      <c r="C8" s="796">
        <f>IF(A3="Tranche Ferme",DONNEES!N5,IF(A3="Tranche Optionnelle 1",DONNEES!N6,IF(A3="Tranche Optionnelle 2",DONNEES!N7,IF(A3="Tranche Optionnelle 3",DONNEES!N8,IF(A3="Tranche Optionnelle 4",DONNEES!N9,IF(A3="Tranche Optionnelle 5",DONNEES!N10,IF(A3="Tranche Optionnelle 6",DONNEES!N11)))))))</f>
        <v>40000</v>
      </c>
      <c r="D8" s="796"/>
      <c r="E8" s="228"/>
      <c r="F8" s="230">
        <f>IF(A3="Tranche Ferme",DONNEES!O5,IF(A3="Tranche Optionnelle 1",DONNEES!O6,IF(A3="Tranche Optionnelle 2",DONNEES!O7,IF(A3="Tranche Optionnelle 3",DONNEES!O8,IF(A3="Tranche Optionnelle 4",DONNEES!O9,IF(A3="Tranche Optionnelle 5",DONNEES!O10,IF(A3="Tranche Optionnelle 6",DONNEES!O11)))))))</f>
        <v>40000</v>
      </c>
      <c r="G8" s="40"/>
      <c r="H8" s="851"/>
      <c r="I8" s="851"/>
      <c r="J8" s="851"/>
      <c r="K8" s="851"/>
      <c r="L8" s="851"/>
      <c r="M8" s="851"/>
      <c r="N8" s="851"/>
    </row>
    <row r="9" spans="1:19" ht="58.5" customHeight="1">
      <c r="A9" s="784" t="s">
        <v>437</v>
      </c>
      <c r="B9" s="785"/>
      <c r="C9" s="786">
        <f>IF(A3="Tranche Ferme",DONNEES!N16,IF(A3="Tranche Optionnelle 1",DONNEES!N17,IF(A3="Tranche Optionnelle 2",DONNEES!N18,IF(A3="Tranche Optionnelle 3",DONNEES!N19,IF(A3="Tranche Optionnelle 4",DONNEES!N20,IF(A3="Tranche Optionnelle 5",DONNEES!N21,IF(A3="Tranche Optionnelle 6",DONNEES!N22)))))))</f>
        <v>40000</v>
      </c>
      <c r="D9" s="787"/>
      <c r="E9" s="228"/>
      <c r="F9" s="344">
        <f>IF(A3="Tranche Ferme",DONNEES!O16,IF(A3="Tranche Optionnelle 1",DONNEES!O17,IF(A3="Tranche Optionnelle 2",DONNEES!O18,IF(A3="Tranche Optionnelle 3",DONNEES!O19,IF(A3="Tranche Optionnelle 4",DONNEES!O20,IF(A3="Tranche Optionnelle 5",DONNEES!O21,IF(A3="Tranche Optionnelle 6",DONNEES!O22)))))))</f>
        <v>40000</v>
      </c>
      <c r="G9" s="40"/>
      <c r="H9" s="350"/>
      <c r="I9" s="350"/>
      <c r="J9" s="350"/>
      <c r="K9" s="350"/>
      <c r="L9" s="350"/>
      <c r="M9" s="350"/>
      <c r="N9" s="350"/>
    </row>
    <row r="10" spans="1:19" ht="24" customHeight="1">
      <c r="A10" s="797" t="s">
        <v>163</v>
      </c>
      <c r="B10" s="798"/>
      <c r="C10" s="842" t="str">
        <f>IFERROR(IF(AND($H$2&gt;=25000,$H$2&lt;=149999),"30%",IF(AND($H$2&gt;149999,$H$2&lt;=999999),"25%",IF($H$2&gt;999999,"20"%," "))),"")</f>
        <v>30%</v>
      </c>
      <c r="D10" s="843"/>
      <c r="E10" s="843"/>
      <c r="F10" s="844"/>
      <c r="H10" s="839"/>
      <c r="I10" s="839"/>
      <c r="J10" s="839"/>
      <c r="K10" s="839"/>
      <c r="L10" s="839"/>
      <c r="M10" s="839"/>
      <c r="N10" s="839"/>
      <c r="O10" s="839"/>
      <c r="P10" s="839"/>
    </row>
    <row r="11" spans="1:19" ht="33.75" customHeight="1">
      <c r="A11" s="25" t="s">
        <v>282</v>
      </c>
      <c r="C11" s="840">
        <f>IFERROR(IF(AND($A$3="Tranche Ferme",DONNEES!C10&gt;12),(C8*$C$10*(12/DONNEES!C10)),IF(AND($A$3="Tranche Optionnelle 1",M2&gt;12),(C8*$C$10*(12/M2)),IF(AND($A$3="Tranche Optionnelle 2",M3&gt;12),(C8*$C$10*(12/M3)),IF(AND($A$3="Tranche Optionnelle 3",M4&gt;12),(C8*$C$10*(12/M4)),IF(AND($A$3="Tranche Optionnelle 4",M5&gt;12),(C8*$C$10*(12/M5)),IF(AND($A$3="Tranche Optionnelle 5",M6&gt;12),(C8*$C$10*(12/M6)),IF(AND($A$3="Tranche Optionnelle 6",M7&gt;12),(C8*$C$10*(12/M7)),IF(AND($A$3="Tranche Ferme",DONNEES!C10&gt;0),(C8*$C$10),IF(AND($A$3="Tranche Optionnelle 1",M2&gt;0),(C8*$C$10),IF(AND($A$3="Tranche Optionnelle 2",M3&gt;0),(C8*$C$10),IF(AND($A$3="Tranche Optionnelle 3",M4&gt;0),(C8*$C$10),IF(AND($A$3="Tranche Optionnelle 4",M5&gt;0),(C8*$C$10),IF(AND($A$3="Tranche Optionnelle 5",M6&gt;0),(C8*$C$10),IF(AND(A3="Tranche Optionnelle 6",M7&gt;0),(C8*$C$10),0)))))))))))))),0)</f>
        <v>12000</v>
      </c>
      <c r="D11" s="840"/>
      <c r="E11" s="229"/>
      <c r="F11" s="482">
        <f>IFERROR(IF(AND($A$3="Tranche Ferme",DONNEES!C10&gt;12),(F8*$C$10*(12/DONNEES!C10)),IF(AND($A$3="Tranche Optionnelle 1",$M$2&gt;12),(F8*$C$10*(12/$M$2)),IF(AND($A$3="Tranche Optionnelle 2",$M$3&gt;12),(F8*$C$10*(12/$M$3)),IF(AND($A$3="Tranche Optionnelle 3",$M$4&gt;12),(F8*$C$10*(12/$M$4)),IF(AND($A$3="Tranche Optionnelle 4",$M$5&gt;12),(F8*$C$10*(12/$M$5)),IF(AND($A$3="Tranche Optionnelle 5",$M$6&gt;12),(F8*$C$10*(12/$M$6)),IF(AND($A$3="Tranche Optionnelle 6",$M$7&gt;12),(F8*$C$10*(12/$M$7)),IF(AND($A$3="Tranche Ferme",DONNEES!C10&gt;0),(F8*$C$10),IF(AND($A$3="Tranche Optionnelle 1",$M$2&gt;0),(F8*$C$10),IF(AND($A$3="Tranche Optionnelle 2",$M$3&gt;0),(F8*$C$10),IF(AND($A$3="Tranche Optionnelle 3",$M$4&gt;0),(F8*$C$10),IF(AND($A$3="Tranche Optionnelle 4",$M$5&gt;0),(F8*$C$10),IF(AND($A$3="Tranche Optionnelle 5",$M$6&gt;0),(F8*$C$10),IF(AND(A3="Tranche Optionnelle 6",$M$7&gt;0),(F8*$C$10),0)))))))))))))),0)</f>
        <v>12000</v>
      </c>
      <c r="H11" s="841"/>
      <c r="I11" s="841"/>
      <c r="J11" s="841"/>
      <c r="K11" s="841"/>
      <c r="L11" s="841"/>
      <c r="M11" s="841"/>
      <c r="N11" s="841"/>
      <c r="O11" s="351">
        <f>ROUND(C11,2)</f>
        <v>12000</v>
      </c>
      <c r="R11" s="351">
        <f>ROUND(C11,2)</f>
        <v>12000</v>
      </c>
      <c r="S11" s="290">
        <f>ROUND(F11,2)</f>
        <v>12000</v>
      </c>
    </row>
    <row r="12" spans="1:19" ht="30" customHeight="1">
      <c r="A12" s="144" t="s">
        <v>249</v>
      </c>
      <c r="B12" s="145"/>
      <c r="C12" s="835"/>
      <c r="D12" s="836"/>
      <c r="E12" s="43"/>
      <c r="F12" s="274"/>
    </row>
    <row r="13" spans="1:19" ht="45" customHeight="1">
      <c r="A13" s="837" t="s">
        <v>250</v>
      </c>
      <c r="B13" s="838"/>
      <c r="C13" s="786">
        <f>R11-C12</f>
        <v>12000</v>
      </c>
      <c r="D13" s="834"/>
      <c r="E13" s="43"/>
      <c r="F13" s="230">
        <f>S11-F12</f>
        <v>12000</v>
      </c>
      <c r="I13" s="351"/>
      <c r="R13" s="352"/>
    </row>
    <row r="14" spans="1:19" ht="35.25" customHeight="1">
      <c r="A14" s="831" t="s">
        <v>439</v>
      </c>
      <c r="B14" s="832"/>
      <c r="C14" s="833">
        <f>IF($A$3="Tranche Ferme",'CPP TITULAIRE-ST'!L29-'CPP TITULAIRE-ST'!I29,IF($A$3="Tranche Optionnelle 1",'CPP TITULAIRE-ST'!L36-'CPP TITULAIRE-ST'!I36,IF($A$3="Tranche Optionnelle 2",'CPP TITULAIRE-ST'!L43-'CPP TITULAIRE-ST'!I43,IF($A$3="Tranche Optionnelle 3",'CPP TITULAIRE-ST'!L50-'CPP TITULAIRE-ST'!I50,IF($A$3="Tranche Optionnelle 4",'CPP TITULAIRE-ST'!L57-'CPP TITULAIRE-ST'!I57,IF($A$3="Tranche Optionnelle 5",'CPP TITULAIRE-ST'!L64-'CPP TITULAIRE-ST'!I64,IF($A$3="Tranche Optionnelle 6",'CPP TITULAIRE-ST'!L71-'CPP TITULAIRE-ST'!I71)))))))</f>
        <v>0</v>
      </c>
      <c r="D14" s="833"/>
      <c r="E14" s="43"/>
      <c r="F14" s="483">
        <f>IF($A$3="Tranche Ferme",'CPP TITULAIRE-ST'!M29-'CPP TITULAIRE-ST'!J29,IF($A$3="Tranche Optionnelle 1",'CPP TITULAIRE-ST'!M36-'CPP TITULAIRE-ST'!J36,IF($A$3="Tranche Optionnelle 2",'CPP TITULAIRE-ST'!M43-'CPP TITULAIRE-ST'!J43,IF($A$3="Tranche Optionnelle 3",'CPP TITULAIRE-ST'!M50-'CPP TITULAIRE-ST'!J50,IF($A$3="Tranche Optionnelle 4",'CPP TITULAIRE-ST'!M57-'CPP TITULAIRE-ST'!J57,IF($A$3="Tranche Optionnelle 5",'CPP TITULAIRE-ST'!M64-'CPP TITULAIRE-ST'!J64,IF($A$3="Tranche Optionnelle 6",'CPP TITULAIRE-ST'!M71-'CPP TITULAIRE-ST'!J71)))))))</f>
        <v>0</v>
      </c>
      <c r="G14" s="40"/>
    </row>
    <row r="15" spans="1:19" ht="10.5" customHeight="1">
      <c r="A15" s="41"/>
      <c r="B15" s="42"/>
      <c r="C15" s="792"/>
      <c r="D15" s="793"/>
      <c r="E15" s="43"/>
      <c r="F15" s="39"/>
    </row>
    <row r="16" spans="1:19" ht="36" customHeight="1">
      <c r="A16" s="831" t="s">
        <v>440</v>
      </c>
      <c r="B16" s="832"/>
      <c r="C16" s="833">
        <f>IF($A$3="Tranche Ferme",'CPP TITULAIRE-ST'!I29,IF($A$3="Tranche Optionnelle 1",'CPP TITULAIRE-ST'!I36,IF($A$3="Tranche Optionnelle 2",'CPP TITULAIRE-ST'!I43,IF($A$3="Tranche Optionnelle 3",'CPP TITULAIRE-ST'!I50,IF($A$3="Tranche Optionnelle 4",'CPP TITULAIRE-ST'!I57,IF($A$3="Tranche Optionnelle 5",'CPP TITULAIRE-ST'!I64,IF($A$3="Tranche Optionnelle 6",'CPP TITULAIRE-ST'!I71)))))))</f>
        <v>5000</v>
      </c>
      <c r="D16" s="833"/>
      <c r="E16" s="43"/>
      <c r="F16" s="469">
        <f>IF($A$3="Tranche Ferme",'CPP TITULAIRE-ST'!J29,IF($A$3="Tranche Optionnelle 1",'CPP TITULAIRE-ST'!J36,IF($A$3="Tranche Optionnelle 2",'CPP TITULAIRE-ST'!J43,IF($A$3="Tranche Optionnelle 3",'CPP TITULAIRE-ST'!J50,IF($A$3="Tranche Optionnelle 4",'CPP TITULAIRE-ST'!J57,IF($A$3="Tranche Optionnelle 5",'CPP TITULAIRE-ST'!J64,IF($A$3="Tranche Optionnelle 6",'CPP TITULAIRE-ST'!I71)))))))</f>
        <v>0</v>
      </c>
      <c r="G16" s="40"/>
    </row>
    <row r="17" spans="1:16" ht="30" customHeight="1">
      <c r="A17" s="41"/>
      <c r="B17" s="42"/>
      <c r="C17" s="792"/>
      <c r="D17" s="793"/>
      <c r="E17" s="43"/>
      <c r="F17" s="39"/>
    </row>
    <row r="18" spans="1:16" ht="15" customHeight="1">
      <c r="A18" s="794" t="s">
        <v>433</v>
      </c>
      <c r="B18" s="795"/>
      <c r="C18" s="796">
        <f>+C14+C16</f>
        <v>5000</v>
      </c>
      <c r="D18" s="796"/>
      <c r="E18" s="229"/>
      <c r="F18" s="230">
        <f>F16+F14</f>
        <v>0</v>
      </c>
      <c r="G18" s="806"/>
      <c r="H18" s="807"/>
    </row>
    <row r="19" spans="1:16" ht="30" customHeight="1">
      <c r="A19" s="827"/>
      <c r="B19" s="828"/>
      <c r="C19" s="792"/>
      <c r="D19" s="793"/>
      <c r="E19" s="43"/>
      <c r="F19" s="39"/>
    </row>
    <row r="20" spans="1:16" ht="30" customHeight="1">
      <c r="A20" s="829" t="s">
        <v>164</v>
      </c>
      <c r="B20" s="830"/>
      <c r="C20" s="803">
        <f>IFERROR(IF(C9&lt;C8,(C18/C9*100),(C18/C8*100)),0)</f>
        <v>12.5</v>
      </c>
      <c r="D20" s="803"/>
      <c r="E20" s="231"/>
      <c r="F20" s="343">
        <f>IFERROR(IF(F9&lt;F8,(F18/F9*100),(F18/F8*100)),0)</f>
        <v>0</v>
      </c>
      <c r="G20" s="806"/>
      <c r="H20" s="807"/>
      <c r="I20" s="353">
        <f>IFERROR(IF(C9&lt;C8,(C18/C9),(C18/C8)),0)</f>
        <v>0.125</v>
      </c>
      <c r="J20" s="353">
        <f>IFERROR(IF(F9&lt;F8,(F18/F9),(F18/F8)),0)</f>
        <v>0</v>
      </c>
      <c r="K20" s="353"/>
      <c r="O20" s="353">
        <f>ROUND(C20,2)</f>
        <v>12.5</v>
      </c>
      <c r="P20" s="353">
        <f>ROUND(F20,2)</f>
        <v>0</v>
      </c>
    </row>
    <row r="21" spans="1:16" ht="15" customHeight="1">
      <c r="A21" s="797" t="s">
        <v>171</v>
      </c>
      <c r="B21" s="798"/>
      <c r="C21" s="799" t="str">
        <f>IF(C10="30%","40",IF(C10="25%","45",IF(C10="20%","50%"," ")))</f>
        <v>40</v>
      </c>
      <c r="D21" s="800"/>
      <c r="E21" s="45"/>
      <c r="F21" s="291" t="str">
        <f>IF(C10="30%","40",IF(C10="25%","45",IF(C10="20%","50%"," ")))</f>
        <v>40</v>
      </c>
      <c r="G21" s="46"/>
      <c r="I21" s="353">
        <f>C21/100</f>
        <v>0.4</v>
      </c>
      <c r="J21" s="353">
        <f>F21/100</f>
        <v>0.4</v>
      </c>
      <c r="K21" s="353"/>
    </row>
    <row r="22" spans="1:16" ht="30" customHeight="1">
      <c r="A22" s="57"/>
      <c r="B22" s="33"/>
      <c r="C22" s="792"/>
      <c r="D22" s="793"/>
      <c r="E22" s="43"/>
      <c r="F22" s="39"/>
      <c r="G22" s="46"/>
      <c r="I22" s="345">
        <v>0.8</v>
      </c>
      <c r="J22" s="345">
        <v>0.8</v>
      </c>
    </row>
    <row r="23" spans="1:16" ht="15" customHeight="1">
      <c r="A23" s="801" t="s">
        <v>172</v>
      </c>
      <c r="B23" s="802"/>
      <c r="C23" s="803">
        <f>IFERROR(O20-C21,"")</f>
        <v>-27.5</v>
      </c>
      <c r="D23" s="803"/>
      <c r="E23" s="234"/>
      <c r="F23" s="232">
        <f>IFERROR(P20-F21,"")</f>
        <v>-40</v>
      </c>
      <c r="G23" s="58"/>
    </row>
    <row r="24" spans="1:16" ht="15" customHeight="1">
      <c r="A24" s="47"/>
      <c r="B24" s="122" t="s">
        <v>212</v>
      </c>
      <c r="C24" s="803">
        <f>IFERROR(O20-C21,"")</f>
        <v>-27.5</v>
      </c>
      <c r="D24" s="803"/>
      <c r="E24" s="234"/>
      <c r="F24" s="342">
        <f>IFERROR(P20-F21,"")</f>
        <v>-40</v>
      </c>
      <c r="G24" s="60"/>
    </row>
    <row r="25" spans="1:16" ht="24.95" customHeight="1" thickBot="1">
      <c r="A25" s="49"/>
      <c r="B25" s="123" t="s">
        <v>213</v>
      </c>
      <c r="C25" s="821">
        <f>IFERROR(80-C21,"")</f>
        <v>40</v>
      </c>
      <c r="D25" s="822"/>
      <c r="E25" s="234"/>
      <c r="F25" s="233">
        <f>IFERROR(80-F21,"")</f>
        <v>40</v>
      </c>
      <c r="G25" s="62"/>
    </row>
    <row r="26" spans="1:16" ht="24.95" customHeight="1">
      <c r="A26" s="48"/>
      <c r="B26" s="48"/>
      <c r="C26" s="823"/>
      <c r="D26" s="823"/>
      <c r="E26" s="288"/>
      <c r="F26" s="289"/>
    </row>
    <row r="27" spans="1:16" ht="15" customHeight="1" thickBot="1">
      <c r="A27" s="33"/>
      <c r="B27" s="33"/>
      <c r="C27" s="34"/>
      <c r="D27" s="34"/>
      <c r="E27" s="34"/>
      <c r="F27" s="35"/>
    </row>
    <row r="28" spans="1:16" ht="24.95" customHeight="1">
      <c r="A28" s="51"/>
      <c r="B28" s="52"/>
      <c r="C28" s="53"/>
      <c r="D28" s="53"/>
      <c r="E28" s="53"/>
      <c r="F28" s="54"/>
    </row>
    <row r="29" spans="1:16" ht="15" customHeight="1">
      <c r="A29" s="804" t="s">
        <v>165</v>
      </c>
      <c r="B29" s="805"/>
      <c r="C29" s="805"/>
      <c r="D29" s="805"/>
      <c r="E29" s="55"/>
      <c r="F29" s="56"/>
    </row>
    <row r="30" spans="1:16" ht="30" customHeight="1">
      <c r="A30" s="57"/>
      <c r="B30" s="33"/>
      <c r="C30" s="812" t="str">
        <f>IFERROR(IF(AND(I20&lt;=I22,I20&gt;=I21,C14=""),C13*(C24/C25),IF(AND(I20&lt;=I22,I20&gt;=I21,C14&lt;&gt;""),C13*(C24/C25),IF(AND(I20&gt;=I22,C14&lt;&gt;""),C13,IF(AND(I20&gt;=I22,C14=""),C13,"PAS DE REMBOURSEMENT")))),0)</f>
        <v>PAS DE REMBOURSEMENT</v>
      </c>
      <c r="D30" s="813"/>
      <c r="E30" s="824"/>
      <c r="F30" s="818" t="str">
        <f>IFERROR(IF(AND(J20&lt;=J22,J20&gt;=J21,F14=""),F13*(F24/F25),IF(AND(J20&lt;=J22,J20&gt;=J21,F14&lt;&gt;""),F13*(F24/F25),IF(AND(J20&gt;=J22,F14&lt;&gt;""),F13,IF(AND(J20&gt;=J22,F14=""),F13,"PAS DE REMBOURSEMENT")))),0)</f>
        <v>PAS DE REMBOURSEMENT</v>
      </c>
    </row>
    <row r="31" spans="1:16" ht="15" customHeight="1">
      <c r="A31" s="57" t="s">
        <v>166</v>
      </c>
      <c r="B31" s="59"/>
      <c r="C31" s="814"/>
      <c r="D31" s="815"/>
      <c r="E31" s="825"/>
      <c r="F31" s="819"/>
    </row>
    <row r="32" spans="1:16" ht="18" customHeight="1">
      <c r="A32" s="57"/>
      <c r="B32" s="61" t="s">
        <v>167</v>
      </c>
      <c r="C32" s="814"/>
      <c r="D32" s="815"/>
      <c r="E32" s="825"/>
      <c r="F32" s="819"/>
      <c r="J32" s="470"/>
      <c r="K32" s="470"/>
    </row>
    <row r="33" spans="1:8" ht="30" customHeight="1">
      <c r="A33" s="57"/>
      <c r="B33" s="33" t="s">
        <v>168</v>
      </c>
      <c r="C33" s="816"/>
      <c r="D33" s="817"/>
      <c r="E33" s="826"/>
      <c r="F33" s="820"/>
    </row>
    <row r="34" spans="1:8" ht="24.95" customHeight="1">
      <c r="A34" s="57"/>
      <c r="B34" s="63" t="s">
        <v>169</v>
      </c>
      <c r="C34" s="790"/>
      <c r="D34" s="790"/>
      <c r="E34" s="229"/>
      <c r="F34" s="275"/>
      <c r="G34" s="143"/>
    </row>
    <row r="35" spans="1:8" ht="24.95" customHeight="1">
      <c r="A35" s="64"/>
      <c r="B35" s="65" t="s">
        <v>170</v>
      </c>
      <c r="C35" s="791">
        <f>IFERROR(C30-C34,0)</f>
        <v>0</v>
      </c>
      <c r="D35" s="791"/>
      <c r="E35" s="229"/>
      <c r="F35" s="235">
        <f>IFERROR(F30-F34,0)</f>
        <v>0</v>
      </c>
      <c r="G35" s="806"/>
      <c r="H35" s="807"/>
    </row>
    <row r="36" spans="1:8" ht="24.95" customHeight="1" thickBot="1">
      <c r="A36" s="66"/>
      <c r="B36" s="67"/>
      <c r="C36" s="810"/>
      <c r="D36" s="811"/>
      <c r="E36" s="236"/>
      <c r="F36" s="44"/>
      <c r="G36" s="68"/>
    </row>
    <row r="37" spans="1:8" ht="15" customHeight="1">
      <c r="F37" s="26"/>
      <c r="G37" s="69"/>
    </row>
    <row r="38" spans="1:8" ht="15" customHeight="1">
      <c r="G38" s="68"/>
    </row>
    <row r="39" spans="1:8" ht="15" customHeight="1">
      <c r="A39" s="808"/>
      <c r="B39" s="808"/>
      <c r="G39" s="68"/>
    </row>
    <row r="40" spans="1:8" ht="15" customHeight="1">
      <c r="A40" s="809"/>
      <c r="B40" s="809"/>
      <c r="G40" s="68"/>
    </row>
    <row r="41" spans="1:8" ht="30" customHeight="1">
      <c r="A41" s="788"/>
      <c r="B41" s="788"/>
      <c r="C41" s="788"/>
      <c r="D41" s="788"/>
      <c r="E41" s="788"/>
      <c r="F41" s="788"/>
      <c r="G41" s="68"/>
    </row>
    <row r="42" spans="1:8" ht="15" customHeight="1">
      <c r="A42" s="789"/>
      <c r="B42" s="789"/>
      <c r="G42" s="68"/>
    </row>
  </sheetData>
  <sheetProtection algorithmName="SHA-512" hashValue="fiAgi31Oa92uAKd1uD7VSg3reS7NuJRmI5zwpVKzgRNCn4RUJObVpusW6R+Mc3qzEjdTm+88uioadYgKZiopOQ==" saltValue="BAYcSRnInpUPmBW6305DAQ==" spinCount="100000" sheet="1" objects="1" scenarios="1"/>
  <mergeCells count="54">
    <mergeCell ref="A1:F1"/>
    <mergeCell ref="A2:F2"/>
    <mergeCell ref="C7:D7"/>
    <mergeCell ref="H7:I7"/>
    <mergeCell ref="A8:B8"/>
    <mergeCell ref="C8:D8"/>
    <mergeCell ref="H8:N8"/>
    <mergeCell ref="C6:D6"/>
    <mergeCell ref="A3:F3"/>
    <mergeCell ref="A4:F4"/>
    <mergeCell ref="C13:D13"/>
    <mergeCell ref="C12:D12"/>
    <mergeCell ref="A13:B13"/>
    <mergeCell ref="A10:B10"/>
    <mergeCell ref="H10:P10"/>
    <mergeCell ref="C11:D11"/>
    <mergeCell ref="H11:N11"/>
    <mergeCell ref="C10:F10"/>
    <mergeCell ref="A14:B14"/>
    <mergeCell ref="C14:D14"/>
    <mergeCell ref="C15:D15"/>
    <mergeCell ref="A16:B16"/>
    <mergeCell ref="C16:D16"/>
    <mergeCell ref="C25:D25"/>
    <mergeCell ref="C26:D26"/>
    <mergeCell ref="E30:E33"/>
    <mergeCell ref="G18:H18"/>
    <mergeCell ref="A19:B19"/>
    <mergeCell ref="C19:D19"/>
    <mergeCell ref="A20:B20"/>
    <mergeCell ref="C20:D20"/>
    <mergeCell ref="G20:H20"/>
    <mergeCell ref="G35:H35"/>
    <mergeCell ref="A39:B39"/>
    <mergeCell ref="A40:B40"/>
    <mergeCell ref="C36:D36"/>
    <mergeCell ref="C30:D33"/>
    <mergeCell ref="F30:F33"/>
    <mergeCell ref="A9:B9"/>
    <mergeCell ref="C9:D9"/>
    <mergeCell ref="A41:F41"/>
    <mergeCell ref="A42:B42"/>
    <mergeCell ref="C34:D34"/>
    <mergeCell ref="C35:D35"/>
    <mergeCell ref="C22:D22"/>
    <mergeCell ref="C17:D17"/>
    <mergeCell ref="A18:B18"/>
    <mergeCell ref="C18:D18"/>
    <mergeCell ref="A21:B21"/>
    <mergeCell ref="C21:D21"/>
    <mergeCell ref="A23:B23"/>
    <mergeCell ref="C23:D23"/>
    <mergeCell ref="C24:D24"/>
    <mergeCell ref="A29:D29"/>
  </mergeCells>
  <pageMargins left="0.78740157499999996" right="0.78740157499999996" top="0.984251969" bottom="0.984251969" header="0.4921259845" footer="0.4921259845"/>
  <pageSetup paperSize="9" scale="61" fitToHeight="0" orientation="portrait" r:id="rId1"/>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LISTES!$S$1:$S$7</xm:f>
          </x14:formula1>
          <xm:sqref>A3:F3</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6">
    <tabColor rgb="FF00B0F0"/>
  </sheetPr>
  <dimension ref="A1:V51"/>
  <sheetViews>
    <sheetView zoomScale="130" zoomScaleNormal="130" workbookViewId="0">
      <selection activeCell="I43" sqref="I43"/>
    </sheetView>
  </sheetViews>
  <sheetFormatPr baseColWidth="10" defaultRowHeight="12.75" outlineLevelCol="1"/>
  <cols>
    <col min="1" max="1" width="13.28515625" style="76" customWidth="1"/>
    <col min="2" max="2" width="2.7109375" style="76" customWidth="1"/>
    <col min="3" max="3" width="13.28515625" style="76" customWidth="1"/>
    <col min="4" max="4" width="12.85546875" style="111" customWidth="1"/>
    <col min="5" max="5" width="1.7109375" style="111" customWidth="1"/>
    <col min="6" max="6" width="12.85546875" style="111" bestFit="1" customWidth="1"/>
    <col min="7" max="7" width="5.7109375" style="111" customWidth="1"/>
    <col min="8" max="8" width="1.7109375" style="111" customWidth="1"/>
    <col min="9" max="9" width="11.85546875" style="76" customWidth="1"/>
    <col min="10" max="10" width="6.85546875" style="76" customWidth="1"/>
    <col min="11" max="11" width="14.28515625" style="76" bestFit="1" customWidth="1"/>
    <col min="12" max="12" width="11.42578125" style="76"/>
    <col min="13" max="13" width="11.7109375" style="76" hidden="1" customWidth="1" outlineLevel="1"/>
    <col min="14" max="14" width="11.42578125" style="76" collapsed="1"/>
    <col min="15" max="15" width="11.42578125" style="76"/>
    <col min="16" max="17" width="11.42578125" style="76" hidden="1" customWidth="1"/>
    <col min="18" max="18" width="11.42578125" style="76"/>
    <col min="19" max="21" width="0" style="76" hidden="1" customWidth="1" outlineLevel="1"/>
    <col min="22" max="22" width="11.42578125" style="76" collapsed="1"/>
    <col min="23" max="256" width="11.42578125" style="76"/>
    <col min="257" max="257" width="13.28515625" style="76" customWidth="1"/>
    <col min="258" max="258" width="2.7109375" style="76" customWidth="1"/>
    <col min="259" max="259" width="13.28515625" style="76" customWidth="1"/>
    <col min="260" max="260" width="3.28515625" style="76" customWidth="1"/>
    <col min="261" max="261" width="1.7109375" style="76" customWidth="1"/>
    <col min="262" max="262" width="11.85546875" style="76" customWidth="1"/>
    <col min="263" max="263" width="3.28515625" style="76" customWidth="1"/>
    <col min="264" max="264" width="1.7109375" style="76" customWidth="1"/>
    <col min="265" max="265" width="11.85546875" style="76" customWidth="1"/>
    <col min="266" max="266" width="3.28515625" style="76" customWidth="1"/>
    <col min="267" max="267" width="21.140625" style="76" customWidth="1"/>
    <col min="268" max="512" width="11.42578125" style="76"/>
    <col min="513" max="513" width="13.28515625" style="76" customWidth="1"/>
    <col min="514" max="514" width="2.7109375" style="76" customWidth="1"/>
    <col min="515" max="515" width="13.28515625" style="76" customWidth="1"/>
    <col min="516" max="516" width="3.28515625" style="76" customWidth="1"/>
    <col min="517" max="517" width="1.7109375" style="76" customWidth="1"/>
    <col min="518" max="518" width="11.85546875" style="76" customWidth="1"/>
    <col min="519" max="519" width="3.28515625" style="76" customWidth="1"/>
    <col min="520" max="520" width="1.7109375" style="76" customWidth="1"/>
    <col min="521" max="521" width="11.85546875" style="76" customWidth="1"/>
    <col min="522" max="522" width="3.28515625" style="76" customWidth="1"/>
    <col min="523" max="523" width="21.140625" style="76" customWidth="1"/>
    <col min="524" max="768" width="11.42578125" style="76"/>
    <col min="769" max="769" width="13.28515625" style="76" customWidth="1"/>
    <col min="770" max="770" width="2.7109375" style="76" customWidth="1"/>
    <col min="771" max="771" width="13.28515625" style="76" customWidth="1"/>
    <col min="772" max="772" width="3.28515625" style="76" customWidth="1"/>
    <col min="773" max="773" width="1.7109375" style="76" customWidth="1"/>
    <col min="774" max="774" width="11.85546875" style="76" customWidth="1"/>
    <col min="775" max="775" width="3.28515625" style="76" customWidth="1"/>
    <col min="776" max="776" width="1.7109375" style="76" customWidth="1"/>
    <col min="777" max="777" width="11.85546875" style="76" customWidth="1"/>
    <col min="778" max="778" width="3.28515625" style="76" customWidth="1"/>
    <col min="779" max="779" width="21.140625" style="76" customWidth="1"/>
    <col min="780" max="1024" width="11.42578125" style="76"/>
    <col min="1025" max="1025" width="13.28515625" style="76" customWidth="1"/>
    <col min="1026" max="1026" width="2.7109375" style="76" customWidth="1"/>
    <col min="1027" max="1027" width="13.28515625" style="76" customWidth="1"/>
    <col min="1028" max="1028" width="3.28515625" style="76" customWidth="1"/>
    <col min="1029" max="1029" width="1.7109375" style="76" customWidth="1"/>
    <col min="1030" max="1030" width="11.85546875" style="76" customWidth="1"/>
    <col min="1031" max="1031" width="3.28515625" style="76" customWidth="1"/>
    <col min="1032" max="1032" width="1.7109375" style="76" customWidth="1"/>
    <col min="1033" max="1033" width="11.85546875" style="76" customWidth="1"/>
    <col min="1034" max="1034" width="3.28515625" style="76" customWidth="1"/>
    <col min="1035" max="1035" width="21.140625" style="76" customWidth="1"/>
    <col min="1036" max="1280" width="11.42578125" style="76"/>
    <col min="1281" max="1281" width="13.28515625" style="76" customWidth="1"/>
    <col min="1282" max="1282" width="2.7109375" style="76" customWidth="1"/>
    <col min="1283" max="1283" width="13.28515625" style="76" customWidth="1"/>
    <col min="1284" max="1284" width="3.28515625" style="76" customWidth="1"/>
    <col min="1285" max="1285" width="1.7109375" style="76" customWidth="1"/>
    <col min="1286" max="1286" width="11.85546875" style="76" customWidth="1"/>
    <col min="1287" max="1287" width="3.28515625" style="76" customWidth="1"/>
    <col min="1288" max="1288" width="1.7109375" style="76" customWidth="1"/>
    <col min="1289" max="1289" width="11.85546875" style="76" customWidth="1"/>
    <col min="1290" max="1290" width="3.28515625" style="76" customWidth="1"/>
    <col min="1291" max="1291" width="21.140625" style="76" customWidth="1"/>
    <col min="1292" max="1536" width="11.42578125" style="76"/>
    <col min="1537" max="1537" width="13.28515625" style="76" customWidth="1"/>
    <col min="1538" max="1538" width="2.7109375" style="76" customWidth="1"/>
    <col min="1539" max="1539" width="13.28515625" style="76" customWidth="1"/>
    <col min="1540" max="1540" width="3.28515625" style="76" customWidth="1"/>
    <col min="1541" max="1541" width="1.7109375" style="76" customWidth="1"/>
    <col min="1542" max="1542" width="11.85546875" style="76" customWidth="1"/>
    <col min="1543" max="1543" width="3.28515625" style="76" customWidth="1"/>
    <col min="1544" max="1544" width="1.7109375" style="76" customWidth="1"/>
    <col min="1545" max="1545" width="11.85546875" style="76" customWidth="1"/>
    <col min="1546" max="1546" width="3.28515625" style="76" customWidth="1"/>
    <col min="1547" max="1547" width="21.140625" style="76" customWidth="1"/>
    <col min="1548" max="1792" width="11.42578125" style="76"/>
    <col min="1793" max="1793" width="13.28515625" style="76" customWidth="1"/>
    <col min="1794" max="1794" width="2.7109375" style="76" customWidth="1"/>
    <col min="1795" max="1795" width="13.28515625" style="76" customWidth="1"/>
    <col min="1796" max="1796" width="3.28515625" style="76" customWidth="1"/>
    <col min="1797" max="1797" width="1.7109375" style="76" customWidth="1"/>
    <col min="1798" max="1798" width="11.85546875" style="76" customWidth="1"/>
    <col min="1799" max="1799" width="3.28515625" style="76" customWidth="1"/>
    <col min="1800" max="1800" width="1.7109375" style="76" customWidth="1"/>
    <col min="1801" max="1801" width="11.85546875" style="76" customWidth="1"/>
    <col min="1802" max="1802" width="3.28515625" style="76" customWidth="1"/>
    <col min="1803" max="1803" width="21.140625" style="76" customWidth="1"/>
    <col min="1804" max="2048" width="11.42578125" style="76"/>
    <col min="2049" max="2049" width="13.28515625" style="76" customWidth="1"/>
    <col min="2050" max="2050" width="2.7109375" style="76" customWidth="1"/>
    <col min="2051" max="2051" width="13.28515625" style="76" customWidth="1"/>
    <col min="2052" max="2052" width="3.28515625" style="76" customWidth="1"/>
    <col min="2053" max="2053" width="1.7109375" style="76" customWidth="1"/>
    <col min="2054" max="2054" width="11.85546875" style="76" customWidth="1"/>
    <col min="2055" max="2055" width="3.28515625" style="76" customWidth="1"/>
    <col min="2056" max="2056" width="1.7109375" style="76" customWidth="1"/>
    <col min="2057" max="2057" width="11.85546875" style="76" customWidth="1"/>
    <col min="2058" max="2058" width="3.28515625" style="76" customWidth="1"/>
    <col min="2059" max="2059" width="21.140625" style="76" customWidth="1"/>
    <col min="2060" max="2304" width="11.42578125" style="76"/>
    <col min="2305" max="2305" width="13.28515625" style="76" customWidth="1"/>
    <col min="2306" max="2306" width="2.7109375" style="76" customWidth="1"/>
    <col min="2307" max="2307" width="13.28515625" style="76" customWidth="1"/>
    <col min="2308" max="2308" width="3.28515625" style="76" customWidth="1"/>
    <col min="2309" max="2309" width="1.7109375" style="76" customWidth="1"/>
    <col min="2310" max="2310" width="11.85546875" style="76" customWidth="1"/>
    <col min="2311" max="2311" width="3.28515625" style="76" customWidth="1"/>
    <col min="2312" max="2312" width="1.7109375" style="76" customWidth="1"/>
    <col min="2313" max="2313" width="11.85546875" style="76" customWidth="1"/>
    <col min="2314" max="2314" width="3.28515625" style="76" customWidth="1"/>
    <col min="2315" max="2315" width="21.140625" style="76" customWidth="1"/>
    <col min="2316" max="2560" width="11.42578125" style="76"/>
    <col min="2561" max="2561" width="13.28515625" style="76" customWidth="1"/>
    <col min="2562" max="2562" width="2.7109375" style="76" customWidth="1"/>
    <col min="2563" max="2563" width="13.28515625" style="76" customWidth="1"/>
    <col min="2564" max="2564" width="3.28515625" style="76" customWidth="1"/>
    <col min="2565" max="2565" width="1.7109375" style="76" customWidth="1"/>
    <col min="2566" max="2566" width="11.85546875" style="76" customWidth="1"/>
    <col min="2567" max="2567" width="3.28515625" style="76" customWidth="1"/>
    <col min="2568" max="2568" width="1.7109375" style="76" customWidth="1"/>
    <col min="2569" max="2569" width="11.85546875" style="76" customWidth="1"/>
    <col min="2570" max="2570" width="3.28515625" style="76" customWidth="1"/>
    <col min="2571" max="2571" width="21.140625" style="76" customWidth="1"/>
    <col min="2572" max="2816" width="11.42578125" style="76"/>
    <col min="2817" max="2817" width="13.28515625" style="76" customWidth="1"/>
    <col min="2818" max="2818" width="2.7109375" style="76" customWidth="1"/>
    <col min="2819" max="2819" width="13.28515625" style="76" customWidth="1"/>
    <col min="2820" max="2820" width="3.28515625" style="76" customWidth="1"/>
    <col min="2821" max="2821" width="1.7109375" style="76" customWidth="1"/>
    <col min="2822" max="2822" width="11.85546875" style="76" customWidth="1"/>
    <col min="2823" max="2823" width="3.28515625" style="76" customWidth="1"/>
    <col min="2824" max="2824" width="1.7109375" style="76" customWidth="1"/>
    <col min="2825" max="2825" width="11.85546875" style="76" customWidth="1"/>
    <col min="2826" max="2826" width="3.28515625" style="76" customWidth="1"/>
    <col min="2827" max="2827" width="21.140625" style="76" customWidth="1"/>
    <col min="2828" max="3072" width="11.42578125" style="76"/>
    <col min="3073" max="3073" width="13.28515625" style="76" customWidth="1"/>
    <col min="3074" max="3074" width="2.7109375" style="76" customWidth="1"/>
    <col min="3075" max="3075" width="13.28515625" style="76" customWidth="1"/>
    <col min="3076" max="3076" width="3.28515625" style="76" customWidth="1"/>
    <col min="3077" max="3077" width="1.7109375" style="76" customWidth="1"/>
    <col min="3078" max="3078" width="11.85546875" style="76" customWidth="1"/>
    <col min="3079" max="3079" width="3.28515625" style="76" customWidth="1"/>
    <col min="3080" max="3080" width="1.7109375" style="76" customWidth="1"/>
    <col min="3081" max="3081" width="11.85546875" style="76" customWidth="1"/>
    <col min="3082" max="3082" width="3.28515625" style="76" customWidth="1"/>
    <col min="3083" max="3083" width="21.140625" style="76" customWidth="1"/>
    <col min="3084" max="3328" width="11.42578125" style="76"/>
    <col min="3329" max="3329" width="13.28515625" style="76" customWidth="1"/>
    <col min="3330" max="3330" width="2.7109375" style="76" customWidth="1"/>
    <col min="3331" max="3331" width="13.28515625" style="76" customWidth="1"/>
    <col min="3332" max="3332" width="3.28515625" style="76" customWidth="1"/>
    <col min="3333" max="3333" width="1.7109375" style="76" customWidth="1"/>
    <col min="3334" max="3334" width="11.85546875" style="76" customWidth="1"/>
    <col min="3335" max="3335" width="3.28515625" style="76" customWidth="1"/>
    <col min="3336" max="3336" width="1.7109375" style="76" customWidth="1"/>
    <col min="3337" max="3337" width="11.85546875" style="76" customWidth="1"/>
    <col min="3338" max="3338" width="3.28515625" style="76" customWidth="1"/>
    <col min="3339" max="3339" width="21.140625" style="76" customWidth="1"/>
    <col min="3340" max="3584" width="11.42578125" style="76"/>
    <col min="3585" max="3585" width="13.28515625" style="76" customWidth="1"/>
    <col min="3586" max="3586" width="2.7109375" style="76" customWidth="1"/>
    <col min="3587" max="3587" width="13.28515625" style="76" customWidth="1"/>
    <col min="3588" max="3588" width="3.28515625" style="76" customWidth="1"/>
    <col min="3589" max="3589" width="1.7109375" style="76" customWidth="1"/>
    <col min="3590" max="3590" width="11.85546875" style="76" customWidth="1"/>
    <col min="3591" max="3591" width="3.28515625" style="76" customWidth="1"/>
    <col min="3592" max="3592" width="1.7109375" style="76" customWidth="1"/>
    <col min="3593" max="3593" width="11.85546875" style="76" customWidth="1"/>
    <col min="3594" max="3594" width="3.28515625" style="76" customWidth="1"/>
    <col min="3595" max="3595" width="21.140625" style="76" customWidth="1"/>
    <col min="3596" max="3840" width="11.42578125" style="76"/>
    <col min="3841" max="3841" width="13.28515625" style="76" customWidth="1"/>
    <col min="3842" max="3842" width="2.7109375" style="76" customWidth="1"/>
    <col min="3843" max="3843" width="13.28515625" style="76" customWidth="1"/>
    <col min="3844" max="3844" width="3.28515625" style="76" customWidth="1"/>
    <col min="3845" max="3845" width="1.7109375" style="76" customWidth="1"/>
    <col min="3846" max="3846" width="11.85546875" style="76" customWidth="1"/>
    <col min="3847" max="3847" width="3.28515625" style="76" customWidth="1"/>
    <col min="3848" max="3848" width="1.7109375" style="76" customWidth="1"/>
    <col min="3849" max="3849" width="11.85546875" style="76" customWidth="1"/>
    <col min="3850" max="3850" width="3.28515625" style="76" customWidth="1"/>
    <col min="3851" max="3851" width="21.140625" style="76" customWidth="1"/>
    <col min="3852" max="4096" width="11.42578125" style="76"/>
    <col min="4097" max="4097" width="13.28515625" style="76" customWidth="1"/>
    <col min="4098" max="4098" width="2.7109375" style="76" customWidth="1"/>
    <col min="4099" max="4099" width="13.28515625" style="76" customWidth="1"/>
    <col min="4100" max="4100" width="3.28515625" style="76" customWidth="1"/>
    <col min="4101" max="4101" width="1.7109375" style="76" customWidth="1"/>
    <col min="4102" max="4102" width="11.85546875" style="76" customWidth="1"/>
    <col min="4103" max="4103" width="3.28515625" style="76" customWidth="1"/>
    <col min="4104" max="4104" width="1.7109375" style="76" customWidth="1"/>
    <col min="4105" max="4105" width="11.85546875" style="76" customWidth="1"/>
    <col min="4106" max="4106" width="3.28515625" style="76" customWidth="1"/>
    <col min="4107" max="4107" width="21.140625" style="76" customWidth="1"/>
    <col min="4108" max="4352" width="11.42578125" style="76"/>
    <col min="4353" max="4353" width="13.28515625" style="76" customWidth="1"/>
    <col min="4354" max="4354" width="2.7109375" style="76" customWidth="1"/>
    <col min="4355" max="4355" width="13.28515625" style="76" customWidth="1"/>
    <col min="4356" max="4356" width="3.28515625" style="76" customWidth="1"/>
    <col min="4357" max="4357" width="1.7109375" style="76" customWidth="1"/>
    <col min="4358" max="4358" width="11.85546875" style="76" customWidth="1"/>
    <col min="4359" max="4359" width="3.28515625" style="76" customWidth="1"/>
    <col min="4360" max="4360" width="1.7109375" style="76" customWidth="1"/>
    <col min="4361" max="4361" width="11.85546875" style="76" customWidth="1"/>
    <col min="4362" max="4362" width="3.28515625" style="76" customWidth="1"/>
    <col min="4363" max="4363" width="21.140625" style="76" customWidth="1"/>
    <col min="4364" max="4608" width="11.42578125" style="76"/>
    <col min="4609" max="4609" width="13.28515625" style="76" customWidth="1"/>
    <col min="4610" max="4610" width="2.7109375" style="76" customWidth="1"/>
    <col min="4611" max="4611" width="13.28515625" style="76" customWidth="1"/>
    <col min="4612" max="4612" width="3.28515625" style="76" customWidth="1"/>
    <col min="4613" max="4613" width="1.7109375" style="76" customWidth="1"/>
    <col min="4614" max="4614" width="11.85546875" style="76" customWidth="1"/>
    <col min="4615" max="4615" width="3.28515625" style="76" customWidth="1"/>
    <col min="4616" max="4616" width="1.7109375" style="76" customWidth="1"/>
    <col min="4617" max="4617" width="11.85546875" style="76" customWidth="1"/>
    <col min="4618" max="4618" width="3.28515625" style="76" customWidth="1"/>
    <col min="4619" max="4619" width="21.140625" style="76" customWidth="1"/>
    <col min="4620" max="4864" width="11.42578125" style="76"/>
    <col min="4865" max="4865" width="13.28515625" style="76" customWidth="1"/>
    <col min="4866" max="4866" width="2.7109375" style="76" customWidth="1"/>
    <col min="4867" max="4867" width="13.28515625" style="76" customWidth="1"/>
    <col min="4868" max="4868" width="3.28515625" style="76" customWidth="1"/>
    <col min="4869" max="4869" width="1.7109375" style="76" customWidth="1"/>
    <col min="4870" max="4870" width="11.85546875" style="76" customWidth="1"/>
    <col min="4871" max="4871" width="3.28515625" style="76" customWidth="1"/>
    <col min="4872" max="4872" width="1.7109375" style="76" customWidth="1"/>
    <col min="4873" max="4873" width="11.85546875" style="76" customWidth="1"/>
    <col min="4874" max="4874" width="3.28515625" style="76" customWidth="1"/>
    <col min="4875" max="4875" width="21.140625" style="76" customWidth="1"/>
    <col min="4876" max="5120" width="11.42578125" style="76"/>
    <col min="5121" max="5121" width="13.28515625" style="76" customWidth="1"/>
    <col min="5122" max="5122" width="2.7109375" style="76" customWidth="1"/>
    <col min="5123" max="5123" width="13.28515625" style="76" customWidth="1"/>
    <col min="5124" max="5124" width="3.28515625" style="76" customWidth="1"/>
    <col min="5125" max="5125" width="1.7109375" style="76" customWidth="1"/>
    <col min="5126" max="5126" width="11.85546875" style="76" customWidth="1"/>
    <col min="5127" max="5127" width="3.28515625" style="76" customWidth="1"/>
    <col min="5128" max="5128" width="1.7109375" style="76" customWidth="1"/>
    <col min="5129" max="5129" width="11.85546875" style="76" customWidth="1"/>
    <col min="5130" max="5130" width="3.28515625" style="76" customWidth="1"/>
    <col min="5131" max="5131" width="21.140625" style="76" customWidth="1"/>
    <col min="5132" max="5376" width="11.42578125" style="76"/>
    <col min="5377" max="5377" width="13.28515625" style="76" customWidth="1"/>
    <col min="5378" max="5378" width="2.7109375" style="76" customWidth="1"/>
    <col min="5379" max="5379" width="13.28515625" style="76" customWidth="1"/>
    <col min="5380" max="5380" width="3.28515625" style="76" customWidth="1"/>
    <col min="5381" max="5381" width="1.7109375" style="76" customWidth="1"/>
    <col min="5382" max="5382" width="11.85546875" style="76" customWidth="1"/>
    <col min="5383" max="5383" width="3.28515625" style="76" customWidth="1"/>
    <col min="5384" max="5384" width="1.7109375" style="76" customWidth="1"/>
    <col min="5385" max="5385" width="11.85546875" style="76" customWidth="1"/>
    <col min="5386" max="5386" width="3.28515625" style="76" customWidth="1"/>
    <col min="5387" max="5387" width="21.140625" style="76" customWidth="1"/>
    <col min="5388" max="5632" width="11.42578125" style="76"/>
    <col min="5633" max="5633" width="13.28515625" style="76" customWidth="1"/>
    <col min="5634" max="5634" width="2.7109375" style="76" customWidth="1"/>
    <col min="5635" max="5635" width="13.28515625" style="76" customWidth="1"/>
    <col min="5636" max="5636" width="3.28515625" style="76" customWidth="1"/>
    <col min="5637" max="5637" width="1.7109375" style="76" customWidth="1"/>
    <col min="5638" max="5638" width="11.85546875" style="76" customWidth="1"/>
    <col min="5639" max="5639" width="3.28515625" style="76" customWidth="1"/>
    <col min="5640" max="5640" width="1.7109375" style="76" customWidth="1"/>
    <col min="5641" max="5641" width="11.85546875" style="76" customWidth="1"/>
    <col min="5642" max="5642" width="3.28515625" style="76" customWidth="1"/>
    <col min="5643" max="5643" width="21.140625" style="76" customWidth="1"/>
    <col min="5644" max="5888" width="11.42578125" style="76"/>
    <col min="5889" max="5889" width="13.28515625" style="76" customWidth="1"/>
    <col min="5890" max="5890" width="2.7109375" style="76" customWidth="1"/>
    <col min="5891" max="5891" width="13.28515625" style="76" customWidth="1"/>
    <col min="5892" max="5892" width="3.28515625" style="76" customWidth="1"/>
    <col min="5893" max="5893" width="1.7109375" style="76" customWidth="1"/>
    <col min="5894" max="5894" width="11.85546875" style="76" customWidth="1"/>
    <col min="5895" max="5895" width="3.28515625" style="76" customWidth="1"/>
    <col min="5896" max="5896" width="1.7109375" style="76" customWidth="1"/>
    <col min="5897" max="5897" width="11.85546875" style="76" customWidth="1"/>
    <col min="5898" max="5898" width="3.28515625" style="76" customWidth="1"/>
    <col min="5899" max="5899" width="21.140625" style="76" customWidth="1"/>
    <col min="5900" max="6144" width="11.42578125" style="76"/>
    <col min="6145" max="6145" width="13.28515625" style="76" customWidth="1"/>
    <col min="6146" max="6146" width="2.7109375" style="76" customWidth="1"/>
    <col min="6147" max="6147" width="13.28515625" style="76" customWidth="1"/>
    <col min="6148" max="6148" width="3.28515625" style="76" customWidth="1"/>
    <col min="6149" max="6149" width="1.7109375" style="76" customWidth="1"/>
    <col min="6150" max="6150" width="11.85546875" style="76" customWidth="1"/>
    <col min="6151" max="6151" width="3.28515625" style="76" customWidth="1"/>
    <col min="6152" max="6152" width="1.7109375" style="76" customWidth="1"/>
    <col min="6153" max="6153" width="11.85546875" style="76" customWidth="1"/>
    <col min="6154" max="6154" width="3.28515625" style="76" customWidth="1"/>
    <col min="6155" max="6155" width="21.140625" style="76" customWidth="1"/>
    <col min="6156" max="6400" width="11.42578125" style="76"/>
    <col min="6401" max="6401" width="13.28515625" style="76" customWidth="1"/>
    <col min="6402" max="6402" width="2.7109375" style="76" customWidth="1"/>
    <col min="6403" max="6403" width="13.28515625" style="76" customWidth="1"/>
    <col min="6404" max="6404" width="3.28515625" style="76" customWidth="1"/>
    <col min="6405" max="6405" width="1.7109375" style="76" customWidth="1"/>
    <col min="6406" max="6406" width="11.85546875" style="76" customWidth="1"/>
    <col min="6407" max="6407" width="3.28515625" style="76" customWidth="1"/>
    <col min="6408" max="6408" width="1.7109375" style="76" customWidth="1"/>
    <col min="6409" max="6409" width="11.85546875" style="76" customWidth="1"/>
    <col min="6410" max="6410" width="3.28515625" style="76" customWidth="1"/>
    <col min="6411" max="6411" width="21.140625" style="76" customWidth="1"/>
    <col min="6412" max="6656" width="11.42578125" style="76"/>
    <col min="6657" max="6657" width="13.28515625" style="76" customWidth="1"/>
    <col min="6658" max="6658" width="2.7109375" style="76" customWidth="1"/>
    <col min="6659" max="6659" width="13.28515625" style="76" customWidth="1"/>
    <col min="6660" max="6660" width="3.28515625" style="76" customWidth="1"/>
    <col min="6661" max="6661" width="1.7109375" style="76" customWidth="1"/>
    <col min="6662" max="6662" width="11.85546875" style="76" customWidth="1"/>
    <col min="6663" max="6663" width="3.28515625" style="76" customWidth="1"/>
    <col min="6664" max="6664" width="1.7109375" style="76" customWidth="1"/>
    <col min="6665" max="6665" width="11.85546875" style="76" customWidth="1"/>
    <col min="6666" max="6666" width="3.28515625" style="76" customWidth="1"/>
    <col min="6667" max="6667" width="21.140625" style="76" customWidth="1"/>
    <col min="6668" max="6912" width="11.42578125" style="76"/>
    <col min="6913" max="6913" width="13.28515625" style="76" customWidth="1"/>
    <col min="6914" max="6914" width="2.7109375" style="76" customWidth="1"/>
    <col min="6915" max="6915" width="13.28515625" style="76" customWidth="1"/>
    <col min="6916" max="6916" width="3.28515625" style="76" customWidth="1"/>
    <col min="6917" max="6917" width="1.7109375" style="76" customWidth="1"/>
    <col min="6918" max="6918" width="11.85546875" style="76" customWidth="1"/>
    <col min="6919" max="6919" width="3.28515625" style="76" customWidth="1"/>
    <col min="6920" max="6920" width="1.7109375" style="76" customWidth="1"/>
    <col min="6921" max="6921" width="11.85546875" style="76" customWidth="1"/>
    <col min="6922" max="6922" width="3.28515625" style="76" customWidth="1"/>
    <col min="6923" max="6923" width="21.140625" style="76" customWidth="1"/>
    <col min="6924" max="7168" width="11.42578125" style="76"/>
    <col min="7169" max="7169" width="13.28515625" style="76" customWidth="1"/>
    <col min="7170" max="7170" width="2.7109375" style="76" customWidth="1"/>
    <col min="7171" max="7171" width="13.28515625" style="76" customWidth="1"/>
    <col min="7172" max="7172" width="3.28515625" style="76" customWidth="1"/>
    <col min="7173" max="7173" width="1.7109375" style="76" customWidth="1"/>
    <col min="7174" max="7174" width="11.85546875" style="76" customWidth="1"/>
    <col min="7175" max="7175" width="3.28515625" style="76" customWidth="1"/>
    <col min="7176" max="7176" width="1.7109375" style="76" customWidth="1"/>
    <col min="7177" max="7177" width="11.85546875" style="76" customWidth="1"/>
    <col min="7178" max="7178" width="3.28515625" style="76" customWidth="1"/>
    <col min="7179" max="7179" width="21.140625" style="76" customWidth="1"/>
    <col min="7180" max="7424" width="11.42578125" style="76"/>
    <col min="7425" max="7425" width="13.28515625" style="76" customWidth="1"/>
    <col min="7426" max="7426" width="2.7109375" style="76" customWidth="1"/>
    <col min="7427" max="7427" width="13.28515625" style="76" customWidth="1"/>
    <col min="7428" max="7428" width="3.28515625" style="76" customWidth="1"/>
    <col min="7429" max="7429" width="1.7109375" style="76" customWidth="1"/>
    <col min="7430" max="7430" width="11.85546875" style="76" customWidth="1"/>
    <col min="7431" max="7431" width="3.28515625" style="76" customWidth="1"/>
    <col min="7432" max="7432" width="1.7109375" style="76" customWidth="1"/>
    <col min="7433" max="7433" width="11.85546875" style="76" customWidth="1"/>
    <col min="7434" max="7434" width="3.28515625" style="76" customWidth="1"/>
    <col min="7435" max="7435" width="21.140625" style="76" customWidth="1"/>
    <col min="7436" max="7680" width="11.42578125" style="76"/>
    <col min="7681" max="7681" width="13.28515625" style="76" customWidth="1"/>
    <col min="7682" max="7682" width="2.7109375" style="76" customWidth="1"/>
    <col min="7683" max="7683" width="13.28515625" style="76" customWidth="1"/>
    <col min="7684" max="7684" width="3.28515625" style="76" customWidth="1"/>
    <col min="7685" max="7685" width="1.7109375" style="76" customWidth="1"/>
    <col min="7686" max="7686" width="11.85546875" style="76" customWidth="1"/>
    <col min="7687" max="7687" width="3.28515625" style="76" customWidth="1"/>
    <col min="7688" max="7688" width="1.7109375" style="76" customWidth="1"/>
    <col min="7689" max="7689" width="11.85546875" style="76" customWidth="1"/>
    <col min="7690" max="7690" width="3.28515625" style="76" customWidth="1"/>
    <col min="7691" max="7691" width="21.140625" style="76" customWidth="1"/>
    <col min="7692" max="7936" width="11.42578125" style="76"/>
    <col min="7937" max="7937" width="13.28515625" style="76" customWidth="1"/>
    <col min="7938" max="7938" width="2.7109375" style="76" customWidth="1"/>
    <col min="7939" max="7939" width="13.28515625" style="76" customWidth="1"/>
    <col min="7940" max="7940" width="3.28515625" style="76" customWidth="1"/>
    <col min="7941" max="7941" width="1.7109375" style="76" customWidth="1"/>
    <col min="7942" max="7942" width="11.85546875" style="76" customWidth="1"/>
    <col min="7943" max="7943" width="3.28515625" style="76" customWidth="1"/>
    <col min="7944" max="7944" width="1.7109375" style="76" customWidth="1"/>
    <col min="7945" max="7945" width="11.85546875" style="76" customWidth="1"/>
    <col min="7946" max="7946" width="3.28515625" style="76" customWidth="1"/>
    <col min="7947" max="7947" width="21.140625" style="76" customWidth="1"/>
    <col min="7948" max="8192" width="11.42578125" style="76"/>
    <col min="8193" max="8193" width="13.28515625" style="76" customWidth="1"/>
    <col min="8194" max="8194" width="2.7109375" style="76" customWidth="1"/>
    <col min="8195" max="8195" width="13.28515625" style="76" customWidth="1"/>
    <col min="8196" max="8196" width="3.28515625" style="76" customWidth="1"/>
    <col min="8197" max="8197" width="1.7109375" style="76" customWidth="1"/>
    <col min="8198" max="8198" width="11.85546875" style="76" customWidth="1"/>
    <col min="8199" max="8199" width="3.28515625" style="76" customWidth="1"/>
    <col min="8200" max="8200" width="1.7109375" style="76" customWidth="1"/>
    <col min="8201" max="8201" width="11.85546875" style="76" customWidth="1"/>
    <col min="8202" max="8202" width="3.28515625" style="76" customWidth="1"/>
    <col min="8203" max="8203" width="21.140625" style="76" customWidth="1"/>
    <col min="8204" max="8448" width="11.42578125" style="76"/>
    <col min="8449" max="8449" width="13.28515625" style="76" customWidth="1"/>
    <col min="8450" max="8450" width="2.7109375" style="76" customWidth="1"/>
    <col min="8451" max="8451" width="13.28515625" style="76" customWidth="1"/>
    <col min="8452" max="8452" width="3.28515625" style="76" customWidth="1"/>
    <col min="8453" max="8453" width="1.7109375" style="76" customWidth="1"/>
    <col min="8454" max="8454" width="11.85546875" style="76" customWidth="1"/>
    <col min="8455" max="8455" width="3.28515625" style="76" customWidth="1"/>
    <col min="8456" max="8456" width="1.7109375" style="76" customWidth="1"/>
    <col min="8457" max="8457" width="11.85546875" style="76" customWidth="1"/>
    <col min="8458" max="8458" width="3.28515625" style="76" customWidth="1"/>
    <col min="8459" max="8459" width="21.140625" style="76" customWidth="1"/>
    <col min="8460" max="8704" width="11.42578125" style="76"/>
    <col min="8705" max="8705" width="13.28515625" style="76" customWidth="1"/>
    <col min="8706" max="8706" width="2.7109375" style="76" customWidth="1"/>
    <col min="8707" max="8707" width="13.28515625" style="76" customWidth="1"/>
    <col min="8708" max="8708" width="3.28515625" style="76" customWidth="1"/>
    <col min="8709" max="8709" width="1.7109375" style="76" customWidth="1"/>
    <col min="8710" max="8710" width="11.85546875" style="76" customWidth="1"/>
    <col min="8711" max="8711" width="3.28515625" style="76" customWidth="1"/>
    <col min="8712" max="8712" width="1.7109375" style="76" customWidth="1"/>
    <col min="8713" max="8713" width="11.85546875" style="76" customWidth="1"/>
    <col min="8714" max="8714" width="3.28515625" style="76" customWidth="1"/>
    <col min="8715" max="8715" width="21.140625" style="76" customWidth="1"/>
    <col min="8716" max="8960" width="11.42578125" style="76"/>
    <col min="8961" max="8961" width="13.28515625" style="76" customWidth="1"/>
    <col min="8962" max="8962" width="2.7109375" style="76" customWidth="1"/>
    <col min="8963" max="8963" width="13.28515625" style="76" customWidth="1"/>
    <col min="8964" max="8964" width="3.28515625" style="76" customWidth="1"/>
    <col min="8965" max="8965" width="1.7109375" style="76" customWidth="1"/>
    <col min="8966" max="8966" width="11.85546875" style="76" customWidth="1"/>
    <col min="8967" max="8967" width="3.28515625" style="76" customWidth="1"/>
    <col min="8968" max="8968" width="1.7109375" style="76" customWidth="1"/>
    <col min="8969" max="8969" width="11.85546875" style="76" customWidth="1"/>
    <col min="8970" max="8970" width="3.28515625" style="76" customWidth="1"/>
    <col min="8971" max="8971" width="21.140625" style="76" customWidth="1"/>
    <col min="8972" max="9216" width="11.42578125" style="76"/>
    <col min="9217" max="9217" width="13.28515625" style="76" customWidth="1"/>
    <col min="9218" max="9218" width="2.7109375" style="76" customWidth="1"/>
    <col min="9219" max="9219" width="13.28515625" style="76" customWidth="1"/>
    <col min="9220" max="9220" width="3.28515625" style="76" customWidth="1"/>
    <col min="9221" max="9221" width="1.7109375" style="76" customWidth="1"/>
    <col min="9222" max="9222" width="11.85546875" style="76" customWidth="1"/>
    <col min="9223" max="9223" width="3.28515625" style="76" customWidth="1"/>
    <col min="9224" max="9224" width="1.7109375" style="76" customWidth="1"/>
    <col min="9225" max="9225" width="11.85546875" style="76" customWidth="1"/>
    <col min="9226" max="9226" width="3.28515625" style="76" customWidth="1"/>
    <col min="9227" max="9227" width="21.140625" style="76" customWidth="1"/>
    <col min="9228" max="9472" width="11.42578125" style="76"/>
    <col min="9473" max="9473" width="13.28515625" style="76" customWidth="1"/>
    <col min="9474" max="9474" width="2.7109375" style="76" customWidth="1"/>
    <col min="9475" max="9475" width="13.28515625" style="76" customWidth="1"/>
    <col min="9476" max="9476" width="3.28515625" style="76" customWidth="1"/>
    <col min="9477" max="9477" width="1.7109375" style="76" customWidth="1"/>
    <col min="9478" max="9478" width="11.85546875" style="76" customWidth="1"/>
    <col min="9479" max="9479" width="3.28515625" style="76" customWidth="1"/>
    <col min="9480" max="9480" width="1.7109375" style="76" customWidth="1"/>
    <col min="9481" max="9481" width="11.85546875" style="76" customWidth="1"/>
    <col min="9482" max="9482" width="3.28515625" style="76" customWidth="1"/>
    <col min="9483" max="9483" width="21.140625" style="76" customWidth="1"/>
    <col min="9484" max="9728" width="11.42578125" style="76"/>
    <col min="9729" max="9729" width="13.28515625" style="76" customWidth="1"/>
    <col min="9730" max="9730" width="2.7109375" style="76" customWidth="1"/>
    <col min="9731" max="9731" width="13.28515625" style="76" customWidth="1"/>
    <col min="9732" max="9732" width="3.28515625" style="76" customWidth="1"/>
    <col min="9733" max="9733" width="1.7109375" style="76" customWidth="1"/>
    <col min="9734" max="9734" width="11.85546875" style="76" customWidth="1"/>
    <col min="9735" max="9735" width="3.28515625" style="76" customWidth="1"/>
    <col min="9736" max="9736" width="1.7109375" style="76" customWidth="1"/>
    <col min="9737" max="9737" width="11.85546875" style="76" customWidth="1"/>
    <col min="9738" max="9738" width="3.28515625" style="76" customWidth="1"/>
    <col min="9739" max="9739" width="21.140625" style="76" customWidth="1"/>
    <col min="9740" max="9984" width="11.42578125" style="76"/>
    <col min="9985" max="9985" width="13.28515625" style="76" customWidth="1"/>
    <col min="9986" max="9986" width="2.7109375" style="76" customWidth="1"/>
    <col min="9987" max="9987" width="13.28515625" style="76" customWidth="1"/>
    <col min="9988" max="9988" width="3.28515625" style="76" customWidth="1"/>
    <col min="9989" max="9989" width="1.7109375" style="76" customWidth="1"/>
    <col min="9990" max="9990" width="11.85546875" style="76" customWidth="1"/>
    <col min="9991" max="9991" width="3.28515625" style="76" customWidth="1"/>
    <col min="9992" max="9992" width="1.7109375" style="76" customWidth="1"/>
    <col min="9993" max="9993" width="11.85546875" style="76" customWidth="1"/>
    <col min="9994" max="9994" width="3.28515625" style="76" customWidth="1"/>
    <col min="9995" max="9995" width="21.140625" style="76" customWidth="1"/>
    <col min="9996" max="10240" width="11.42578125" style="76"/>
    <col min="10241" max="10241" width="13.28515625" style="76" customWidth="1"/>
    <col min="10242" max="10242" width="2.7109375" style="76" customWidth="1"/>
    <col min="10243" max="10243" width="13.28515625" style="76" customWidth="1"/>
    <col min="10244" max="10244" width="3.28515625" style="76" customWidth="1"/>
    <col min="10245" max="10245" width="1.7109375" style="76" customWidth="1"/>
    <col min="10246" max="10246" width="11.85546875" style="76" customWidth="1"/>
    <col min="10247" max="10247" width="3.28515625" style="76" customWidth="1"/>
    <col min="10248" max="10248" width="1.7109375" style="76" customWidth="1"/>
    <col min="10249" max="10249" width="11.85546875" style="76" customWidth="1"/>
    <col min="10250" max="10250" width="3.28515625" style="76" customWidth="1"/>
    <col min="10251" max="10251" width="21.140625" style="76" customWidth="1"/>
    <col min="10252" max="10496" width="11.42578125" style="76"/>
    <col min="10497" max="10497" width="13.28515625" style="76" customWidth="1"/>
    <col min="10498" max="10498" width="2.7109375" style="76" customWidth="1"/>
    <col min="10499" max="10499" width="13.28515625" style="76" customWidth="1"/>
    <col min="10500" max="10500" width="3.28515625" style="76" customWidth="1"/>
    <col min="10501" max="10501" width="1.7109375" style="76" customWidth="1"/>
    <col min="10502" max="10502" width="11.85546875" style="76" customWidth="1"/>
    <col min="10503" max="10503" width="3.28515625" style="76" customWidth="1"/>
    <col min="10504" max="10504" width="1.7109375" style="76" customWidth="1"/>
    <col min="10505" max="10505" width="11.85546875" style="76" customWidth="1"/>
    <col min="10506" max="10506" width="3.28515625" style="76" customWidth="1"/>
    <col min="10507" max="10507" width="21.140625" style="76" customWidth="1"/>
    <col min="10508" max="10752" width="11.42578125" style="76"/>
    <col min="10753" max="10753" width="13.28515625" style="76" customWidth="1"/>
    <col min="10754" max="10754" width="2.7109375" style="76" customWidth="1"/>
    <col min="10755" max="10755" width="13.28515625" style="76" customWidth="1"/>
    <col min="10756" max="10756" width="3.28515625" style="76" customWidth="1"/>
    <col min="10757" max="10757" width="1.7109375" style="76" customWidth="1"/>
    <col min="10758" max="10758" width="11.85546875" style="76" customWidth="1"/>
    <col min="10759" max="10759" width="3.28515625" style="76" customWidth="1"/>
    <col min="10760" max="10760" width="1.7109375" style="76" customWidth="1"/>
    <col min="10761" max="10761" width="11.85546875" style="76" customWidth="1"/>
    <col min="10762" max="10762" width="3.28515625" style="76" customWidth="1"/>
    <col min="10763" max="10763" width="21.140625" style="76" customWidth="1"/>
    <col min="10764" max="11008" width="11.42578125" style="76"/>
    <col min="11009" max="11009" width="13.28515625" style="76" customWidth="1"/>
    <col min="11010" max="11010" width="2.7109375" style="76" customWidth="1"/>
    <col min="11011" max="11011" width="13.28515625" style="76" customWidth="1"/>
    <col min="11012" max="11012" width="3.28515625" style="76" customWidth="1"/>
    <col min="11013" max="11013" width="1.7109375" style="76" customWidth="1"/>
    <col min="11014" max="11014" width="11.85546875" style="76" customWidth="1"/>
    <col min="11015" max="11015" width="3.28515625" style="76" customWidth="1"/>
    <col min="11016" max="11016" width="1.7109375" style="76" customWidth="1"/>
    <col min="11017" max="11017" width="11.85546875" style="76" customWidth="1"/>
    <col min="11018" max="11018" width="3.28515625" style="76" customWidth="1"/>
    <col min="11019" max="11019" width="21.140625" style="76" customWidth="1"/>
    <col min="11020" max="11264" width="11.42578125" style="76"/>
    <col min="11265" max="11265" width="13.28515625" style="76" customWidth="1"/>
    <col min="11266" max="11266" width="2.7109375" style="76" customWidth="1"/>
    <col min="11267" max="11267" width="13.28515625" style="76" customWidth="1"/>
    <col min="11268" max="11268" width="3.28515625" style="76" customWidth="1"/>
    <col min="11269" max="11269" width="1.7109375" style="76" customWidth="1"/>
    <col min="11270" max="11270" width="11.85546875" style="76" customWidth="1"/>
    <col min="11271" max="11271" width="3.28515625" style="76" customWidth="1"/>
    <col min="11272" max="11272" width="1.7109375" style="76" customWidth="1"/>
    <col min="11273" max="11273" width="11.85546875" style="76" customWidth="1"/>
    <col min="11274" max="11274" width="3.28515625" style="76" customWidth="1"/>
    <col min="11275" max="11275" width="21.140625" style="76" customWidth="1"/>
    <col min="11276" max="11520" width="11.42578125" style="76"/>
    <col min="11521" max="11521" width="13.28515625" style="76" customWidth="1"/>
    <col min="11522" max="11522" width="2.7109375" style="76" customWidth="1"/>
    <col min="11523" max="11523" width="13.28515625" style="76" customWidth="1"/>
    <col min="11524" max="11524" width="3.28515625" style="76" customWidth="1"/>
    <col min="11525" max="11525" width="1.7109375" style="76" customWidth="1"/>
    <col min="11526" max="11526" width="11.85546875" style="76" customWidth="1"/>
    <col min="11527" max="11527" width="3.28515625" style="76" customWidth="1"/>
    <col min="11528" max="11528" width="1.7109375" style="76" customWidth="1"/>
    <col min="11529" max="11529" width="11.85546875" style="76" customWidth="1"/>
    <col min="11530" max="11530" width="3.28515625" style="76" customWidth="1"/>
    <col min="11531" max="11531" width="21.140625" style="76" customWidth="1"/>
    <col min="11532" max="11776" width="11.42578125" style="76"/>
    <col min="11777" max="11777" width="13.28515625" style="76" customWidth="1"/>
    <col min="11778" max="11778" width="2.7109375" style="76" customWidth="1"/>
    <col min="11779" max="11779" width="13.28515625" style="76" customWidth="1"/>
    <col min="11780" max="11780" width="3.28515625" style="76" customWidth="1"/>
    <col min="11781" max="11781" width="1.7109375" style="76" customWidth="1"/>
    <col min="11782" max="11782" width="11.85546875" style="76" customWidth="1"/>
    <col min="11783" max="11783" width="3.28515625" style="76" customWidth="1"/>
    <col min="11784" max="11784" width="1.7109375" style="76" customWidth="1"/>
    <col min="11785" max="11785" width="11.85546875" style="76" customWidth="1"/>
    <col min="11786" max="11786" width="3.28515625" style="76" customWidth="1"/>
    <col min="11787" max="11787" width="21.140625" style="76" customWidth="1"/>
    <col min="11788" max="12032" width="11.42578125" style="76"/>
    <col min="12033" max="12033" width="13.28515625" style="76" customWidth="1"/>
    <col min="12034" max="12034" width="2.7109375" style="76" customWidth="1"/>
    <col min="12035" max="12035" width="13.28515625" style="76" customWidth="1"/>
    <col min="12036" max="12036" width="3.28515625" style="76" customWidth="1"/>
    <col min="12037" max="12037" width="1.7109375" style="76" customWidth="1"/>
    <col min="12038" max="12038" width="11.85546875" style="76" customWidth="1"/>
    <col min="12039" max="12039" width="3.28515625" style="76" customWidth="1"/>
    <col min="12040" max="12040" width="1.7109375" style="76" customWidth="1"/>
    <col min="12041" max="12041" width="11.85546875" style="76" customWidth="1"/>
    <col min="12042" max="12042" width="3.28515625" style="76" customWidth="1"/>
    <col min="12043" max="12043" width="21.140625" style="76" customWidth="1"/>
    <col min="12044" max="12288" width="11.42578125" style="76"/>
    <col min="12289" max="12289" width="13.28515625" style="76" customWidth="1"/>
    <col min="12290" max="12290" width="2.7109375" style="76" customWidth="1"/>
    <col min="12291" max="12291" width="13.28515625" style="76" customWidth="1"/>
    <col min="12292" max="12292" width="3.28515625" style="76" customWidth="1"/>
    <col min="12293" max="12293" width="1.7109375" style="76" customWidth="1"/>
    <col min="12294" max="12294" width="11.85546875" style="76" customWidth="1"/>
    <col min="12295" max="12295" width="3.28515625" style="76" customWidth="1"/>
    <col min="12296" max="12296" width="1.7109375" style="76" customWidth="1"/>
    <col min="12297" max="12297" width="11.85546875" style="76" customWidth="1"/>
    <col min="12298" max="12298" width="3.28515625" style="76" customWidth="1"/>
    <col min="12299" max="12299" width="21.140625" style="76" customWidth="1"/>
    <col min="12300" max="12544" width="11.42578125" style="76"/>
    <col min="12545" max="12545" width="13.28515625" style="76" customWidth="1"/>
    <col min="12546" max="12546" width="2.7109375" style="76" customWidth="1"/>
    <col min="12547" max="12547" width="13.28515625" style="76" customWidth="1"/>
    <col min="12548" max="12548" width="3.28515625" style="76" customWidth="1"/>
    <col min="12549" max="12549" width="1.7109375" style="76" customWidth="1"/>
    <col min="12550" max="12550" width="11.85546875" style="76" customWidth="1"/>
    <col min="12551" max="12551" width="3.28515625" style="76" customWidth="1"/>
    <col min="12552" max="12552" width="1.7109375" style="76" customWidth="1"/>
    <col min="12553" max="12553" width="11.85546875" style="76" customWidth="1"/>
    <col min="12554" max="12554" width="3.28515625" style="76" customWidth="1"/>
    <col min="12555" max="12555" width="21.140625" style="76" customWidth="1"/>
    <col min="12556" max="12800" width="11.42578125" style="76"/>
    <col min="12801" max="12801" width="13.28515625" style="76" customWidth="1"/>
    <col min="12802" max="12802" width="2.7109375" style="76" customWidth="1"/>
    <col min="12803" max="12803" width="13.28515625" style="76" customWidth="1"/>
    <col min="12804" max="12804" width="3.28515625" style="76" customWidth="1"/>
    <col min="12805" max="12805" width="1.7109375" style="76" customWidth="1"/>
    <col min="12806" max="12806" width="11.85546875" style="76" customWidth="1"/>
    <col min="12807" max="12807" width="3.28515625" style="76" customWidth="1"/>
    <col min="12808" max="12808" width="1.7109375" style="76" customWidth="1"/>
    <col min="12809" max="12809" width="11.85546875" style="76" customWidth="1"/>
    <col min="12810" max="12810" width="3.28515625" style="76" customWidth="1"/>
    <col min="12811" max="12811" width="21.140625" style="76" customWidth="1"/>
    <col min="12812" max="13056" width="11.42578125" style="76"/>
    <col min="13057" max="13057" width="13.28515625" style="76" customWidth="1"/>
    <col min="13058" max="13058" width="2.7109375" style="76" customWidth="1"/>
    <col min="13059" max="13059" width="13.28515625" style="76" customWidth="1"/>
    <col min="13060" max="13060" width="3.28515625" style="76" customWidth="1"/>
    <col min="13061" max="13061" width="1.7109375" style="76" customWidth="1"/>
    <col min="13062" max="13062" width="11.85546875" style="76" customWidth="1"/>
    <col min="13063" max="13063" width="3.28515625" style="76" customWidth="1"/>
    <col min="13064" max="13064" width="1.7109375" style="76" customWidth="1"/>
    <col min="13065" max="13065" width="11.85546875" style="76" customWidth="1"/>
    <col min="13066" max="13066" width="3.28515625" style="76" customWidth="1"/>
    <col min="13067" max="13067" width="21.140625" style="76" customWidth="1"/>
    <col min="13068" max="13312" width="11.42578125" style="76"/>
    <col min="13313" max="13313" width="13.28515625" style="76" customWidth="1"/>
    <col min="13314" max="13314" width="2.7109375" style="76" customWidth="1"/>
    <col min="13315" max="13315" width="13.28515625" style="76" customWidth="1"/>
    <col min="13316" max="13316" width="3.28515625" style="76" customWidth="1"/>
    <col min="13317" max="13317" width="1.7109375" style="76" customWidth="1"/>
    <col min="13318" max="13318" width="11.85546875" style="76" customWidth="1"/>
    <col min="13319" max="13319" width="3.28515625" style="76" customWidth="1"/>
    <col min="13320" max="13320" width="1.7109375" style="76" customWidth="1"/>
    <col min="13321" max="13321" width="11.85546875" style="76" customWidth="1"/>
    <col min="13322" max="13322" width="3.28515625" style="76" customWidth="1"/>
    <col min="13323" max="13323" width="21.140625" style="76" customWidth="1"/>
    <col min="13324" max="13568" width="11.42578125" style="76"/>
    <col min="13569" max="13569" width="13.28515625" style="76" customWidth="1"/>
    <col min="13570" max="13570" width="2.7109375" style="76" customWidth="1"/>
    <col min="13571" max="13571" width="13.28515625" style="76" customWidth="1"/>
    <col min="13572" max="13572" width="3.28515625" style="76" customWidth="1"/>
    <col min="13573" max="13573" width="1.7109375" style="76" customWidth="1"/>
    <col min="13574" max="13574" width="11.85546875" style="76" customWidth="1"/>
    <col min="13575" max="13575" width="3.28515625" style="76" customWidth="1"/>
    <col min="13576" max="13576" width="1.7109375" style="76" customWidth="1"/>
    <col min="13577" max="13577" width="11.85546875" style="76" customWidth="1"/>
    <col min="13578" max="13578" width="3.28515625" style="76" customWidth="1"/>
    <col min="13579" max="13579" width="21.140625" style="76" customWidth="1"/>
    <col min="13580" max="13824" width="11.42578125" style="76"/>
    <col min="13825" max="13825" width="13.28515625" style="76" customWidth="1"/>
    <col min="13826" max="13826" width="2.7109375" style="76" customWidth="1"/>
    <col min="13827" max="13827" width="13.28515625" style="76" customWidth="1"/>
    <col min="13828" max="13828" width="3.28515625" style="76" customWidth="1"/>
    <col min="13829" max="13829" width="1.7109375" style="76" customWidth="1"/>
    <col min="13830" max="13830" width="11.85546875" style="76" customWidth="1"/>
    <col min="13831" max="13831" width="3.28515625" style="76" customWidth="1"/>
    <col min="13832" max="13832" width="1.7109375" style="76" customWidth="1"/>
    <col min="13833" max="13833" width="11.85546875" style="76" customWidth="1"/>
    <col min="13834" max="13834" width="3.28515625" style="76" customWidth="1"/>
    <col min="13835" max="13835" width="21.140625" style="76" customWidth="1"/>
    <col min="13836" max="14080" width="11.42578125" style="76"/>
    <col min="14081" max="14081" width="13.28515625" style="76" customWidth="1"/>
    <col min="14082" max="14082" width="2.7109375" style="76" customWidth="1"/>
    <col min="14083" max="14083" width="13.28515625" style="76" customWidth="1"/>
    <col min="14084" max="14084" width="3.28515625" style="76" customWidth="1"/>
    <col min="14085" max="14085" width="1.7109375" style="76" customWidth="1"/>
    <col min="14086" max="14086" width="11.85546875" style="76" customWidth="1"/>
    <col min="14087" max="14087" width="3.28515625" style="76" customWidth="1"/>
    <col min="14088" max="14088" width="1.7109375" style="76" customWidth="1"/>
    <col min="14089" max="14089" width="11.85546875" style="76" customWidth="1"/>
    <col min="14090" max="14090" width="3.28515625" style="76" customWidth="1"/>
    <col min="14091" max="14091" width="21.140625" style="76" customWidth="1"/>
    <col min="14092" max="14336" width="11.42578125" style="76"/>
    <col min="14337" max="14337" width="13.28515625" style="76" customWidth="1"/>
    <col min="14338" max="14338" width="2.7109375" style="76" customWidth="1"/>
    <col min="14339" max="14339" width="13.28515625" style="76" customWidth="1"/>
    <col min="14340" max="14340" width="3.28515625" style="76" customWidth="1"/>
    <col min="14341" max="14341" width="1.7109375" style="76" customWidth="1"/>
    <col min="14342" max="14342" width="11.85546875" style="76" customWidth="1"/>
    <col min="14343" max="14343" width="3.28515625" style="76" customWidth="1"/>
    <col min="14344" max="14344" width="1.7109375" style="76" customWidth="1"/>
    <col min="14345" max="14345" width="11.85546875" style="76" customWidth="1"/>
    <col min="14346" max="14346" width="3.28515625" style="76" customWidth="1"/>
    <col min="14347" max="14347" width="21.140625" style="76" customWidth="1"/>
    <col min="14348" max="14592" width="11.42578125" style="76"/>
    <col min="14593" max="14593" width="13.28515625" style="76" customWidth="1"/>
    <col min="14594" max="14594" width="2.7109375" style="76" customWidth="1"/>
    <col min="14595" max="14595" width="13.28515625" style="76" customWidth="1"/>
    <col min="14596" max="14596" width="3.28515625" style="76" customWidth="1"/>
    <col min="14597" max="14597" width="1.7109375" style="76" customWidth="1"/>
    <col min="14598" max="14598" width="11.85546875" style="76" customWidth="1"/>
    <col min="14599" max="14599" width="3.28515625" style="76" customWidth="1"/>
    <col min="14600" max="14600" width="1.7109375" style="76" customWidth="1"/>
    <col min="14601" max="14601" width="11.85546875" style="76" customWidth="1"/>
    <col min="14602" max="14602" width="3.28515625" style="76" customWidth="1"/>
    <col min="14603" max="14603" width="21.140625" style="76" customWidth="1"/>
    <col min="14604" max="14848" width="11.42578125" style="76"/>
    <col min="14849" max="14849" width="13.28515625" style="76" customWidth="1"/>
    <col min="14850" max="14850" width="2.7109375" style="76" customWidth="1"/>
    <col min="14851" max="14851" width="13.28515625" style="76" customWidth="1"/>
    <col min="14852" max="14852" width="3.28515625" style="76" customWidth="1"/>
    <col min="14853" max="14853" width="1.7109375" style="76" customWidth="1"/>
    <col min="14854" max="14854" width="11.85546875" style="76" customWidth="1"/>
    <col min="14855" max="14855" width="3.28515625" style="76" customWidth="1"/>
    <col min="14856" max="14856" width="1.7109375" style="76" customWidth="1"/>
    <col min="14857" max="14857" width="11.85546875" style="76" customWidth="1"/>
    <col min="14858" max="14858" width="3.28515625" style="76" customWidth="1"/>
    <col min="14859" max="14859" width="21.140625" style="76" customWidth="1"/>
    <col min="14860" max="15104" width="11.42578125" style="76"/>
    <col min="15105" max="15105" width="13.28515625" style="76" customWidth="1"/>
    <col min="15106" max="15106" width="2.7109375" style="76" customWidth="1"/>
    <col min="15107" max="15107" width="13.28515625" style="76" customWidth="1"/>
    <col min="15108" max="15108" width="3.28515625" style="76" customWidth="1"/>
    <col min="15109" max="15109" width="1.7109375" style="76" customWidth="1"/>
    <col min="15110" max="15110" width="11.85546875" style="76" customWidth="1"/>
    <col min="15111" max="15111" width="3.28515625" style="76" customWidth="1"/>
    <col min="15112" max="15112" width="1.7109375" style="76" customWidth="1"/>
    <col min="15113" max="15113" width="11.85546875" style="76" customWidth="1"/>
    <col min="15114" max="15114" width="3.28515625" style="76" customWidth="1"/>
    <col min="15115" max="15115" width="21.140625" style="76" customWidth="1"/>
    <col min="15116" max="15360" width="11.42578125" style="76"/>
    <col min="15361" max="15361" width="13.28515625" style="76" customWidth="1"/>
    <col min="15362" max="15362" width="2.7109375" style="76" customWidth="1"/>
    <col min="15363" max="15363" width="13.28515625" style="76" customWidth="1"/>
    <col min="15364" max="15364" width="3.28515625" style="76" customWidth="1"/>
    <col min="15365" max="15365" width="1.7109375" style="76" customWidth="1"/>
    <col min="15366" max="15366" width="11.85546875" style="76" customWidth="1"/>
    <col min="15367" max="15367" width="3.28515625" style="76" customWidth="1"/>
    <col min="15368" max="15368" width="1.7109375" style="76" customWidth="1"/>
    <col min="15369" max="15369" width="11.85546875" style="76" customWidth="1"/>
    <col min="15370" max="15370" width="3.28515625" style="76" customWidth="1"/>
    <col min="15371" max="15371" width="21.140625" style="76" customWidth="1"/>
    <col min="15372" max="15616" width="11.42578125" style="76"/>
    <col min="15617" max="15617" width="13.28515625" style="76" customWidth="1"/>
    <col min="15618" max="15618" width="2.7109375" style="76" customWidth="1"/>
    <col min="15619" max="15619" width="13.28515625" style="76" customWidth="1"/>
    <col min="15620" max="15620" width="3.28515625" style="76" customWidth="1"/>
    <col min="15621" max="15621" width="1.7109375" style="76" customWidth="1"/>
    <col min="15622" max="15622" width="11.85546875" style="76" customWidth="1"/>
    <col min="15623" max="15623" width="3.28515625" style="76" customWidth="1"/>
    <col min="15624" max="15624" width="1.7109375" style="76" customWidth="1"/>
    <col min="15625" max="15625" width="11.85546875" style="76" customWidth="1"/>
    <col min="15626" max="15626" width="3.28515625" style="76" customWidth="1"/>
    <col min="15627" max="15627" width="21.140625" style="76" customWidth="1"/>
    <col min="15628" max="15872" width="11.42578125" style="76"/>
    <col min="15873" max="15873" width="13.28515625" style="76" customWidth="1"/>
    <col min="15874" max="15874" width="2.7109375" style="76" customWidth="1"/>
    <col min="15875" max="15875" width="13.28515625" style="76" customWidth="1"/>
    <col min="15876" max="15876" width="3.28515625" style="76" customWidth="1"/>
    <col min="15877" max="15877" width="1.7109375" style="76" customWidth="1"/>
    <col min="15878" max="15878" width="11.85546875" style="76" customWidth="1"/>
    <col min="15879" max="15879" width="3.28515625" style="76" customWidth="1"/>
    <col min="15880" max="15880" width="1.7109375" style="76" customWidth="1"/>
    <col min="15881" max="15881" width="11.85546875" style="76" customWidth="1"/>
    <col min="15882" max="15882" width="3.28515625" style="76" customWidth="1"/>
    <col min="15883" max="15883" width="21.140625" style="76" customWidth="1"/>
    <col min="15884" max="16128" width="11.42578125" style="76"/>
    <col min="16129" max="16129" width="13.28515625" style="76" customWidth="1"/>
    <col min="16130" max="16130" width="2.7109375" style="76" customWidth="1"/>
    <col min="16131" max="16131" width="13.28515625" style="76" customWidth="1"/>
    <col min="16132" max="16132" width="3.28515625" style="76" customWidth="1"/>
    <col min="16133" max="16133" width="1.7109375" style="76" customWidth="1"/>
    <col min="16134" max="16134" width="11.85546875" style="76" customWidth="1"/>
    <col min="16135" max="16135" width="3.28515625" style="76" customWidth="1"/>
    <col min="16136" max="16136" width="1.7109375" style="76" customWidth="1"/>
    <col min="16137" max="16137" width="11.85546875" style="76" customWidth="1"/>
    <col min="16138" max="16138" width="3.28515625" style="76" customWidth="1"/>
    <col min="16139" max="16139" width="21.140625" style="76" customWidth="1"/>
    <col min="16140" max="16384" width="11.42578125" style="76"/>
  </cols>
  <sheetData>
    <row r="1" spans="1:21" s="138" customFormat="1" ht="18">
      <c r="A1" s="884" t="s">
        <v>251</v>
      </c>
      <c r="B1" s="884"/>
      <c r="C1" s="884"/>
      <c r="D1" s="884"/>
      <c r="E1" s="884"/>
      <c r="F1" s="884"/>
      <c r="G1" s="884"/>
      <c r="H1" s="884"/>
      <c r="I1" s="884"/>
      <c r="J1" s="884"/>
      <c r="K1" s="884"/>
      <c r="S1" s="345" t="s">
        <v>662</v>
      </c>
      <c r="T1" s="345"/>
      <c r="U1" s="345"/>
    </row>
    <row r="2" spans="1:21" s="138" customFormat="1" ht="12.6" customHeight="1">
      <c r="A2" s="884"/>
      <c r="B2" s="884"/>
      <c r="C2" s="884"/>
      <c r="D2" s="884"/>
      <c r="E2" s="884"/>
      <c r="F2" s="884"/>
      <c r="G2" s="884"/>
      <c r="H2" s="884"/>
      <c r="I2" s="884"/>
      <c r="J2" s="884"/>
      <c r="K2" s="884"/>
      <c r="S2" s="345"/>
      <c r="T2" s="345" t="s">
        <v>356</v>
      </c>
      <c r="U2" s="507">
        <f>DONNEES!H19</f>
        <v>0</v>
      </c>
    </row>
    <row r="3" spans="1:21" s="138" customFormat="1" ht="12.75" hidden="1" customHeight="1">
      <c r="D3" s="146"/>
      <c r="E3" s="146"/>
      <c r="F3" s="146"/>
      <c r="G3" s="146"/>
      <c r="H3" s="146"/>
      <c r="S3" s="345"/>
      <c r="T3" s="345" t="s">
        <v>357</v>
      </c>
      <c r="U3" s="507">
        <f>DONNEES!H20</f>
        <v>0</v>
      </c>
    </row>
    <row r="4" spans="1:21" s="138" customFormat="1" ht="12.2" hidden="1" customHeight="1">
      <c r="A4" s="71"/>
      <c r="B4" s="71"/>
      <c r="C4" s="71"/>
      <c r="D4" s="71"/>
      <c r="E4" s="71"/>
      <c r="F4" s="71"/>
      <c r="G4" s="71"/>
      <c r="H4" s="71"/>
      <c r="I4" s="71"/>
      <c r="J4" s="71"/>
      <c r="K4" s="71"/>
      <c r="S4" s="345"/>
      <c r="T4" s="345" t="s">
        <v>358</v>
      </c>
      <c r="U4" s="507">
        <f>DONNEES!H21</f>
        <v>0</v>
      </c>
    </row>
    <row r="5" spans="1:21" s="138" customFormat="1" ht="18.75">
      <c r="A5" s="71"/>
      <c r="B5" s="71"/>
      <c r="C5" s="71"/>
      <c r="D5" s="71"/>
      <c r="E5" s="71"/>
      <c r="F5" s="71"/>
      <c r="G5" s="71"/>
      <c r="H5" s="71"/>
      <c r="I5" s="71"/>
      <c r="J5" s="71"/>
      <c r="K5" s="71"/>
      <c r="S5" s="345"/>
      <c r="T5" s="345" t="s">
        <v>415</v>
      </c>
      <c r="U5" s="507">
        <f>DONNEES!H22</f>
        <v>0</v>
      </c>
    </row>
    <row r="6" spans="1:21" ht="18.75">
      <c r="A6" s="71"/>
      <c r="B6" s="71"/>
      <c r="C6" s="71"/>
      <c r="D6" s="71"/>
      <c r="E6" s="71"/>
      <c r="F6" s="71"/>
      <c r="G6" s="71"/>
      <c r="H6" s="71"/>
      <c r="I6" s="71"/>
      <c r="J6" s="71"/>
      <c r="K6" s="71"/>
      <c r="L6" s="885"/>
      <c r="M6" s="885"/>
      <c r="N6" s="147"/>
      <c r="O6" s="147"/>
      <c r="P6" s="147"/>
      <c r="S6" s="345"/>
      <c r="T6" s="345" t="s">
        <v>416</v>
      </c>
      <c r="U6" s="507">
        <f>DONNEES!H23</f>
        <v>0</v>
      </c>
    </row>
    <row r="7" spans="1:21" ht="18.75">
      <c r="A7" s="159" t="s">
        <v>269</v>
      </c>
      <c r="B7" s="71"/>
      <c r="C7" s="887" t="str">
        <f>DONNEES!C7</f>
        <v>2019P000T12345</v>
      </c>
      <c r="D7" s="887"/>
      <c r="E7" s="887"/>
      <c r="F7" s="887"/>
      <c r="G7" s="887"/>
      <c r="H7" s="887"/>
      <c r="I7" s="887"/>
      <c r="J7" s="887"/>
      <c r="K7" s="887"/>
      <c r="L7" s="886"/>
      <c r="M7" s="886"/>
      <c r="N7" s="886"/>
      <c r="O7" s="886"/>
      <c r="P7" s="886"/>
      <c r="Q7" s="886"/>
      <c r="R7" s="886"/>
      <c r="S7" s="345"/>
      <c r="T7" s="345" t="s">
        <v>417</v>
      </c>
      <c r="U7" s="507">
        <f>DONNEES!H24</f>
        <v>0</v>
      </c>
    </row>
    <row r="8" spans="1:21" s="148" customFormat="1" ht="15.75" customHeight="1">
      <c r="A8" s="71"/>
      <c r="B8" s="71"/>
      <c r="C8" s="71"/>
      <c r="D8" s="71"/>
      <c r="E8" s="71"/>
      <c r="F8" s="71"/>
      <c r="G8" s="71"/>
      <c r="H8" s="71"/>
      <c r="I8" s="71"/>
      <c r="J8" s="71"/>
      <c r="K8" s="71"/>
      <c r="L8" s="149"/>
      <c r="M8" s="150"/>
      <c r="N8" s="150"/>
      <c r="O8" s="150"/>
      <c r="P8" s="150"/>
      <c r="Q8" s="150"/>
      <c r="R8" s="150"/>
    </row>
    <row r="9" spans="1:21" ht="9" customHeight="1" thickBot="1">
      <c r="A9" s="71"/>
      <c r="B9" s="71"/>
      <c r="C9" s="71"/>
      <c r="D9" s="71"/>
      <c r="E9" s="71"/>
      <c r="F9" s="71"/>
      <c r="G9" s="71"/>
      <c r="H9" s="71"/>
      <c r="I9" s="71"/>
      <c r="J9" s="71"/>
      <c r="K9" s="71"/>
      <c r="P9" s="354">
        <f>DONNEES!N15</f>
        <v>0.2</v>
      </c>
      <c r="Q9" s="354">
        <f>DONNEES!O15</f>
        <v>0.1</v>
      </c>
    </row>
    <row r="10" spans="1:21" s="138" customFormat="1" ht="14.1" customHeight="1" thickTop="1">
      <c r="A10" s="859" t="s">
        <v>252</v>
      </c>
      <c r="B10" s="860"/>
      <c r="C10" s="860"/>
      <c r="D10" s="860"/>
      <c r="E10" s="860"/>
      <c r="F10" s="860"/>
      <c r="G10" s="860"/>
      <c r="H10" s="860"/>
      <c r="I10" s="860"/>
      <c r="J10" s="860"/>
      <c r="K10" s="861"/>
      <c r="P10" s="138" t="b">
        <f>IF(AND($D$12="OUI",$D$13="ferme"),DONNEES!N5,IF(AND($D$12="OUI",$D$13="TO1"),DONNEES!N6,IF(AND($D$12="OUI",$D$13="TO2"),DONNEES!N7,IF(AND($D$12="OUI",$D$13="TO3"),DONNEES!N8,IF(AND($D$12="OUI",$D$13="TO4"),DONNEES!N9,IF(AND($D$12="OUI",$D$13="TO5"),DONNEES!N10,IF(AND($D$12="OUI",$D$13="TO6"),DONNEES!N11,IF(AND($J$12="OUI",$D$13="ferme"),DONNEES!Q5,IF(AND($J$12="OUI",$D$13="TO1"),DONNEES!Q6,IF(AND($J$12="OUI",$D$13="TO2"),DONNEES!Q7,IF(AND($J$12="OUI",$D$13="TO3"),DONNEES!Q8,IF(AND($J$12="OUI",$D$13="TO4"),DONNEES!Q9,IF(AND($J$12="OUI",$D$13="TO5"),DONNEES!Q10,IF(AND($J$12="OUI",$D$13="TO6"),DONNEES!Q11))))))))))))))</f>
        <v>0</v>
      </c>
      <c r="Q10" s="138" t="b">
        <f>IF(AND($D$12="OUI",$D$13="ferme"),DONNEES!O5,IF(AND($D$12="OUI",$D$13="TO1"),DONNEES!O6,IF(AND($D$12="OUI",$D$13="TO2"),DONNEES!O7,IF(AND($D$12="OUI",$D$13="TO3"),DONNEES!O8,IF(AND($D$12="OUI",$D$13="TO4"),DONNEES!O9,IF(AND($D$12="OUI",$D$13="TO5"),DONNEES!O10,IF(AND($D$12="OUI",$D$13="TO6"),DONNEES!O11,IF(AND($J$12="OUI",$D$13="ferme"),DONNEES!R5,IF(AND($J$12="OUI",$D$13="TO1"),DONNEES!R6,IF(AND($J$12="OUI",$D$13="TO2"),DONNEES!R7,IF(AND($J$12="OUI",$D$13="TO3"),DONNEES!R8,IF(AND($J$12="OUI",$D$13="TO4"),DONNEES!R9,IF(AND($J$12="OUI",$D$13="TO5"),DONNEES!R10,IF(AND($J$12="OUI",$D$13="TO6"),DONNEES!R11))))))))))))))</f>
        <v>0</v>
      </c>
    </row>
    <row r="11" spans="1:21" s="155" customFormat="1" ht="6" customHeight="1">
      <c r="A11" s="151"/>
      <c r="B11" s="225"/>
      <c r="C11" s="225"/>
      <c r="D11" s="153"/>
      <c r="E11" s="153"/>
      <c r="F11" s="153"/>
      <c r="G11" s="153"/>
      <c r="H11" s="153"/>
      <c r="I11" s="225"/>
      <c r="J11" s="225"/>
      <c r="K11" s="226"/>
    </row>
    <row r="12" spans="1:21" s="155" customFormat="1" ht="18.75">
      <c r="A12" s="157"/>
      <c r="B12" s="156"/>
      <c r="C12" s="156" t="s">
        <v>253</v>
      </c>
      <c r="D12" s="243"/>
      <c r="E12" s="153"/>
      <c r="F12" s="71"/>
      <c r="G12" s="71"/>
      <c r="H12" s="153"/>
      <c r="I12" s="225" t="s">
        <v>254</v>
      </c>
      <c r="J12" s="243"/>
      <c r="K12" s="226"/>
    </row>
    <row r="13" spans="1:21" s="158" customFormat="1" ht="18.75">
      <c r="A13" s="157"/>
      <c r="B13" s="71"/>
      <c r="C13" s="156" t="s">
        <v>359</v>
      </c>
      <c r="D13" s="243"/>
      <c r="E13" s="71"/>
      <c r="F13" s="71"/>
      <c r="G13" s="71"/>
      <c r="H13" s="71"/>
      <c r="I13" s="71"/>
      <c r="J13" s="71"/>
      <c r="K13" s="226"/>
    </row>
    <row r="14" spans="1:21" s="155" customFormat="1">
      <c r="A14" s="159" t="s">
        <v>255</v>
      </c>
      <c r="B14" s="160"/>
      <c r="C14" s="888" t="str">
        <f>IF(D12="OUI",DONNEES!C5,IF(J12="OUI",DONNEES!C6,""))</f>
        <v/>
      </c>
      <c r="D14" s="888"/>
      <c r="E14" s="888"/>
      <c r="F14" s="888"/>
      <c r="G14" s="888"/>
      <c r="H14" s="888"/>
      <c r="I14" s="888"/>
      <c r="J14" s="888"/>
      <c r="K14" s="889"/>
    </row>
    <row r="15" spans="1:21" s="166" customFormat="1" ht="6" customHeight="1" thickBot="1">
      <c r="A15" s="161"/>
      <c r="B15" s="162"/>
      <c r="C15" s="163"/>
      <c r="D15" s="164"/>
      <c r="E15" s="164"/>
      <c r="F15" s="164"/>
      <c r="G15" s="164"/>
      <c r="H15" s="164"/>
      <c r="I15" s="162"/>
      <c r="J15" s="162"/>
      <c r="K15" s="165"/>
    </row>
    <row r="16" spans="1:21" ht="9" customHeight="1" thickTop="1" thickBot="1"/>
    <row r="17" spans="1:13" s="138" customFormat="1" ht="14.1" customHeight="1" thickTop="1">
      <c r="A17" s="859" t="s">
        <v>256</v>
      </c>
      <c r="B17" s="860"/>
      <c r="C17" s="860"/>
      <c r="D17" s="860"/>
      <c r="E17" s="860"/>
      <c r="F17" s="860"/>
      <c r="G17" s="860"/>
      <c r="H17" s="860"/>
      <c r="I17" s="860"/>
      <c r="J17" s="860"/>
      <c r="K17" s="861"/>
    </row>
    <row r="18" spans="1:13" ht="6" customHeight="1">
      <c r="A18" s="865"/>
      <c r="B18" s="866"/>
      <c r="C18" s="866"/>
      <c r="D18" s="866"/>
      <c r="E18" s="866"/>
      <c r="F18" s="866"/>
      <c r="G18" s="866"/>
      <c r="H18" s="866"/>
      <c r="I18" s="866"/>
      <c r="J18" s="866"/>
      <c r="K18" s="867"/>
    </row>
    <row r="19" spans="1:13">
      <c r="A19" s="868" t="str">
        <f>DONNEES!C4</f>
        <v>réfection des façades</v>
      </c>
      <c r="B19" s="869"/>
      <c r="C19" s="869"/>
      <c r="D19" s="869"/>
      <c r="E19" s="869"/>
      <c r="F19" s="869"/>
      <c r="G19" s="869"/>
      <c r="H19" s="869"/>
      <c r="I19" s="869"/>
      <c r="J19" s="869"/>
      <c r="K19" s="870"/>
    </row>
    <row r="20" spans="1:13" ht="6" customHeight="1" thickBot="1">
      <c r="A20" s="167"/>
      <c r="B20" s="168"/>
      <c r="C20" s="168"/>
      <c r="D20" s="169"/>
      <c r="E20" s="169"/>
      <c r="F20" s="169"/>
      <c r="G20" s="169"/>
      <c r="H20" s="169"/>
      <c r="I20" s="168"/>
      <c r="J20" s="168"/>
      <c r="K20" s="170"/>
    </row>
    <row r="21" spans="1:13" ht="9" customHeight="1" thickTop="1" thickBot="1"/>
    <row r="22" spans="1:13" ht="14.1" customHeight="1" thickTop="1">
      <c r="A22" s="856" t="s">
        <v>441</v>
      </c>
      <c r="B22" s="857"/>
      <c r="C22" s="857"/>
      <c r="D22" s="857"/>
      <c r="E22" s="857"/>
      <c r="F22" s="857"/>
      <c r="G22" s="857"/>
      <c r="H22" s="857"/>
      <c r="I22" s="857"/>
      <c r="J22" s="857"/>
      <c r="K22" s="858"/>
    </row>
    <row r="23" spans="1:13" s="155" customFormat="1" ht="12" customHeight="1">
      <c r="A23" s="157"/>
      <c r="B23" s="152"/>
      <c r="C23" s="227" t="s">
        <v>284</v>
      </c>
      <c r="D23" s="227" t="s">
        <v>285</v>
      </c>
      <c r="E23" s="152"/>
      <c r="F23" s="152"/>
      <c r="G23" s="152"/>
      <c r="H23" s="152"/>
      <c r="I23" s="152"/>
      <c r="J23" s="152"/>
      <c r="K23" s="154"/>
    </row>
    <row r="24" spans="1:13">
      <c r="A24" s="871" t="s">
        <v>257</v>
      </c>
      <c r="B24" s="872"/>
      <c r="C24" s="276"/>
      <c r="D24" s="276"/>
      <c r="E24" s="216"/>
      <c r="F24" s="216"/>
      <c r="G24" s="173"/>
      <c r="H24" s="173"/>
      <c r="I24" s="174"/>
      <c r="J24" s="175"/>
      <c r="K24" s="176"/>
    </row>
    <row r="25" spans="1:13" ht="5.45" customHeight="1" thickBot="1">
      <c r="A25" s="171"/>
      <c r="B25" s="104"/>
      <c r="C25" s="104"/>
      <c r="D25" s="104"/>
      <c r="E25" s="104"/>
      <c r="F25" s="172"/>
      <c r="G25" s="173"/>
      <c r="H25" s="173"/>
      <c r="I25" s="174"/>
      <c r="J25" s="175"/>
      <c r="K25" s="176"/>
    </row>
    <row r="26" spans="1:13" s="138" customFormat="1" ht="13.5" thickTop="1">
      <c r="A26" s="859" t="s">
        <v>258</v>
      </c>
      <c r="B26" s="860"/>
      <c r="C26" s="860"/>
      <c r="D26" s="860"/>
      <c r="E26" s="860"/>
      <c r="F26" s="860"/>
      <c r="G26" s="860"/>
      <c r="H26" s="860"/>
      <c r="I26" s="860"/>
      <c r="J26" s="860"/>
      <c r="K26" s="861"/>
    </row>
    <row r="27" spans="1:13" s="177" customFormat="1" ht="42.2" customHeight="1" thickBot="1">
      <c r="A27" s="878" t="s">
        <v>270</v>
      </c>
      <c r="B27" s="879"/>
      <c r="C27" s="879"/>
      <c r="D27" s="877"/>
      <c r="E27" s="877"/>
      <c r="F27" s="877"/>
      <c r="G27" s="877"/>
      <c r="H27" s="877"/>
      <c r="I27" s="217" t="s">
        <v>271</v>
      </c>
      <c r="J27" s="217"/>
      <c r="K27" s="218"/>
    </row>
    <row r="28" spans="1:13" s="138" customFormat="1" ht="14.1" customHeight="1" thickTop="1">
      <c r="A28" s="859" t="s">
        <v>259</v>
      </c>
      <c r="B28" s="860"/>
      <c r="C28" s="860"/>
      <c r="D28" s="860"/>
      <c r="E28" s="860"/>
      <c r="F28" s="860"/>
      <c r="G28" s="860"/>
      <c r="H28" s="860"/>
      <c r="I28" s="860"/>
      <c r="J28" s="860"/>
      <c r="K28" s="861"/>
    </row>
    <row r="29" spans="1:13" s="181" customFormat="1" ht="14.25" customHeight="1">
      <c r="A29" s="178"/>
      <c r="B29" s="179"/>
      <c r="C29" s="179"/>
      <c r="D29" s="179"/>
      <c r="E29" s="179"/>
      <c r="F29" s="179"/>
      <c r="G29" s="179"/>
      <c r="H29" s="179"/>
      <c r="I29" s="179"/>
      <c r="J29" s="179"/>
      <c r="K29" s="180"/>
      <c r="M29" s="219">
        <f>SUM(D30+F30)</f>
        <v>0</v>
      </c>
    </row>
    <row r="30" spans="1:13" s="181" customFormat="1" ht="25.5" customHeight="1">
      <c r="A30" s="882" t="b">
        <f>IF(D13="ferme","Montant du marché tranche ferme HT :",IF(D13="TO1","Montant du marché TO1 HT :",IF(D13="TO2","Montant du marché TO2 HT :",IF(D13="TO3","Montant du marché TO3 HT :",IF(D13="TO4","Montant du marché TO4 HT :",IF(D13="TO4","Montant du marché TO4 HT :",IF(D13="TO5","Montant du marché TO5 HT :",IF(D13="TO6","Montant du marché TO6 HT :"))))))))</f>
        <v>0</v>
      </c>
      <c r="B30" s="883"/>
      <c r="C30" s="883"/>
      <c r="D30" s="475" t="b">
        <f>IF(AND($D$12="OUI",$D$13="ferme"),DONNEES!N5,IF(AND($D$12="OUI",$D$13="TO1"),DONNEES!N6,IF(AND($D$12="OUI",$D$13="TO2"),DONNEES!N7,IF(AND($D$12="OUI",$D$13="TO3"),DONNEES!N8,IF(AND($D$12="OUI",$D$13="TO4"),DONNEES!N9,IF(AND($D$12="OUI",$D$13="TO5"),DONNEES!N10,IF(AND($D$12="OUI",$D$13="TO6"),DONNEES!N11,IF(AND($J$12="OUI",$D$13="ferme"),DONNEES!Q5,IF(AND($J$12="OUI",$D$13="TO1"),DONNEES!Q6,IF(AND($J$12="OUI",$D$13="TO2"),DONNEES!Q7,IF(AND($J$12="OUI",$D$13="TO3"),DONNEES!Q8,IF(AND($J$12="OUI",$D$13="TO4"),DONNEES!Q9,IF(AND($J$12="OUI",$D$13="TO5"),DONNEES!Q10,IF(AND($J$12="OUI",$D$13="TO6"),DONNEES!Q11))))))))))))))</f>
        <v>0</v>
      </c>
      <c r="E30" s="406"/>
      <c r="F30" s="475" t="b">
        <f>IF(AND($D$12="OUI",$D$13="ferme"),DONNEES!O5,IF(AND($D$12="OUI",$D$13="TO1"),DONNEES!O6,IF(AND($D$12="OUI",$D$13="TO2"),DONNEES!O7,IF(AND($D$12="OUI",$D$13="TO3"),DONNEES!O8,IF(AND($D$12="OUI",$D$13="TO4"),DONNEES!O9,IF(AND($D$12="OUI",$D$13="TO5"),DONNEES!O10,IF(AND($D$12="OUI",$D$13="TO6"),DONNEES!O11,IF(AND($J$12="OUI",$D$13="ferme"),DONNEES!R5,IF(AND($J$12="OUI",$D$13="TO1"),DONNEES!R6,IF(AND($J$12="OUI",$D$13="TO2"),DONNEES!R7,IF(AND($J$12="OUI",$D$13="TO3"),DONNEES!R8,IF(AND($J$12="OUI",$D$13="TO4"),DONNEES!R9,IF(AND($J$12="OUI",$D$13="TO5"),DONNEES!R10,IF(AND($J$12="OUI",$D$13="TO6"),DONNEES!R11))))))))))))))</f>
        <v>0</v>
      </c>
      <c r="G30" s="182"/>
      <c r="H30" s="183"/>
      <c r="J30" s="184"/>
      <c r="K30" s="185"/>
    </row>
    <row r="31" spans="1:13" s="138" customFormat="1">
      <c r="A31" s="882" t="s">
        <v>260</v>
      </c>
      <c r="B31" s="883"/>
      <c r="C31" s="883"/>
      <c r="D31" s="476">
        <f>DONNEES!C17</f>
        <v>0.2</v>
      </c>
      <c r="E31" s="477"/>
      <c r="F31" s="478">
        <f>DONNEES!E17</f>
        <v>0.1</v>
      </c>
      <c r="G31" s="182"/>
      <c r="H31" s="183"/>
      <c r="J31" s="186"/>
      <c r="K31" s="185"/>
      <c r="L31" s="187"/>
    </row>
    <row r="32" spans="1:13" s="138" customFormat="1" ht="25.5" customHeight="1">
      <c r="A32" s="882" t="s">
        <v>261</v>
      </c>
      <c r="B32" s="883"/>
      <c r="C32" s="883"/>
      <c r="D32" s="880" t="str">
        <f>IF(AND(M29&gt;=0,M29&lt;25000),"0",IF(AND(M29&gt;=25000,M29&lt;=149999),"30%",IF(AND(M29&gt;149999,M29&lt;=999999),"25%","20%")))</f>
        <v>0</v>
      </c>
      <c r="E32" s="880"/>
      <c r="F32" s="880"/>
      <c r="G32" s="192"/>
      <c r="H32" s="193"/>
      <c r="J32" s="192"/>
      <c r="K32" s="185"/>
    </row>
    <row r="33" spans="1:13" s="138" customFormat="1" ht="22.5" customHeight="1">
      <c r="A33" s="882" t="s">
        <v>272</v>
      </c>
      <c r="B33" s="883"/>
      <c r="C33" s="883"/>
      <c r="D33" s="881" t="b">
        <f>IF(D13="Ferme",DONNEES!C10,IF(D13="TO1",U2,IF(D13="TO2",U4,IF(D13="TO3",U3,IF(D13="TO4",U5,IF(D13="TO5",U6,IF(D13="TO6",U7)))))))</f>
        <v>0</v>
      </c>
      <c r="E33" s="881"/>
      <c r="F33" s="881"/>
      <c r="G33" s="192"/>
      <c r="H33" s="193"/>
      <c r="K33" s="185"/>
    </row>
    <row r="34" spans="1:13" s="138" customFormat="1">
      <c r="A34" s="178"/>
      <c r="B34" s="192"/>
      <c r="C34" s="190"/>
      <c r="D34" s="193"/>
      <c r="E34" s="193"/>
      <c r="F34" s="193"/>
      <c r="G34" s="192"/>
      <c r="H34" s="193"/>
      <c r="I34" s="194"/>
      <c r="J34" s="192"/>
      <c r="K34" s="185"/>
    </row>
    <row r="35" spans="1:13" s="138" customFormat="1">
      <c r="A35" s="862"/>
      <c r="B35" s="863"/>
      <c r="C35" s="863"/>
      <c r="D35" s="863"/>
      <c r="E35" s="863"/>
      <c r="F35" s="863"/>
      <c r="G35" s="863"/>
      <c r="H35" s="863"/>
      <c r="I35" s="863"/>
      <c r="J35" s="863"/>
      <c r="K35" s="864"/>
    </row>
    <row r="36" spans="1:13" s="138" customFormat="1">
      <c r="A36" s="398"/>
      <c r="B36" s="399"/>
      <c r="C36" s="883" t="s">
        <v>260</v>
      </c>
      <c r="D36" s="883"/>
      <c r="E36" s="883"/>
      <c r="H36" s="194"/>
      <c r="I36" s="299">
        <f>DONNEES!C17</f>
        <v>0.2</v>
      </c>
      <c r="J36" s="192"/>
      <c r="K36" s="472">
        <f>DONNEES!E17</f>
        <v>0.1</v>
      </c>
    </row>
    <row r="37" spans="1:13" s="138" customFormat="1">
      <c r="A37" s="195"/>
      <c r="B37" s="196"/>
      <c r="C37" s="196"/>
      <c r="D37" s="196"/>
      <c r="E37" s="196"/>
      <c r="F37" s="196"/>
      <c r="G37" s="196"/>
      <c r="H37" s="196"/>
      <c r="I37" s="196"/>
      <c r="J37" s="196"/>
      <c r="K37" s="197"/>
    </row>
    <row r="38" spans="1:13" s="138" customFormat="1">
      <c r="A38" s="191"/>
      <c r="B38" s="192"/>
      <c r="C38" s="193" t="s">
        <v>262</v>
      </c>
      <c r="D38" s="193"/>
      <c r="E38" s="193"/>
      <c r="F38" s="193"/>
      <c r="G38" s="192"/>
      <c r="H38" s="193"/>
      <c r="I38" s="277" t="e">
        <f>IF($D$33&lt;=12,(D30*$D$32),((D30*$D$32)*(12/$D$33)))</f>
        <v>#DIV/0!</v>
      </c>
      <c r="J38" s="192"/>
      <c r="K38" s="473" t="e">
        <f>IF($D$33&lt;=12,(F30*$D$32),((F30*$D$32)*(12/$D$33)))</f>
        <v>#DIV/0!</v>
      </c>
    </row>
    <row r="39" spans="1:13" s="138" customFormat="1">
      <c r="A39" s="191"/>
      <c r="B39" s="192"/>
      <c r="C39" s="193"/>
      <c r="D39" s="193"/>
      <c r="E39" s="193"/>
      <c r="F39" s="193"/>
      <c r="G39" s="192"/>
      <c r="H39" s="193"/>
      <c r="I39" s="192"/>
      <c r="J39" s="192"/>
      <c r="K39" s="185"/>
    </row>
    <row r="40" spans="1:13" s="138" customFormat="1">
      <c r="A40" s="188"/>
      <c r="B40" s="189"/>
      <c r="C40" s="190" t="s">
        <v>263</v>
      </c>
      <c r="D40" s="190"/>
      <c r="E40" s="190"/>
      <c r="F40" s="190"/>
      <c r="G40" s="189"/>
      <c r="H40" s="190"/>
      <c r="I40" s="310"/>
      <c r="J40" s="199"/>
      <c r="K40" s="474"/>
    </row>
    <row r="41" spans="1:13" s="138" customFormat="1">
      <c r="A41" s="188"/>
      <c r="B41" s="189"/>
      <c r="C41" s="190"/>
      <c r="D41" s="190"/>
      <c r="E41" s="190"/>
      <c r="F41" s="190"/>
      <c r="G41" s="189"/>
      <c r="H41" s="190"/>
      <c r="I41" s="198"/>
      <c r="J41" s="199"/>
      <c r="K41" s="185"/>
    </row>
    <row r="42" spans="1:13" s="138" customFormat="1">
      <c r="A42" s="188"/>
      <c r="B42" s="189"/>
      <c r="C42" s="190" t="s">
        <v>264</v>
      </c>
      <c r="D42" s="190"/>
      <c r="E42" s="190"/>
      <c r="F42" s="190"/>
      <c r="G42" s="189"/>
      <c r="H42" s="190"/>
      <c r="I42" s="277">
        <f>D30-I40</f>
        <v>0</v>
      </c>
      <c r="J42" s="199"/>
      <c r="K42" s="473">
        <f>F30-K40</f>
        <v>0</v>
      </c>
      <c r="M42" s="471"/>
    </row>
    <row r="43" spans="1:13" s="138" customFormat="1">
      <c r="A43" s="188"/>
      <c r="B43" s="189"/>
      <c r="C43" s="190" t="s">
        <v>265</v>
      </c>
      <c r="D43" s="190"/>
      <c r="E43" s="190"/>
      <c r="F43" s="190"/>
      <c r="G43" s="189"/>
      <c r="H43" s="190"/>
      <c r="I43" s="277" t="e">
        <f>IF($D$33&lt;=12,(I42*$D$32),((I42*$D$32)*(12/$D$33)))</f>
        <v>#DIV/0!</v>
      </c>
      <c r="J43" s="199"/>
      <c r="K43" s="473" t="e">
        <f>IF($D$33&lt;=12,K42*$D$32,K42*$D$32*(12/$D$33))</f>
        <v>#DIV/0!</v>
      </c>
    </row>
    <row r="44" spans="1:13" s="138" customFormat="1">
      <c r="A44" s="188"/>
      <c r="B44" s="189"/>
      <c r="C44" s="190"/>
      <c r="D44" s="190"/>
      <c r="E44" s="190"/>
      <c r="F44" s="190"/>
      <c r="G44" s="189"/>
      <c r="H44" s="190"/>
      <c r="I44" s="200"/>
      <c r="J44" s="199"/>
      <c r="K44" s="185"/>
    </row>
    <row r="45" spans="1:13" s="138" customFormat="1">
      <c r="A45" s="188"/>
      <c r="B45" s="189"/>
      <c r="C45" s="190"/>
      <c r="D45" s="190"/>
      <c r="E45" s="190"/>
      <c r="F45" s="190"/>
      <c r="G45" s="189"/>
      <c r="H45" s="190"/>
      <c r="I45" s="200"/>
      <c r="J45" s="199"/>
      <c r="K45" s="185"/>
    </row>
    <row r="46" spans="1:13" ht="13.5" thickBot="1">
      <c r="A46" s="201"/>
      <c r="B46" s="202"/>
      <c r="C46" s="203"/>
      <c r="D46" s="204"/>
      <c r="E46" s="204"/>
      <c r="F46" s="204"/>
      <c r="G46" s="205"/>
      <c r="H46" s="204"/>
      <c r="I46" s="206"/>
      <c r="J46" s="207"/>
      <c r="K46" s="208"/>
    </row>
    <row r="47" spans="1:13" ht="14.25" thickTop="1" thickBot="1">
      <c r="A47" s="209"/>
      <c r="B47" s="209"/>
      <c r="C47" s="190"/>
      <c r="D47" s="210"/>
      <c r="E47" s="210"/>
      <c r="F47" s="210"/>
      <c r="G47" s="189"/>
      <c r="H47" s="210"/>
      <c r="I47" s="211"/>
      <c r="J47" s="212"/>
      <c r="K47" s="213"/>
    </row>
    <row r="48" spans="1:13" s="138" customFormat="1" ht="17.25" thickTop="1" thickBot="1">
      <c r="A48" s="873" t="s">
        <v>266</v>
      </c>
      <c r="B48" s="874"/>
      <c r="C48" s="874"/>
      <c r="D48" s="874"/>
      <c r="E48" s="874"/>
      <c r="F48" s="874"/>
      <c r="G48" s="874"/>
      <c r="H48" s="874"/>
      <c r="I48" s="874"/>
      <c r="J48" s="875"/>
      <c r="K48" s="214" t="e">
        <f>(I38-I43)+(K38-K43)</f>
        <v>#DIV/0!</v>
      </c>
    </row>
    <row r="49" spans="1:4" ht="13.5" thickTop="1">
      <c r="A49" s="215"/>
    </row>
    <row r="50" spans="1:4">
      <c r="A50" s="76" t="s">
        <v>267</v>
      </c>
      <c r="D50" s="76"/>
    </row>
    <row r="51" spans="1:4">
      <c r="A51" s="876" t="s">
        <v>268</v>
      </c>
      <c r="B51" s="876"/>
      <c r="C51" s="876"/>
      <c r="D51" s="876"/>
    </row>
  </sheetData>
  <sheetProtection algorithmName="SHA-512" hashValue="ml/djxRoP4HH+XW4poaH7hQi1iDdlVaXo01cWJp3+N9TIC7GWkuJEt/QE5JdEhcBVj2U1qZIyP3auwpNE5k6qQ==" saltValue="Gp9Zpi0mQekdLzNRUczjzA==" spinCount="100000" sheet="1" objects="1" scenarios="1"/>
  <mergeCells count="25">
    <mergeCell ref="A1:K2"/>
    <mergeCell ref="L6:M6"/>
    <mergeCell ref="L7:R7"/>
    <mergeCell ref="C7:K7"/>
    <mergeCell ref="C14:K14"/>
    <mergeCell ref="A48:J48"/>
    <mergeCell ref="A51:D51"/>
    <mergeCell ref="D27:H27"/>
    <mergeCell ref="A27:C27"/>
    <mergeCell ref="D32:F32"/>
    <mergeCell ref="D33:F33"/>
    <mergeCell ref="A30:C30"/>
    <mergeCell ref="A31:C31"/>
    <mergeCell ref="A32:C32"/>
    <mergeCell ref="A33:C33"/>
    <mergeCell ref="C36:E36"/>
    <mergeCell ref="A22:K22"/>
    <mergeCell ref="A26:K26"/>
    <mergeCell ref="A28:K28"/>
    <mergeCell ref="A35:K35"/>
    <mergeCell ref="A10:K10"/>
    <mergeCell ref="A17:K17"/>
    <mergeCell ref="A18:K18"/>
    <mergeCell ref="A19:K19"/>
    <mergeCell ref="A24:B24"/>
  </mergeCells>
  <pageMargins left="0.70866141732283472" right="0.70866141732283472" top="0.74803149606299213" bottom="0.74803149606299213" header="0.31496062992125984" footer="0.31496062992125984"/>
  <pageSetup paperSize="9" scale="83" fitToHeight="0" orientation="portrait" r:id="rId1"/>
  <headerFooter>
    <oddHeader>&amp;L&amp;G</oddHeader>
  </headerFooter>
  <legacyDrawing r:id="rId2"/>
  <legacyDrawingHF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LISTES!$H$1:$H$2</xm:f>
          </x14:formula1>
          <xm:sqref>J12 G12 D12</xm:sqref>
        </x14:dataValidation>
        <x14:dataValidation type="list" allowBlank="1" showInputMessage="1" showErrorMessage="1" xr:uid="{00000000-0002-0000-0700-000001000000}">
          <x14:formula1>
            <xm:f>LISTES!$E$35:$E$41</xm:f>
          </x14:formula1>
          <xm:sqref>D13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tabColor theme="7"/>
    <pageSetUpPr fitToPage="1"/>
  </sheetPr>
  <dimension ref="A1:S42"/>
  <sheetViews>
    <sheetView showGridLines="0" zoomScale="85" zoomScaleNormal="85" zoomScaleSheetLayoutView="100" workbookViewId="0">
      <selection activeCell="A3" sqref="A3:F3"/>
    </sheetView>
  </sheetViews>
  <sheetFormatPr baseColWidth="10" defaultRowHeight="18" outlineLevelCol="1"/>
  <cols>
    <col min="1" max="1" width="30.140625" style="25" customWidth="1"/>
    <col min="2" max="2" width="51.85546875" style="25" customWidth="1"/>
    <col min="3" max="3" width="7.7109375" style="26" customWidth="1"/>
    <col min="4" max="4" width="19.5703125" style="26" customWidth="1"/>
    <col min="5" max="5" width="4.140625" style="26" customWidth="1"/>
    <col min="6" max="6" width="26.140625" style="27" customWidth="1"/>
    <col min="7" max="7" width="8.5703125" style="25" customWidth="1"/>
    <col min="8" max="8" width="56.28515625" style="345" customWidth="1" outlineLevel="1"/>
    <col min="9" max="9" width="29" style="345" bestFit="1" customWidth="1"/>
    <col min="10" max="10" width="15.42578125" style="345" bestFit="1" customWidth="1"/>
    <col min="11" max="11" width="12.140625" style="345" bestFit="1" customWidth="1"/>
    <col min="12" max="14" width="11.42578125" style="345"/>
    <col min="15" max="15" width="24.28515625" style="345" hidden="1" customWidth="1"/>
    <col min="16" max="16" width="20.7109375" style="345" hidden="1" customWidth="1"/>
    <col min="17" max="17" width="0" style="345" hidden="1" customWidth="1"/>
    <col min="18" max="18" width="20.85546875" style="345" bestFit="1" customWidth="1"/>
    <col min="19" max="16384" width="11.42578125" style="25"/>
  </cols>
  <sheetData>
    <row r="1" spans="1:19" ht="59.25" customHeight="1">
      <c r="A1" s="845" t="s">
        <v>283</v>
      </c>
      <c r="B1" s="845"/>
      <c r="C1" s="845"/>
      <c r="D1" s="845"/>
      <c r="E1" s="845"/>
      <c r="F1" s="845"/>
      <c r="K1" s="345" t="s">
        <v>662</v>
      </c>
    </row>
    <row r="2" spans="1:19" ht="38.25" customHeight="1">
      <c r="A2" s="846" t="s">
        <v>214</v>
      </c>
      <c r="B2" s="847"/>
      <c r="C2" s="847"/>
      <c r="D2" s="847"/>
      <c r="E2" s="847"/>
      <c r="F2" s="848"/>
      <c r="G2" s="24"/>
      <c r="H2" s="346">
        <f>C8+F8</f>
        <v>0</v>
      </c>
      <c r="L2" s="345" t="s">
        <v>356</v>
      </c>
      <c r="M2" s="507">
        <f>DONNEES!H19</f>
        <v>0</v>
      </c>
    </row>
    <row r="3" spans="1:19" ht="38.25" customHeight="1">
      <c r="A3" s="854" t="s">
        <v>228</v>
      </c>
      <c r="B3" s="854"/>
      <c r="C3" s="854"/>
      <c r="D3" s="854"/>
      <c r="E3" s="854"/>
      <c r="F3" s="854"/>
      <c r="G3" s="24"/>
      <c r="H3" s="347"/>
      <c r="L3" s="345" t="s">
        <v>357</v>
      </c>
      <c r="M3" s="507">
        <f>DONNEES!H20</f>
        <v>0</v>
      </c>
    </row>
    <row r="4" spans="1:19" ht="44.25" customHeight="1" thickBot="1">
      <c r="A4" s="855" t="s">
        <v>286</v>
      </c>
      <c r="B4" s="855"/>
      <c r="C4" s="855"/>
      <c r="D4" s="855"/>
      <c r="E4" s="855"/>
      <c r="F4" s="855"/>
      <c r="L4" s="345" t="s">
        <v>358</v>
      </c>
      <c r="M4" s="507">
        <f>DONNEES!H21</f>
        <v>0</v>
      </c>
    </row>
    <row r="5" spans="1:19" ht="30" customHeight="1" thickBot="1">
      <c r="A5" s="28" t="s">
        <v>162</v>
      </c>
      <c r="B5" s="29" t="str">
        <f>IFERROR((DONNEES!C7),0)</f>
        <v>2019P000T12345</v>
      </c>
      <c r="C5" s="30"/>
      <c r="D5" s="30"/>
      <c r="E5" s="53"/>
      <c r="F5" s="31"/>
      <c r="G5" s="32"/>
      <c r="L5" s="345" t="s">
        <v>415</v>
      </c>
      <c r="M5" s="507">
        <f>DONNEES!H22</f>
        <v>0</v>
      </c>
    </row>
    <row r="6" spans="1:19" ht="15" customHeight="1" thickBot="1">
      <c r="A6" s="390"/>
      <c r="B6" s="390"/>
      <c r="C6" s="852" t="s">
        <v>197</v>
      </c>
      <c r="D6" s="853"/>
      <c r="E6" s="287"/>
      <c r="F6" s="39" t="s">
        <v>197</v>
      </c>
      <c r="L6" s="345" t="s">
        <v>416</v>
      </c>
      <c r="M6" s="507">
        <f>DONNEES!H23</f>
        <v>0</v>
      </c>
      <c r="P6" s="348"/>
    </row>
    <row r="7" spans="1:19" ht="24.95" customHeight="1">
      <c r="A7" s="36"/>
      <c r="B7" s="37"/>
      <c r="C7" s="849">
        <f>DONNEES!C17</f>
        <v>0.2</v>
      </c>
      <c r="D7" s="849"/>
      <c r="E7" s="38"/>
      <c r="F7" s="142">
        <f>DONNEES!E17</f>
        <v>0.1</v>
      </c>
      <c r="G7" s="133"/>
      <c r="H7" s="850"/>
      <c r="I7" s="850"/>
      <c r="J7" s="349"/>
      <c r="L7" s="345" t="s">
        <v>417</v>
      </c>
      <c r="M7" s="507">
        <f>DONNEES!H24</f>
        <v>0</v>
      </c>
      <c r="N7" s="349"/>
      <c r="P7" s="348"/>
    </row>
    <row r="8" spans="1:19" ht="58.5" customHeight="1">
      <c r="A8" s="831" t="s">
        <v>436</v>
      </c>
      <c r="B8" s="832"/>
      <c r="C8" s="796">
        <f>IF(A3="Tranche Ferme",DONNEES!Q5,IF(A3="Tranche Optionnelle 1",DONNEES!Q6,IF(A3="Tranche Optionnelle 2",DONNEES!Q7,IF(A3="Tranche Optionnelle 3",DONNEES!Q8,IF(A3="Tranche Optionnelle 4",DONNEES!Q9,IF(A3="Tranche Optionnelle 5",DONNEES!Q10,IF(A3="Tranche Optionnelle 6",DONNEES!Q11)))))))</f>
        <v>0</v>
      </c>
      <c r="D8" s="796"/>
      <c r="E8" s="228"/>
      <c r="F8" s="388">
        <f>IF(A3="Tranche Ferme",DONNEES!R5,IF(A3="Tranche Optionnelle 1",DONNEES!R6,IF(A3="Tranche Optionnelle 2",DONNEES!R7,IF(A3="Tranche Optionnelle 3",DONNEES!R8,IF(A3="Tranche Optionnelle 4",DONNEES!R9,IF(A3="Tranche Optionnelle 5",DONNEES!R10,IF(A3="Tranche Optionnelle 6",DONNEES!R11)))))))</f>
        <v>0</v>
      </c>
      <c r="G8" s="40"/>
      <c r="H8" s="851"/>
      <c r="I8" s="851"/>
      <c r="J8" s="851"/>
      <c r="K8" s="851"/>
      <c r="L8" s="851"/>
      <c r="M8" s="851"/>
      <c r="N8" s="851"/>
    </row>
    <row r="9" spans="1:19" ht="58.5" customHeight="1">
      <c r="A9" s="784" t="s">
        <v>437</v>
      </c>
      <c r="B9" s="785"/>
      <c r="C9" s="890" t="str">
        <f>IF(A3="Tranche Ferme",DONNEES!P16,IF(A3="Tranche Optionnelle 1",DONNEES!P17,IF(A3="Tranche Optionnelle 2",DONNEES!P18,IF(A3="Tranche Optionnelle 3",DONNEES!P19,IF(A3="Tranche Optionnelle 4",DONNEES!P20,IF(A3="Tranche Optionnelle 5",DONNEES!P21,IF(A3="Tranche Optionnelle 6",DONNEES!P22)))))))</f>
        <v/>
      </c>
      <c r="D9" s="890"/>
      <c r="E9" s="228"/>
      <c r="F9" s="396" t="str">
        <f>IF(A3="Tranche Ferme",DONNEES!Q16,IF(A3="Tranche Optionnelle 1",DONNEES!Q17,IF(A3="Tranche Optionnelle 2",DONNEES!Q18,IF(A3="Tranche Optionnelle 3",DONNEES!Q19,IF(A3="Tranche Optionnelle 4",DONNEES!Q20,IF(A3="Tranche Optionnelle 5",DONNEES!Q21,IF(A3="Tranche Optionnelle 6",DONNEES!Q22)))))))</f>
        <v/>
      </c>
      <c r="G9" s="40"/>
      <c r="H9" s="397"/>
      <c r="I9" s="397"/>
      <c r="J9" s="397"/>
      <c r="K9" s="397"/>
      <c r="L9" s="397"/>
      <c r="M9" s="397"/>
      <c r="N9" s="397"/>
    </row>
    <row r="10" spans="1:19" ht="24" customHeight="1">
      <c r="A10" s="797" t="s">
        <v>163</v>
      </c>
      <c r="B10" s="798"/>
      <c r="C10" s="842" t="str">
        <f>IFERROR(IF(AND($H$2&gt;=25000,$H$2&lt;=149999),"30%",IF(AND($H$2&gt;149999,$H$2&lt;=999999),"25%",IF($H$2&gt;999999,"20"%," "))),"")</f>
        <v xml:space="preserve"> </v>
      </c>
      <c r="D10" s="843"/>
      <c r="E10" s="843"/>
      <c r="F10" s="844"/>
      <c r="H10" s="839"/>
      <c r="I10" s="839"/>
      <c r="J10" s="839"/>
      <c r="K10" s="839"/>
      <c r="L10" s="839"/>
      <c r="M10" s="839"/>
      <c r="N10" s="839"/>
      <c r="O10" s="839"/>
      <c r="P10" s="839"/>
    </row>
    <row r="11" spans="1:19" ht="33.75" customHeight="1">
      <c r="A11" s="25" t="s">
        <v>282</v>
      </c>
      <c r="C11" s="840">
        <f>IFERROR(IF(AND($A$3="Tranche Ferme",DONNEES!C10&gt;12),(C8*$C$10*(12/DONNEES!C10)),IF(AND($A$3="Tranche Optionnelle 1",M2&gt;12),(C8*$C$10*(12/M2)),IF(AND($A$3="Tranche Optionnelle 2",M3&gt;12),(C8*$C$10*(12/M3)),IF(AND($A$3="Tranche Optionnelle 3",M4&gt;12),(C8*$C$10*(12/M4)),IF(AND($A$3="Tranche Optionnelle 4",M5&gt;12),(C8*$C$10*(12/M5)),IF(AND($A$3="Tranche Optionnelle 5",M6&gt;12),(C8*$C$10*(12/M6)),IF(AND($A$3="Tranche Optionnelle 6",M7&gt;12),(C8*$C$10*(12/M7)),IF(AND($A$3="Tranche Ferme",DONNEES!C10&gt;0),(C8*$C$10),IF(AND($A$3="Tranche Optionnelle 1",M2&gt;0),(C8*$C$10),IF(AND($A$3="Tranche Optionnelle 2",M3&gt;0),(C8*$C$10),IF(AND($A$3="Tranche Optionnelle 3",M4&gt;0),(C8*$C$10),IF(AND($A$3="Tranche Optionnelle 4",M5&gt;0),(C8*$C$10),IF(AND($A$3="Tranche Optionnelle 5",M6&gt;0),(C8*$C$10),IF(AND(A3="Tranche Optionnelle 6",M7&gt;0),(C8*$C$10),0)))))))))))))),0)</f>
        <v>0</v>
      </c>
      <c r="D11" s="840"/>
      <c r="E11" s="229"/>
      <c r="F11" s="388">
        <f>IFERROR(IF(AND($A$3="Tranche Ferme",DONNEES!C10&gt;12),(F8*$C$10*(12/DONNEES!C10)),IF(AND($A$3="Tranche Optionnelle 1",$M$2&gt;12),(F8*$C$10*(12/$M$2)),IF(AND($A$3="Tranche Optionnelle 2",$M$3&gt;12),(F8*$C$10*(12/$M$3)),IF(AND($A$3="Tranche Optionnelle 3",$M$4&gt;12),(F8*$C$10*(12/$M$4)),IF(AND($A$3="Tranche Optionnelle 4",$M$5&gt;12),(F8*$C$10*(12/$M$5)),IF(AND($A$3="Tranche Optionnelle 5",$M$6&gt;12),(F8*$C$10*(12/$M$6)),IF(AND($A$3="Tranche Optionnelle 6",$M$7&gt;12),(F8*$C$10*(12/$M$7)),IF(AND($A$3="Tranche Ferme",DONNEES!C10&gt;0),(F8*$C$10),IF(AND($A$3="Tranche Optionnelle 1",$M$2&gt;0),(F8*$C$10),IF(AND($A$3="Tranche Optionnelle 2",$M$3&gt;0),(F8*$C$10),IF(AND($A$3="Tranche Optionnelle 3",$M$4&gt;0),(F8*$C$10),IF(AND($A$3="Tranche Optionnelle 4",$M$5&gt;0),(F8*$C$10),IF(AND($A$3="Tranche Optionnelle 5",$M$6&gt;0),(F8*$C$10),IF(AND(A3="Tranche Optionnelle 6",$M$7&gt;0),(F8*$C$10),0)))))))))))))),0)</f>
        <v>0</v>
      </c>
      <c r="H11" s="841"/>
      <c r="I11" s="841"/>
      <c r="J11" s="841"/>
      <c r="K11" s="841"/>
      <c r="L11" s="841"/>
      <c r="M11" s="841"/>
      <c r="N11" s="841"/>
      <c r="O11" s="351">
        <f>ROUND(C11,2)</f>
        <v>0</v>
      </c>
      <c r="R11" s="351">
        <f>ROUND(C11,2)</f>
        <v>0</v>
      </c>
      <c r="S11" s="290">
        <f>ROUND(F11,2)</f>
        <v>0</v>
      </c>
    </row>
    <row r="12" spans="1:19" ht="30" customHeight="1">
      <c r="A12" s="144" t="s">
        <v>249</v>
      </c>
      <c r="B12" s="145"/>
      <c r="C12" s="835"/>
      <c r="D12" s="836"/>
      <c r="E12" s="43"/>
      <c r="F12" s="395"/>
    </row>
    <row r="13" spans="1:19" ht="45" customHeight="1">
      <c r="A13" s="837" t="s">
        <v>250</v>
      </c>
      <c r="B13" s="838"/>
      <c r="C13" s="786">
        <f>R11-C12</f>
        <v>0</v>
      </c>
      <c r="D13" s="834"/>
      <c r="E13" s="43"/>
      <c r="F13" s="388">
        <f>S11-F12</f>
        <v>0</v>
      </c>
      <c r="I13" s="351"/>
      <c r="R13" s="352"/>
    </row>
    <row r="14" spans="1:19" ht="35.25" customHeight="1">
      <c r="A14" s="831" t="s">
        <v>439</v>
      </c>
      <c r="B14" s="832"/>
      <c r="C14" s="833">
        <f>IF($A$3="Tranche Ferme",'CPP TITULAIRE-ST'!L85-'CPP TITULAIRE-ST'!I85,IF($A$3="Tranche Optionnelle 1",'CPP TITULAIRE-ST'!L92-'CPP TITULAIRE-ST'!I92,IF($A$3="Tranche Optionnelle 2",'CPP TITULAIRE-ST'!L99-'CPP TITULAIRE-ST'!I99,IF($A$3="Tranche Optionnelle 3",'CPP TITULAIRE-ST'!L106-'CPP TITULAIRE-ST'!I106,IF($A$3="Tranche Optionnelle 4",'CPP TITULAIRE-ST'!L113-'CPP TITULAIRE-ST'!I113,IF($A$3="Tranche Optionnelle 5",'CPP TITULAIRE-ST'!L120-'CPP TITULAIRE-ST'!I120,IF($A$3="Tranche Optionnelle 6",'CPP TITULAIRE-ST'!L127-'CPP TITULAIRE-ST'!I127)))))))</f>
        <v>0</v>
      </c>
      <c r="D14" s="833"/>
      <c r="E14" s="43"/>
      <c r="F14" s="469">
        <f>IF($A$3="Tranche Ferme",'CPP TITULAIRE-ST'!M85-'CPP TITULAIRE-ST'!J85,IF($A$3="Tranche Optionnelle 1",'CPP TITULAIRE-ST'!M92-'CPP TITULAIRE-ST'!J92,IF($A$3="Tranche Optionnelle 2",'CPP TITULAIRE-ST'!M99-'CPP TITULAIRE-ST'!J99,IF($A$3="Tranche Optionnelle 3",'CPP TITULAIRE-ST'!M106-'CPP TITULAIRE-ST'!J106,IF($A$3="Tranche Optionnelle 4",'CPP TITULAIRE-ST'!M113-'CPP TITULAIRE-ST'!J113,IF($A$3="Tranche Optionnelle 5",'CPP TITULAIRE-ST'!M120-'CPP TITULAIRE-ST'!J120,IF($A$3="Tranche Optionnelle 6",'CPP TITULAIRE-ST'!M127-'CPP TITULAIRE-ST'!J127)))))))</f>
        <v>0</v>
      </c>
      <c r="G14" s="40"/>
    </row>
    <row r="15" spans="1:19" ht="10.5" customHeight="1">
      <c r="A15" s="393"/>
      <c r="B15" s="394"/>
      <c r="C15" s="792"/>
      <c r="D15" s="793"/>
      <c r="E15" s="43"/>
      <c r="F15" s="39"/>
    </row>
    <row r="16" spans="1:19" ht="36" customHeight="1">
      <c r="A16" s="831" t="s">
        <v>440</v>
      </c>
      <c r="B16" s="832"/>
      <c r="C16" s="833">
        <f>IF($A$3="Tranche Ferme",'CPP TITULAIRE-ST'!I85,IF($A$3="Tranche Optionnelle 1",'CPP TITULAIRE-ST'!I92,IF($A$3="Tranche Optionnelle 2",'CPP TITULAIRE-ST'!I99,IF($A$3="Tranche Optionnelle 3",'CPP TITULAIRE-ST'!I106,IF($A$3="Tranche Optionnelle 4",'CPP TITULAIRE-ST'!I113,IF($A$3="Tranche Optionnelle 5",'CPP TITULAIRE-ST'!I120,IF($A$3="Tranche Optionnelle 6",'CPP TITULAIRE-ST'!I127)))))))</f>
        <v>4000</v>
      </c>
      <c r="D16" s="833"/>
      <c r="E16" s="43"/>
      <c r="F16" s="469">
        <f>IF($A$3="Tranche Ferme",'CPP TITULAIRE-ST'!J85,IF($A$3="Tranche Optionnelle 1",'CPP TITULAIRE-ST'!J92,IF($A$3="Tranche Optionnelle 2",'CPP TITULAIRE-ST'!J99,IF($A$3="Tranche Optionnelle 3",'CPP TITULAIRE-ST'!J106,IF($A$3="Tranche Optionnelle 4",'CPP TITULAIRE-ST'!J113,IF($A$3="Tranche Optionnelle 5",'CPP TITULAIRE-ST'!J120,IF($A$3="Tranche Optionnelle 6",'CPP TITULAIRE-ST'!J127)))))))</f>
        <v>0</v>
      </c>
      <c r="G16" s="40"/>
    </row>
    <row r="17" spans="1:16" ht="30" customHeight="1">
      <c r="A17" s="393"/>
      <c r="B17" s="394"/>
      <c r="C17" s="792"/>
      <c r="D17" s="793"/>
      <c r="E17" s="43"/>
      <c r="F17" s="39"/>
    </row>
    <row r="18" spans="1:16" ht="15" customHeight="1">
      <c r="A18" s="794" t="s">
        <v>433</v>
      </c>
      <c r="B18" s="795"/>
      <c r="C18" s="796">
        <f>+C14+C16</f>
        <v>4000</v>
      </c>
      <c r="D18" s="796"/>
      <c r="E18" s="229"/>
      <c r="F18" s="388">
        <f>F16+F14</f>
        <v>0</v>
      </c>
      <c r="G18" s="806"/>
      <c r="H18" s="807"/>
    </row>
    <row r="19" spans="1:16" ht="30" customHeight="1">
      <c r="A19" s="827"/>
      <c r="B19" s="828"/>
      <c r="C19" s="792"/>
      <c r="D19" s="793"/>
      <c r="E19" s="43"/>
      <c r="F19" s="39"/>
    </row>
    <row r="20" spans="1:16" ht="30" customHeight="1">
      <c r="A20" s="829" t="s">
        <v>164</v>
      </c>
      <c r="B20" s="830"/>
      <c r="C20" s="803">
        <f>IFERROR(IF(C9&lt;C8,(C18/C9*100),(C18/C8*100)),0)</f>
        <v>0</v>
      </c>
      <c r="D20" s="803"/>
      <c r="E20" s="231"/>
      <c r="F20" s="391">
        <f>IFERROR(IF(F9&lt;F8,(F18/F9*100),(F18/F8*100)),0)</f>
        <v>0</v>
      </c>
      <c r="G20" s="806"/>
      <c r="H20" s="807"/>
      <c r="I20" s="353">
        <f>IFERROR(IF(C9&lt;C8,(C18/C9),(C18/C8)),0)</f>
        <v>0</v>
      </c>
      <c r="J20" s="353">
        <f>IFERROR(IF(F9&lt;F8,(F18/F9),(F18/F8)),0)</f>
        <v>0</v>
      </c>
      <c r="K20" s="353"/>
      <c r="O20" s="353">
        <f>ROUND(C20,2)</f>
        <v>0</v>
      </c>
      <c r="P20" s="353">
        <f>ROUND(F20,2)</f>
        <v>0</v>
      </c>
    </row>
    <row r="21" spans="1:16" ht="15" customHeight="1">
      <c r="A21" s="797" t="s">
        <v>171</v>
      </c>
      <c r="B21" s="798"/>
      <c r="C21" s="799" t="str">
        <f>IF(C10="30%","40",IF(C10="25%","45",IF(C10="20%","50%"," ")))</f>
        <v xml:space="preserve"> </v>
      </c>
      <c r="D21" s="800"/>
      <c r="E21" s="45"/>
      <c r="F21" s="291" t="str">
        <f>IF(C10="30%","40",IF(C10="25%","45",IF(C10="20%","50%"," ")))</f>
        <v xml:space="preserve"> </v>
      </c>
      <c r="G21" s="46"/>
      <c r="I21" s="353" t="e">
        <f>C21/100</f>
        <v>#VALUE!</v>
      </c>
      <c r="J21" s="353" t="e">
        <f>F21/100</f>
        <v>#VALUE!</v>
      </c>
      <c r="K21" s="353"/>
    </row>
    <row r="22" spans="1:16" ht="30" customHeight="1">
      <c r="A22" s="389"/>
      <c r="B22" s="390"/>
      <c r="C22" s="792"/>
      <c r="D22" s="793"/>
      <c r="E22" s="43"/>
      <c r="F22" s="39"/>
      <c r="G22" s="46"/>
      <c r="I22" s="345">
        <v>0.8</v>
      </c>
      <c r="J22" s="345">
        <v>0.8</v>
      </c>
    </row>
    <row r="23" spans="1:16" ht="15" customHeight="1">
      <c r="A23" s="801" t="s">
        <v>172</v>
      </c>
      <c r="B23" s="802"/>
      <c r="C23" s="803" t="str">
        <f>IFERROR(O20-C21,"")</f>
        <v/>
      </c>
      <c r="D23" s="803"/>
      <c r="E23" s="234"/>
      <c r="F23" s="391" t="str">
        <f>IFERROR(P20-F21,"")</f>
        <v/>
      </c>
      <c r="G23" s="58"/>
    </row>
    <row r="24" spans="1:16" ht="15" customHeight="1">
      <c r="A24" s="223"/>
      <c r="B24" s="122" t="s">
        <v>212</v>
      </c>
      <c r="C24" s="803" t="str">
        <f>IFERROR(O20-C21,"")</f>
        <v/>
      </c>
      <c r="D24" s="803"/>
      <c r="E24" s="234"/>
      <c r="F24" s="391" t="str">
        <f>IFERROR(P20-F21,"")</f>
        <v/>
      </c>
      <c r="G24" s="60"/>
    </row>
    <row r="25" spans="1:16" ht="24.95" customHeight="1" thickBot="1">
      <c r="A25" s="49"/>
      <c r="B25" s="123" t="s">
        <v>213</v>
      </c>
      <c r="C25" s="821" t="str">
        <f>IFERROR(80-C21,"")</f>
        <v/>
      </c>
      <c r="D25" s="822"/>
      <c r="E25" s="234"/>
      <c r="F25" s="233" t="str">
        <f>IFERROR(80-F21,"")</f>
        <v/>
      </c>
      <c r="G25" s="62"/>
    </row>
    <row r="26" spans="1:16" ht="24.95" customHeight="1">
      <c r="A26" s="224"/>
      <c r="B26" s="224"/>
      <c r="C26" s="823"/>
      <c r="D26" s="823"/>
      <c r="E26" s="288"/>
      <c r="F26" s="289"/>
    </row>
    <row r="27" spans="1:16" ht="15" customHeight="1" thickBot="1">
      <c r="A27" s="390"/>
      <c r="B27" s="390"/>
      <c r="C27" s="34"/>
      <c r="D27" s="34"/>
      <c r="E27" s="34"/>
      <c r="F27" s="35"/>
    </row>
    <row r="28" spans="1:16" ht="24.95" customHeight="1">
      <c r="A28" s="51"/>
      <c r="B28" s="52"/>
      <c r="C28" s="53"/>
      <c r="D28" s="53"/>
      <c r="E28" s="53"/>
      <c r="F28" s="54"/>
    </row>
    <row r="29" spans="1:16" ht="15" customHeight="1">
      <c r="A29" s="804" t="s">
        <v>165</v>
      </c>
      <c r="B29" s="805"/>
      <c r="C29" s="805"/>
      <c r="D29" s="805"/>
      <c r="E29" s="392"/>
      <c r="F29" s="56"/>
    </row>
    <row r="30" spans="1:16" ht="30" customHeight="1">
      <c r="A30" s="389"/>
      <c r="B30" s="390"/>
      <c r="C30" s="812">
        <f>IFERROR(IF(AND(I20&lt;=I22,I20&gt;=I21,C14=""),C13*(C24/C25),IF(AND(I20&lt;=I22,I20&gt;=I21,C14&lt;&gt;""),C13*(C24/C25),IF(AND(I20&gt;=I22,C14&lt;&gt;""),C13,IF(AND(I20&gt;=I22,C14=""),C13,"PAS DE REMBOURSEMENT")))),0)</f>
        <v>0</v>
      </c>
      <c r="D30" s="813"/>
      <c r="E30" s="824"/>
      <c r="F30" s="818">
        <f>IFERROR(IF(AND(J20&lt;=J22,J20&gt;=J21,F14=""),F13*(F24/F25),IF(AND(J20&lt;=J22,J20&gt;=J21,F14&lt;&gt;""),F13*(F24/F25),IF(AND(J20&gt;=J22,F14&lt;&gt;""),F13,IF(AND(J20&gt;=J22,F14=""),F13,"PAS DE REMBOURSEMENT")))),0)</f>
        <v>0</v>
      </c>
    </row>
    <row r="31" spans="1:16" ht="15" customHeight="1">
      <c r="A31" s="389" t="s">
        <v>166</v>
      </c>
      <c r="B31" s="59"/>
      <c r="C31" s="814"/>
      <c r="D31" s="815"/>
      <c r="E31" s="825"/>
      <c r="F31" s="819"/>
    </row>
    <row r="32" spans="1:16" ht="18" customHeight="1">
      <c r="A32" s="389"/>
      <c r="B32" s="61" t="s">
        <v>167</v>
      </c>
      <c r="C32" s="814"/>
      <c r="D32" s="815"/>
      <c r="E32" s="825"/>
      <c r="F32" s="819"/>
      <c r="J32" s="470"/>
      <c r="K32" s="470"/>
    </row>
    <row r="33" spans="1:8" ht="30" customHeight="1">
      <c r="A33" s="389"/>
      <c r="B33" s="390" t="s">
        <v>168</v>
      </c>
      <c r="C33" s="816"/>
      <c r="D33" s="817"/>
      <c r="E33" s="826"/>
      <c r="F33" s="820"/>
    </row>
    <row r="34" spans="1:8" ht="24.95" customHeight="1">
      <c r="A34" s="389"/>
      <c r="B34" s="63" t="s">
        <v>169</v>
      </c>
      <c r="C34" s="790"/>
      <c r="D34" s="790"/>
      <c r="E34" s="229"/>
      <c r="F34" s="275"/>
      <c r="G34" s="143"/>
    </row>
    <row r="35" spans="1:8" ht="24.95" customHeight="1">
      <c r="A35" s="64"/>
      <c r="B35" s="65" t="s">
        <v>170</v>
      </c>
      <c r="C35" s="791">
        <f>IFERROR(C30-C34,0)</f>
        <v>0</v>
      </c>
      <c r="D35" s="791"/>
      <c r="E35" s="229"/>
      <c r="F35" s="235">
        <f>IFERROR(F30-F34,0)</f>
        <v>0</v>
      </c>
      <c r="G35" s="806"/>
      <c r="H35" s="807"/>
    </row>
    <row r="36" spans="1:8" ht="24.95" customHeight="1" thickBot="1">
      <c r="A36" s="66"/>
      <c r="B36" s="67"/>
      <c r="C36" s="810"/>
      <c r="D36" s="811"/>
      <c r="E36" s="236"/>
      <c r="F36" s="287"/>
      <c r="G36" s="68"/>
    </row>
    <row r="37" spans="1:8" ht="15" customHeight="1">
      <c r="F37" s="26"/>
      <c r="G37" s="69"/>
    </row>
    <row r="38" spans="1:8" ht="15" customHeight="1">
      <c r="G38" s="68"/>
    </row>
    <row r="39" spans="1:8" ht="15" customHeight="1">
      <c r="A39" s="808"/>
      <c r="B39" s="808"/>
      <c r="G39" s="68"/>
    </row>
    <row r="40" spans="1:8" ht="15" customHeight="1">
      <c r="A40" s="809"/>
      <c r="B40" s="809"/>
      <c r="G40" s="68"/>
    </row>
    <row r="41" spans="1:8" ht="30" customHeight="1">
      <c r="A41" s="788"/>
      <c r="B41" s="788"/>
      <c r="C41" s="788"/>
      <c r="D41" s="788"/>
      <c r="E41" s="788"/>
      <c r="F41" s="788"/>
      <c r="G41" s="68"/>
    </row>
    <row r="42" spans="1:8" ht="15" customHeight="1">
      <c r="A42" s="789"/>
      <c r="B42" s="789"/>
      <c r="G42" s="68"/>
    </row>
  </sheetData>
  <sheetProtection algorithmName="SHA-512" hashValue="a4/pw3vUwmmB3uELukD87K2u6JyEzd2FeRxnxdsT4rS8M1HYNfFPCfbBRN0H9mo562rEbx1fPSXTf6IEJQHhsA==" saltValue="dCkCJteJgOwqngFRe55r4Q==" spinCount="100000" sheet="1" objects="1" scenarios="1"/>
  <mergeCells count="54">
    <mergeCell ref="A1:F1"/>
    <mergeCell ref="A2:F2"/>
    <mergeCell ref="A3:F3"/>
    <mergeCell ref="A4:F4"/>
    <mergeCell ref="C6:D6"/>
    <mergeCell ref="H7:I7"/>
    <mergeCell ref="A8:B8"/>
    <mergeCell ref="C8:D8"/>
    <mergeCell ref="H8:N8"/>
    <mergeCell ref="A9:B9"/>
    <mergeCell ref="C9:D9"/>
    <mergeCell ref="C7:D7"/>
    <mergeCell ref="A16:B16"/>
    <mergeCell ref="C16:D16"/>
    <mergeCell ref="A10:B10"/>
    <mergeCell ref="C10:F10"/>
    <mergeCell ref="H10:P10"/>
    <mergeCell ref="C11:D11"/>
    <mergeCell ref="H11:N11"/>
    <mergeCell ref="C12:D12"/>
    <mergeCell ref="A13:B13"/>
    <mergeCell ref="C13:D13"/>
    <mergeCell ref="A14:B14"/>
    <mergeCell ref="C14:D14"/>
    <mergeCell ref="C15:D15"/>
    <mergeCell ref="C22:D22"/>
    <mergeCell ref="C17:D17"/>
    <mergeCell ref="A18:B18"/>
    <mergeCell ref="C18:D18"/>
    <mergeCell ref="G18:H18"/>
    <mergeCell ref="A19:B19"/>
    <mergeCell ref="C19:D19"/>
    <mergeCell ref="A20:B20"/>
    <mergeCell ref="C20:D20"/>
    <mergeCell ref="G20:H20"/>
    <mergeCell ref="A21:B21"/>
    <mergeCell ref="C21:D21"/>
    <mergeCell ref="G35:H35"/>
    <mergeCell ref="A23:B23"/>
    <mergeCell ref="C23:D23"/>
    <mergeCell ref="C24:D24"/>
    <mergeCell ref="C25:D25"/>
    <mergeCell ref="C26:D26"/>
    <mergeCell ref="A29:D29"/>
    <mergeCell ref="C30:D33"/>
    <mergeCell ref="E30:E33"/>
    <mergeCell ref="F30:F33"/>
    <mergeCell ref="C34:D34"/>
    <mergeCell ref="C35:D35"/>
    <mergeCell ref="C36:D36"/>
    <mergeCell ref="A39:B39"/>
    <mergeCell ref="A40:B40"/>
    <mergeCell ref="A41:F41"/>
    <mergeCell ref="A42:B42"/>
  </mergeCells>
  <pageMargins left="0.78740157499999996" right="0.78740157499999996" top="0.984251969" bottom="0.984251969" header="0.4921259845" footer="0.4921259845"/>
  <pageSetup paperSize="9" scale="61" fitToHeight="0" orientation="portrait" r:id="rId1"/>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LISTES!$S$1:$S$7</xm:f>
          </x14:formula1>
          <xm:sqref>A3:F3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tabColor rgb="FFFFFF00"/>
  </sheetPr>
  <dimension ref="A2:M67"/>
  <sheetViews>
    <sheetView zoomScale="90" zoomScaleNormal="90" workbookViewId="0">
      <selection activeCell="D14" sqref="D14"/>
    </sheetView>
  </sheetViews>
  <sheetFormatPr baseColWidth="10" defaultRowHeight="12.75"/>
  <cols>
    <col min="1" max="1" width="14.42578125" style="76" bestFit="1" customWidth="1"/>
    <col min="2" max="2" width="32.5703125" style="76" customWidth="1"/>
    <col min="3" max="3" width="33.7109375" style="76" customWidth="1"/>
    <col min="4" max="4" width="28" style="76" customWidth="1"/>
    <col min="5" max="5" width="33" style="76" customWidth="1"/>
    <col min="6" max="6" width="36.5703125" style="76" customWidth="1"/>
    <col min="7" max="7" width="13.85546875" style="76" customWidth="1"/>
    <col min="8" max="8" width="31.85546875" style="76" customWidth="1"/>
    <col min="9" max="9" width="33.140625" style="76" customWidth="1"/>
    <col min="10" max="11" width="11.42578125" style="76"/>
    <col min="12" max="12" width="14.140625" style="76" bestFit="1" customWidth="1"/>
    <col min="13" max="257" width="11.42578125" style="76"/>
    <col min="258" max="259" width="20.7109375" style="76" customWidth="1"/>
    <col min="260" max="260" width="11.5703125" style="76" customWidth="1"/>
    <col min="261" max="261" width="19.7109375" style="76" customWidth="1"/>
    <col min="262" max="263" width="11.5703125" style="76" customWidth="1"/>
    <col min="264" max="264" width="20.7109375" style="76" customWidth="1"/>
    <col min="265" max="265" width="20.140625" style="76" customWidth="1"/>
    <col min="266" max="513" width="11.42578125" style="76"/>
    <col min="514" max="515" width="20.7109375" style="76" customWidth="1"/>
    <col min="516" max="516" width="11.5703125" style="76" customWidth="1"/>
    <col min="517" max="517" width="19.7109375" style="76" customWidth="1"/>
    <col min="518" max="519" width="11.5703125" style="76" customWidth="1"/>
    <col min="520" max="520" width="20.7109375" style="76" customWidth="1"/>
    <col min="521" max="521" width="20.140625" style="76" customWidth="1"/>
    <col min="522" max="769" width="11.42578125" style="76"/>
    <col min="770" max="771" width="20.7109375" style="76" customWidth="1"/>
    <col min="772" max="772" width="11.5703125" style="76" customWidth="1"/>
    <col min="773" max="773" width="19.7109375" style="76" customWidth="1"/>
    <col min="774" max="775" width="11.5703125" style="76" customWidth="1"/>
    <col min="776" max="776" width="20.7109375" style="76" customWidth="1"/>
    <col min="777" max="777" width="20.140625" style="76" customWidth="1"/>
    <col min="778" max="1025" width="11.42578125" style="76"/>
    <col min="1026" max="1027" width="20.7109375" style="76" customWidth="1"/>
    <col min="1028" max="1028" width="11.5703125" style="76" customWidth="1"/>
    <col min="1029" max="1029" width="19.7109375" style="76" customWidth="1"/>
    <col min="1030" max="1031" width="11.5703125" style="76" customWidth="1"/>
    <col min="1032" max="1032" width="20.7109375" style="76" customWidth="1"/>
    <col min="1033" max="1033" width="20.140625" style="76" customWidth="1"/>
    <col min="1034" max="1281" width="11.42578125" style="76"/>
    <col min="1282" max="1283" width="20.7109375" style="76" customWidth="1"/>
    <col min="1284" max="1284" width="11.5703125" style="76" customWidth="1"/>
    <col min="1285" max="1285" width="19.7109375" style="76" customWidth="1"/>
    <col min="1286" max="1287" width="11.5703125" style="76" customWidth="1"/>
    <col min="1288" max="1288" width="20.7109375" style="76" customWidth="1"/>
    <col min="1289" max="1289" width="20.140625" style="76" customWidth="1"/>
    <col min="1290" max="1537" width="11.42578125" style="76"/>
    <col min="1538" max="1539" width="20.7109375" style="76" customWidth="1"/>
    <col min="1540" max="1540" width="11.5703125" style="76" customWidth="1"/>
    <col min="1541" max="1541" width="19.7109375" style="76" customWidth="1"/>
    <col min="1542" max="1543" width="11.5703125" style="76" customWidth="1"/>
    <col min="1544" max="1544" width="20.7109375" style="76" customWidth="1"/>
    <col min="1545" max="1545" width="20.140625" style="76" customWidth="1"/>
    <col min="1546" max="1793" width="11.42578125" style="76"/>
    <col min="1794" max="1795" width="20.7109375" style="76" customWidth="1"/>
    <col min="1796" max="1796" width="11.5703125" style="76" customWidth="1"/>
    <col min="1797" max="1797" width="19.7109375" style="76" customWidth="1"/>
    <col min="1798" max="1799" width="11.5703125" style="76" customWidth="1"/>
    <col min="1800" max="1800" width="20.7109375" style="76" customWidth="1"/>
    <col min="1801" max="1801" width="20.140625" style="76" customWidth="1"/>
    <col min="1802" max="2049" width="11.42578125" style="76"/>
    <col min="2050" max="2051" width="20.7109375" style="76" customWidth="1"/>
    <col min="2052" max="2052" width="11.5703125" style="76" customWidth="1"/>
    <col min="2053" max="2053" width="19.7109375" style="76" customWidth="1"/>
    <col min="2054" max="2055" width="11.5703125" style="76" customWidth="1"/>
    <col min="2056" max="2056" width="20.7109375" style="76" customWidth="1"/>
    <col min="2057" max="2057" width="20.140625" style="76" customWidth="1"/>
    <col min="2058" max="2305" width="11.42578125" style="76"/>
    <col min="2306" max="2307" width="20.7109375" style="76" customWidth="1"/>
    <col min="2308" max="2308" width="11.5703125" style="76" customWidth="1"/>
    <col min="2309" max="2309" width="19.7109375" style="76" customWidth="1"/>
    <col min="2310" max="2311" width="11.5703125" style="76" customWidth="1"/>
    <col min="2312" max="2312" width="20.7109375" style="76" customWidth="1"/>
    <col min="2313" max="2313" width="20.140625" style="76" customWidth="1"/>
    <col min="2314" max="2561" width="11.42578125" style="76"/>
    <col min="2562" max="2563" width="20.7109375" style="76" customWidth="1"/>
    <col min="2564" max="2564" width="11.5703125" style="76" customWidth="1"/>
    <col min="2565" max="2565" width="19.7109375" style="76" customWidth="1"/>
    <col min="2566" max="2567" width="11.5703125" style="76" customWidth="1"/>
    <col min="2568" max="2568" width="20.7109375" style="76" customWidth="1"/>
    <col min="2569" max="2569" width="20.140625" style="76" customWidth="1"/>
    <col min="2570" max="2817" width="11.42578125" style="76"/>
    <col min="2818" max="2819" width="20.7109375" style="76" customWidth="1"/>
    <col min="2820" max="2820" width="11.5703125" style="76" customWidth="1"/>
    <col min="2821" max="2821" width="19.7109375" style="76" customWidth="1"/>
    <col min="2822" max="2823" width="11.5703125" style="76" customWidth="1"/>
    <col min="2824" max="2824" width="20.7109375" style="76" customWidth="1"/>
    <col min="2825" max="2825" width="20.140625" style="76" customWidth="1"/>
    <col min="2826" max="3073" width="11.42578125" style="76"/>
    <col min="3074" max="3075" width="20.7109375" style="76" customWidth="1"/>
    <col min="3076" max="3076" width="11.5703125" style="76" customWidth="1"/>
    <col min="3077" max="3077" width="19.7109375" style="76" customWidth="1"/>
    <col min="3078" max="3079" width="11.5703125" style="76" customWidth="1"/>
    <col min="3080" max="3080" width="20.7109375" style="76" customWidth="1"/>
    <col min="3081" max="3081" width="20.140625" style="76" customWidth="1"/>
    <col min="3082" max="3329" width="11.42578125" style="76"/>
    <col min="3330" max="3331" width="20.7109375" style="76" customWidth="1"/>
    <col min="3332" max="3332" width="11.5703125" style="76" customWidth="1"/>
    <col min="3333" max="3333" width="19.7109375" style="76" customWidth="1"/>
    <col min="3334" max="3335" width="11.5703125" style="76" customWidth="1"/>
    <col min="3336" max="3336" width="20.7109375" style="76" customWidth="1"/>
    <col min="3337" max="3337" width="20.140625" style="76" customWidth="1"/>
    <col min="3338" max="3585" width="11.42578125" style="76"/>
    <col min="3586" max="3587" width="20.7109375" style="76" customWidth="1"/>
    <col min="3588" max="3588" width="11.5703125" style="76" customWidth="1"/>
    <col min="3589" max="3589" width="19.7109375" style="76" customWidth="1"/>
    <col min="3590" max="3591" width="11.5703125" style="76" customWidth="1"/>
    <col min="3592" max="3592" width="20.7109375" style="76" customWidth="1"/>
    <col min="3593" max="3593" width="20.140625" style="76" customWidth="1"/>
    <col min="3594" max="3841" width="11.42578125" style="76"/>
    <col min="3842" max="3843" width="20.7109375" style="76" customWidth="1"/>
    <col min="3844" max="3844" width="11.5703125" style="76" customWidth="1"/>
    <col min="3845" max="3845" width="19.7109375" style="76" customWidth="1"/>
    <col min="3846" max="3847" width="11.5703125" style="76" customWidth="1"/>
    <col min="3848" max="3848" width="20.7109375" style="76" customWidth="1"/>
    <col min="3849" max="3849" width="20.140625" style="76" customWidth="1"/>
    <col min="3850" max="4097" width="11.42578125" style="76"/>
    <col min="4098" max="4099" width="20.7109375" style="76" customWidth="1"/>
    <col min="4100" max="4100" width="11.5703125" style="76" customWidth="1"/>
    <col min="4101" max="4101" width="19.7109375" style="76" customWidth="1"/>
    <col min="4102" max="4103" width="11.5703125" style="76" customWidth="1"/>
    <col min="4104" max="4104" width="20.7109375" style="76" customWidth="1"/>
    <col min="4105" max="4105" width="20.140625" style="76" customWidth="1"/>
    <col min="4106" max="4353" width="11.42578125" style="76"/>
    <col min="4354" max="4355" width="20.7109375" style="76" customWidth="1"/>
    <col min="4356" max="4356" width="11.5703125" style="76" customWidth="1"/>
    <col min="4357" max="4357" width="19.7109375" style="76" customWidth="1"/>
    <col min="4358" max="4359" width="11.5703125" style="76" customWidth="1"/>
    <col min="4360" max="4360" width="20.7109375" style="76" customWidth="1"/>
    <col min="4361" max="4361" width="20.140625" style="76" customWidth="1"/>
    <col min="4362" max="4609" width="11.42578125" style="76"/>
    <col min="4610" max="4611" width="20.7109375" style="76" customWidth="1"/>
    <col min="4612" max="4612" width="11.5703125" style="76" customWidth="1"/>
    <col min="4613" max="4613" width="19.7109375" style="76" customWidth="1"/>
    <col min="4614" max="4615" width="11.5703125" style="76" customWidth="1"/>
    <col min="4616" max="4616" width="20.7109375" style="76" customWidth="1"/>
    <col min="4617" max="4617" width="20.140625" style="76" customWidth="1"/>
    <col min="4618" max="4865" width="11.42578125" style="76"/>
    <col min="4866" max="4867" width="20.7109375" style="76" customWidth="1"/>
    <col min="4868" max="4868" width="11.5703125" style="76" customWidth="1"/>
    <col min="4869" max="4869" width="19.7109375" style="76" customWidth="1"/>
    <col min="4870" max="4871" width="11.5703125" style="76" customWidth="1"/>
    <col min="4872" max="4872" width="20.7109375" style="76" customWidth="1"/>
    <col min="4873" max="4873" width="20.140625" style="76" customWidth="1"/>
    <col min="4874" max="5121" width="11.42578125" style="76"/>
    <col min="5122" max="5123" width="20.7109375" style="76" customWidth="1"/>
    <col min="5124" max="5124" width="11.5703125" style="76" customWidth="1"/>
    <col min="5125" max="5125" width="19.7109375" style="76" customWidth="1"/>
    <col min="5126" max="5127" width="11.5703125" style="76" customWidth="1"/>
    <col min="5128" max="5128" width="20.7109375" style="76" customWidth="1"/>
    <col min="5129" max="5129" width="20.140625" style="76" customWidth="1"/>
    <col min="5130" max="5377" width="11.42578125" style="76"/>
    <col min="5378" max="5379" width="20.7109375" style="76" customWidth="1"/>
    <col min="5380" max="5380" width="11.5703125" style="76" customWidth="1"/>
    <col min="5381" max="5381" width="19.7109375" style="76" customWidth="1"/>
    <col min="5382" max="5383" width="11.5703125" style="76" customWidth="1"/>
    <col min="5384" max="5384" width="20.7109375" style="76" customWidth="1"/>
    <col min="5385" max="5385" width="20.140625" style="76" customWidth="1"/>
    <col min="5386" max="5633" width="11.42578125" style="76"/>
    <col min="5634" max="5635" width="20.7109375" style="76" customWidth="1"/>
    <col min="5636" max="5636" width="11.5703125" style="76" customWidth="1"/>
    <col min="5637" max="5637" width="19.7109375" style="76" customWidth="1"/>
    <col min="5638" max="5639" width="11.5703125" style="76" customWidth="1"/>
    <col min="5640" max="5640" width="20.7109375" style="76" customWidth="1"/>
    <col min="5641" max="5641" width="20.140625" style="76" customWidth="1"/>
    <col min="5642" max="5889" width="11.42578125" style="76"/>
    <col min="5890" max="5891" width="20.7109375" style="76" customWidth="1"/>
    <col min="5892" max="5892" width="11.5703125" style="76" customWidth="1"/>
    <col min="5893" max="5893" width="19.7109375" style="76" customWidth="1"/>
    <col min="5894" max="5895" width="11.5703125" style="76" customWidth="1"/>
    <col min="5896" max="5896" width="20.7109375" style="76" customWidth="1"/>
    <col min="5897" max="5897" width="20.140625" style="76" customWidth="1"/>
    <col min="5898" max="6145" width="11.42578125" style="76"/>
    <col min="6146" max="6147" width="20.7109375" style="76" customWidth="1"/>
    <col min="6148" max="6148" width="11.5703125" style="76" customWidth="1"/>
    <col min="6149" max="6149" width="19.7109375" style="76" customWidth="1"/>
    <col min="6150" max="6151" width="11.5703125" style="76" customWidth="1"/>
    <col min="6152" max="6152" width="20.7109375" style="76" customWidth="1"/>
    <col min="6153" max="6153" width="20.140625" style="76" customWidth="1"/>
    <col min="6154" max="6401" width="11.42578125" style="76"/>
    <col min="6402" max="6403" width="20.7109375" style="76" customWidth="1"/>
    <col min="6404" max="6404" width="11.5703125" style="76" customWidth="1"/>
    <col min="6405" max="6405" width="19.7109375" style="76" customWidth="1"/>
    <col min="6406" max="6407" width="11.5703125" style="76" customWidth="1"/>
    <col min="6408" max="6408" width="20.7109375" style="76" customWidth="1"/>
    <col min="6409" max="6409" width="20.140625" style="76" customWidth="1"/>
    <col min="6410" max="6657" width="11.42578125" style="76"/>
    <col min="6658" max="6659" width="20.7109375" style="76" customWidth="1"/>
    <col min="6660" max="6660" width="11.5703125" style="76" customWidth="1"/>
    <col min="6661" max="6661" width="19.7109375" style="76" customWidth="1"/>
    <col min="6662" max="6663" width="11.5703125" style="76" customWidth="1"/>
    <col min="6664" max="6664" width="20.7109375" style="76" customWidth="1"/>
    <col min="6665" max="6665" width="20.140625" style="76" customWidth="1"/>
    <col min="6666" max="6913" width="11.42578125" style="76"/>
    <col min="6914" max="6915" width="20.7109375" style="76" customWidth="1"/>
    <col min="6916" max="6916" width="11.5703125" style="76" customWidth="1"/>
    <col min="6917" max="6917" width="19.7109375" style="76" customWidth="1"/>
    <col min="6918" max="6919" width="11.5703125" style="76" customWidth="1"/>
    <col min="6920" max="6920" width="20.7109375" style="76" customWidth="1"/>
    <col min="6921" max="6921" width="20.140625" style="76" customWidth="1"/>
    <col min="6922" max="7169" width="11.42578125" style="76"/>
    <col min="7170" max="7171" width="20.7109375" style="76" customWidth="1"/>
    <col min="7172" max="7172" width="11.5703125" style="76" customWidth="1"/>
    <col min="7173" max="7173" width="19.7109375" style="76" customWidth="1"/>
    <col min="7174" max="7175" width="11.5703125" style="76" customWidth="1"/>
    <col min="7176" max="7176" width="20.7109375" style="76" customWidth="1"/>
    <col min="7177" max="7177" width="20.140625" style="76" customWidth="1"/>
    <col min="7178" max="7425" width="11.42578125" style="76"/>
    <col min="7426" max="7427" width="20.7109375" style="76" customWidth="1"/>
    <col min="7428" max="7428" width="11.5703125" style="76" customWidth="1"/>
    <col min="7429" max="7429" width="19.7109375" style="76" customWidth="1"/>
    <col min="7430" max="7431" width="11.5703125" style="76" customWidth="1"/>
    <col min="7432" max="7432" width="20.7109375" style="76" customWidth="1"/>
    <col min="7433" max="7433" width="20.140625" style="76" customWidth="1"/>
    <col min="7434" max="7681" width="11.42578125" style="76"/>
    <col min="7682" max="7683" width="20.7109375" style="76" customWidth="1"/>
    <col min="7684" max="7684" width="11.5703125" style="76" customWidth="1"/>
    <col min="7685" max="7685" width="19.7109375" style="76" customWidth="1"/>
    <col min="7686" max="7687" width="11.5703125" style="76" customWidth="1"/>
    <col min="7688" max="7688" width="20.7109375" style="76" customWidth="1"/>
    <col min="7689" max="7689" width="20.140625" style="76" customWidth="1"/>
    <col min="7690" max="7937" width="11.42578125" style="76"/>
    <col min="7938" max="7939" width="20.7109375" style="76" customWidth="1"/>
    <col min="7940" max="7940" width="11.5703125" style="76" customWidth="1"/>
    <col min="7941" max="7941" width="19.7109375" style="76" customWidth="1"/>
    <col min="7942" max="7943" width="11.5703125" style="76" customWidth="1"/>
    <col min="7944" max="7944" width="20.7109375" style="76" customWidth="1"/>
    <col min="7945" max="7945" width="20.140625" style="76" customWidth="1"/>
    <col min="7946" max="8193" width="11.42578125" style="76"/>
    <col min="8194" max="8195" width="20.7109375" style="76" customWidth="1"/>
    <col min="8196" max="8196" width="11.5703125" style="76" customWidth="1"/>
    <col min="8197" max="8197" width="19.7109375" style="76" customWidth="1"/>
    <col min="8198" max="8199" width="11.5703125" style="76" customWidth="1"/>
    <col min="8200" max="8200" width="20.7109375" style="76" customWidth="1"/>
    <col min="8201" max="8201" width="20.140625" style="76" customWidth="1"/>
    <col min="8202" max="8449" width="11.42578125" style="76"/>
    <col min="8450" max="8451" width="20.7109375" style="76" customWidth="1"/>
    <col min="8452" max="8452" width="11.5703125" style="76" customWidth="1"/>
    <col min="8453" max="8453" width="19.7109375" style="76" customWidth="1"/>
    <col min="8454" max="8455" width="11.5703125" style="76" customWidth="1"/>
    <col min="8456" max="8456" width="20.7109375" style="76" customWidth="1"/>
    <col min="8457" max="8457" width="20.140625" style="76" customWidth="1"/>
    <col min="8458" max="8705" width="11.42578125" style="76"/>
    <col min="8706" max="8707" width="20.7109375" style="76" customWidth="1"/>
    <col min="8708" max="8708" width="11.5703125" style="76" customWidth="1"/>
    <col min="8709" max="8709" width="19.7109375" style="76" customWidth="1"/>
    <col min="8710" max="8711" width="11.5703125" style="76" customWidth="1"/>
    <col min="8712" max="8712" width="20.7109375" style="76" customWidth="1"/>
    <col min="8713" max="8713" width="20.140625" style="76" customWidth="1"/>
    <col min="8714" max="8961" width="11.42578125" style="76"/>
    <col min="8962" max="8963" width="20.7109375" style="76" customWidth="1"/>
    <col min="8964" max="8964" width="11.5703125" style="76" customWidth="1"/>
    <col min="8965" max="8965" width="19.7109375" style="76" customWidth="1"/>
    <col min="8966" max="8967" width="11.5703125" style="76" customWidth="1"/>
    <col min="8968" max="8968" width="20.7109375" style="76" customWidth="1"/>
    <col min="8969" max="8969" width="20.140625" style="76" customWidth="1"/>
    <col min="8970" max="9217" width="11.42578125" style="76"/>
    <col min="9218" max="9219" width="20.7109375" style="76" customWidth="1"/>
    <col min="9220" max="9220" width="11.5703125" style="76" customWidth="1"/>
    <col min="9221" max="9221" width="19.7109375" style="76" customWidth="1"/>
    <col min="9222" max="9223" width="11.5703125" style="76" customWidth="1"/>
    <col min="9224" max="9224" width="20.7109375" style="76" customWidth="1"/>
    <col min="9225" max="9225" width="20.140625" style="76" customWidth="1"/>
    <col min="9226" max="9473" width="11.42578125" style="76"/>
    <col min="9474" max="9475" width="20.7109375" style="76" customWidth="1"/>
    <col min="9476" max="9476" width="11.5703125" style="76" customWidth="1"/>
    <col min="9477" max="9477" width="19.7109375" style="76" customWidth="1"/>
    <col min="9478" max="9479" width="11.5703125" style="76" customWidth="1"/>
    <col min="9480" max="9480" width="20.7109375" style="76" customWidth="1"/>
    <col min="9481" max="9481" width="20.140625" style="76" customWidth="1"/>
    <col min="9482" max="9729" width="11.42578125" style="76"/>
    <col min="9730" max="9731" width="20.7109375" style="76" customWidth="1"/>
    <col min="9732" max="9732" width="11.5703125" style="76" customWidth="1"/>
    <col min="9733" max="9733" width="19.7109375" style="76" customWidth="1"/>
    <col min="9734" max="9735" width="11.5703125" style="76" customWidth="1"/>
    <col min="9736" max="9736" width="20.7109375" style="76" customWidth="1"/>
    <col min="9737" max="9737" width="20.140625" style="76" customWidth="1"/>
    <col min="9738" max="9985" width="11.42578125" style="76"/>
    <col min="9986" max="9987" width="20.7109375" style="76" customWidth="1"/>
    <col min="9988" max="9988" width="11.5703125" style="76" customWidth="1"/>
    <col min="9989" max="9989" width="19.7109375" style="76" customWidth="1"/>
    <col min="9990" max="9991" width="11.5703125" style="76" customWidth="1"/>
    <col min="9992" max="9992" width="20.7109375" style="76" customWidth="1"/>
    <col min="9993" max="9993" width="20.140625" style="76" customWidth="1"/>
    <col min="9994" max="10241" width="11.42578125" style="76"/>
    <col min="10242" max="10243" width="20.7109375" style="76" customWidth="1"/>
    <col min="10244" max="10244" width="11.5703125" style="76" customWidth="1"/>
    <col min="10245" max="10245" width="19.7109375" style="76" customWidth="1"/>
    <col min="10246" max="10247" width="11.5703125" style="76" customWidth="1"/>
    <col min="10248" max="10248" width="20.7109375" style="76" customWidth="1"/>
    <col min="10249" max="10249" width="20.140625" style="76" customWidth="1"/>
    <col min="10250" max="10497" width="11.42578125" style="76"/>
    <col min="10498" max="10499" width="20.7109375" style="76" customWidth="1"/>
    <col min="10500" max="10500" width="11.5703125" style="76" customWidth="1"/>
    <col min="10501" max="10501" width="19.7109375" style="76" customWidth="1"/>
    <col min="10502" max="10503" width="11.5703125" style="76" customWidth="1"/>
    <col min="10504" max="10504" width="20.7109375" style="76" customWidth="1"/>
    <col min="10505" max="10505" width="20.140625" style="76" customWidth="1"/>
    <col min="10506" max="10753" width="11.42578125" style="76"/>
    <col min="10754" max="10755" width="20.7109375" style="76" customWidth="1"/>
    <col min="10756" max="10756" width="11.5703125" style="76" customWidth="1"/>
    <col min="10757" max="10757" width="19.7109375" style="76" customWidth="1"/>
    <col min="10758" max="10759" width="11.5703125" style="76" customWidth="1"/>
    <col min="10760" max="10760" width="20.7109375" style="76" customWidth="1"/>
    <col min="10761" max="10761" width="20.140625" style="76" customWidth="1"/>
    <col min="10762" max="11009" width="11.42578125" style="76"/>
    <col min="11010" max="11011" width="20.7109375" style="76" customWidth="1"/>
    <col min="11012" max="11012" width="11.5703125" style="76" customWidth="1"/>
    <col min="11013" max="11013" width="19.7109375" style="76" customWidth="1"/>
    <col min="11014" max="11015" width="11.5703125" style="76" customWidth="1"/>
    <col min="11016" max="11016" width="20.7109375" style="76" customWidth="1"/>
    <col min="11017" max="11017" width="20.140625" style="76" customWidth="1"/>
    <col min="11018" max="11265" width="11.42578125" style="76"/>
    <col min="11266" max="11267" width="20.7109375" style="76" customWidth="1"/>
    <col min="11268" max="11268" width="11.5703125" style="76" customWidth="1"/>
    <col min="11269" max="11269" width="19.7109375" style="76" customWidth="1"/>
    <col min="11270" max="11271" width="11.5703125" style="76" customWidth="1"/>
    <col min="11272" max="11272" width="20.7109375" style="76" customWidth="1"/>
    <col min="11273" max="11273" width="20.140625" style="76" customWidth="1"/>
    <col min="11274" max="11521" width="11.42578125" style="76"/>
    <col min="11522" max="11523" width="20.7109375" style="76" customWidth="1"/>
    <col min="11524" max="11524" width="11.5703125" style="76" customWidth="1"/>
    <col min="11525" max="11525" width="19.7109375" style="76" customWidth="1"/>
    <col min="11526" max="11527" width="11.5703125" style="76" customWidth="1"/>
    <col min="11528" max="11528" width="20.7109375" style="76" customWidth="1"/>
    <col min="11529" max="11529" width="20.140625" style="76" customWidth="1"/>
    <col min="11530" max="11777" width="11.42578125" style="76"/>
    <col min="11778" max="11779" width="20.7109375" style="76" customWidth="1"/>
    <col min="11780" max="11780" width="11.5703125" style="76" customWidth="1"/>
    <col min="11781" max="11781" width="19.7109375" style="76" customWidth="1"/>
    <col min="11782" max="11783" width="11.5703125" style="76" customWidth="1"/>
    <col min="11784" max="11784" width="20.7109375" style="76" customWidth="1"/>
    <col min="11785" max="11785" width="20.140625" style="76" customWidth="1"/>
    <col min="11786" max="12033" width="11.42578125" style="76"/>
    <col min="12034" max="12035" width="20.7109375" style="76" customWidth="1"/>
    <col min="12036" max="12036" width="11.5703125" style="76" customWidth="1"/>
    <col min="12037" max="12037" width="19.7109375" style="76" customWidth="1"/>
    <col min="12038" max="12039" width="11.5703125" style="76" customWidth="1"/>
    <col min="12040" max="12040" width="20.7109375" style="76" customWidth="1"/>
    <col min="12041" max="12041" width="20.140625" style="76" customWidth="1"/>
    <col min="12042" max="12289" width="11.42578125" style="76"/>
    <col min="12290" max="12291" width="20.7109375" style="76" customWidth="1"/>
    <col min="12292" max="12292" width="11.5703125" style="76" customWidth="1"/>
    <col min="12293" max="12293" width="19.7109375" style="76" customWidth="1"/>
    <col min="12294" max="12295" width="11.5703125" style="76" customWidth="1"/>
    <col min="12296" max="12296" width="20.7109375" style="76" customWidth="1"/>
    <col min="12297" max="12297" width="20.140625" style="76" customWidth="1"/>
    <col min="12298" max="12545" width="11.42578125" style="76"/>
    <col min="12546" max="12547" width="20.7109375" style="76" customWidth="1"/>
    <col min="12548" max="12548" width="11.5703125" style="76" customWidth="1"/>
    <col min="12549" max="12549" width="19.7109375" style="76" customWidth="1"/>
    <col min="12550" max="12551" width="11.5703125" style="76" customWidth="1"/>
    <col min="12552" max="12552" width="20.7109375" style="76" customWidth="1"/>
    <col min="12553" max="12553" width="20.140625" style="76" customWidth="1"/>
    <col min="12554" max="12801" width="11.42578125" style="76"/>
    <col min="12802" max="12803" width="20.7109375" style="76" customWidth="1"/>
    <col min="12804" max="12804" width="11.5703125" style="76" customWidth="1"/>
    <col min="12805" max="12805" width="19.7109375" style="76" customWidth="1"/>
    <col min="12806" max="12807" width="11.5703125" style="76" customWidth="1"/>
    <col min="12808" max="12808" width="20.7109375" style="76" customWidth="1"/>
    <col min="12809" max="12809" width="20.140625" style="76" customWidth="1"/>
    <col min="12810" max="13057" width="11.42578125" style="76"/>
    <col min="13058" max="13059" width="20.7109375" style="76" customWidth="1"/>
    <col min="13060" max="13060" width="11.5703125" style="76" customWidth="1"/>
    <col min="13061" max="13061" width="19.7109375" style="76" customWidth="1"/>
    <col min="13062" max="13063" width="11.5703125" style="76" customWidth="1"/>
    <col min="13064" max="13064" width="20.7109375" style="76" customWidth="1"/>
    <col min="13065" max="13065" width="20.140625" style="76" customWidth="1"/>
    <col min="13066" max="13313" width="11.42578125" style="76"/>
    <col min="13314" max="13315" width="20.7109375" style="76" customWidth="1"/>
    <col min="13316" max="13316" width="11.5703125" style="76" customWidth="1"/>
    <col min="13317" max="13317" width="19.7109375" style="76" customWidth="1"/>
    <col min="13318" max="13319" width="11.5703125" style="76" customWidth="1"/>
    <col min="13320" max="13320" width="20.7109375" style="76" customWidth="1"/>
    <col min="13321" max="13321" width="20.140625" style="76" customWidth="1"/>
    <col min="13322" max="13569" width="11.42578125" style="76"/>
    <col min="13570" max="13571" width="20.7109375" style="76" customWidth="1"/>
    <col min="13572" max="13572" width="11.5703125" style="76" customWidth="1"/>
    <col min="13573" max="13573" width="19.7109375" style="76" customWidth="1"/>
    <col min="13574" max="13575" width="11.5703125" style="76" customWidth="1"/>
    <col min="13576" max="13576" width="20.7109375" style="76" customWidth="1"/>
    <col min="13577" max="13577" width="20.140625" style="76" customWidth="1"/>
    <col min="13578" max="13825" width="11.42578125" style="76"/>
    <col min="13826" max="13827" width="20.7109375" style="76" customWidth="1"/>
    <col min="13828" max="13828" width="11.5703125" style="76" customWidth="1"/>
    <col min="13829" max="13829" width="19.7109375" style="76" customWidth="1"/>
    <col min="13830" max="13831" width="11.5703125" style="76" customWidth="1"/>
    <col min="13832" max="13832" width="20.7109375" style="76" customWidth="1"/>
    <col min="13833" max="13833" width="20.140625" style="76" customWidth="1"/>
    <col min="13834" max="14081" width="11.42578125" style="76"/>
    <col min="14082" max="14083" width="20.7109375" style="76" customWidth="1"/>
    <col min="14084" max="14084" width="11.5703125" style="76" customWidth="1"/>
    <col min="14085" max="14085" width="19.7109375" style="76" customWidth="1"/>
    <col min="14086" max="14087" width="11.5703125" style="76" customWidth="1"/>
    <col min="14088" max="14088" width="20.7109375" style="76" customWidth="1"/>
    <col min="14089" max="14089" width="20.140625" style="76" customWidth="1"/>
    <col min="14090" max="14337" width="11.42578125" style="76"/>
    <col min="14338" max="14339" width="20.7109375" style="76" customWidth="1"/>
    <col min="14340" max="14340" width="11.5703125" style="76" customWidth="1"/>
    <col min="14341" max="14341" width="19.7109375" style="76" customWidth="1"/>
    <col min="14342" max="14343" width="11.5703125" style="76" customWidth="1"/>
    <col min="14344" max="14344" width="20.7109375" style="76" customWidth="1"/>
    <col min="14345" max="14345" width="20.140625" style="76" customWidth="1"/>
    <col min="14346" max="14593" width="11.42578125" style="76"/>
    <col min="14594" max="14595" width="20.7109375" style="76" customWidth="1"/>
    <col min="14596" max="14596" width="11.5703125" style="76" customWidth="1"/>
    <col min="14597" max="14597" width="19.7109375" style="76" customWidth="1"/>
    <col min="14598" max="14599" width="11.5703125" style="76" customWidth="1"/>
    <col min="14600" max="14600" width="20.7109375" style="76" customWidth="1"/>
    <col min="14601" max="14601" width="20.140625" style="76" customWidth="1"/>
    <col min="14602" max="14849" width="11.42578125" style="76"/>
    <col min="14850" max="14851" width="20.7109375" style="76" customWidth="1"/>
    <col min="14852" max="14852" width="11.5703125" style="76" customWidth="1"/>
    <col min="14853" max="14853" width="19.7109375" style="76" customWidth="1"/>
    <col min="14854" max="14855" width="11.5703125" style="76" customWidth="1"/>
    <col min="14856" max="14856" width="20.7109375" style="76" customWidth="1"/>
    <col min="14857" max="14857" width="20.140625" style="76" customWidth="1"/>
    <col min="14858" max="15105" width="11.42578125" style="76"/>
    <col min="15106" max="15107" width="20.7109375" style="76" customWidth="1"/>
    <col min="15108" max="15108" width="11.5703125" style="76" customWidth="1"/>
    <col min="15109" max="15109" width="19.7109375" style="76" customWidth="1"/>
    <col min="15110" max="15111" width="11.5703125" style="76" customWidth="1"/>
    <col min="15112" max="15112" width="20.7109375" style="76" customWidth="1"/>
    <col min="15113" max="15113" width="20.140625" style="76" customWidth="1"/>
    <col min="15114" max="15361" width="11.42578125" style="76"/>
    <col min="15362" max="15363" width="20.7109375" style="76" customWidth="1"/>
    <col min="15364" max="15364" width="11.5703125" style="76" customWidth="1"/>
    <col min="15365" max="15365" width="19.7109375" style="76" customWidth="1"/>
    <col min="15366" max="15367" width="11.5703125" style="76" customWidth="1"/>
    <col min="15368" max="15368" width="20.7109375" style="76" customWidth="1"/>
    <col min="15369" max="15369" width="20.140625" style="76" customWidth="1"/>
    <col min="15370" max="15617" width="11.42578125" style="76"/>
    <col min="15618" max="15619" width="20.7109375" style="76" customWidth="1"/>
    <col min="15620" max="15620" width="11.5703125" style="76" customWidth="1"/>
    <col min="15621" max="15621" width="19.7109375" style="76" customWidth="1"/>
    <col min="15622" max="15623" width="11.5703125" style="76" customWidth="1"/>
    <col min="15624" max="15624" width="20.7109375" style="76" customWidth="1"/>
    <col min="15625" max="15625" width="20.140625" style="76" customWidth="1"/>
    <col min="15626" max="15873" width="11.42578125" style="76"/>
    <col min="15874" max="15875" width="20.7109375" style="76" customWidth="1"/>
    <col min="15876" max="15876" width="11.5703125" style="76" customWidth="1"/>
    <col min="15877" max="15877" width="19.7109375" style="76" customWidth="1"/>
    <col min="15878" max="15879" width="11.5703125" style="76" customWidth="1"/>
    <col min="15880" max="15880" width="20.7109375" style="76" customWidth="1"/>
    <col min="15881" max="15881" width="20.140625" style="76" customWidth="1"/>
    <col min="15882" max="16129" width="11.42578125" style="76"/>
    <col min="16130" max="16131" width="20.7109375" style="76" customWidth="1"/>
    <col min="16132" max="16132" width="11.5703125" style="76" customWidth="1"/>
    <col min="16133" max="16133" width="19.7109375" style="76" customWidth="1"/>
    <col min="16134" max="16135" width="11.5703125" style="76" customWidth="1"/>
    <col min="16136" max="16136" width="20.7109375" style="76" customWidth="1"/>
    <col min="16137" max="16137" width="20.140625" style="76" customWidth="1"/>
    <col min="16138" max="16384" width="11.42578125" style="76"/>
  </cols>
  <sheetData>
    <row r="2" spans="1:10" ht="13.5" thickBot="1"/>
    <row r="3" spans="1:10" ht="33" customHeight="1" thickTop="1" thickBot="1">
      <c r="B3" s="891" t="s">
        <v>185</v>
      </c>
      <c r="C3" s="891"/>
      <c r="D3" s="891"/>
      <c r="E3" s="891"/>
      <c r="F3" s="891"/>
      <c r="G3" s="891"/>
      <c r="H3" s="891"/>
    </row>
    <row r="4" spans="1:10" ht="15.75" customHeight="1" thickTop="1">
      <c r="B4" s="135"/>
      <c r="C4" s="135"/>
      <c r="D4" s="135"/>
      <c r="E4" s="135"/>
      <c r="F4" s="135"/>
      <c r="G4" s="135"/>
      <c r="H4" s="135"/>
    </row>
    <row r="5" spans="1:10" s="138" customFormat="1" ht="21.75" customHeight="1">
      <c r="B5" s="136" t="s">
        <v>235</v>
      </c>
      <c r="C5" s="136"/>
      <c r="D5" s="137"/>
      <c r="E5" s="137"/>
      <c r="F5" s="137"/>
      <c r="G5" s="137"/>
      <c r="H5" s="137"/>
    </row>
    <row r="6" spans="1:10" s="138" customFormat="1" ht="21.75" customHeight="1">
      <c r="B6" s="237" t="s">
        <v>2</v>
      </c>
      <c r="C6" s="892" t="str">
        <f>DONNEES!C3</f>
        <v>2019 SOGOS 217586</v>
      </c>
      <c r="D6" s="892"/>
      <c r="E6" s="892"/>
      <c r="F6" s="892"/>
      <c r="G6" s="892"/>
      <c r="H6" s="892"/>
    </row>
    <row r="7" spans="1:10" s="138" customFormat="1" ht="21.75" customHeight="1">
      <c r="B7" s="237" t="s">
        <v>236</v>
      </c>
      <c r="C7" s="893" t="str">
        <f>DONNEES!C7</f>
        <v>2019P000T12345</v>
      </c>
      <c r="D7" s="893"/>
      <c r="E7" s="893"/>
      <c r="F7" s="893"/>
      <c r="G7" s="893"/>
      <c r="H7" s="893"/>
    </row>
    <row r="8" spans="1:10" s="138" customFormat="1" ht="21.75" customHeight="1">
      <c r="B8" s="237" t="s">
        <v>245</v>
      </c>
      <c r="C8" s="892" t="str">
        <f>DONNEES!C5</f>
        <v>ERREBA</v>
      </c>
      <c r="D8" s="892"/>
      <c r="E8" s="892"/>
      <c r="F8" s="892"/>
      <c r="G8" s="892"/>
      <c r="H8" s="892"/>
    </row>
    <row r="9" spans="1:10" s="138" customFormat="1" ht="21.75" customHeight="1">
      <c r="B9" s="237" t="str">
        <f>IF(COUNTBLANK(C9),"","Entreprise Cotraitante")</f>
        <v>Entreprise Cotraitante</v>
      </c>
      <c r="C9" s="892" t="str">
        <f>DONNEES!C6</f>
        <v>SPIE</v>
      </c>
      <c r="D9" s="892"/>
      <c r="E9" s="892"/>
      <c r="F9" s="892"/>
      <c r="G9" s="892"/>
      <c r="H9" s="892"/>
    </row>
    <row r="10" spans="1:10" s="138" customFormat="1" ht="9.9499999999999993" customHeight="1">
      <c r="B10" s="137"/>
      <c r="C10" s="137"/>
      <c r="D10" s="137"/>
      <c r="E10" s="137"/>
      <c r="F10" s="137"/>
      <c r="G10" s="137"/>
      <c r="H10" s="137"/>
    </row>
    <row r="11" spans="1:10" s="138" customFormat="1" ht="21.95" customHeight="1">
      <c r="B11" s="139" t="s">
        <v>237</v>
      </c>
      <c r="C11" s="139"/>
      <c r="D11" s="137"/>
      <c r="E11" s="137"/>
      <c r="F11" s="137"/>
      <c r="G11" s="137"/>
      <c r="H11" s="137"/>
    </row>
    <row r="12" spans="1:10" s="138" customFormat="1" ht="9.75" customHeight="1">
      <c r="B12" s="139"/>
      <c r="C12" s="139"/>
      <c r="D12" s="137"/>
      <c r="E12" s="137"/>
      <c r="F12" s="137"/>
      <c r="G12" s="137"/>
      <c r="H12" s="137"/>
    </row>
    <row r="13" spans="1:10" s="138" customFormat="1" ht="21.95" customHeight="1" thickBot="1">
      <c r="A13" s="407"/>
      <c r="B13" s="428" t="s">
        <v>454</v>
      </c>
      <c r="C13" s="429" t="s">
        <v>469</v>
      </c>
      <c r="D13" s="429" t="s">
        <v>471</v>
      </c>
      <c r="E13" s="453" t="s">
        <v>472</v>
      </c>
      <c r="F13" s="355"/>
      <c r="G13" s="355"/>
      <c r="H13" s="355"/>
      <c r="I13" s="355"/>
      <c r="J13" s="355"/>
    </row>
    <row r="14" spans="1:10" s="138" customFormat="1" ht="21.95" customHeight="1">
      <c r="A14" s="438"/>
      <c r="B14" s="439" t="s">
        <v>287</v>
      </c>
      <c r="C14" s="439"/>
      <c r="D14" s="440">
        <f>DONNEES!G18</f>
        <v>0</v>
      </c>
      <c r="E14" s="454" t="str">
        <f>IF($D$14&gt;1/1/1900,$D$14,"0")</f>
        <v>0</v>
      </c>
      <c r="F14" s="405"/>
      <c r="G14" s="405"/>
    </row>
    <row r="15" spans="1:10" s="138" customFormat="1" ht="21.95" customHeight="1">
      <c r="A15" s="441" t="s">
        <v>355</v>
      </c>
      <c r="B15" s="402" t="s">
        <v>238</v>
      </c>
      <c r="C15" s="402"/>
      <c r="D15" s="403" t="str">
        <f>DONNEES!G13</f>
        <v>BT01</v>
      </c>
      <c r="E15" s="454" t="str">
        <f t="shared" ref="E15:E17" si="0">IF($D$14&gt;1/1/1900,$D$14,"0")</f>
        <v>0</v>
      </c>
      <c r="F15" s="437">
        <f>IFERROR(EDATE(D14,-3),0)</f>
        <v>0</v>
      </c>
      <c r="G15" s="405" t="e">
        <f>DATEDIF($C$17,D14,"m")</f>
        <v>#NUM!</v>
      </c>
    </row>
    <row r="16" spans="1:10" s="138" customFormat="1" ht="21.95" customHeight="1">
      <c r="A16" s="441"/>
      <c r="B16" s="404" t="s">
        <v>239</v>
      </c>
      <c r="C16" s="401" t="str">
        <f>IFERROR(IF(G15&gt;3,F15,"pas d'actualisation"),"")</f>
        <v/>
      </c>
      <c r="D16" s="278">
        <v>112.2</v>
      </c>
      <c r="E16" s="454" t="str">
        <f t="shared" si="0"/>
        <v>0</v>
      </c>
      <c r="F16" s="405"/>
      <c r="G16" s="405"/>
    </row>
    <row r="17" spans="1:7" s="138" customFormat="1" ht="21.95" customHeight="1" thickBot="1">
      <c r="A17" s="442"/>
      <c r="B17" s="443" t="s">
        <v>240</v>
      </c>
      <c r="C17" s="456">
        <f>DONNEES!E13</f>
        <v>43435</v>
      </c>
      <c r="D17" s="444">
        <f>DONNEES!G14</f>
        <v>102</v>
      </c>
      <c r="E17" s="454" t="str">
        <f t="shared" si="0"/>
        <v>0</v>
      </c>
      <c r="F17" s="405"/>
      <c r="G17" s="405"/>
    </row>
    <row r="18" spans="1:7" s="138" customFormat="1" ht="21.95" customHeight="1">
      <c r="A18" s="445"/>
      <c r="B18" s="446" t="s">
        <v>287</v>
      </c>
      <c r="C18" s="447"/>
      <c r="D18" s="448">
        <f>DONNEES!G19</f>
        <v>0</v>
      </c>
      <c r="E18" s="454" t="str">
        <f>IF($D$18&gt;1/1/1900,$D$18,"0")</f>
        <v>0</v>
      </c>
      <c r="F18" s="405"/>
      <c r="G18" s="405"/>
    </row>
    <row r="19" spans="1:7" s="138" customFormat="1" ht="21.95" customHeight="1">
      <c r="A19" s="449" t="s">
        <v>356</v>
      </c>
      <c r="B19" s="430" t="s">
        <v>238</v>
      </c>
      <c r="C19" s="431"/>
      <c r="D19" s="432" t="str">
        <f>D15</f>
        <v>BT01</v>
      </c>
      <c r="E19" s="454" t="str">
        <f>IF($D$18&gt;1/1/1900,$D$18,"0")</f>
        <v>0</v>
      </c>
      <c r="F19" s="437">
        <f>IFERROR(EDATE(D18,-3),0)</f>
        <v>0</v>
      </c>
      <c r="G19" s="405" t="e">
        <f>DATEDIF($C$17,D18,"m")</f>
        <v>#NUM!</v>
      </c>
    </row>
    <row r="20" spans="1:7" s="138" customFormat="1" ht="21.95" customHeight="1" thickBot="1">
      <c r="A20" s="450"/>
      <c r="B20" s="451" t="s">
        <v>239</v>
      </c>
      <c r="C20" s="452" t="str">
        <f>IFERROR(IF(G19&gt;3,F19,"pas d'actualisation"),"")</f>
        <v/>
      </c>
      <c r="D20" s="455"/>
      <c r="E20" s="454" t="str">
        <f>IF($D$18&gt;1/1/1900,$D$18,"0")</f>
        <v>0</v>
      </c>
      <c r="F20" s="405"/>
      <c r="G20" s="405"/>
    </row>
    <row r="21" spans="1:7" s="138" customFormat="1" ht="21.95" customHeight="1">
      <c r="A21" s="445"/>
      <c r="B21" s="446" t="s">
        <v>287</v>
      </c>
      <c r="C21" s="447"/>
      <c r="D21" s="448">
        <f>DONNEES!G20</f>
        <v>0</v>
      </c>
      <c r="E21" s="454" t="str">
        <f>IF($D$21&gt;1/1/1900,$D$21,"0")</f>
        <v>0</v>
      </c>
      <c r="F21" s="405"/>
      <c r="G21" s="405"/>
    </row>
    <row r="22" spans="1:7" s="138" customFormat="1" ht="21.95" customHeight="1">
      <c r="A22" s="449" t="s">
        <v>634</v>
      </c>
      <c r="B22" s="430" t="s">
        <v>238</v>
      </c>
      <c r="C22" s="431"/>
      <c r="D22" s="432" t="str">
        <f>D19</f>
        <v>BT01</v>
      </c>
      <c r="E22" s="454" t="str">
        <f>IF($D$21&gt;1/1/1900,$D$21,"0")</f>
        <v>0</v>
      </c>
      <c r="F22" s="437">
        <f>IFERROR(EDATE(D21,-3),0)</f>
        <v>0</v>
      </c>
      <c r="G22" s="405" t="e">
        <f>DATEDIF($C$17,D21,"m")</f>
        <v>#NUM!</v>
      </c>
    </row>
    <row r="23" spans="1:7" s="138" customFormat="1" ht="21.95" customHeight="1" thickBot="1">
      <c r="A23" s="450"/>
      <c r="B23" s="451" t="s">
        <v>239</v>
      </c>
      <c r="C23" s="452" t="str">
        <f>IFERROR(IF(G22&gt;3,F22,"pas d'actualisation"),"")</f>
        <v/>
      </c>
      <c r="D23" s="455"/>
      <c r="E23" s="454" t="str">
        <f t="shared" ref="E23" si="1">IF($D$21&gt;1/1/1900,$D$21,"0")</f>
        <v>0</v>
      </c>
      <c r="F23" s="405"/>
      <c r="G23" s="405"/>
    </row>
    <row r="24" spans="1:7" s="138" customFormat="1" ht="21.95" customHeight="1">
      <c r="A24" s="445"/>
      <c r="B24" s="446" t="s">
        <v>287</v>
      </c>
      <c r="C24" s="447"/>
      <c r="D24" s="448">
        <f>DONNEES!G21</f>
        <v>0</v>
      </c>
      <c r="E24" s="454" t="str">
        <f>IF($D$24&gt;1/1/1900,$D$24,"0")</f>
        <v>0</v>
      </c>
      <c r="F24" s="405"/>
      <c r="G24" s="405"/>
    </row>
    <row r="25" spans="1:7" s="138" customFormat="1" ht="21.95" customHeight="1">
      <c r="A25" s="449" t="s">
        <v>638</v>
      </c>
      <c r="B25" s="430" t="s">
        <v>238</v>
      </c>
      <c r="C25" s="431"/>
      <c r="D25" s="432" t="str">
        <f>D22</f>
        <v>BT01</v>
      </c>
      <c r="E25" s="454" t="str">
        <f t="shared" ref="E25:E26" si="2">IF($D$24&gt;1/1/1900,$D$24,"0")</f>
        <v>0</v>
      </c>
      <c r="F25" s="437">
        <f>IFERROR(EDATE(D24,-3),0)</f>
        <v>0</v>
      </c>
      <c r="G25" s="405" t="e">
        <f>DATEDIF($C$17,D24,"m")</f>
        <v>#NUM!</v>
      </c>
    </row>
    <row r="26" spans="1:7" s="138" customFormat="1" ht="21.95" customHeight="1" thickBot="1">
      <c r="A26" s="450"/>
      <c r="B26" s="451" t="s">
        <v>239</v>
      </c>
      <c r="C26" s="452" t="str">
        <f>IFERROR(IF(G25&gt;3,F25,"pas d'actualisation"),"")</f>
        <v/>
      </c>
      <c r="D26" s="455"/>
      <c r="E26" s="454" t="str">
        <f t="shared" si="2"/>
        <v>0</v>
      </c>
      <c r="F26" s="405"/>
      <c r="G26" s="405"/>
    </row>
    <row r="27" spans="1:7" s="138" customFormat="1" ht="21.95" customHeight="1">
      <c r="A27" s="445"/>
      <c r="B27" s="446" t="s">
        <v>287</v>
      </c>
      <c r="C27" s="447"/>
      <c r="D27" s="448">
        <f>DONNEES!G22</f>
        <v>0</v>
      </c>
      <c r="E27" s="454" t="str">
        <f>IF($D$27&gt;1/1/1900,$D$27,"0")</f>
        <v>0</v>
      </c>
      <c r="F27" s="405"/>
      <c r="G27" s="405"/>
    </row>
    <row r="28" spans="1:7" s="138" customFormat="1" ht="21.95" customHeight="1">
      <c r="A28" s="449" t="s">
        <v>635</v>
      </c>
      <c r="B28" s="430" t="s">
        <v>238</v>
      </c>
      <c r="C28" s="431"/>
      <c r="D28" s="432" t="str">
        <f>D25</f>
        <v>BT01</v>
      </c>
      <c r="E28" s="454" t="str">
        <f t="shared" ref="E28:E29" si="3">IF($D$27&gt;1/1/1900,$D$27,"0")</f>
        <v>0</v>
      </c>
      <c r="F28" s="437">
        <f>IFERROR(EDATE(D27,-3),0)</f>
        <v>0</v>
      </c>
      <c r="G28" s="405" t="e">
        <f>DATEDIF($C$17,D27,"m")</f>
        <v>#NUM!</v>
      </c>
    </row>
    <row r="29" spans="1:7" s="138" customFormat="1" ht="21.95" customHeight="1" thickBot="1">
      <c r="A29" s="450"/>
      <c r="B29" s="451" t="s">
        <v>239</v>
      </c>
      <c r="C29" s="452" t="str">
        <f>IFERROR(IF(G28&gt;3,F28,"pas d'actualisation"),"")</f>
        <v/>
      </c>
      <c r="D29" s="455"/>
      <c r="E29" s="454" t="str">
        <f t="shared" si="3"/>
        <v>0</v>
      </c>
      <c r="F29" s="405"/>
      <c r="G29" s="405"/>
    </row>
    <row r="30" spans="1:7" s="138" customFormat="1" ht="21.95" customHeight="1">
      <c r="A30" s="445"/>
      <c r="B30" s="446" t="s">
        <v>287</v>
      </c>
      <c r="C30" s="447"/>
      <c r="D30" s="448">
        <f>DONNEES!G23</f>
        <v>0</v>
      </c>
      <c r="E30" s="454" t="str">
        <f>IF($D$30&gt;1/1/1900,$D$30,"0")</f>
        <v>0</v>
      </c>
      <c r="F30" s="405"/>
      <c r="G30" s="405"/>
    </row>
    <row r="31" spans="1:7" s="138" customFormat="1" ht="21.95" customHeight="1">
      <c r="A31" s="449" t="s">
        <v>636</v>
      </c>
      <c r="B31" s="430" t="s">
        <v>238</v>
      </c>
      <c r="C31" s="431"/>
      <c r="D31" s="432" t="str">
        <f>D28</f>
        <v>BT01</v>
      </c>
      <c r="E31" s="454" t="str">
        <f t="shared" ref="E31:E32" si="4">IF($D$30&gt;1/1/1900,$D$30,"0")</f>
        <v>0</v>
      </c>
      <c r="F31" s="437">
        <f>IFERROR(EDATE(D30,-3),0)</f>
        <v>0</v>
      </c>
      <c r="G31" s="405" t="e">
        <f>DATEDIF($C$17,D30,"m")</f>
        <v>#NUM!</v>
      </c>
    </row>
    <row r="32" spans="1:7" s="138" customFormat="1" ht="21.95" customHeight="1" thickBot="1">
      <c r="A32" s="450"/>
      <c r="B32" s="451" t="s">
        <v>239</v>
      </c>
      <c r="C32" s="452" t="str">
        <f>IFERROR(IF(G31&gt;3,F31,"pas d'actualisation"),"")</f>
        <v/>
      </c>
      <c r="D32" s="455"/>
      <c r="E32" s="454" t="str">
        <f t="shared" si="4"/>
        <v>0</v>
      </c>
      <c r="F32" s="405"/>
      <c r="G32" s="405"/>
    </row>
    <row r="33" spans="1:12" s="138" customFormat="1" ht="21.95" customHeight="1">
      <c r="A33" s="445"/>
      <c r="B33" s="446" t="s">
        <v>287</v>
      </c>
      <c r="C33" s="447"/>
      <c r="D33" s="448">
        <f>DONNEES!G24</f>
        <v>0</v>
      </c>
      <c r="E33" s="454" t="str">
        <f>IF($D$33&gt;1/1/1900,$D$33,"0")</f>
        <v>0</v>
      </c>
      <c r="F33" s="405"/>
      <c r="G33" s="405"/>
    </row>
    <row r="34" spans="1:12" s="138" customFormat="1" ht="21.95" customHeight="1">
      <c r="A34" s="449" t="s">
        <v>637</v>
      </c>
      <c r="B34" s="430" t="s">
        <v>238</v>
      </c>
      <c r="C34" s="431"/>
      <c r="D34" s="432" t="str">
        <f>D31</f>
        <v>BT01</v>
      </c>
      <c r="E34" s="454" t="str">
        <f t="shared" ref="E34:E35" si="5">IF($D$33&gt;1/1/1900,$D$33,"0")</f>
        <v>0</v>
      </c>
      <c r="F34" s="437">
        <f>IFERROR(EDATE(D33,-3),0)</f>
        <v>0</v>
      </c>
      <c r="G34" s="405" t="e">
        <f>DATEDIF($C$17,D33,"m")</f>
        <v>#NUM!</v>
      </c>
    </row>
    <row r="35" spans="1:12" s="138" customFormat="1" ht="21.95" customHeight="1" thickBot="1">
      <c r="A35" s="450"/>
      <c r="B35" s="451" t="s">
        <v>239</v>
      </c>
      <c r="C35" s="452" t="str">
        <f>IFERROR(IF(G34&gt;3,F34,"pas d'actualisation"),"")</f>
        <v/>
      </c>
      <c r="D35" s="455"/>
      <c r="E35" s="454" t="str">
        <f t="shared" si="5"/>
        <v>0</v>
      </c>
      <c r="F35" s="405"/>
      <c r="G35" s="405"/>
    </row>
    <row r="36" spans="1:12" s="138" customFormat="1" ht="21.95" customHeight="1">
      <c r="B36" s="356"/>
      <c r="D36" s="357"/>
    </row>
    <row r="37" spans="1:12" s="138" customFormat="1" ht="36" customHeight="1">
      <c r="A37" s="884" t="s">
        <v>246</v>
      </c>
      <c r="B37" s="884"/>
      <c r="C37" s="884"/>
      <c r="D37" s="137"/>
      <c r="E37" s="140"/>
      <c r="F37" s="137"/>
      <c r="G37" s="137"/>
      <c r="H37" s="137"/>
    </row>
    <row r="38" spans="1:12" s="138" customFormat="1" ht="27" customHeight="1">
      <c r="A38" s="435" t="s">
        <v>454</v>
      </c>
      <c r="B38" s="417" t="s">
        <v>445</v>
      </c>
      <c r="C38" s="417" t="s">
        <v>445</v>
      </c>
      <c r="D38" s="137"/>
      <c r="E38" s="355"/>
      <c r="F38" s="137"/>
      <c r="G38" s="355"/>
      <c r="H38" s="418" t="s">
        <v>247</v>
      </c>
      <c r="I38" s="418" t="s">
        <v>247</v>
      </c>
      <c r="J38" s="436" t="s">
        <v>196</v>
      </c>
    </row>
    <row r="39" spans="1:12" s="138" customFormat="1" ht="51" customHeight="1">
      <c r="A39" s="408"/>
      <c r="B39" s="419">
        <f>H39</f>
        <v>0.2</v>
      </c>
      <c r="C39" s="419">
        <f>I39</f>
        <v>0.1</v>
      </c>
      <c r="D39" s="420" t="s">
        <v>241</v>
      </c>
      <c r="E39" s="420" t="s">
        <v>242</v>
      </c>
      <c r="F39" s="420" t="s">
        <v>243</v>
      </c>
      <c r="G39" s="420" t="s">
        <v>244</v>
      </c>
      <c r="H39" s="421">
        <f>DONNEES!C17</f>
        <v>0.2</v>
      </c>
      <c r="I39" s="421">
        <f>DONNEES!E17</f>
        <v>0.1</v>
      </c>
      <c r="J39" s="459">
        <v>1</v>
      </c>
    </row>
    <row r="40" spans="1:12" s="138" customFormat="1" ht="21.95" hidden="1" customHeight="1">
      <c r="A40" s="408" t="s">
        <v>228</v>
      </c>
      <c r="B40" s="433">
        <f>'CPP TITULAIRE-ST'!D150+'CPP TITULAIRE-ST'!F150</f>
        <v>5000</v>
      </c>
      <c r="C40" s="433">
        <f>'CPP TITULAIRE-ST'!E150+'CPP TITULAIRE-ST'!G150</f>
        <v>0</v>
      </c>
      <c r="D40" s="422">
        <f>D16</f>
        <v>112.2</v>
      </c>
      <c r="E40" s="422">
        <f>$D$17</f>
        <v>102</v>
      </c>
      <c r="F40" s="423">
        <f>(SUM(D40/$E$40))</f>
        <v>1.1000000000000001</v>
      </c>
      <c r="G40" s="424">
        <f>ROUND(F40,3)-1</f>
        <v>0.10000000000000009</v>
      </c>
      <c r="H40" s="425">
        <f>IFERROR(SUM(B40*G40),0)</f>
        <v>500.00000000000045</v>
      </c>
      <c r="I40" s="425">
        <f>IFERROR(SUM(C40*G40),0)</f>
        <v>0</v>
      </c>
      <c r="J40" s="484">
        <f>H40+I40</f>
        <v>500.00000000000045</v>
      </c>
    </row>
    <row r="41" spans="1:12" s="138" customFormat="1" ht="21.95" hidden="1" customHeight="1">
      <c r="A41" s="409" t="s">
        <v>356</v>
      </c>
      <c r="B41" s="433">
        <f>'CPP TITULAIRE-ST'!D151+'CPP TITULAIRE-ST'!F151</f>
        <v>0</v>
      </c>
      <c r="C41" s="433">
        <f>'CPP TITULAIRE-ST'!E151+'CPP TITULAIRE-ST'!G151</f>
        <v>0</v>
      </c>
      <c r="D41" s="422">
        <f>D20</f>
        <v>0</v>
      </c>
      <c r="E41" s="422">
        <f t="shared" ref="E41:E46" si="6">$D$17</f>
        <v>102</v>
      </c>
      <c r="F41" s="423">
        <f t="shared" ref="F41:F46" si="7">(SUM(D41/$E$40))</f>
        <v>0</v>
      </c>
      <c r="G41" s="424">
        <f t="shared" ref="G41:G46" si="8">ROUND(F41,3)-1</f>
        <v>-1</v>
      </c>
      <c r="H41" s="425">
        <f t="shared" ref="H41:H46" si="9">IFERROR(SUM(B41*G41),0)</f>
        <v>0</v>
      </c>
      <c r="I41" s="425">
        <f t="shared" ref="I41:I46" si="10">IFERROR(SUM(C41*G41),0)</f>
        <v>0</v>
      </c>
      <c r="J41" s="484">
        <f t="shared" ref="J41:J46" si="11">H41+I41</f>
        <v>0</v>
      </c>
    </row>
    <row r="42" spans="1:12" s="138" customFormat="1" ht="21.95" hidden="1" customHeight="1" collapsed="1">
      <c r="A42" s="409" t="s">
        <v>357</v>
      </c>
      <c r="B42" s="433">
        <f>'CPP TITULAIRE-ST'!D152+'CPP TITULAIRE-ST'!F152</f>
        <v>0</v>
      </c>
      <c r="C42" s="433">
        <f>'CPP TITULAIRE-ST'!E152+'CPP TITULAIRE-ST'!G152</f>
        <v>0</v>
      </c>
      <c r="D42" s="422">
        <f>D23</f>
        <v>0</v>
      </c>
      <c r="E42" s="422">
        <f t="shared" si="6"/>
        <v>102</v>
      </c>
      <c r="F42" s="423">
        <f t="shared" si="7"/>
        <v>0</v>
      </c>
      <c r="G42" s="424">
        <f t="shared" si="8"/>
        <v>-1</v>
      </c>
      <c r="H42" s="425">
        <f t="shared" si="9"/>
        <v>0</v>
      </c>
      <c r="I42" s="425">
        <f t="shared" si="10"/>
        <v>0</v>
      </c>
      <c r="J42" s="484">
        <f t="shared" si="11"/>
        <v>0</v>
      </c>
    </row>
    <row r="43" spans="1:12" s="138" customFormat="1" ht="21.95" hidden="1" customHeight="1">
      <c r="A43" s="409" t="s">
        <v>358</v>
      </c>
      <c r="B43" s="433">
        <f>'CPP TITULAIRE-ST'!D153+'CPP TITULAIRE-ST'!F153</f>
        <v>0</v>
      </c>
      <c r="C43" s="433">
        <f>'CPP TITULAIRE-ST'!E153+'CPP TITULAIRE-ST'!G153</f>
        <v>0</v>
      </c>
      <c r="D43" s="422">
        <f>D26</f>
        <v>0</v>
      </c>
      <c r="E43" s="422">
        <f t="shared" si="6"/>
        <v>102</v>
      </c>
      <c r="F43" s="423">
        <f t="shared" si="7"/>
        <v>0</v>
      </c>
      <c r="G43" s="424">
        <f t="shared" si="8"/>
        <v>-1</v>
      </c>
      <c r="H43" s="425">
        <f t="shared" si="9"/>
        <v>0</v>
      </c>
      <c r="I43" s="425">
        <f t="shared" si="10"/>
        <v>0</v>
      </c>
      <c r="J43" s="484">
        <f t="shared" si="11"/>
        <v>0</v>
      </c>
    </row>
    <row r="44" spans="1:12" s="138" customFormat="1" ht="21.95" hidden="1" customHeight="1">
      <c r="A44" s="409" t="s">
        <v>415</v>
      </c>
      <c r="B44" s="433">
        <f>'CPP TITULAIRE-ST'!D154+'CPP TITULAIRE-ST'!F154</f>
        <v>0</v>
      </c>
      <c r="C44" s="433">
        <f>'CPP TITULAIRE-ST'!E154+'CPP TITULAIRE-ST'!G154</f>
        <v>0</v>
      </c>
      <c r="D44" s="422">
        <f>D29</f>
        <v>0</v>
      </c>
      <c r="E44" s="422">
        <f t="shared" si="6"/>
        <v>102</v>
      </c>
      <c r="F44" s="423">
        <f t="shared" si="7"/>
        <v>0</v>
      </c>
      <c r="G44" s="424">
        <f t="shared" si="8"/>
        <v>-1</v>
      </c>
      <c r="H44" s="425">
        <f t="shared" si="9"/>
        <v>0</v>
      </c>
      <c r="I44" s="425">
        <f t="shared" si="10"/>
        <v>0</v>
      </c>
      <c r="J44" s="484">
        <f t="shared" si="11"/>
        <v>0</v>
      </c>
    </row>
    <row r="45" spans="1:12" s="138" customFormat="1" ht="21.95" hidden="1" customHeight="1">
      <c r="A45" s="409" t="s">
        <v>416</v>
      </c>
      <c r="B45" s="433">
        <f>'CPP TITULAIRE-ST'!D155+'CPP TITULAIRE-ST'!F155</f>
        <v>0</v>
      </c>
      <c r="C45" s="433">
        <f>'CPP TITULAIRE-ST'!E155+'CPP TITULAIRE-ST'!G155</f>
        <v>0</v>
      </c>
      <c r="D45" s="422">
        <f>D32</f>
        <v>0</v>
      </c>
      <c r="E45" s="422">
        <f t="shared" si="6"/>
        <v>102</v>
      </c>
      <c r="F45" s="423">
        <f t="shared" si="7"/>
        <v>0</v>
      </c>
      <c r="G45" s="424">
        <f t="shared" si="8"/>
        <v>-1</v>
      </c>
      <c r="H45" s="425">
        <f t="shared" si="9"/>
        <v>0</v>
      </c>
      <c r="I45" s="425">
        <f t="shared" si="10"/>
        <v>0</v>
      </c>
      <c r="J45" s="484">
        <f t="shared" si="11"/>
        <v>0</v>
      </c>
    </row>
    <row r="46" spans="1:12" s="138" customFormat="1" ht="21.95" hidden="1" customHeight="1">
      <c r="A46" s="409" t="s">
        <v>417</v>
      </c>
      <c r="B46" s="433">
        <f>'CPP TITULAIRE-ST'!D156+'CPP TITULAIRE-ST'!F156</f>
        <v>0</v>
      </c>
      <c r="C46" s="433">
        <f>'CPP TITULAIRE-ST'!E156+'CPP TITULAIRE-ST'!G156</f>
        <v>0</v>
      </c>
      <c r="D46" s="422">
        <f>D35</f>
        <v>0</v>
      </c>
      <c r="E46" s="422">
        <f t="shared" si="6"/>
        <v>102</v>
      </c>
      <c r="F46" s="423">
        <f t="shared" si="7"/>
        <v>0</v>
      </c>
      <c r="G46" s="424">
        <f t="shared" si="8"/>
        <v>-1</v>
      </c>
      <c r="H46" s="425">
        <f t="shared" si="9"/>
        <v>0</v>
      </c>
      <c r="I46" s="425">
        <f t="shared" si="10"/>
        <v>0</v>
      </c>
      <c r="J46" s="484">
        <f t="shared" si="11"/>
        <v>0</v>
      </c>
    </row>
    <row r="47" spans="1:12" s="138" customFormat="1" ht="21.95" hidden="1" customHeight="1">
      <c r="A47" s="409"/>
      <c r="B47" s="410"/>
      <c r="C47" s="410"/>
      <c r="D47" s="410"/>
      <c r="E47" s="410"/>
      <c r="F47" s="415" t="s">
        <v>444</v>
      </c>
      <c r="G47" s="415"/>
      <c r="H47" s="426">
        <f>SUM(H40:H46)*H39</f>
        <v>100.0000000000001</v>
      </c>
      <c r="I47" s="426">
        <f>SUM(I40:I46)*I39</f>
        <v>0</v>
      </c>
      <c r="J47" s="484">
        <f t="shared" ref="J47:J50" si="12">H47+I47</f>
        <v>100.0000000000001</v>
      </c>
    </row>
    <row r="48" spans="1:12" ht="21.95" hidden="1" customHeight="1">
      <c r="A48" s="411"/>
      <c r="B48" s="412"/>
      <c r="C48" s="412"/>
      <c r="D48" s="412"/>
      <c r="E48" s="412"/>
      <c r="F48" s="415" t="s">
        <v>641</v>
      </c>
      <c r="G48" s="415"/>
      <c r="H48" s="425">
        <f>'CPP TITULAIRE-ST'!F160+'CPP TITULAIRE-ST'!F164</f>
        <v>0</v>
      </c>
      <c r="I48" s="425">
        <f>'CPP TITULAIRE-ST'!G160+'CPP TITULAIRE-ST'!G164</f>
        <v>0</v>
      </c>
      <c r="J48" s="484">
        <f t="shared" si="12"/>
        <v>0</v>
      </c>
      <c r="L48" s="76" t="s">
        <v>644</v>
      </c>
    </row>
    <row r="49" spans="1:13" ht="21.95" hidden="1" customHeight="1">
      <c r="A49" s="411"/>
      <c r="B49" s="412"/>
      <c r="C49" s="412"/>
      <c r="D49" s="412"/>
      <c r="E49" s="412"/>
      <c r="F49" s="415" t="s">
        <v>642</v>
      </c>
      <c r="G49" s="415"/>
      <c r="H49" s="425">
        <f>(H40+H41+H42+H43+H44+H45+H46)+H47</f>
        <v>600.00000000000057</v>
      </c>
      <c r="I49" s="425">
        <f>(I40+I41+I42+I43+I44+I45+I46)+I47</f>
        <v>0</v>
      </c>
      <c r="J49" s="484">
        <f t="shared" si="12"/>
        <v>600.00000000000057</v>
      </c>
      <c r="L49" s="400">
        <f>H40-H50</f>
        <v>0</v>
      </c>
      <c r="M49" s="400">
        <f>I40-I50</f>
        <v>0</v>
      </c>
    </row>
    <row r="50" spans="1:13" ht="21.95" hidden="1" customHeight="1">
      <c r="A50" s="413"/>
      <c r="B50" s="414"/>
      <c r="C50" s="414"/>
      <c r="D50" s="414"/>
      <c r="E50" s="414"/>
      <c r="F50" s="416" t="s">
        <v>643</v>
      </c>
      <c r="G50" s="416"/>
      <c r="H50" s="427">
        <f>(H49-H48)/(1+(H39))</f>
        <v>500.00000000000051</v>
      </c>
      <c r="I50" s="427">
        <f>(I49-I48)/(1+(I39))</f>
        <v>0</v>
      </c>
      <c r="J50" s="484">
        <f t="shared" si="12"/>
        <v>500.00000000000051</v>
      </c>
    </row>
    <row r="51" spans="1:13">
      <c r="H51" s="400"/>
    </row>
    <row r="54" spans="1:13" ht="36" customHeight="1">
      <c r="A54" s="884" t="str">
        <f>IF(C9&lt;&gt;"","COTRAITANT","")</f>
        <v>COTRAITANT</v>
      </c>
      <c r="B54" s="884"/>
      <c r="C54" s="884"/>
      <c r="D54" s="137"/>
      <c r="E54" s="355"/>
      <c r="F54" s="137"/>
      <c r="G54" s="137"/>
      <c r="H54" s="137"/>
      <c r="I54" s="138"/>
    </row>
    <row r="55" spans="1:13" ht="24.75" customHeight="1">
      <c r="A55" s="435" t="s">
        <v>454</v>
      </c>
      <c r="B55" s="417" t="s">
        <v>445</v>
      </c>
      <c r="C55" s="417" t="s">
        <v>445</v>
      </c>
      <c r="D55" s="137"/>
      <c r="E55" s="355"/>
      <c r="F55" s="137"/>
      <c r="G55" s="355"/>
      <c r="H55" s="418" t="s">
        <v>247</v>
      </c>
      <c r="I55" s="418" t="s">
        <v>247</v>
      </c>
      <c r="J55" s="436" t="s">
        <v>196</v>
      </c>
    </row>
    <row r="56" spans="1:13" ht="40.5" customHeight="1">
      <c r="A56" s="408"/>
      <c r="B56" s="419">
        <f>B39</f>
        <v>0.2</v>
      </c>
      <c r="C56" s="419">
        <f>C39</f>
        <v>0.1</v>
      </c>
      <c r="D56" s="420" t="s">
        <v>241</v>
      </c>
      <c r="E56" s="420" t="s">
        <v>242</v>
      </c>
      <c r="F56" s="420" t="s">
        <v>243</v>
      </c>
      <c r="G56" s="420" t="s">
        <v>244</v>
      </c>
      <c r="H56" s="421">
        <f>H39</f>
        <v>0.2</v>
      </c>
      <c r="I56" s="421">
        <f>I39</f>
        <v>0.1</v>
      </c>
      <c r="J56" s="457">
        <v>1</v>
      </c>
    </row>
    <row r="57" spans="1:13" ht="24.75" hidden="1" customHeight="1">
      <c r="A57" s="408" t="s">
        <v>228</v>
      </c>
      <c r="B57" s="433">
        <f>'CPP TITULAIRE-ST'!D172+'CPP TITULAIRE-ST'!F172</f>
        <v>4000</v>
      </c>
      <c r="C57" s="433">
        <f>'CPP TITULAIRE-ST'!E172+'CPP TITULAIRE-ST'!G172</f>
        <v>0</v>
      </c>
      <c r="D57" s="422">
        <f t="shared" ref="D57:D63" si="13">D40</f>
        <v>112.2</v>
      </c>
      <c r="E57" s="422">
        <f>$E$40</f>
        <v>102</v>
      </c>
      <c r="F57" s="423">
        <f>SUM(D57/$E$57)</f>
        <v>1.1000000000000001</v>
      </c>
      <c r="G57" s="424">
        <f>ROUND(F57,3)-1</f>
        <v>0.10000000000000009</v>
      </c>
      <c r="H57" s="425">
        <f>IFERROR(SUM(B57*G57),0)</f>
        <v>400.00000000000034</v>
      </c>
      <c r="I57" s="425">
        <f>IFERROR(SUM(C57*G57),0)</f>
        <v>0</v>
      </c>
      <c r="J57" s="458">
        <f>F57</f>
        <v>1.1000000000000001</v>
      </c>
    </row>
    <row r="58" spans="1:13" ht="24.75" hidden="1" customHeight="1">
      <c r="A58" s="409" t="s">
        <v>356</v>
      </c>
      <c r="B58" s="433">
        <f>'CPP TITULAIRE-ST'!D173+'CPP TITULAIRE-ST'!F173</f>
        <v>0</v>
      </c>
      <c r="C58" s="433">
        <f>'CPP TITULAIRE-ST'!E173+'CPP TITULAIRE-ST'!G173</f>
        <v>0</v>
      </c>
      <c r="D58" s="422">
        <f t="shared" si="13"/>
        <v>0</v>
      </c>
      <c r="E58" s="422">
        <f t="shared" ref="E58:E63" si="14">$E$40</f>
        <v>102</v>
      </c>
      <c r="F58" s="423">
        <f t="shared" ref="F58:F63" si="15">SUM(D58/$E$57)</f>
        <v>0</v>
      </c>
      <c r="G58" s="424">
        <f t="shared" ref="G58:G63" si="16">ROUND(F58,3)-1</f>
        <v>-1</v>
      </c>
      <c r="H58" s="425">
        <f>IFERROR(SUM(B58*G58),0)</f>
        <v>0</v>
      </c>
      <c r="I58" s="425">
        <f t="shared" ref="I58:I63" si="17">IFERROR(SUM(C58*G58),0)</f>
        <v>0</v>
      </c>
      <c r="J58" s="458">
        <f t="shared" ref="J58:J63" si="18">F58</f>
        <v>0</v>
      </c>
    </row>
    <row r="59" spans="1:13" ht="24.75" hidden="1" customHeight="1">
      <c r="A59" s="409" t="s">
        <v>357</v>
      </c>
      <c r="B59" s="433">
        <f>'CPP TITULAIRE-ST'!D174+'CPP TITULAIRE-ST'!F174</f>
        <v>0</v>
      </c>
      <c r="C59" s="433">
        <f>'CPP TITULAIRE-ST'!E174+'CPP TITULAIRE-ST'!G174</f>
        <v>0</v>
      </c>
      <c r="D59" s="422">
        <f t="shared" si="13"/>
        <v>0</v>
      </c>
      <c r="E59" s="422">
        <f t="shared" si="14"/>
        <v>102</v>
      </c>
      <c r="F59" s="423">
        <f t="shared" si="15"/>
        <v>0</v>
      </c>
      <c r="G59" s="424">
        <f t="shared" si="16"/>
        <v>-1</v>
      </c>
      <c r="H59" s="425">
        <f t="shared" ref="H59:H63" si="19">IFERROR(SUM(B59*G59),0)</f>
        <v>0</v>
      </c>
      <c r="I59" s="425">
        <f t="shared" si="17"/>
        <v>0</v>
      </c>
      <c r="J59" s="458">
        <f t="shared" si="18"/>
        <v>0</v>
      </c>
    </row>
    <row r="60" spans="1:13" ht="24.75" hidden="1" customHeight="1">
      <c r="A60" s="409" t="s">
        <v>358</v>
      </c>
      <c r="B60" s="433">
        <f>'CPP TITULAIRE-ST'!D175+'CPP TITULAIRE-ST'!F175</f>
        <v>0</v>
      </c>
      <c r="C60" s="433">
        <f>'CPP TITULAIRE-ST'!E175+'CPP TITULAIRE-ST'!G175</f>
        <v>0</v>
      </c>
      <c r="D60" s="422">
        <f t="shared" si="13"/>
        <v>0</v>
      </c>
      <c r="E60" s="422">
        <f t="shared" si="14"/>
        <v>102</v>
      </c>
      <c r="F60" s="423">
        <f t="shared" si="15"/>
        <v>0</v>
      </c>
      <c r="G60" s="424">
        <f t="shared" si="16"/>
        <v>-1</v>
      </c>
      <c r="H60" s="425">
        <f t="shared" si="19"/>
        <v>0</v>
      </c>
      <c r="I60" s="425">
        <f t="shared" si="17"/>
        <v>0</v>
      </c>
      <c r="J60" s="458">
        <f t="shared" si="18"/>
        <v>0</v>
      </c>
    </row>
    <row r="61" spans="1:13" ht="24.75" hidden="1" customHeight="1">
      <c r="A61" s="409" t="s">
        <v>415</v>
      </c>
      <c r="B61" s="433">
        <f>'CPP TITULAIRE-ST'!D176+'CPP TITULAIRE-ST'!F176</f>
        <v>0</v>
      </c>
      <c r="C61" s="433">
        <f>'CPP TITULAIRE-ST'!E176+'CPP TITULAIRE-ST'!G176</f>
        <v>0</v>
      </c>
      <c r="D61" s="422">
        <f t="shared" si="13"/>
        <v>0</v>
      </c>
      <c r="E61" s="422">
        <f t="shared" si="14"/>
        <v>102</v>
      </c>
      <c r="F61" s="423">
        <f t="shared" si="15"/>
        <v>0</v>
      </c>
      <c r="G61" s="424">
        <f t="shared" si="16"/>
        <v>-1</v>
      </c>
      <c r="H61" s="425">
        <f t="shared" si="19"/>
        <v>0</v>
      </c>
      <c r="I61" s="425">
        <f t="shared" si="17"/>
        <v>0</v>
      </c>
      <c r="J61" s="458">
        <f t="shared" si="18"/>
        <v>0</v>
      </c>
    </row>
    <row r="62" spans="1:13" ht="24.75" hidden="1" customHeight="1">
      <c r="A62" s="409" t="s">
        <v>416</v>
      </c>
      <c r="B62" s="433">
        <f>'CPP TITULAIRE-ST'!D177+'CPP TITULAIRE-ST'!F177</f>
        <v>0</v>
      </c>
      <c r="C62" s="433">
        <f>'CPP TITULAIRE-ST'!E177+'CPP TITULAIRE-ST'!G177</f>
        <v>0</v>
      </c>
      <c r="D62" s="422">
        <f t="shared" si="13"/>
        <v>0</v>
      </c>
      <c r="E62" s="422">
        <f t="shared" si="14"/>
        <v>102</v>
      </c>
      <c r="F62" s="423">
        <f t="shared" si="15"/>
        <v>0</v>
      </c>
      <c r="G62" s="424">
        <f t="shared" si="16"/>
        <v>-1</v>
      </c>
      <c r="H62" s="425">
        <f t="shared" si="19"/>
        <v>0</v>
      </c>
      <c r="I62" s="425">
        <f t="shared" si="17"/>
        <v>0</v>
      </c>
      <c r="J62" s="458">
        <f t="shared" si="18"/>
        <v>0</v>
      </c>
    </row>
    <row r="63" spans="1:13" ht="24.75" hidden="1" customHeight="1">
      <c r="A63" s="409" t="s">
        <v>417</v>
      </c>
      <c r="B63" s="433">
        <f>'CPP TITULAIRE-ST'!D178+'CPP TITULAIRE-ST'!F178</f>
        <v>0</v>
      </c>
      <c r="C63" s="433">
        <f>'CPP TITULAIRE-ST'!E178+'CPP TITULAIRE-ST'!G178</f>
        <v>0</v>
      </c>
      <c r="D63" s="422">
        <f t="shared" si="13"/>
        <v>0</v>
      </c>
      <c r="E63" s="422">
        <f t="shared" si="14"/>
        <v>102</v>
      </c>
      <c r="F63" s="423">
        <f t="shared" si="15"/>
        <v>0</v>
      </c>
      <c r="G63" s="424">
        <f t="shared" si="16"/>
        <v>-1</v>
      </c>
      <c r="H63" s="425">
        <f t="shared" si="19"/>
        <v>0</v>
      </c>
      <c r="I63" s="425">
        <f t="shared" si="17"/>
        <v>0</v>
      </c>
      <c r="J63" s="458">
        <f t="shared" si="18"/>
        <v>0</v>
      </c>
    </row>
    <row r="64" spans="1:13" ht="24.75" hidden="1" customHeight="1" collapsed="1">
      <c r="A64" s="409"/>
      <c r="B64" s="410"/>
      <c r="C64" s="410"/>
      <c r="D64" s="410"/>
      <c r="E64" s="410"/>
      <c r="F64" s="415" t="s">
        <v>444</v>
      </c>
      <c r="G64" s="415"/>
      <c r="H64" s="426">
        <f>SUM(H57:H63)*H56</f>
        <v>80.000000000000071</v>
      </c>
      <c r="I64" s="426">
        <f>SUM(I57:I63)*I56</f>
        <v>0</v>
      </c>
      <c r="J64" s="458">
        <f t="shared" ref="J64:J66" si="20">H64+I64</f>
        <v>80.000000000000071</v>
      </c>
    </row>
    <row r="65" spans="1:13" ht="24.75" hidden="1" customHeight="1">
      <c r="A65" s="411"/>
      <c r="B65" s="412"/>
      <c r="C65" s="412"/>
      <c r="D65" s="412"/>
      <c r="E65" s="412"/>
      <c r="F65" s="415" t="s">
        <v>641</v>
      </c>
      <c r="G65" s="415"/>
      <c r="H65" s="425">
        <f>'CPP TITULAIRE-ST'!F182+'CPP TITULAIRE-ST'!F186</f>
        <v>0</v>
      </c>
      <c r="I65" s="425">
        <f>'CPP TITULAIRE-ST'!G182+'CPP TITULAIRE-ST'!G186</f>
        <v>0</v>
      </c>
      <c r="J65" s="458">
        <f t="shared" si="20"/>
        <v>0</v>
      </c>
      <c r="L65" s="76" t="s">
        <v>644</v>
      </c>
    </row>
    <row r="66" spans="1:13" ht="24.75" hidden="1" customHeight="1">
      <c r="A66" s="411"/>
      <c r="B66" s="412"/>
      <c r="C66" s="412"/>
      <c r="D66" s="412"/>
      <c r="E66" s="412"/>
      <c r="F66" s="415" t="s">
        <v>642</v>
      </c>
      <c r="G66" s="415"/>
      <c r="H66" s="425">
        <f>(H57+H58+H59+H60+H61+H62+H63)+H64</f>
        <v>480.0000000000004</v>
      </c>
      <c r="I66" s="425">
        <f>(I57+I58+I59+I60+I61+I62+I63)+I64</f>
        <v>0</v>
      </c>
      <c r="J66" s="458">
        <f t="shared" si="20"/>
        <v>480.0000000000004</v>
      </c>
      <c r="L66" s="400">
        <f>H57-H67</f>
        <v>0</v>
      </c>
      <c r="M66" s="400">
        <f>I57-I67</f>
        <v>0</v>
      </c>
    </row>
    <row r="67" spans="1:13" ht="24.75" hidden="1" customHeight="1">
      <c r="A67" s="413"/>
      <c r="B67" s="414"/>
      <c r="C67" s="414"/>
      <c r="D67" s="414"/>
      <c r="E67" s="414"/>
      <c r="F67" s="416" t="s">
        <v>643</v>
      </c>
      <c r="G67" s="415"/>
      <c r="H67" s="427">
        <f>(H66-H65)/(1+(H56))</f>
        <v>400.00000000000034</v>
      </c>
      <c r="I67" s="427">
        <f>(I66-I65)/(1+(I56))</f>
        <v>0</v>
      </c>
      <c r="J67" s="458">
        <f>H67+I67</f>
        <v>400.00000000000034</v>
      </c>
    </row>
  </sheetData>
  <sheetProtection algorithmName="SHA-512" hashValue="/em2gRbIWo9eRgwGCJtj6LWefJaBezJxbb5uMwR2e0fyP/9y2gBixpMNCgqob+b7AVxtz6qDm6GtdRvpKmuRAw==" saltValue="XxnkVYbnF7tuZFJZtyRdVg==" spinCount="100000" sheet="1" objects="1" scenarios="1"/>
  <mergeCells count="7">
    <mergeCell ref="A37:C37"/>
    <mergeCell ref="A54:C54"/>
    <mergeCell ref="B3:H3"/>
    <mergeCell ref="C6:H6"/>
    <mergeCell ref="C7:H7"/>
    <mergeCell ref="C8:H8"/>
    <mergeCell ref="C9:H9"/>
  </mergeCells>
  <printOptions horizontalCentered="1"/>
  <pageMargins left="0.25" right="0.25" top="0.75" bottom="0.75" header="0.3" footer="0.3"/>
  <pageSetup paperSize="9" scale="68" firstPageNumber="0" orientation="landscape" horizontalDpi="300" verticalDpi="300" r:id="rId1"/>
  <headerFooter alignWithMargins="0"/>
  <drawing r:id="rId2"/>
  <tableParts count="3">
    <tablePart r:id="rId3"/>
    <tablePart r:id="rId4"/>
    <tablePart r:id="rId5"/>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0">
    <tabColor rgb="FFFFFF00"/>
  </sheetPr>
  <dimension ref="A1:N157"/>
  <sheetViews>
    <sheetView topLeftCell="A3" zoomScaleNormal="100" workbookViewId="0">
      <selection activeCell="P64" sqref="P64"/>
    </sheetView>
  </sheetViews>
  <sheetFormatPr baseColWidth="10" defaultRowHeight="12.75"/>
  <cols>
    <col min="1" max="1" width="12.7109375" style="79" customWidth="1"/>
    <col min="2" max="2" width="15.7109375" style="79" customWidth="1"/>
    <col min="3" max="4" width="15.7109375" style="77" customWidth="1"/>
    <col min="5" max="5" width="10.7109375" style="80" customWidth="1"/>
    <col min="6" max="6" width="10.7109375" style="76" customWidth="1"/>
    <col min="7" max="7" width="11.5703125" style="76" customWidth="1"/>
    <col min="8" max="8" width="26.7109375" style="76" bestFit="1" customWidth="1"/>
    <col min="9" max="9" width="14" style="76" customWidth="1"/>
    <col min="10" max="10" width="11.42578125" style="76"/>
    <col min="11" max="11" width="4.140625" style="76" bestFit="1" customWidth="1"/>
    <col min="12" max="255" width="11.42578125" style="76"/>
    <col min="256" max="256" width="12.7109375" style="76" customWidth="1"/>
    <col min="257" max="259" width="15.7109375" style="76" customWidth="1"/>
    <col min="260" max="261" width="10.7109375" style="76" customWidth="1"/>
    <col min="262" max="263" width="11.5703125" style="76" customWidth="1"/>
    <col min="264" max="264" width="14" style="76" customWidth="1"/>
    <col min="265" max="511" width="11.42578125" style="76"/>
    <col min="512" max="512" width="12.7109375" style="76" customWidth="1"/>
    <col min="513" max="515" width="15.7109375" style="76" customWidth="1"/>
    <col min="516" max="517" width="10.7109375" style="76" customWidth="1"/>
    <col min="518" max="519" width="11.5703125" style="76" customWidth="1"/>
    <col min="520" max="520" width="14" style="76" customWidth="1"/>
    <col min="521" max="767" width="11.42578125" style="76"/>
    <col min="768" max="768" width="12.7109375" style="76" customWidth="1"/>
    <col min="769" max="771" width="15.7109375" style="76" customWidth="1"/>
    <col min="772" max="773" width="10.7109375" style="76" customWidth="1"/>
    <col min="774" max="775" width="11.5703125" style="76" customWidth="1"/>
    <col min="776" max="776" width="14" style="76" customWidth="1"/>
    <col min="777" max="1023" width="11.42578125" style="76"/>
    <col min="1024" max="1024" width="12.7109375" style="76" customWidth="1"/>
    <col min="1025" max="1027" width="15.7109375" style="76" customWidth="1"/>
    <col min="1028" max="1029" width="10.7109375" style="76" customWidth="1"/>
    <col min="1030" max="1031" width="11.5703125" style="76" customWidth="1"/>
    <col min="1032" max="1032" width="14" style="76" customWidth="1"/>
    <col min="1033" max="1279" width="11.42578125" style="76"/>
    <col min="1280" max="1280" width="12.7109375" style="76" customWidth="1"/>
    <col min="1281" max="1283" width="15.7109375" style="76" customWidth="1"/>
    <col min="1284" max="1285" width="10.7109375" style="76" customWidth="1"/>
    <col min="1286" max="1287" width="11.5703125" style="76" customWidth="1"/>
    <col min="1288" max="1288" width="14" style="76" customWidth="1"/>
    <col min="1289" max="1535" width="11.42578125" style="76"/>
    <col min="1536" max="1536" width="12.7109375" style="76" customWidth="1"/>
    <col min="1537" max="1539" width="15.7109375" style="76" customWidth="1"/>
    <col min="1540" max="1541" width="10.7109375" style="76" customWidth="1"/>
    <col min="1542" max="1543" width="11.5703125" style="76" customWidth="1"/>
    <col min="1544" max="1544" width="14" style="76" customWidth="1"/>
    <col min="1545" max="1791" width="11.42578125" style="76"/>
    <col min="1792" max="1792" width="12.7109375" style="76" customWidth="1"/>
    <col min="1793" max="1795" width="15.7109375" style="76" customWidth="1"/>
    <col min="1796" max="1797" width="10.7109375" style="76" customWidth="1"/>
    <col min="1798" max="1799" width="11.5703125" style="76" customWidth="1"/>
    <col min="1800" max="1800" width="14" style="76" customWidth="1"/>
    <col min="1801" max="2047" width="11.42578125" style="76"/>
    <col min="2048" max="2048" width="12.7109375" style="76" customWidth="1"/>
    <col min="2049" max="2051" width="15.7109375" style="76" customWidth="1"/>
    <col min="2052" max="2053" width="10.7109375" style="76" customWidth="1"/>
    <col min="2054" max="2055" width="11.5703125" style="76" customWidth="1"/>
    <col min="2056" max="2056" width="14" style="76" customWidth="1"/>
    <col min="2057" max="2303" width="11.42578125" style="76"/>
    <col min="2304" max="2304" width="12.7109375" style="76" customWidth="1"/>
    <col min="2305" max="2307" width="15.7109375" style="76" customWidth="1"/>
    <col min="2308" max="2309" width="10.7109375" style="76" customWidth="1"/>
    <col min="2310" max="2311" width="11.5703125" style="76" customWidth="1"/>
    <col min="2312" max="2312" width="14" style="76" customWidth="1"/>
    <col min="2313" max="2559" width="11.42578125" style="76"/>
    <col min="2560" max="2560" width="12.7109375" style="76" customWidth="1"/>
    <col min="2561" max="2563" width="15.7109375" style="76" customWidth="1"/>
    <col min="2564" max="2565" width="10.7109375" style="76" customWidth="1"/>
    <col min="2566" max="2567" width="11.5703125" style="76" customWidth="1"/>
    <col min="2568" max="2568" width="14" style="76" customWidth="1"/>
    <col min="2569" max="2815" width="11.42578125" style="76"/>
    <col min="2816" max="2816" width="12.7109375" style="76" customWidth="1"/>
    <col min="2817" max="2819" width="15.7109375" style="76" customWidth="1"/>
    <col min="2820" max="2821" width="10.7109375" style="76" customWidth="1"/>
    <col min="2822" max="2823" width="11.5703125" style="76" customWidth="1"/>
    <col min="2824" max="2824" width="14" style="76" customWidth="1"/>
    <col min="2825" max="3071" width="11.42578125" style="76"/>
    <col min="3072" max="3072" width="12.7109375" style="76" customWidth="1"/>
    <col min="3073" max="3075" width="15.7109375" style="76" customWidth="1"/>
    <col min="3076" max="3077" width="10.7109375" style="76" customWidth="1"/>
    <col min="3078" max="3079" width="11.5703125" style="76" customWidth="1"/>
    <col min="3080" max="3080" width="14" style="76" customWidth="1"/>
    <col min="3081" max="3327" width="11.42578125" style="76"/>
    <col min="3328" max="3328" width="12.7109375" style="76" customWidth="1"/>
    <col min="3329" max="3331" width="15.7109375" style="76" customWidth="1"/>
    <col min="3332" max="3333" width="10.7109375" style="76" customWidth="1"/>
    <col min="3334" max="3335" width="11.5703125" style="76" customWidth="1"/>
    <col min="3336" max="3336" width="14" style="76" customWidth="1"/>
    <col min="3337" max="3583" width="11.42578125" style="76"/>
    <col min="3584" max="3584" width="12.7109375" style="76" customWidth="1"/>
    <col min="3585" max="3587" width="15.7109375" style="76" customWidth="1"/>
    <col min="3588" max="3589" width="10.7109375" style="76" customWidth="1"/>
    <col min="3590" max="3591" width="11.5703125" style="76" customWidth="1"/>
    <col min="3592" max="3592" width="14" style="76" customWidth="1"/>
    <col min="3593" max="3839" width="11.42578125" style="76"/>
    <col min="3840" max="3840" width="12.7109375" style="76" customWidth="1"/>
    <col min="3841" max="3843" width="15.7109375" style="76" customWidth="1"/>
    <col min="3844" max="3845" width="10.7109375" style="76" customWidth="1"/>
    <col min="3846" max="3847" width="11.5703125" style="76" customWidth="1"/>
    <col min="3848" max="3848" width="14" style="76" customWidth="1"/>
    <col min="3849" max="4095" width="11.42578125" style="76"/>
    <col min="4096" max="4096" width="12.7109375" style="76" customWidth="1"/>
    <col min="4097" max="4099" width="15.7109375" style="76" customWidth="1"/>
    <col min="4100" max="4101" width="10.7109375" style="76" customWidth="1"/>
    <col min="4102" max="4103" width="11.5703125" style="76" customWidth="1"/>
    <col min="4104" max="4104" width="14" style="76" customWidth="1"/>
    <col min="4105" max="4351" width="11.42578125" style="76"/>
    <col min="4352" max="4352" width="12.7109375" style="76" customWidth="1"/>
    <col min="4353" max="4355" width="15.7109375" style="76" customWidth="1"/>
    <col min="4356" max="4357" width="10.7109375" style="76" customWidth="1"/>
    <col min="4358" max="4359" width="11.5703125" style="76" customWidth="1"/>
    <col min="4360" max="4360" width="14" style="76" customWidth="1"/>
    <col min="4361" max="4607" width="11.42578125" style="76"/>
    <col min="4608" max="4608" width="12.7109375" style="76" customWidth="1"/>
    <col min="4609" max="4611" width="15.7109375" style="76" customWidth="1"/>
    <col min="4612" max="4613" width="10.7109375" style="76" customWidth="1"/>
    <col min="4614" max="4615" width="11.5703125" style="76" customWidth="1"/>
    <col min="4616" max="4616" width="14" style="76" customWidth="1"/>
    <col min="4617" max="4863" width="11.42578125" style="76"/>
    <col min="4864" max="4864" width="12.7109375" style="76" customWidth="1"/>
    <col min="4865" max="4867" width="15.7109375" style="76" customWidth="1"/>
    <col min="4868" max="4869" width="10.7109375" style="76" customWidth="1"/>
    <col min="4870" max="4871" width="11.5703125" style="76" customWidth="1"/>
    <col min="4872" max="4872" width="14" style="76" customWidth="1"/>
    <col min="4873" max="5119" width="11.42578125" style="76"/>
    <col min="5120" max="5120" width="12.7109375" style="76" customWidth="1"/>
    <col min="5121" max="5123" width="15.7109375" style="76" customWidth="1"/>
    <col min="5124" max="5125" width="10.7109375" style="76" customWidth="1"/>
    <col min="5126" max="5127" width="11.5703125" style="76" customWidth="1"/>
    <col min="5128" max="5128" width="14" style="76" customWidth="1"/>
    <col min="5129" max="5375" width="11.42578125" style="76"/>
    <col min="5376" max="5376" width="12.7109375" style="76" customWidth="1"/>
    <col min="5377" max="5379" width="15.7109375" style="76" customWidth="1"/>
    <col min="5380" max="5381" width="10.7109375" style="76" customWidth="1"/>
    <col min="5382" max="5383" width="11.5703125" style="76" customWidth="1"/>
    <col min="5384" max="5384" width="14" style="76" customWidth="1"/>
    <col min="5385" max="5631" width="11.42578125" style="76"/>
    <col min="5632" max="5632" width="12.7109375" style="76" customWidth="1"/>
    <col min="5633" max="5635" width="15.7109375" style="76" customWidth="1"/>
    <col min="5636" max="5637" width="10.7109375" style="76" customWidth="1"/>
    <col min="5638" max="5639" width="11.5703125" style="76" customWidth="1"/>
    <col min="5640" max="5640" width="14" style="76" customWidth="1"/>
    <col min="5641" max="5887" width="11.42578125" style="76"/>
    <col min="5888" max="5888" width="12.7109375" style="76" customWidth="1"/>
    <col min="5889" max="5891" width="15.7109375" style="76" customWidth="1"/>
    <col min="5892" max="5893" width="10.7109375" style="76" customWidth="1"/>
    <col min="5894" max="5895" width="11.5703125" style="76" customWidth="1"/>
    <col min="5896" max="5896" width="14" style="76" customWidth="1"/>
    <col min="5897" max="6143" width="11.42578125" style="76"/>
    <col min="6144" max="6144" width="12.7109375" style="76" customWidth="1"/>
    <col min="6145" max="6147" width="15.7109375" style="76" customWidth="1"/>
    <col min="6148" max="6149" width="10.7109375" style="76" customWidth="1"/>
    <col min="6150" max="6151" width="11.5703125" style="76" customWidth="1"/>
    <col min="6152" max="6152" width="14" style="76" customWidth="1"/>
    <col min="6153" max="6399" width="11.42578125" style="76"/>
    <col min="6400" max="6400" width="12.7109375" style="76" customWidth="1"/>
    <col min="6401" max="6403" width="15.7109375" style="76" customWidth="1"/>
    <col min="6404" max="6405" width="10.7109375" style="76" customWidth="1"/>
    <col min="6406" max="6407" width="11.5703125" style="76" customWidth="1"/>
    <col min="6408" max="6408" width="14" style="76" customWidth="1"/>
    <col min="6409" max="6655" width="11.42578125" style="76"/>
    <col min="6656" max="6656" width="12.7109375" style="76" customWidth="1"/>
    <col min="6657" max="6659" width="15.7109375" style="76" customWidth="1"/>
    <col min="6660" max="6661" width="10.7109375" style="76" customWidth="1"/>
    <col min="6662" max="6663" width="11.5703125" style="76" customWidth="1"/>
    <col min="6664" max="6664" width="14" style="76" customWidth="1"/>
    <col min="6665" max="6911" width="11.42578125" style="76"/>
    <col min="6912" max="6912" width="12.7109375" style="76" customWidth="1"/>
    <col min="6913" max="6915" width="15.7109375" style="76" customWidth="1"/>
    <col min="6916" max="6917" width="10.7109375" style="76" customWidth="1"/>
    <col min="6918" max="6919" width="11.5703125" style="76" customWidth="1"/>
    <col min="6920" max="6920" width="14" style="76" customWidth="1"/>
    <col min="6921" max="7167" width="11.42578125" style="76"/>
    <col min="7168" max="7168" width="12.7109375" style="76" customWidth="1"/>
    <col min="7169" max="7171" width="15.7109375" style="76" customWidth="1"/>
    <col min="7172" max="7173" width="10.7109375" style="76" customWidth="1"/>
    <col min="7174" max="7175" width="11.5703125" style="76" customWidth="1"/>
    <col min="7176" max="7176" width="14" style="76" customWidth="1"/>
    <col min="7177" max="7423" width="11.42578125" style="76"/>
    <col min="7424" max="7424" width="12.7109375" style="76" customWidth="1"/>
    <col min="7425" max="7427" width="15.7109375" style="76" customWidth="1"/>
    <col min="7428" max="7429" width="10.7109375" style="76" customWidth="1"/>
    <col min="7430" max="7431" width="11.5703125" style="76" customWidth="1"/>
    <col min="7432" max="7432" width="14" style="76" customWidth="1"/>
    <col min="7433" max="7679" width="11.42578125" style="76"/>
    <col min="7680" max="7680" width="12.7109375" style="76" customWidth="1"/>
    <col min="7681" max="7683" width="15.7109375" style="76" customWidth="1"/>
    <col min="7684" max="7685" width="10.7109375" style="76" customWidth="1"/>
    <col min="7686" max="7687" width="11.5703125" style="76" customWidth="1"/>
    <col min="7688" max="7688" width="14" style="76" customWidth="1"/>
    <col min="7689" max="7935" width="11.42578125" style="76"/>
    <col min="7936" max="7936" width="12.7109375" style="76" customWidth="1"/>
    <col min="7937" max="7939" width="15.7109375" style="76" customWidth="1"/>
    <col min="7940" max="7941" width="10.7109375" style="76" customWidth="1"/>
    <col min="7942" max="7943" width="11.5703125" style="76" customWidth="1"/>
    <col min="7944" max="7944" width="14" style="76" customWidth="1"/>
    <col min="7945" max="8191" width="11.42578125" style="76"/>
    <col min="8192" max="8192" width="12.7109375" style="76" customWidth="1"/>
    <col min="8193" max="8195" width="15.7109375" style="76" customWidth="1"/>
    <col min="8196" max="8197" width="10.7109375" style="76" customWidth="1"/>
    <col min="8198" max="8199" width="11.5703125" style="76" customWidth="1"/>
    <col min="8200" max="8200" width="14" style="76" customWidth="1"/>
    <col min="8201" max="8447" width="11.42578125" style="76"/>
    <col min="8448" max="8448" width="12.7109375" style="76" customWidth="1"/>
    <col min="8449" max="8451" width="15.7109375" style="76" customWidth="1"/>
    <col min="8452" max="8453" width="10.7109375" style="76" customWidth="1"/>
    <col min="8454" max="8455" width="11.5703125" style="76" customWidth="1"/>
    <col min="8456" max="8456" width="14" style="76" customWidth="1"/>
    <col min="8457" max="8703" width="11.42578125" style="76"/>
    <col min="8704" max="8704" width="12.7109375" style="76" customWidth="1"/>
    <col min="8705" max="8707" width="15.7109375" style="76" customWidth="1"/>
    <col min="8708" max="8709" width="10.7109375" style="76" customWidth="1"/>
    <col min="8710" max="8711" width="11.5703125" style="76" customWidth="1"/>
    <col min="8712" max="8712" width="14" style="76" customWidth="1"/>
    <col min="8713" max="8959" width="11.42578125" style="76"/>
    <col min="8960" max="8960" width="12.7109375" style="76" customWidth="1"/>
    <col min="8961" max="8963" width="15.7109375" style="76" customWidth="1"/>
    <col min="8964" max="8965" width="10.7109375" style="76" customWidth="1"/>
    <col min="8966" max="8967" width="11.5703125" style="76" customWidth="1"/>
    <col min="8968" max="8968" width="14" style="76" customWidth="1"/>
    <col min="8969" max="9215" width="11.42578125" style="76"/>
    <col min="9216" max="9216" width="12.7109375" style="76" customWidth="1"/>
    <col min="9217" max="9219" width="15.7109375" style="76" customWidth="1"/>
    <col min="9220" max="9221" width="10.7109375" style="76" customWidth="1"/>
    <col min="9222" max="9223" width="11.5703125" style="76" customWidth="1"/>
    <col min="9224" max="9224" width="14" style="76" customWidth="1"/>
    <col min="9225" max="9471" width="11.42578125" style="76"/>
    <col min="9472" max="9472" width="12.7109375" style="76" customWidth="1"/>
    <col min="9473" max="9475" width="15.7109375" style="76" customWidth="1"/>
    <col min="9476" max="9477" width="10.7109375" style="76" customWidth="1"/>
    <col min="9478" max="9479" width="11.5703125" style="76" customWidth="1"/>
    <col min="9480" max="9480" width="14" style="76" customWidth="1"/>
    <col min="9481" max="9727" width="11.42578125" style="76"/>
    <col min="9728" max="9728" width="12.7109375" style="76" customWidth="1"/>
    <col min="9729" max="9731" width="15.7109375" style="76" customWidth="1"/>
    <col min="9732" max="9733" width="10.7109375" style="76" customWidth="1"/>
    <col min="9734" max="9735" width="11.5703125" style="76" customWidth="1"/>
    <col min="9736" max="9736" width="14" style="76" customWidth="1"/>
    <col min="9737" max="9983" width="11.42578125" style="76"/>
    <col min="9984" max="9984" width="12.7109375" style="76" customWidth="1"/>
    <col min="9985" max="9987" width="15.7109375" style="76" customWidth="1"/>
    <col min="9988" max="9989" width="10.7109375" style="76" customWidth="1"/>
    <col min="9990" max="9991" width="11.5703125" style="76" customWidth="1"/>
    <col min="9992" max="9992" width="14" style="76" customWidth="1"/>
    <col min="9993" max="10239" width="11.42578125" style="76"/>
    <col min="10240" max="10240" width="12.7109375" style="76" customWidth="1"/>
    <col min="10241" max="10243" width="15.7109375" style="76" customWidth="1"/>
    <col min="10244" max="10245" width="10.7109375" style="76" customWidth="1"/>
    <col min="10246" max="10247" width="11.5703125" style="76" customWidth="1"/>
    <col min="10248" max="10248" width="14" style="76" customWidth="1"/>
    <col min="10249" max="10495" width="11.42578125" style="76"/>
    <col min="10496" max="10496" width="12.7109375" style="76" customWidth="1"/>
    <col min="10497" max="10499" width="15.7109375" style="76" customWidth="1"/>
    <col min="10500" max="10501" width="10.7109375" style="76" customWidth="1"/>
    <col min="10502" max="10503" width="11.5703125" style="76" customWidth="1"/>
    <col min="10504" max="10504" width="14" style="76" customWidth="1"/>
    <col min="10505" max="10751" width="11.42578125" style="76"/>
    <col min="10752" max="10752" width="12.7109375" style="76" customWidth="1"/>
    <col min="10753" max="10755" width="15.7109375" style="76" customWidth="1"/>
    <col min="10756" max="10757" width="10.7109375" style="76" customWidth="1"/>
    <col min="10758" max="10759" width="11.5703125" style="76" customWidth="1"/>
    <col min="10760" max="10760" width="14" style="76" customWidth="1"/>
    <col min="10761" max="11007" width="11.42578125" style="76"/>
    <col min="11008" max="11008" width="12.7109375" style="76" customWidth="1"/>
    <col min="11009" max="11011" width="15.7109375" style="76" customWidth="1"/>
    <col min="11012" max="11013" width="10.7109375" style="76" customWidth="1"/>
    <col min="11014" max="11015" width="11.5703125" style="76" customWidth="1"/>
    <col min="11016" max="11016" width="14" style="76" customWidth="1"/>
    <col min="11017" max="11263" width="11.42578125" style="76"/>
    <col min="11264" max="11264" width="12.7109375" style="76" customWidth="1"/>
    <col min="11265" max="11267" width="15.7109375" style="76" customWidth="1"/>
    <col min="11268" max="11269" width="10.7109375" style="76" customWidth="1"/>
    <col min="11270" max="11271" width="11.5703125" style="76" customWidth="1"/>
    <col min="11272" max="11272" width="14" style="76" customWidth="1"/>
    <col min="11273" max="11519" width="11.42578125" style="76"/>
    <col min="11520" max="11520" width="12.7109375" style="76" customWidth="1"/>
    <col min="11521" max="11523" width="15.7109375" style="76" customWidth="1"/>
    <col min="11524" max="11525" width="10.7109375" style="76" customWidth="1"/>
    <col min="11526" max="11527" width="11.5703125" style="76" customWidth="1"/>
    <col min="11528" max="11528" width="14" style="76" customWidth="1"/>
    <col min="11529" max="11775" width="11.42578125" style="76"/>
    <col min="11776" max="11776" width="12.7109375" style="76" customWidth="1"/>
    <col min="11777" max="11779" width="15.7109375" style="76" customWidth="1"/>
    <col min="11780" max="11781" width="10.7109375" style="76" customWidth="1"/>
    <col min="11782" max="11783" width="11.5703125" style="76" customWidth="1"/>
    <col min="11784" max="11784" width="14" style="76" customWidth="1"/>
    <col min="11785" max="12031" width="11.42578125" style="76"/>
    <col min="12032" max="12032" width="12.7109375" style="76" customWidth="1"/>
    <col min="12033" max="12035" width="15.7109375" style="76" customWidth="1"/>
    <col min="12036" max="12037" width="10.7109375" style="76" customWidth="1"/>
    <col min="12038" max="12039" width="11.5703125" style="76" customWidth="1"/>
    <col min="12040" max="12040" width="14" style="76" customWidth="1"/>
    <col min="12041" max="12287" width="11.42578125" style="76"/>
    <col min="12288" max="12288" width="12.7109375" style="76" customWidth="1"/>
    <col min="12289" max="12291" width="15.7109375" style="76" customWidth="1"/>
    <col min="12292" max="12293" width="10.7109375" style="76" customWidth="1"/>
    <col min="12294" max="12295" width="11.5703125" style="76" customWidth="1"/>
    <col min="12296" max="12296" width="14" style="76" customWidth="1"/>
    <col min="12297" max="12543" width="11.42578125" style="76"/>
    <col min="12544" max="12544" width="12.7109375" style="76" customWidth="1"/>
    <col min="12545" max="12547" width="15.7109375" style="76" customWidth="1"/>
    <col min="12548" max="12549" width="10.7109375" style="76" customWidth="1"/>
    <col min="12550" max="12551" width="11.5703125" style="76" customWidth="1"/>
    <col min="12552" max="12552" width="14" style="76" customWidth="1"/>
    <col min="12553" max="12799" width="11.42578125" style="76"/>
    <col min="12800" max="12800" width="12.7109375" style="76" customWidth="1"/>
    <col min="12801" max="12803" width="15.7109375" style="76" customWidth="1"/>
    <col min="12804" max="12805" width="10.7109375" style="76" customWidth="1"/>
    <col min="12806" max="12807" width="11.5703125" style="76" customWidth="1"/>
    <col min="12808" max="12808" width="14" style="76" customWidth="1"/>
    <col min="12809" max="13055" width="11.42578125" style="76"/>
    <col min="13056" max="13056" width="12.7109375" style="76" customWidth="1"/>
    <col min="13057" max="13059" width="15.7109375" style="76" customWidth="1"/>
    <col min="13060" max="13061" width="10.7109375" style="76" customWidth="1"/>
    <col min="13062" max="13063" width="11.5703125" style="76" customWidth="1"/>
    <col min="13064" max="13064" width="14" style="76" customWidth="1"/>
    <col min="13065" max="13311" width="11.42578125" style="76"/>
    <col min="13312" max="13312" width="12.7109375" style="76" customWidth="1"/>
    <col min="13313" max="13315" width="15.7109375" style="76" customWidth="1"/>
    <col min="13316" max="13317" width="10.7109375" style="76" customWidth="1"/>
    <col min="13318" max="13319" width="11.5703125" style="76" customWidth="1"/>
    <col min="13320" max="13320" width="14" style="76" customWidth="1"/>
    <col min="13321" max="13567" width="11.42578125" style="76"/>
    <col min="13568" max="13568" width="12.7109375" style="76" customWidth="1"/>
    <col min="13569" max="13571" width="15.7109375" style="76" customWidth="1"/>
    <col min="13572" max="13573" width="10.7109375" style="76" customWidth="1"/>
    <col min="13574" max="13575" width="11.5703125" style="76" customWidth="1"/>
    <col min="13576" max="13576" width="14" style="76" customWidth="1"/>
    <col min="13577" max="13823" width="11.42578125" style="76"/>
    <col min="13824" max="13824" width="12.7109375" style="76" customWidth="1"/>
    <col min="13825" max="13827" width="15.7109375" style="76" customWidth="1"/>
    <col min="13828" max="13829" width="10.7109375" style="76" customWidth="1"/>
    <col min="13830" max="13831" width="11.5703125" style="76" customWidth="1"/>
    <col min="13832" max="13832" width="14" style="76" customWidth="1"/>
    <col min="13833" max="14079" width="11.42578125" style="76"/>
    <col min="14080" max="14080" width="12.7109375" style="76" customWidth="1"/>
    <col min="14081" max="14083" width="15.7109375" style="76" customWidth="1"/>
    <col min="14084" max="14085" width="10.7109375" style="76" customWidth="1"/>
    <col min="14086" max="14087" width="11.5703125" style="76" customWidth="1"/>
    <col min="14088" max="14088" width="14" style="76" customWidth="1"/>
    <col min="14089" max="14335" width="11.42578125" style="76"/>
    <col min="14336" max="14336" width="12.7109375" style="76" customWidth="1"/>
    <col min="14337" max="14339" width="15.7109375" style="76" customWidth="1"/>
    <col min="14340" max="14341" width="10.7109375" style="76" customWidth="1"/>
    <col min="14342" max="14343" width="11.5703125" style="76" customWidth="1"/>
    <col min="14344" max="14344" width="14" style="76" customWidth="1"/>
    <col min="14345" max="14591" width="11.42578125" style="76"/>
    <col min="14592" max="14592" width="12.7109375" style="76" customWidth="1"/>
    <col min="14593" max="14595" width="15.7109375" style="76" customWidth="1"/>
    <col min="14596" max="14597" width="10.7109375" style="76" customWidth="1"/>
    <col min="14598" max="14599" width="11.5703125" style="76" customWidth="1"/>
    <col min="14600" max="14600" width="14" style="76" customWidth="1"/>
    <col min="14601" max="14847" width="11.42578125" style="76"/>
    <col min="14848" max="14848" width="12.7109375" style="76" customWidth="1"/>
    <col min="14849" max="14851" width="15.7109375" style="76" customWidth="1"/>
    <col min="14852" max="14853" width="10.7109375" style="76" customWidth="1"/>
    <col min="14854" max="14855" width="11.5703125" style="76" customWidth="1"/>
    <col min="14856" max="14856" width="14" style="76" customWidth="1"/>
    <col min="14857" max="15103" width="11.42578125" style="76"/>
    <col min="15104" max="15104" width="12.7109375" style="76" customWidth="1"/>
    <col min="15105" max="15107" width="15.7109375" style="76" customWidth="1"/>
    <col min="15108" max="15109" width="10.7109375" style="76" customWidth="1"/>
    <col min="15110" max="15111" width="11.5703125" style="76" customWidth="1"/>
    <col min="15112" max="15112" width="14" style="76" customWidth="1"/>
    <col min="15113" max="15359" width="11.42578125" style="76"/>
    <col min="15360" max="15360" width="12.7109375" style="76" customWidth="1"/>
    <col min="15361" max="15363" width="15.7109375" style="76" customWidth="1"/>
    <col min="15364" max="15365" width="10.7109375" style="76" customWidth="1"/>
    <col min="15366" max="15367" width="11.5703125" style="76" customWidth="1"/>
    <col min="15368" max="15368" width="14" style="76" customWidth="1"/>
    <col min="15369" max="15615" width="11.42578125" style="76"/>
    <col min="15616" max="15616" width="12.7109375" style="76" customWidth="1"/>
    <col min="15617" max="15619" width="15.7109375" style="76" customWidth="1"/>
    <col min="15620" max="15621" width="10.7109375" style="76" customWidth="1"/>
    <col min="15622" max="15623" width="11.5703125" style="76" customWidth="1"/>
    <col min="15624" max="15624" width="14" style="76" customWidth="1"/>
    <col min="15625" max="15871" width="11.42578125" style="76"/>
    <col min="15872" max="15872" width="12.7109375" style="76" customWidth="1"/>
    <col min="15873" max="15875" width="15.7109375" style="76" customWidth="1"/>
    <col min="15876" max="15877" width="10.7109375" style="76" customWidth="1"/>
    <col min="15878" max="15879" width="11.5703125" style="76" customWidth="1"/>
    <col min="15880" max="15880" width="14" style="76" customWidth="1"/>
    <col min="15881" max="16127" width="11.42578125" style="76"/>
    <col min="16128" max="16128" width="12.7109375" style="76" customWidth="1"/>
    <col min="16129" max="16131" width="15.7109375" style="76" customWidth="1"/>
    <col min="16132" max="16133" width="10.7109375" style="76" customWidth="1"/>
    <col min="16134" max="16135" width="11.5703125" style="76" customWidth="1"/>
    <col min="16136" max="16136" width="14" style="76" customWidth="1"/>
    <col min="16137" max="16384" width="11.42578125" style="76"/>
  </cols>
  <sheetData>
    <row r="1" spans="1:12">
      <c r="A1" s="894" t="s">
        <v>187</v>
      </c>
      <c r="B1" s="894"/>
      <c r="C1" s="894"/>
      <c r="D1" s="894"/>
      <c r="E1" s="894"/>
      <c r="F1" s="894"/>
      <c r="G1" s="894"/>
      <c r="H1" s="894"/>
      <c r="I1" s="894"/>
      <c r="J1" s="894"/>
    </row>
    <row r="2" spans="1:12">
      <c r="A2" s="220" t="s">
        <v>277</v>
      </c>
      <c r="B2" s="220" t="s">
        <v>279</v>
      </c>
      <c r="C2" s="220" t="s">
        <v>278</v>
      </c>
    </row>
    <row r="3" spans="1:12" ht="15" customHeight="1">
      <c r="A3" s="311">
        <f>DONNEES!E13</f>
        <v>43435</v>
      </c>
      <c r="B3" s="221" t="str">
        <f>DONNEES!G13</f>
        <v>BT01</v>
      </c>
      <c r="C3" s="279">
        <f>DONNEES!G14</f>
        <v>102</v>
      </c>
      <c r="E3" s="78"/>
      <c r="F3" s="78"/>
    </row>
    <row r="4" spans="1:12" ht="9.75" customHeight="1" thickBot="1"/>
    <row r="5" spans="1:12" ht="38.25" customHeight="1" thickBot="1">
      <c r="A5" s="896" t="s">
        <v>188</v>
      </c>
      <c r="B5" s="81" t="s">
        <v>288</v>
      </c>
      <c r="C5" s="81" t="s">
        <v>288</v>
      </c>
      <c r="D5" s="896" t="s">
        <v>189</v>
      </c>
      <c r="E5" s="896" t="s">
        <v>190</v>
      </c>
      <c r="F5" s="898" t="s">
        <v>191</v>
      </c>
      <c r="G5" s="900" t="s">
        <v>192</v>
      </c>
      <c r="H5" s="900" t="s">
        <v>193</v>
      </c>
      <c r="I5" s="239" t="s">
        <v>289</v>
      </c>
      <c r="J5" s="241" t="s">
        <v>289</v>
      </c>
      <c r="L5" s="479" t="s">
        <v>639</v>
      </c>
    </row>
    <row r="6" spans="1:12" ht="13.5" thickBot="1">
      <c r="A6" s="897"/>
      <c r="B6" s="238">
        <f>DONNEES!C17</f>
        <v>0.2</v>
      </c>
      <c r="C6" s="238">
        <f>DONNEES!E17</f>
        <v>0.1</v>
      </c>
      <c r="D6" s="897"/>
      <c r="E6" s="897"/>
      <c r="F6" s="899"/>
      <c r="G6" s="901"/>
      <c r="H6" s="901"/>
      <c r="I6" s="240">
        <f>DONNEES!C17</f>
        <v>0.2</v>
      </c>
      <c r="J6" s="284">
        <f>DONNEES!E17</f>
        <v>0.1</v>
      </c>
      <c r="K6" s="285" t="s">
        <v>290</v>
      </c>
      <c r="L6" s="460">
        <v>1</v>
      </c>
    </row>
    <row r="7" spans="1:12" ht="21.75" hidden="1" customHeight="1">
      <c r="A7" s="82">
        <v>1</v>
      </c>
      <c r="B7" s="280" t="str">
        <f>IF(F7&lt;&gt;"",SUM('CPP TITULAIRE-ST'!$D$150:$D$157),"0")</f>
        <v>0</v>
      </c>
      <c r="C7" s="280" t="str">
        <f>IF(F7&lt;&gt;0,SUM('CPP TITULAIRE-ST'!$E$150:$E$157),"0")</f>
        <v>0</v>
      </c>
      <c r="D7" s="302"/>
      <c r="E7" s="83">
        <f>$C$3</f>
        <v>102</v>
      </c>
      <c r="F7" s="281"/>
      <c r="G7" s="84">
        <f>IFERROR(SUM(DONNEES!$I$13+(DONNEES!$I$14*F7/E7)),0)</f>
        <v>0.15</v>
      </c>
      <c r="H7" s="85">
        <f>ROUND(G7,3)</f>
        <v>0.15</v>
      </c>
      <c r="I7" s="86" t="str">
        <f>IF(AND(K7="D",F7&lt;&gt;0),((B7*(H7))-B7),"")</f>
        <v/>
      </c>
      <c r="J7" s="86" t="str">
        <f>IF(AND(K7="D",F7&lt;&gt;0),((C7*(H7))-C7),"")</f>
        <v/>
      </c>
      <c r="K7" s="286"/>
      <c r="L7" s="700">
        <f>B7+C7</f>
        <v>0</v>
      </c>
    </row>
    <row r="8" spans="1:12" ht="21.75" hidden="1" customHeight="1">
      <c r="A8" s="82">
        <v>2</v>
      </c>
      <c r="B8" s="280" t="str">
        <f>IF(F8&lt;&gt;"",SUM('CPP TITULAIRE-ST'!$D$150:$D$157),"0")</f>
        <v>0</v>
      </c>
      <c r="C8" s="280" t="str">
        <f>IF(F8&lt;&gt;0,SUM('CPP TITULAIRE-ST'!$E$150:$E$157),"0")</f>
        <v>0</v>
      </c>
      <c r="D8" s="302"/>
      <c r="E8" s="83">
        <f t="shared" ref="E8:E46" si="0">$C$3</f>
        <v>102</v>
      </c>
      <c r="F8" s="281"/>
      <c r="G8" s="84">
        <f>IFERROR(SUM(DONNEES!$I$13+(DONNEES!$I$14*F8/E8)),0)</f>
        <v>0.15</v>
      </c>
      <c r="H8" s="85">
        <f t="shared" ref="H8:H14" si="1">ROUND(G8,3)</f>
        <v>0.15</v>
      </c>
      <c r="I8" s="86" t="str">
        <f t="shared" ref="I8:I46" si="2">IF(AND(K8="D",F8&lt;&gt;0),((B8*(H8))-B8),"")</f>
        <v/>
      </c>
      <c r="J8" s="86" t="str">
        <f t="shared" ref="J8:J46" si="3">IF(AND(K8="D",F8&lt;&gt;0),((C8*(H8))-C8),"")</f>
        <v/>
      </c>
      <c r="K8" s="286"/>
      <c r="L8" s="700">
        <f t="shared" ref="L8:L46" si="4">B8+C8</f>
        <v>0</v>
      </c>
    </row>
    <row r="9" spans="1:12" ht="21.75" hidden="1" customHeight="1">
      <c r="A9" s="82">
        <v>3</v>
      </c>
      <c r="B9" s="280" t="str">
        <f>IF(F9&lt;&gt;"",SUM('CPP TITULAIRE-ST'!$D$150:$D$157),"0")</f>
        <v>0</v>
      </c>
      <c r="C9" s="280" t="str">
        <f>IF(F9&lt;&gt;0,SUM('CPP TITULAIRE-ST'!$E$150:$E$157),"0")</f>
        <v>0</v>
      </c>
      <c r="D9" s="302"/>
      <c r="E9" s="83">
        <f t="shared" si="0"/>
        <v>102</v>
      </c>
      <c r="F9" s="281"/>
      <c r="G9" s="84">
        <f>IFERROR(SUM(DONNEES!$I$13+(DONNEES!$I$14*F9/E9)),0)</f>
        <v>0.15</v>
      </c>
      <c r="H9" s="85">
        <f t="shared" si="1"/>
        <v>0.15</v>
      </c>
      <c r="I9" s="86" t="str">
        <f t="shared" si="2"/>
        <v/>
      </c>
      <c r="J9" s="86" t="str">
        <f t="shared" si="3"/>
        <v/>
      </c>
      <c r="K9" s="286"/>
      <c r="L9" s="700">
        <f t="shared" si="4"/>
        <v>0</v>
      </c>
    </row>
    <row r="10" spans="1:12" ht="21.75" hidden="1" customHeight="1">
      <c r="A10" s="82">
        <v>4</v>
      </c>
      <c r="B10" s="280" t="str">
        <f>IF(F10&lt;&gt;"",SUM('CPP TITULAIRE-ST'!$D$150:$D$157),"0")</f>
        <v>0</v>
      </c>
      <c r="C10" s="280" t="str">
        <f>IF(F10&lt;&gt;0,SUM('CPP TITULAIRE-ST'!$E$150:$E$157),"0")</f>
        <v>0</v>
      </c>
      <c r="D10" s="302"/>
      <c r="E10" s="83">
        <f t="shared" si="0"/>
        <v>102</v>
      </c>
      <c r="F10" s="281"/>
      <c r="G10" s="84">
        <f>IFERROR(SUM(DONNEES!$I$13+(DONNEES!$I$14*F10/E10)),0)</f>
        <v>0.15</v>
      </c>
      <c r="H10" s="85">
        <f t="shared" si="1"/>
        <v>0.15</v>
      </c>
      <c r="I10" s="86" t="str">
        <f t="shared" si="2"/>
        <v/>
      </c>
      <c r="J10" s="86" t="str">
        <f t="shared" si="3"/>
        <v/>
      </c>
      <c r="K10" s="286"/>
      <c r="L10" s="700">
        <f t="shared" si="4"/>
        <v>0</v>
      </c>
    </row>
    <row r="11" spans="1:12" ht="21.75" hidden="1" customHeight="1">
      <c r="A11" s="82">
        <v>5</v>
      </c>
      <c r="B11" s="280" t="str">
        <f>IF(F11&lt;&gt;"",SUM('CPP TITULAIRE-ST'!$D$150:$D$157),"0")</f>
        <v>0</v>
      </c>
      <c r="C11" s="280" t="str">
        <f>IF(F11&lt;&gt;0,SUM('CPP TITULAIRE-ST'!$E$150:$E$157),"0")</f>
        <v>0</v>
      </c>
      <c r="D11" s="302"/>
      <c r="E11" s="83">
        <f t="shared" si="0"/>
        <v>102</v>
      </c>
      <c r="F11" s="281"/>
      <c r="G11" s="84">
        <f>IFERROR(SUM(DONNEES!$I$13+(DONNEES!$I$14*F11/E11)),0)</f>
        <v>0.15</v>
      </c>
      <c r="H11" s="85">
        <f t="shared" si="1"/>
        <v>0.15</v>
      </c>
      <c r="I11" s="86" t="str">
        <f t="shared" si="2"/>
        <v/>
      </c>
      <c r="J11" s="86" t="str">
        <f t="shared" si="3"/>
        <v/>
      </c>
      <c r="K11" s="286"/>
      <c r="L11" s="700">
        <f t="shared" si="4"/>
        <v>0</v>
      </c>
    </row>
    <row r="12" spans="1:12" ht="21.75" hidden="1" customHeight="1">
      <c r="A12" s="82">
        <v>6</v>
      </c>
      <c r="B12" s="280" t="str">
        <f>IF(F12&lt;&gt;"",SUM('CPP TITULAIRE-ST'!$D$150:$D$157),"0")</f>
        <v>0</v>
      </c>
      <c r="C12" s="280" t="str">
        <f>IF(F12&lt;&gt;0,SUM('CPP TITULAIRE-ST'!$E$150:$E$157),"0")</f>
        <v>0</v>
      </c>
      <c r="D12" s="302"/>
      <c r="E12" s="83">
        <f t="shared" si="0"/>
        <v>102</v>
      </c>
      <c r="F12" s="281"/>
      <c r="G12" s="84">
        <f>IFERROR(SUM(DONNEES!$I$13+(DONNEES!$I$14*F12/E12)),0)</f>
        <v>0.15</v>
      </c>
      <c r="H12" s="85">
        <f t="shared" si="1"/>
        <v>0.15</v>
      </c>
      <c r="I12" s="86" t="str">
        <f t="shared" si="2"/>
        <v/>
      </c>
      <c r="J12" s="86" t="str">
        <f t="shared" si="3"/>
        <v/>
      </c>
      <c r="K12" s="286"/>
      <c r="L12" s="700">
        <f t="shared" si="4"/>
        <v>0</v>
      </c>
    </row>
    <row r="13" spans="1:12" ht="21.75" hidden="1" customHeight="1">
      <c r="A13" s="87">
        <v>7</v>
      </c>
      <c r="B13" s="280" t="str">
        <f>IF(F13&lt;&gt;"",SUM('CPP TITULAIRE-ST'!$D$150:$D$157),"0")</f>
        <v>0</v>
      </c>
      <c r="C13" s="280" t="str">
        <f>IF(F13&lt;&gt;0,SUM('CPP TITULAIRE-ST'!$E$150:$E$157),"0")</f>
        <v>0</v>
      </c>
      <c r="D13" s="303"/>
      <c r="E13" s="83">
        <f t="shared" si="0"/>
        <v>102</v>
      </c>
      <c r="F13" s="282"/>
      <c r="G13" s="84">
        <f>IFERROR(SUM(DONNEES!$I$13+(DONNEES!$I$14*F13/E13)),0)</f>
        <v>0.15</v>
      </c>
      <c r="H13" s="85">
        <f t="shared" si="1"/>
        <v>0.15</v>
      </c>
      <c r="I13" s="86" t="str">
        <f t="shared" si="2"/>
        <v/>
      </c>
      <c r="J13" s="86" t="str">
        <f t="shared" si="3"/>
        <v/>
      </c>
      <c r="K13" s="286"/>
      <c r="L13" s="700">
        <f t="shared" si="4"/>
        <v>0</v>
      </c>
    </row>
    <row r="14" spans="1:12" ht="21.75" hidden="1" customHeight="1">
      <c r="A14" s="87">
        <v>8</v>
      </c>
      <c r="B14" s="280" t="str">
        <f>IF(F14&lt;&gt;"",SUM('CPP TITULAIRE-ST'!$D$150:$D$157),"0")</f>
        <v>0</v>
      </c>
      <c r="C14" s="280" t="str">
        <f>IF(F14&lt;&gt;0,SUM('CPP TITULAIRE-ST'!$E$150:$E$157),"0")</f>
        <v>0</v>
      </c>
      <c r="D14" s="303"/>
      <c r="E14" s="83">
        <f t="shared" si="0"/>
        <v>102</v>
      </c>
      <c r="F14" s="282"/>
      <c r="G14" s="84">
        <f>IFERROR(SUM(DONNEES!$I$13+(DONNEES!$I$14*F14/E14)),0)</f>
        <v>0.15</v>
      </c>
      <c r="H14" s="85">
        <f t="shared" si="1"/>
        <v>0.15</v>
      </c>
      <c r="I14" s="86" t="str">
        <f t="shared" si="2"/>
        <v/>
      </c>
      <c r="J14" s="86" t="str">
        <f t="shared" si="3"/>
        <v/>
      </c>
      <c r="K14" s="286"/>
      <c r="L14" s="700">
        <f t="shared" si="4"/>
        <v>0</v>
      </c>
    </row>
    <row r="15" spans="1:12" ht="21.75" hidden="1" customHeight="1">
      <c r="A15" s="87">
        <v>9</v>
      </c>
      <c r="B15" s="280" t="str">
        <f>IF(F15&lt;&gt;"",SUM('CPP TITULAIRE-ST'!$D$150:$D$157),"0")</f>
        <v>0</v>
      </c>
      <c r="C15" s="280" t="str">
        <f>IF(F15&lt;&gt;0,SUM('CPP TITULAIRE-ST'!$E$150:$E$157),"0")</f>
        <v>0</v>
      </c>
      <c r="D15" s="303"/>
      <c r="E15" s="83">
        <f t="shared" si="0"/>
        <v>102</v>
      </c>
      <c r="F15" s="282"/>
      <c r="G15" s="84">
        <f>IFERROR(SUM(DONNEES!$I$13+(DONNEES!$I$14*F15/E15)),0)</f>
        <v>0.15</v>
      </c>
      <c r="H15" s="85">
        <f t="shared" ref="H15:H39" si="5">ROUND(G15,3)</f>
        <v>0.15</v>
      </c>
      <c r="I15" s="86" t="str">
        <f t="shared" si="2"/>
        <v/>
      </c>
      <c r="J15" s="86" t="str">
        <f t="shared" si="3"/>
        <v/>
      </c>
      <c r="K15" s="286"/>
      <c r="L15" s="700">
        <f t="shared" si="4"/>
        <v>0</v>
      </c>
    </row>
    <row r="16" spans="1:12" ht="21.75" hidden="1" customHeight="1">
      <c r="A16" s="87">
        <v>10</v>
      </c>
      <c r="B16" s="280" t="str">
        <f>IF(F16&lt;&gt;"",SUM('CPP TITULAIRE-ST'!$D$150:$D$157),"0")</f>
        <v>0</v>
      </c>
      <c r="C16" s="280" t="str">
        <f>IF(F16&lt;&gt;0,SUM('CPP TITULAIRE-ST'!$E$150:$E$157),"0")</f>
        <v>0</v>
      </c>
      <c r="D16" s="303"/>
      <c r="E16" s="83">
        <f t="shared" si="0"/>
        <v>102</v>
      </c>
      <c r="F16" s="282"/>
      <c r="G16" s="84">
        <f>IFERROR(SUM(DONNEES!$I$13+(DONNEES!$I$14*F16/E16)),0)</f>
        <v>0.15</v>
      </c>
      <c r="H16" s="85">
        <f t="shared" si="5"/>
        <v>0.15</v>
      </c>
      <c r="I16" s="86" t="str">
        <f t="shared" si="2"/>
        <v/>
      </c>
      <c r="J16" s="86" t="str">
        <f t="shared" si="3"/>
        <v/>
      </c>
      <c r="K16" s="286"/>
      <c r="L16" s="700">
        <f t="shared" si="4"/>
        <v>0</v>
      </c>
    </row>
    <row r="17" spans="1:12" ht="21.75" hidden="1" customHeight="1">
      <c r="A17" s="87">
        <v>11</v>
      </c>
      <c r="B17" s="280" t="str">
        <f>IF(F17&lt;&gt;"",SUM('CPP TITULAIRE-ST'!$D$150:$D$157),"0")</f>
        <v>0</v>
      </c>
      <c r="C17" s="280" t="str">
        <f>IF(F17&lt;&gt;0,SUM('CPP TITULAIRE-ST'!$E$150:$E$157),"0")</f>
        <v>0</v>
      </c>
      <c r="D17" s="303"/>
      <c r="E17" s="83">
        <f t="shared" si="0"/>
        <v>102</v>
      </c>
      <c r="F17" s="282"/>
      <c r="G17" s="84">
        <f>IFERROR(SUM(DONNEES!$I$13+(DONNEES!$I$14*F17/E17)),0)</f>
        <v>0.15</v>
      </c>
      <c r="H17" s="85">
        <f t="shared" si="5"/>
        <v>0.15</v>
      </c>
      <c r="I17" s="86" t="str">
        <f t="shared" si="2"/>
        <v/>
      </c>
      <c r="J17" s="86" t="str">
        <f t="shared" si="3"/>
        <v/>
      </c>
      <c r="K17" s="286"/>
      <c r="L17" s="700">
        <f t="shared" si="4"/>
        <v>0</v>
      </c>
    </row>
    <row r="18" spans="1:12" ht="21.75" hidden="1" customHeight="1">
      <c r="A18" s="87">
        <v>12</v>
      </c>
      <c r="B18" s="280" t="str">
        <f>IF(F18&lt;&gt;"",SUM('CPP TITULAIRE-ST'!$D$150:$D$157),"0")</f>
        <v>0</v>
      </c>
      <c r="C18" s="280" t="str">
        <f>IF(F18&lt;&gt;0,SUM('CPP TITULAIRE-ST'!$E$150:$E$157),"0")</f>
        <v>0</v>
      </c>
      <c r="D18" s="303"/>
      <c r="E18" s="83">
        <f t="shared" si="0"/>
        <v>102</v>
      </c>
      <c r="F18" s="282"/>
      <c r="G18" s="84">
        <f>IFERROR(SUM(DONNEES!$I$13+(DONNEES!$I$14*F18/E18)),0)</f>
        <v>0.15</v>
      </c>
      <c r="H18" s="85">
        <f t="shared" si="5"/>
        <v>0.15</v>
      </c>
      <c r="I18" s="86" t="str">
        <f t="shared" si="2"/>
        <v/>
      </c>
      <c r="J18" s="86" t="str">
        <f t="shared" si="3"/>
        <v/>
      </c>
      <c r="K18" s="286"/>
      <c r="L18" s="700">
        <f t="shared" si="4"/>
        <v>0</v>
      </c>
    </row>
    <row r="19" spans="1:12" ht="21.75" hidden="1" customHeight="1">
      <c r="A19" s="87">
        <v>13</v>
      </c>
      <c r="B19" s="280" t="str">
        <f>IF(F19&lt;&gt;"",SUM('CPP TITULAIRE-ST'!$D$150:$D$157),"0")</f>
        <v>0</v>
      </c>
      <c r="C19" s="280" t="str">
        <f>IF(F19&lt;&gt;0,SUM('CPP TITULAIRE-ST'!$E$150:$E$157),"0")</f>
        <v>0</v>
      </c>
      <c r="D19" s="303"/>
      <c r="E19" s="83">
        <f t="shared" si="0"/>
        <v>102</v>
      </c>
      <c r="F19" s="282"/>
      <c r="G19" s="84">
        <f>IFERROR(SUM(DONNEES!$I$13+(DONNEES!$I$14*F19/E19)),0)</f>
        <v>0.15</v>
      </c>
      <c r="H19" s="85">
        <f t="shared" si="5"/>
        <v>0.15</v>
      </c>
      <c r="I19" s="86" t="str">
        <f t="shared" si="2"/>
        <v/>
      </c>
      <c r="J19" s="86" t="str">
        <f t="shared" si="3"/>
        <v/>
      </c>
      <c r="K19" s="286"/>
      <c r="L19" s="700">
        <f t="shared" si="4"/>
        <v>0</v>
      </c>
    </row>
    <row r="20" spans="1:12" ht="21.75" hidden="1" customHeight="1">
      <c r="A20" s="87">
        <v>14</v>
      </c>
      <c r="B20" s="280" t="str">
        <f>IF(F20&lt;&gt;"",SUM('CPP TITULAIRE-ST'!$D$150:$D$157),"0")</f>
        <v>0</v>
      </c>
      <c r="C20" s="280" t="str">
        <f>IF(F20&lt;&gt;0,SUM('CPP TITULAIRE-ST'!$E$150:$E$157),"0")</f>
        <v>0</v>
      </c>
      <c r="D20" s="303"/>
      <c r="E20" s="83">
        <f t="shared" si="0"/>
        <v>102</v>
      </c>
      <c r="F20" s="282"/>
      <c r="G20" s="84">
        <f>IFERROR(SUM(DONNEES!$I$13+(DONNEES!$I$14*F20/E20)),0)</f>
        <v>0.15</v>
      </c>
      <c r="H20" s="85">
        <f t="shared" si="5"/>
        <v>0.15</v>
      </c>
      <c r="I20" s="86" t="str">
        <f t="shared" si="2"/>
        <v/>
      </c>
      <c r="J20" s="86" t="str">
        <f t="shared" si="3"/>
        <v/>
      </c>
      <c r="K20" s="286"/>
      <c r="L20" s="700">
        <f t="shared" si="4"/>
        <v>0</v>
      </c>
    </row>
    <row r="21" spans="1:12" ht="21.75" hidden="1" customHeight="1">
      <c r="A21" s="87">
        <v>15</v>
      </c>
      <c r="B21" s="280" t="str">
        <f>IF(F21&lt;&gt;"",SUM('CPP TITULAIRE-ST'!$D$150:$D$157),"0")</f>
        <v>0</v>
      </c>
      <c r="C21" s="280" t="str">
        <f>IF(F21&lt;&gt;0,SUM('CPP TITULAIRE-ST'!$E$150:$E$157),"0")</f>
        <v>0</v>
      </c>
      <c r="D21" s="303"/>
      <c r="E21" s="83">
        <f t="shared" si="0"/>
        <v>102</v>
      </c>
      <c r="F21" s="282"/>
      <c r="G21" s="84">
        <f>IFERROR(SUM(DONNEES!$I$13+(DONNEES!$I$14*F21/E21)),0)</f>
        <v>0.15</v>
      </c>
      <c r="H21" s="85">
        <f t="shared" si="5"/>
        <v>0.15</v>
      </c>
      <c r="I21" s="86" t="str">
        <f t="shared" si="2"/>
        <v/>
      </c>
      <c r="J21" s="86" t="str">
        <f t="shared" si="3"/>
        <v/>
      </c>
      <c r="K21" s="286"/>
      <c r="L21" s="700">
        <f t="shared" si="4"/>
        <v>0</v>
      </c>
    </row>
    <row r="22" spans="1:12" ht="21.75" hidden="1" customHeight="1">
      <c r="A22" s="87">
        <v>16</v>
      </c>
      <c r="B22" s="280" t="str">
        <f>IF(F22&lt;&gt;"",SUM('CPP TITULAIRE-ST'!$D$150:$D$157),"0")</f>
        <v>0</v>
      </c>
      <c r="C22" s="280" t="str">
        <f>IF(F22&lt;&gt;0,SUM('CPP TITULAIRE-ST'!$E$150:$E$157),"0")</f>
        <v>0</v>
      </c>
      <c r="D22" s="303"/>
      <c r="E22" s="83">
        <f t="shared" si="0"/>
        <v>102</v>
      </c>
      <c r="F22" s="282"/>
      <c r="G22" s="84">
        <f>IFERROR(SUM(DONNEES!$I$13+(DONNEES!$I$14*F22/E22)),0)</f>
        <v>0.15</v>
      </c>
      <c r="H22" s="85">
        <f t="shared" si="5"/>
        <v>0.15</v>
      </c>
      <c r="I22" s="86" t="str">
        <f t="shared" si="2"/>
        <v/>
      </c>
      <c r="J22" s="86" t="str">
        <f t="shared" si="3"/>
        <v/>
      </c>
      <c r="K22" s="286"/>
      <c r="L22" s="700">
        <f t="shared" si="4"/>
        <v>0</v>
      </c>
    </row>
    <row r="23" spans="1:12" ht="21.75" hidden="1" customHeight="1">
      <c r="A23" s="87">
        <v>17</v>
      </c>
      <c r="B23" s="280" t="str">
        <f>IF(F23&lt;&gt;"",SUM('CPP TITULAIRE-ST'!$D$150:$D$157),"0")</f>
        <v>0</v>
      </c>
      <c r="C23" s="280" t="str">
        <f>IF(F23&lt;&gt;0,SUM('CPP TITULAIRE-ST'!$E$150:$E$157),"0")</f>
        <v>0</v>
      </c>
      <c r="D23" s="303"/>
      <c r="E23" s="83">
        <f t="shared" si="0"/>
        <v>102</v>
      </c>
      <c r="F23" s="282"/>
      <c r="G23" s="84">
        <f>IFERROR(SUM(DONNEES!$I$13+(DONNEES!$I$14*F23/E23)),0)</f>
        <v>0.15</v>
      </c>
      <c r="H23" s="85">
        <f t="shared" si="5"/>
        <v>0.15</v>
      </c>
      <c r="I23" s="86" t="str">
        <f t="shared" si="2"/>
        <v/>
      </c>
      <c r="J23" s="86" t="str">
        <f t="shared" si="3"/>
        <v/>
      </c>
      <c r="K23" s="286"/>
      <c r="L23" s="700">
        <f t="shared" si="4"/>
        <v>0</v>
      </c>
    </row>
    <row r="24" spans="1:12" ht="21.75" hidden="1" customHeight="1">
      <c r="A24" s="87">
        <v>18</v>
      </c>
      <c r="B24" s="280" t="str">
        <f>IF(F24&lt;&gt;"",SUM('CPP TITULAIRE-ST'!$D$150:$D$157),"0")</f>
        <v>0</v>
      </c>
      <c r="C24" s="280" t="str">
        <f>IF(F24&lt;&gt;0,SUM('CPP TITULAIRE-ST'!$E$150:$E$157),"0")</f>
        <v>0</v>
      </c>
      <c r="D24" s="303"/>
      <c r="E24" s="83">
        <f t="shared" si="0"/>
        <v>102</v>
      </c>
      <c r="F24" s="282"/>
      <c r="G24" s="84">
        <f>IFERROR(SUM(DONNEES!$I$13+(DONNEES!$I$14*F24/E24)),0)</f>
        <v>0.15</v>
      </c>
      <c r="H24" s="85">
        <f t="shared" si="5"/>
        <v>0.15</v>
      </c>
      <c r="I24" s="86" t="str">
        <f t="shared" si="2"/>
        <v/>
      </c>
      <c r="J24" s="86" t="str">
        <f t="shared" si="3"/>
        <v/>
      </c>
      <c r="K24" s="286"/>
      <c r="L24" s="700">
        <f t="shared" si="4"/>
        <v>0</v>
      </c>
    </row>
    <row r="25" spans="1:12" ht="21.75" hidden="1" customHeight="1">
      <c r="A25" s="87">
        <v>19</v>
      </c>
      <c r="B25" s="280" t="str">
        <f>IF(F25&lt;&gt;"",SUM('CPP TITULAIRE-ST'!$D$150:$D$157),"0")</f>
        <v>0</v>
      </c>
      <c r="C25" s="280" t="str">
        <f>IF(F25&lt;&gt;0,SUM('CPP TITULAIRE-ST'!$E$150:$E$157),"0")</f>
        <v>0</v>
      </c>
      <c r="D25" s="303"/>
      <c r="E25" s="83">
        <f t="shared" si="0"/>
        <v>102</v>
      </c>
      <c r="F25" s="282"/>
      <c r="G25" s="84">
        <f>IFERROR(SUM(DONNEES!$I$13+(DONNEES!$I$14*F25/E25)),0)</f>
        <v>0.15</v>
      </c>
      <c r="H25" s="85">
        <f t="shared" si="5"/>
        <v>0.15</v>
      </c>
      <c r="I25" s="86" t="str">
        <f t="shared" si="2"/>
        <v/>
      </c>
      <c r="J25" s="86" t="str">
        <f t="shared" si="3"/>
        <v/>
      </c>
      <c r="K25" s="286"/>
      <c r="L25" s="700">
        <f t="shared" si="4"/>
        <v>0</v>
      </c>
    </row>
    <row r="26" spans="1:12" ht="21.75" hidden="1" customHeight="1">
      <c r="A26" s="87">
        <v>20</v>
      </c>
      <c r="B26" s="280" t="str">
        <f>IF(F26&lt;&gt;"",SUM('CPP TITULAIRE-ST'!$D$150:$D$157),"0")</f>
        <v>0</v>
      </c>
      <c r="C26" s="280" t="str">
        <f>IF(F26&lt;&gt;0,SUM('CPP TITULAIRE-ST'!$E$150:$E$157),"0")</f>
        <v>0</v>
      </c>
      <c r="D26" s="303"/>
      <c r="E26" s="83">
        <f t="shared" si="0"/>
        <v>102</v>
      </c>
      <c r="F26" s="282"/>
      <c r="G26" s="84">
        <f>IFERROR(SUM(DONNEES!$I$13+(DONNEES!$I$14*F26/E26)),0)</f>
        <v>0.15</v>
      </c>
      <c r="H26" s="85">
        <f t="shared" si="5"/>
        <v>0.15</v>
      </c>
      <c r="I26" s="86" t="str">
        <f t="shared" si="2"/>
        <v/>
      </c>
      <c r="J26" s="86" t="str">
        <f t="shared" si="3"/>
        <v/>
      </c>
      <c r="K26" s="286"/>
      <c r="L26" s="700">
        <f t="shared" si="4"/>
        <v>0</v>
      </c>
    </row>
    <row r="27" spans="1:12" ht="21.75" hidden="1" customHeight="1">
      <c r="A27" s="87">
        <v>21</v>
      </c>
      <c r="B27" s="280" t="str">
        <f>IF(F27&lt;&gt;"",SUM('CPP TITULAIRE-ST'!$D$150:$D$157),"0")</f>
        <v>0</v>
      </c>
      <c r="C27" s="280" t="str">
        <f>IF(F27&lt;&gt;0,SUM('CPP TITULAIRE-ST'!$E$150:$E$157),"0")</f>
        <v>0</v>
      </c>
      <c r="D27" s="303"/>
      <c r="E27" s="83">
        <f t="shared" si="0"/>
        <v>102</v>
      </c>
      <c r="F27" s="282"/>
      <c r="G27" s="84">
        <f>IFERROR(SUM(DONNEES!$I$13+(DONNEES!$I$14*F27/E27)),0)</f>
        <v>0.15</v>
      </c>
      <c r="H27" s="85">
        <f t="shared" si="5"/>
        <v>0.15</v>
      </c>
      <c r="I27" s="86" t="str">
        <f t="shared" si="2"/>
        <v/>
      </c>
      <c r="J27" s="86" t="str">
        <f t="shared" si="3"/>
        <v/>
      </c>
      <c r="K27" s="286"/>
      <c r="L27" s="700">
        <f t="shared" si="4"/>
        <v>0</v>
      </c>
    </row>
    <row r="28" spans="1:12" ht="21.75" hidden="1" customHeight="1">
      <c r="A28" s="87">
        <v>22</v>
      </c>
      <c r="B28" s="280" t="str">
        <f>IF(F28&lt;&gt;"",SUM('CPP TITULAIRE-ST'!$D$150:$D$157),"0")</f>
        <v>0</v>
      </c>
      <c r="C28" s="280" t="str">
        <f>IF(F28&lt;&gt;0,SUM('CPP TITULAIRE-ST'!$E$150:$E$157),"0")</f>
        <v>0</v>
      </c>
      <c r="D28" s="303"/>
      <c r="E28" s="83">
        <f t="shared" si="0"/>
        <v>102</v>
      </c>
      <c r="F28" s="282"/>
      <c r="G28" s="84">
        <f>IFERROR(SUM(DONNEES!$I$13+(DONNEES!$I$14*F28/E28)),0)</f>
        <v>0.15</v>
      </c>
      <c r="H28" s="85">
        <f t="shared" si="5"/>
        <v>0.15</v>
      </c>
      <c r="I28" s="86" t="str">
        <f t="shared" si="2"/>
        <v/>
      </c>
      <c r="J28" s="86" t="str">
        <f t="shared" si="3"/>
        <v/>
      </c>
      <c r="K28" s="286"/>
      <c r="L28" s="700">
        <f t="shared" si="4"/>
        <v>0</v>
      </c>
    </row>
    <row r="29" spans="1:12" ht="21.75" hidden="1" customHeight="1">
      <c r="A29" s="87">
        <v>23</v>
      </c>
      <c r="B29" s="280" t="str">
        <f>IF(F29&lt;&gt;"",SUM('CPP TITULAIRE-ST'!$D$150:$D$157),"0")</f>
        <v>0</v>
      </c>
      <c r="C29" s="280" t="str">
        <f>IF(F29&lt;&gt;0,SUM('CPP TITULAIRE-ST'!$E$150:$E$157),"0")</f>
        <v>0</v>
      </c>
      <c r="D29" s="303"/>
      <c r="E29" s="83">
        <f t="shared" si="0"/>
        <v>102</v>
      </c>
      <c r="F29" s="282"/>
      <c r="G29" s="84">
        <f>IFERROR(SUM(DONNEES!$I$13+(DONNEES!$I$14*F29/E29)),0)</f>
        <v>0.15</v>
      </c>
      <c r="H29" s="85">
        <f t="shared" si="5"/>
        <v>0.15</v>
      </c>
      <c r="I29" s="86" t="str">
        <f t="shared" si="2"/>
        <v/>
      </c>
      <c r="J29" s="86" t="str">
        <f t="shared" si="3"/>
        <v/>
      </c>
      <c r="K29" s="286"/>
      <c r="L29" s="700">
        <f t="shared" si="4"/>
        <v>0</v>
      </c>
    </row>
    <row r="30" spans="1:12" ht="21.75" hidden="1" customHeight="1">
      <c r="A30" s="87">
        <v>24</v>
      </c>
      <c r="B30" s="280" t="str">
        <f>IF(F30&lt;&gt;"",SUM('CPP TITULAIRE-ST'!$D$150:$D$157),"0")</f>
        <v>0</v>
      </c>
      <c r="C30" s="280" t="str">
        <f>IF(F30&lt;&gt;0,SUM('CPP TITULAIRE-ST'!$E$150:$E$157),"0")</f>
        <v>0</v>
      </c>
      <c r="D30" s="303"/>
      <c r="E30" s="83">
        <f t="shared" si="0"/>
        <v>102</v>
      </c>
      <c r="F30" s="282"/>
      <c r="G30" s="84">
        <f>IFERROR(SUM(DONNEES!$I$13+(DONNEES!$I$14*F30/E30)),0)</f>
        <v>0.15</v>
      </c>
      <c r="H30" s="85">
        <f t="shared" si="5"/>
        <v>0.15</v>
      </c>
      <c r="I30" s="86" t="str">
        <f t="shared" si="2"/>
        <v/>
      </c>
      <c r="J30" s="86" t="str">
        <f t="shared" si="3"/>
        <v/>
      </c>
      <c r="K30" s="286"/>
      <c r="L30" s="700">
        <f t="shared" si="4"/>
        <v>0</v>
      </c>
    </row>
    <row r="31" spans="1:12" ht="21.75" hidden="1" customHeight="1">
      <c r="A31" s="87">
        <v>25</v>
      </c>
      <c r="B31" s="280" t="str">
        <f>IF(F31&lt;&gt;"",SUM('CPP TITULAIRE-ST'!$D$150:$D$157),"0")</f>
        <v>0</v>
      </c>
      <c r="C31" s="280" t="str">
        <f>IF(F31&lt;&gt;0,SUM('CPP TITULAIRE-ST'!$E$150:$E$157),"0")</f>
        <v>0</v>
      </c>
      <c r="D31" s="303"/>
      <c r="E31" s="83">
        <f t="shared" si="0"/>
        <v>102</v>
      </c>
      <c r="F31" s="282"/>
      <c r="G31" s="84">
        <f>IFERROR(SUM(DONNEES!$I$13+(DONNEES!$I$14*F31/E31)),0)</f>
        <v>0.15</v>
      </c>
      <c r="H31" s="85">
        <f t="shared" si="5"/>
        <v>0.15</v>
      </c>
      <c r="I31" s="86" t="str">
        <f t="shared" si="2"/>
        <v/>
      </c>
      <c r="J31" s="86" t="str">
        <f t="shared" si="3"/>
        <v/>
      </c>
      <c r="K31" s="286"/>
      <c r="L31" s="700">
        <f t="shared" si="4"/>
        <v>0</v>
      </c>
    </row>
    <row r="32" spans="1:12" ht="21.75" hidden="1" customHeight="1">
      <c r="A32" s="87">
        <v>26</v>
      </c>
      <c r="B32" s="280" t="str">
        <f>IF(F32&lt;&gt;"",SUM('CPP TITULAIRE-ST'!$D$150:$D$157),"0")</f>
        <v>0</v>
      </c>
      <c r="C32" s="280" t="str">
        <f>IF(F32&lt;&gt;0,SUM('CPP TITULAIRE-ST'!$E$150:$E$157),"0")</f>
        <v>0</v>
      </c>
      <c r="D32" s="303"/>
      <c r="E32" s="83">
        <f t="shared" si="0"/>
        <v>102</v>
      </c>
      <c r="F32" s="282"/>
      <c r="G32" s="84">
        <f>IFERROR(SUM(DONNEES!$I$13+(DONNEES!$I$14*F32/E32)),0)</f>
        <v>0.15</v>
      </c>
      <c r="H32" s="85">
        <f t="shared" si="5"/>
        <v>0.15</v>
      </c>
      <c r="I32" s="86" t="str">
        <f t="shared" si="2"/>
        <v/>
      </c>
      <c r="J32" s="86" t="str">
        <f t="shared" si="3"/>
        <v/>
      </c>
      <c r="K32" s="286"/>
      <c r="L32" s="700">
        <f t="shared" si="4"/>
        <v>0</v>
      </c>
    </row>
    <row r="33" spans="1:12" ht="21.75" hidden="1" customHeight="1">
      <c r="A33" s="87">
        <v>27</v>
      </c>
      <c r="B33" s="280" t="str">
        <f>IF(F33&lt;&gt;"",SUM('CPP TITULAIRE-ST'!$D$150:$D$157),"0")</f>
        <v>0</v>
      </c>
      <c r="C33" s="280" t="str">
        <f>IF(F33&lt;&gt;0,SUM('CPP TITULAIRE-ST'!$E$150:$E$157),"0")</f>
        <v>0</v>
      </c>
      <c r="D33" s="303"/>
      <c r="E33" s="83">
        <f t="shared" si="0"/>
        <v>102</v>
      </c>
      <c r="F33" s="282"/>
      <c r="G33" s="84">
        <f>IFERROR(SUM(DONNEES!$I$13+(DONNEES!$I$14*F33/E33)),0)</f>
        <v>0.15</v>
      </c>
      <c r="H33" s="85">
        <f t="shared" si="5"/>
        <v>0.15</v>
      </c>
      <c r="I33" s="86" t="str">
        <f t="shared" si="2"/>
        <v/>
      </c>
      <c r="J33" s="86" t="str">
        <f t="shared" si="3"/>
        <v/>
      </c>
      <c r="K33" s="286"/>
      <c r="L33" s="700">
        <f t="shared" si="4"/>
        <v>0</v>
      </c>
    </row>
    <row r="34" spans="1:12" ht="21.75" hidden="1" customHeight="1">
      <c r="A34" s="87">
        <v>28</v>
      </c>
      <c r="B34" s="280" t="str">
        <f>IF(F34&lt;&gt;"",SUM('CPP TITULAIRE-ST'!$D$150:$D$157),"0")</f>
        <v>0</v>
      </c>
      <c r="C34" s="280" t="str">
        <f>IF(F34&lt;&gt;0,SUM('CPP TITULAIRE-ST'!$E$150:$E$157),"0")</f>
        <v>0</v>
      </c>
      <c r="D34" s="303"/>
      <c r="E34" s="83">
        <f t="shared" si="0"/>
        <v>102</v>
      </c>
      <c r="F34" s="282"/>
      <c r="G34" s="84">
        <f>IFERROR(SUM(DONNEES!$I$13+(DONNEES!$I$14*F34/E34)),0)</f>
        <v>0.15</v>
      </c>
      <c r="H34" s="85">
        <f t="shared" si="5"/>
        <v>0.15</v>
      </c>
      <c r="I34" s="86" t="str">
        <f t="shared" si="2"/>
        <v/>
      </c>
      <c r="J34" s="86" t="str">
        <f t="shared" si="3"/>
        <v/>
      </c>
      <c r="K34" s="286"/>
      <c r="L34" s="700">
        <f t="shared" si="4"/>
        <v>0</v>
      </c>
    </row>
    <row r="35" spans="1:12" ht="21.75" hidden="1" customHeight="1">
      <c r="A35" s="87">
        <v>29</v>
      </c>
      <c r="B35" s="280" t="str">
        <f>IF(F35&lt;&gt;"",SUM('CPP TITULAIRE-ST'!$D$150:$D$157),"0")</f>
        <v>0</v>
      </c>
      <c r="C35" s="280" t="str">
        <f>IF(F35&lt;&gt;0,SUM('CPP TITULAIRE-ST'!$E$150:$E$157),"0")</f>
        <v>0</v>
      </c>
      <c r="D35" s="303"/>
      <c r="E35" s="83">
        <f t="shared" si="0"/>
        <v>102</v>
      </c>
      <c r="F35" s="282"/>
      <c r="G35" s="84">
        <f>IFERROR(SUM(DONNEES!$I$13+(DONNEES!$I$14*F35/E35)),0)</f>
        <v>0.15</v>
      </c>
      <c r="H35" s="85">
        <f t="shared" si="5"/>
        <v>0.15</v>
      </c>
      <c r="I35" s="86" t="str">
        <f t="shared" si="2"/>
        <v/>
      </c>
      <c r="J35" s="86" t="str">
        <f t="shared" si="3"/>
        <v/>
      </c>
      <c r="K35" s="286"/>
      <c r="L35" s="700">
        <f t="shared" si="4"/>
        <v>0</v>
      </c>
    </row>
    <row r="36" spans="1:12" ht="21.75" hidden="1" customHeight="1">
      <c r="A36" s="87">
        <v>30</v>
      </c>
      <c r="B36" s="280" t="str">
        <f>IF(F36&lt;&gt;"",SUM('CPP TITULAIRE-ST'!$D$150:$D$157),"0")</f>
        <v>0</v>
      </c>
      <c r="C36" s="280" t="str">
        <f>IF(F36&lt;&gt;0,SUM('CPP TITULAIRE-ST'!$E$150:$E$157),"0")</f>
        <v>0</v>
      </c>
      <c r="D36" s="303"/>
      <c r="E36" s="83">
        <f t="shared" si="0"/>
        <v>102</v>
      </c>
      <c r="F36" s="282"/>
      <c r="G36" s="84">
        <f>IFERROR(SUM(DONNEES!$I$13+(DONNEES!$I$14*F36/E36)),0)</f>
        <v>0.15</v>
      </c>
      <c r="H36" s="85">
        <f t="shared" si="5"/>
        <v>0.15</v>
      </c>
      <c r="I36" s="86" t="str">
        <f t="shared" si="2"/>
        <v/>
      </c>
      <c r="J36" s="86" t="str">
        <f t="shared" si="3"/>
        <v/>
      </c>
      <c r="K36" s="286"/>
      <c r="L36" s="700">
        <f t="shared" si="4"/>
        <v>0</v>
      </c>
    </row>
    <row r="37" spans="1:12" ht="21.75" hidden="1" customHeight="1">
      <c r="A37" s="87">
        <v>31</v>
      </c>
      <c r="B37" s="280" t="str">
        <f>IF(F37&lt;&gt;"",SUM('CPP TITULAIRE-ST'!$D$150:$D$157),"0")</f>
        <v>0</v>
      </c>
      <c r="C37" s="280" t="str">
        <f>IF(F37&lt;&gt;0,SUM('CPP TITULAIRE-ST'!$E$150:$E$157),"0")</f>
        <v>0</v>
      </c>
      <c r="D37" s="303"/>
      <c r="E37" s="83">
        <f t="shared" si="0"/>
        <v>102</v>
      </c>
      <c r="F37" s="282"/>
      <c r="G37" s="84">
        <f>IFERROR(SUM(DONNEES!$I$13+(DONNEES!$I$14*F37/E37)),0)</f>
        <v>0.15</v>
      </c>
      <c r="H37" s="85">
        <f t="shared" si="5"/>
        <v>0.15</v>
      </c>
      <c r="I37" s="86" t="str">
        <f t="shared" si="2"/>
        <v/>
      </c>
      <c r="J37" s="86" t="str">
        <f t="shared" si="3"/>
        <v/>
      </c>
      <c r="K37" s="286"/>
      <c r="L37" s="700">
        <f t="shared" si="4"/>
        <v>0</v>
      </c>
    </row>
    <row r="38" spans="1:12" ht="21.75" hidden="1" customHeight="1">
      <c r="A38" s="87">
        <v>32</v>
      </c>
      <c r="B38" s="280" t="str">
        <f>IF(F38&lt;&gt;"",SUM('CPP TITULAIRE-ST'!$D$150:$D$157),"0")</f>
        <v>0</v>
      </c>
      <c r="C38" s="280" t="str">
        <f>IF(F38&lt;&gt;0,SUM('CPP TITULAIRE-ST'!$E$150:$E$157),"0")</f>
        <v>0</v>
      </c>
      <c r="D38" s="303"/>
      <c r="E38" s="83">
        <f t="shared" si="0"/>
        <v>102</v>
      </c>
      <c r="F38" s="282"/>
      <c r="G38" s="84">
        <f>IFERROR(SUM(DONNEES!$I$13+(DONNEES!$I$14*F38/E38)),0)</f>
        <v>0.15</v>
      </c>
      <c r="H38" s="85">
        <f t="shared" si="5"/>
        <v>0.15</v>
      </c>
      <c r="I38" s="86" t="str">
        <f t="shared" si="2"/>
        <v/>
      </c>
      <c r="J38" s="86" t="str">
        <f t="shared" si="3"/>
        <v/>
      </c>
      <c r="K38" s="286"/>
      <c r="L38" s="700">
        <f t="shared" si="4"/>
        <v>0</v>
      </c>
    </row>
    <row r="39" spans="1:12" ht="21.75" hidden="1" customHeight="1">
      <c r="A39" s="87">
        <v>33</v>
      </c>
      <c r="B39" s="280" t="str">
        <f>IF(F39&lt;&gt;"",SUM('CPP TITULAIRE-ST'!$D$150:$D$157),"0")</f>
        <v>0</v>
      </c>
      <c r="C39" s="280" t="str">
        <f>IF(F39&lt;&gt;0,SUM('CPP TITULAIRE-ST'!$E$150:$E$157),"0")</f>
        <v>0</v>
      </c>
      <c r="D39" s="303"/>
      <c r="E39" s="83">
        <f t="shared" si="0"/>
        <v>102</v>
      </c>
      <c r="F39" s="282"/>
      <c r="G39" s="84">
        <f>IFERROR(SUM(DONNEES!$I$13+(DONNEES!$I$14*F39/E39)),0)</f>
        <v>0.15</v>
      </c>
      <c r="H39" s="85">
        <f t="shared" si="5"/>
        <v>0.15</v>
      </c>
      <c r="I39" s="86" t="str">
        <f t="shared" si="2"/>
        <v/>
      </c>
      <c r="J39" s="86" t="str">
        <f t="shared" si="3"/>
        <v/>
      </c>
      <c r="K39" s="286"/>
      <c r="L39" s="700">
        <f t="shared" si="4"/>
        <v>0</v>
      </c>
    </row>
    <row r="40" spans="1:12" ht="21.75" hidden="1" customHeight="1">
      <c r="A40" s="87">
        <v>34</v>
      </c>
      <c r="B40" s="280" t="str">
        <f>IF(F40&lt;&gt;"",SUM('CPP TITULAIRE-ST'!$D$150:$D$157),"0")</f>
        <v>0</v>
      </c>
      <c r="C40" s="280" t="str">
        <f>IF(F40&lt;&gt;0,SUM('CPP TITULAIRE-ST'!$E$150:$E$157),"0")</f>
        <v>0</v>
      </c>
      <c r="D40" s="303"/>
      <c r="E40" s="83">
        <f t="shared" si="0"/>
        <v>102</v>
      </c>
      <c r="F40" s="282"/>
      <c r="G40" s="84">
        <f>IFERROR(SUM(DONNEES!$I$13+(DONNEES!$I$14*F40/E40)),0)</f>
        <v>0.15</v>
      </c>
      <c r="H40" s="85">
        <f t="shared" ref="H40:H46" si="6">ROUND(G40,3)</f>
        <v>0.15</v>
      </c>
      <c r="I40" s="86" t="str">
        <f t="shared" si="2"/>
        <v/>
      </c>
      <c r="J40" s="86" t="str">
        <f t="shared" si="3"/>
        <v/>
      </c>
      <c r="K40" s="286"/>
      <c r="L40" s="700">
        <f t="shared" si="4"/>
        <v>0</v>
      </c>
    </row>
    <row r="41" spans="1:12" ht="21.75" hidden="1" customHeight="1">
      <c r="A41" s="87">
        <v>35</v>
      </c>
      <c r="B41" s="280" t="str">
        <f>IF(F41&lt;&gt;"",SUM('CPP TITULAIRE-ST'!$D$150:$D$157),"0")</f>
        <v>0</v>
      </c>
      <c r="C41" s="280" t="str">
        <f>IF(F41&lt;&gt;0,SUM('CPP TITULAIRE-ST'!$E$150:$E$157),"0")</f>
        <v>0</v>
      </c>
      <c r="D41" s="303"/>
      <c r="E41" s="83">
        <f t="shared" si="0"/>
        <v>102</v>
      </c>
      <c r="F41" s="282"/>
      <c r="G41" s="84">
        <f>IFERROR(SUM(DONNEES!$I$13+(DONNEES!$I$14*F41/E41)),0)</f>
        <v>0.15</v>
      </c>
      <c r="H41" s="85">
        <f t="shared" si="6"/>
        <v>0.15</v>
      </c>
      <c r="I41" s="86" t="str">
        <f t="shared" si="2"/>
        <v/>
      </c>
      <c r="J41" s="86" t="str">
        <f t="shared" si="3"/>
        <v/>
      </c>
      <c r="K41" s="286"/>
      <c r="L41" s="700">
        <f t="shared" si="4"/>
        <v>0</v>
      </c>
    </row>
    <row r="42" spans="1:12" ht="21.75" hidden="1" customHeight="1">
      <c r="A42" s="87">
        <v>36</v>
      </c>
      <c r="B42" s="280" t="str">
        <f>IF(F42&lt;&gt;"",SUM('CPP TITULAIRE-ST'!$D$150:$D$157),"0")</f>
        <v>0</v>
      </c>
      <c r="C42" s="280" t="str">
        <f>IF(F42&lt;&gt;0,SUM('CPP TITULAIRE-ST'!$E$150:$E$157),"0")</f>
        <v>0</v>
      </c>
      <c r="D42" s="303"/>
      <c r="E42" s="83">
        <f t="shared" si="0"/>
        <v>102</v>
      </c>
      <c r="F42" s="282"/>
      <c r="G42" s="84">
        <f>IFERROR(SUM(DONNEES!$I$13+(DONNEES!$I$14*F42/E42)),0)</f>
        <v>0.15</v>
      </c>
      <c r="H42" s="85">
        <f t="shared" si="6"/>
        <v>0.15</v>
      </c>
      <c r="I42" s="86" t="str">
        <f t="shared" si="2"/>
        <v/>
      </c>
      <c r="J42" s="86" t="str">
        <f t="shared" si="3"/>
        <v/>
      </c>
      <c r="K42" s="286"/>
      <c r="L42" s="700">
        <f t="shared" si="4"/>
        <v>0</v>
      </c>
    </row>
    <row r="43" spans="1:12" ht="21.75" hidden="1" customHeight="1">
      <c r="A43" s="87">
        <v>37</v>
      </c>
      <c r="B43" s="280" t="str">
        <f>IF(F43&lt;&gt;"",SUM('CPP TITULAIRE-ST'!$D$150:$D$157),"0")</f>
        <v>0</v>
      </c>
      <c r="C43" s="280" t="str">
        <f>IF(F43&lt;&gt;0,SUM('CPP TITULAIRE-ST'!$E$150:$E$157),"0")</f>
        <v>0</v>
      </c>
      <c r="D43" s="303"/>
      <c r="E43" s="83">
        <f t="shared" si="0"/>
        <v>102</v>
      </c>
      <c r="F43" s="282"/>
      <c r="G43" s="84">
        <f>IFERROR(SUM(DONNEES!$I$13+(DONNEES!$I$14*F43/E43)),0)</f>
        <v>0.15</v>
      </c>
      <c r="H43" s="85">
        <f t="shared" si="6"/>
        <v>0.15</v>
      </c>
      <c r="I43" s="86" t="str">
        <f t="shared" si="2"/>
        <v/>
      </c>
      <c r="J43" s="86" t="str">
        <f t="shared" si="3"/>
        <v/>
      </c>
      <c r="K43" s="286"/>
      <c r="L43" s="700">
        <f t="shared" si="4"/>
        <v>0</v>
      </c>
    </row>
    <row r="44" spans="1:12" ht="21.75" hidden="1" customHeight="1">
      <c r="A44" s="87">
        <v>38</v>
      </c>
      <c r="B44" s="280" t="str">
        <f>IF(F44&lt;&gt;"",SUM('CPP TITULAIRE-ST'!$D$150:$D$157),"0")</f>
        <v>0</v>
      </c>
      <c r="C44" s="280" t="str">
        <f>IF(F44&lt;&gt;0,SUM('CPP TITULAIRE-ST'!$E$150:$E$157),"0")</f>
        <v>0</v>
      </c>
      <c r="D44" s="303"/>
      <c r="E44" s="83">
        <f t="shared" si="0"/>
        <v>102</v>
      </c>
      <c r="F44" s="282"/>
      <c r="G44" s="84">
        <f>IFERROR(SUM(DONNEES!$I$13+(DONNEES!$I$14*F44/E44)),0)</f>
        <v>0.15</v>
      </c>
      <c r="H44" s="85">
        <f t="shared" si="6"/>
        <v>0.15</v>
      </c>
      <c r="I44" s="86" t="str">
        <f t="shared" si="2"/>
        <v/>
      </c>
      <c r="J44" s="86" t="str">
        <f t="shared" si="3"/>
        <v/>
      </c>
      <c r="K44" s="286"/>
      <c r="L44" s="700">
        <f t="shared" si="4"/>
        <v>0</v>
      </c>
    </row>
    <row r="45" spans="1:12" ht="21.75" hidden="1" customHeight="1">
      <c r="A45" s="87">
        <v>39</v>
      </c>
      <c r="B45" s="280" t="str">
        <f>IF(F45&lt;&gt;"",SUM('CPP TITULAIRE-ST'!$D$150:$D$157),"0")</f>
        <v>0</v>
      </c>
      <c r="C45" s="280" t="str">
        <f>IF(F45&lt;&gt;0,SUM('CPP TITULAIRE-ST'!$E$150:$E$157),"0")</f>
        <v>0</v>
      </c>
      <c r="D45" s="303"/>
      <c r="E45" s="83">
        <f t="shared" si="0"/>
        <v>102</v>
      </c>
      <c r="F45" s="282"/>
      <c r="G45" s="84">
        <f>IFERROR(SUM(DONNEES!$I$13+(DONNEES!$I$14*F45/E45)),0)</f>
        <v>0.15</v>
      </c>
      <c r="H45" s="85">
        <f t="shared" si="6"/>
        <v>0.15</v>
      </c>
      <c r="I45" s="86" t="str">
        <f t="shared" si="2"/>
        <v/>
      </c>
      <c r="J45" s="86" t="str">
        <f t="shared" si="3"/>
        <v/>
      </c>
      <c r="K45" s="286"/>
      <c r="L45" s="700">
        <f t="shared" si="4"/>
        <v>0</v>
      </c>
    </row>
    <row r="46" spans="1:12" ht="21.75" hidden="1" customHeight="1" thickBot="1">
      <c r="A46" s="87">
        <v>40</v>
      </c>
      <c r="B46" s="280" t="str">
        <f>IF(F46&lt;&gt;"",SUM('CPP TITULAIRE-ST'!$D$150:$D$157),"0")</f>
        <v>0</v>
      </c>
      <c r="C46" s="280" t="str">
        <f>IF(F46&lt;&gt;0,SUM('CPP TITULAIRE-ST'!$E$150:$E$157),"0")</f>
        <v>0</v>
      </c>
      <c r="D46" s="303"/>
      <c r="E46" s="83">
        <f t="shared" si="0"/>
        <v>102</v>
      </c>
      <c r="F46" s="282"/>
      <c r="G46" s="84">
        <f>IFERROR(SUM(DONNEES!$I$13+(DONNEES!$I$14*F46/E46)),0)</f>
        <v>0.15</v>
      </c>
      <c r="H46" s="85">
        <f t="shared" si="6"/>
        <v>0.15</v>
      </c>
      <c r="I46" s="86" t="str">
        <f t="shared" si="2"/>
        <v/>
      </c>
      <c r="J46" s="463" t="str">
        <f t="shared" si="3"/>
        <v/>
      </c>
      <c r="K46" s="286"/>
      <c r="L46" s="700">
        <f t="shared" si="4"/>
        <v>0</v>
      </c>
    </row>
    <row r="47" spans="1:12" s="94" customFormat="1" ht="19.5" customHeight="1" thickBot="1">
      <c r="A47" s="88" t="s">
        <v>196</v>
      </c>
      <c r="B47" s="89">
        <f>SUM(B7:B46)</f>
        <v>0</v>
      </c>
      <c r="C47" s="90">
        <f>SUM(C7:C46)</f>
        <v>0</v>
      </c>
      <c r="D47" s="91"/>
      <c r="E47" s="92"/>
      <c r="F47" s="93"/>
      <c r="G47" s="76"/>
      <c r="H47" s="88" t="s">
        <v>196</v>
      </c>
      <c r="I47" s="89">
        <f>SUM(I7:I46)</f>
        <v>0</v>
      </c>
      <c r="J47" s="464">
        <f>SUM(J7:J46)</f>
        <v>0</v>
      </c>
      <c r="K47" s="76"/>
      <c r="L47" s="462">
        <f>1</f>
        <v>1</v>
      </c>
    </row>
    <row r="48" spans="1:12" ht="18" customHeight="1" thickBot="1">
      <c r="A48" s="95" t="s">
        <v>197</v>
      </c>
      <c r="B48" s="96">
        <f>B47*20/100</f>
        <v>0</v>
      </c>
      <c r="C48" s="97">
        <f>C47*10/100</f>
        <v>0</v>
      </c>
      <c r="E48" s="98"/>
      <c r="F48" s="99"/>
      <c r="H48" s="467" t="s">
        <v>197</v>
      </c>
      <c r="I48" s="89">
        <f>I47*$I$6</f>
        <v>0</v>
      </c>
      <c r="J48" s="465">
        <f>J47*$J$6</f>
        <v>0</v>
      </c>
      <c r="L48" s="460">
        <f>1</f>
        <v>1</v>
      </c>
    </row>
    <row r="49" spans="1:14" ht="18" customHeight="1" thickBot="1">
      <c r="A49" s="95" t="s">
        <v>17</v>
      </c>
      <c r="B49" s="100">
        <f>B47+B48</f>
        <v>0</v>
      </c>
      <c r="C49" s="101">
        <f>SUM(C47:C48)</f>
        <v>0</v>
      </c>
      <c r="E49" s="98"/>
      <c r="F49" s="99"/>
      <c r="H49" s="467" t="s">
        <v>646</v>
      </c>
      <c r="I49" s="89">
        <f>SUM(I47:I48)</f>
        <v>0</v>
      </c>
      <c r="J49" s="465">
        <f>SUM(J47:J48)</f>
        <v>0</v>
      </c>
      <c r="L49" s="460">
        <f>1</f>
        <v>1</v>
      </c>
    </row>
    <row r="50" spans="1:14" ht="18" customHeight="1" thickBot="1">
      <c r="A50" s="102"/>
      <c r="B50" s="102"/>
      <c r="C50" s="99"/>
      <c r="E50" s="98"/>
      <c r="F50" s="99"/>
      <c r="H50" s="467" t="s">
        <v>647</v>
      </c>
      <c r="I50" s="89">
        <f>('CPP TITULAIRE-ST'!F160*I6)+'CPP TITULAIRE-ST'!F160</f>
        <v>0</v>
      </c>
      <c r="J50" s="465">
        <f>('CPP TITULAIRE-ST'!G160*J6)+'CPP TITULAIRE-ST'!G160</f>
        <v>0</v>
      </c>
    </row>
    <row r="51" spans="1:14" ht="17.100000000000001" customHeight="1" thickBot="1">
      <c r="A51" s="103" t="s">
        <v>198</v>
      </c>
      <c r="B51" s="103"/>
      <c r="D51" s="104" t="s">
        <v>199</v>
      </c>
      <c r="E51" s="104"/>
      <c r="H51" s="467" t="s">
        <v>645</v>
      </c>
      <c r="I51" s="89">
        <f>(I49-I50)/(1+(I6))</f>
        <v>0</v>
      </c>
      <c r="J51" s="466">
        <f>(J49-J50)/(1-(J6))</f>
        <v>0</v>
      </c>
      <c r="N51" s="468"/>
    </row>
    <row r="52" spans="1:14" ht="17.100000000000001" customHeight="1">
      <c r="A52" s="103"/>
      <c r="B52" s="103"/>
      <c r="D52" s="104"/>
      <c r="E52" s="104"/>
    </row>
    <row r="53" spans="1:14" ht="17.100000000000001" customHeight="1">
      <c r="A53" s="103"/>
      <c r="B53" s="103"/>
      <c r="D53" s="104"/>
      <c r="E53" s="104"/>
    </row>
    <row r="54" spans="1:14" ht="17.100000000000001" customHeight="1">
      <c r="A54" s="103"/>
      <c r="B54" s="103"/>
      <c r="D54" s="104"/>
      <c r="E54" s="104"/>
    </row>
    <row r="55" spans="1:14" ht="17.100000000000001" customHeight="1">
      <c r="A55" s="103"/>
      <c r="B55" s="103"/>
      <c r="D55" s="104"/>
      <c r="E55" s="104"/>
    </row>
    <row r="56" spans="1:14" ht="17.100000000000001" customHeight="1">
      <c r="A56" s="103"/>
      <c r="B56" s="103"/>
      <c r="D56" s="104"/>
      <c r="E56" s="104"/>
    </row>
    <row r="57" spans="1:14" ht="17.100000000000001" customHeight="1">
      <c r="A57" s="103"/>
      <c r="B57" s="103"/>
      <c r="D57" s="104"/>
      <c r="E57" s="104"/>
    </row>
    <row r="58" spans="1:14" ht="20.25" customHeight="1">
      <c r="C58" s="105"/>
      <c r="D58" s="106"/>
      <c r="E58" s="107"/>
    </row>
    <row r="59" spans="1:14" ht="19.5" customHeight="1">
      <c r="A59" s="895" t="s">
        <v>200</v>
      </c>
      <c r="B59" s="895"/>
      <c r="C59" s="895"/>
      <c r="D59" s="895"/>
      <c r="E59" s="895"/>
      <c r="F59" s="895"/>
      <c r="G59" s="895"/>
      <c r="H59" s="895"/>
      <c r="I59" s="895"/>
      <c r="J59" s="895"/>
    </row>
    <row r="60" spans="1:14" ht="19.5" customHeight="1" thickBot="1">
      <c r="A60" s="108"/>
      <c r="B60" s="107"/>
      <c r="C60" s="109"/>
      <c r="D60" s="110"/>
      <c r="E60" s="76"/>
    </row>
    <row r="61" spans="1:14" ht="45" customHeight="1" thickBot="1">
      <c r="A61" s="896" t="s">
        <v>188</v>
      </c>
      <c r="B61" s="81" t="s">
        <v>288</v>
      </c>
      <c r="C61" s="81" t="s">
        <v>288</v>
      </c>
      <c r="D61" s="896" t="s">
        <v>189</v>
      </c>
      <c r="E61" s="896" t="s">
        <v>190</v>
      </c>
      <c r="F61" s="898" t="s">
        <v>191</v>
      </c>
      <c r="G61" s="900" t="s">
        <v>192</v>
      </c>
      <c r="H61" s="900" t="s">
        <v>193</v>
      </c>
      <c r="I61" s="239" t="s">
        <v>289</v>
      </c>
      <c r="J61" s="241" t="s">
        <v>289</v>
      </c>
      <c r="L61" s="479" t="s">
        <v>639</v>
      </c>
    </row>
    <row r="62" spans="1:14" ht="19.5" customHeight="1" thickBot="1">
      <c r="A62" s="897"/>
      <c r="B62" s="238">
        <f>DONNEES!C17</f>
        <v>0.2</v>
      </c>
      <c r="C62" s="238">
        <f>DONNEES!E17</f>
        <v>0.1</v>
      </c>
      <c r="D62" s="897"/>
      <c r="E62" s="897"/>
      <c r="F62" s="899"/>
      <c r="G62" s="901"/>
      <c r="H62" s="901"/>
      <c r="I62" s="240">
        <f>DONNEES!C17</f>
        <v>0.2</v>
      </c>
      <c r="J62" s="240">
        <f>DONNEES!E17</f>
        <v>0.1</v>
      </c>
      <c r="K62" s="285" t="s">
        <v>290</v>
      </c>
      <c r="L62" s="460">
        <v>1</v>
      </c>
    </row>
    <row r="63" spans="1:14" ht="19.5" hidden="1" customHeight="1">
      <c r="A63" s="82">
        <v>1</v>
      </c>
      <c r="B63" s="280" t="str">
        <f>IF(F63&lt;&gt;0,SUM('CPP TITULAIRE-ST'!$D$172:$D$179),"0")</f>
        <v>0</v>
      </c>
      <c r="C63" s="280" t="str">
        <f>IF(F63&lt;&gt;0,SUM('CPP TITULAIRE-ST'!$E$172:$E$179),"0")</f>
        <v>0</v>
      </c>
      <c r="D63" s="302"/>
      <c r="E63" s="83">
        <f>$C$3</f>
        <v>102</v>
      </c>
      <c r="F63" s="281"/>
      <c r="G63" s="84">
        <f>IFERROR(SUM(DONNEES!$I$13+(DONNEES!$I$14*F63/E63)),0)</f>
        <v>0.15</v>
      </c>
      <c r="H63" s="85">
        <f>ROUND(G63,3)</f>
        <v>0.15</v>
      </c>
      <c r="I63" s="86" t="str">
        <f>IF(AND(K63="D",F63&lt;&gt;0),((B63*(H63))-B63),"")</f>
        <v/>
      </c>
      <c r="J63" s="86" t="str">
        <f>IF(AND(K63="D",F63&lt;&gt;0),((C63*(H63))-C63),"")</f>
        <v/>
      </c>
      <c r="K63" s="286"/>
      <c r="L63" s="461">
        <f>B63+C63</f>
        <v>0</v>
      </c>
    </row>
    <row r="64" spans="1:14" ht="19.5" hidden="1" customHeight="1">
      <c r="A64" s="82">
        <v>2</v>
      </c>
      <c r="B64" s="280" t="str">
        <f>IF(F64&lt;&gt;0,SUM('CPP TITULAIRE-ST'!$D$172:$D$179),"0")</f>
        <v>0</v>
      </c>
      <c r="C64" s="280" t="str">
        <f>IF(F64&lt;&gt;0,SUM('CPP TITULAIRE-ST'!$E$172:$E$179),"0")</f>
        <v>0</v>
      </c>
      <c r="D64" s="302"/>
      <c r="E64" s="83">
        <f t="shared" ref="E64:E102" si="7">$C$3</f>
        <v>102</v>
      </c>
      <c r="F64" s="281"/>
      <c r="G64" s="84">
        <f>IFERROR(SUM(DONNEES!$I$13+(DONNEES!$I$14*F64/E64)),0)</f>
        <v>0.15</v>
      </c>
      <c r="H64" s="85">
        <f t="shared" ref="H64:H102" si="8">ROUND(G64,3)</f>
        <v>0.15</v>
      </c>
      <c r="I64" s="86" t="str">
        <f t="shared" ref="I64:I102" si="9">IF(AND(K64="D",F64&lt;&gt;0),((B64*(H64))-B64),"")</f>
        <v/>
      </c>
      <c r="J64" s="86" t="str">
        <f t="shared" ref="J64:J102" si="10">IF(AND(K64="D",F64&lt;&gt;0),((C64*(H64))-C64),"")</f>
        <v/>
      </c>
      <c r="K64" s="286"/>
      <c r="L64" s="461">
        <f t="shared" ref="L64:L102" si="11">B64+C64</f>
        <v>0</v>
      </c>
    </row>
    <row r="65" spans="1:12" ht="19.5" hidden="1" customHeight="1">
      <c r="A65" s="82">
        <v>3</v>
      </c>
      <c r="B65" s="280" t="str">
        <f>IF(F65&lt;&gt;0,SUM('CPP TITULAIRE-ST'!$D$172:$D$179),"0")</f>
        <v>0</v>
      </c>
      <c r="C65" s="280" t="str">
        <f>IF(F65&lt;&gt;0,SUM('CPP TITULAIRE-ST'!$E$172:$E$179),"0")</f>
        <v>0</v>
      </c>
      <c r="D65" s="302"/>
      <c r="E65" s="83">
        <f t="shared" si="7"/>
        <v>102</v>
      </c>
      <c r="F65" s="281"/>
      <c r="G65" s="84">
        <f>IFERROR(SUM(DONNEES!$I$13+(DONNEES!$I$14*F65/E65)),0)</f>
        <v>0.15</v>
      </c>
      <c r="H65" s="85">
        <f t="shared" si="8"/>
        <v>0.15</v>
      </c>
      <c r="I65" s="86" t="str">
        <f t="shared" si="9"/>
        <v/>
      </c>
      <c r="J65" s="86" t="str">
        <f t="shared" si="10"/>
        <v/>
      </c>
      <c r="K65" s="286"/>
      <c r="L65" s="461">
        <f t="shared" si="11"/>
        <v>0</v>
      </c>
    </row>
    <row r="66" spans="1:12" ht="19.5" hidden="1" customHeight="1">
      <c r="A66" s="82">
        <v>4</v>
      </c>
      <c r="B66" s="280" t="str">
        <f>IF(F66&lt;&gt;0,SUM('CPP TITULAIRE-ST'!$D$172:$D$179),"0")</f>
        <v>0</v>
      </c>
      <c r="C66" s="280" t="str">
        <f>IF(F66&lt;&gt;0,SUM('CPP TITULAIRE-ST'!$E$172:$E$179),"0")</f>
        <v>0</v>
      </c>
      <c r="D66" s="302"/>
      <c r="E66" s="83">
        <f t="shared" si="7"/>
        <v>102</v>
      </c>
      <c r="F66" s="281"/>
      <c r="G66" s="84">
        <f>IFERROR(SUM(DONNEES!$I$13+(DONNEES!$I$14*F66/E66)),0)</f>
        <v>0.15</v>
      </c>
      <c r="H66" s="85">
        <f t="shared" si="8"/>
        <v>0.15</v>
      </c>
      <c r="I66" s="86" t="str">
        <f t="shared" si="9"/>
        <v/>
      </c>
      <c r="J66" s="86" t="str">
        <f t="shared" si="10"/>
        <v/>
      </c>
      <c r="K66" s="286"/>
      <c r="L66" s="461">
        <f t="shared" si="11"/>
        <v>0</v>
      </c>
    </row>
    <row r="67" spans="1:12" ht="19.5" hidden="1" customHeight="1">
      <c r="A67" s="82">
        <v>5</v>
      </c>
      <c r="B67" s="280" t="str">
        <f>IF(F67&lt;&gt;0,SUM('CPP TITULAIRE-ST'!$D$172:$D$179),"0")</f>
        <v>0</v>
      </c>
      <c r="C67" s="280" t="str">
        <f>IF(F67&lt;&gt;0,SUM('CPP TITULAIRE-ST'!$E$172:$E$179),"0")</f>
        <v>0</v>
      </c>
      <c r="D67" s="302"/>
      <c r="E67" s="83">
        <f t="shared" si="7"/>
        <v>102</v>
      </c>
      <c r="F67" s="281"/>
      <c r="G67" s="84">
        <f>IFERROR(SUM(DONNEES!$I$13+(DONNEES!$I$14*F67/E67)),0)</f>
        <v>0.15</v>
      </c>
      <c r="H67" s="85">
        <f t="shared" si="8"/>
        <v>0.15</v>
      </c>
      <c r="I67" s="86" t="str">
        <f t="shared" si="9"/>
        <v/>
      </c>
      <c r="J67" s="86" t="str">
        <f t="shared" si="10"/>
        <v/>
      </c>
      <c r="K67" s="286"/>
      <c r="L67" s="461">
        <f t="shared" si="11"/>
        <v>0</v>
      </c>
    </row>
    <row r="68" spans="1:12" ht="19.5" hidden="1" customHeight="1">
      <c r="A68" s="82">
        <v>6</v>
      </c>
      <c r="B68" s="280" t="str">
        <f>IF(F68&lt;&gt;0,SUM('CPP TITULAIRE-ST'!$D$172:$D$179),"0")</f>
        <v>0</v>
      </c>
      <c r="C68" s="280" t="str">
        <f>IF(F68&lt;&gt;0,SUM('CPP TITULAIRE-ST'!$E$172:$E$179),"0")</f>
        <v>0</v>
      </c>
      <c r="D68" s="302"/>
      <c r="E68" s="83">
        <f t="shared" si="7"/>
        <v>102</v>
      </c>
      <c r="F68" s="281"/>
      <c r="G68" s="84">
        <f>IFERROR(SUM(DONNEES!$I$13+(DONNEES!$I$14*F68/E68)),0)</f>
        <v>0.15</v>
      </c>
      <c r="H68" s="85">
        <f t="shared" si="8"/>
        <v>0.15</v>
      </c>
      <c r="I68" s="86" t="str">
        <f t="shared" si="9"/>
        <v/>
      </c>
      <c r="J68" s="86" t="str">
        <f t="shared" si="10"/>
        <v/>
      </c>
      <c r="K68" s="286"/>
      <c r="L68" s="461">
        <f t="shared" si="11"/>
        <v>0</v>
      </c>
    </row>
    <row r="69" spans="1:12" ht="19.5" hidden="1" customHeight="1">
      <c r="A69" s="87">
        <v>7</v>
      </c>
      <c r="B69" s="280" t="str">
        <f>IF(F69&lt;&gt;0,SUM('CPP TITULAIRE-ST'!$D$172:$D$179),"0")</f>
        <v>0</v>
      </c>
      <c r="C69" s="280" t="str">
        <f>IF(F69&lt;&gt;0,SUM('CPP TITULAIRE-ST'!$E$172:$E$179),"0")</f>
        <v>0</v>
      </c>
      <c r="D69" s="303"/>
      <c r="E69" s="83">
        <f t="shared" si="7"/>
        <v>102</v>
      </c>
      <c r="F69" s="281"/>
      <c r="G69" s="84">
        <f>IFERROR(SUM(DONNEES!$I$13+(DONNEES!$I$14*F69/E69)),0)</f>
        <v>0.15</v>
      </c>
      <c r="H69" s="85">
        <f t="shared" si="8"/>
        <v>0.15</v>
      </c>
      <c r="I69" s="86" t="str">
        <f t="shared" si="9"/>
        <v/>
      </c>
      <c r="J69" s="86" t="str">
        <f t="shared" si="10"/>
        <v/>
      </c>
      <c r="K69" s="286"/>
      <c r="L69" s="461">
        <f t="shared" si="11"/>
        <v>0</v>
      </c>
    </row>
    <row r="70" spans="1:12" ht="18.75" hidden="1" customHeight="1">
      <c r="A70" s="87">
        <v>8</v>
      </c>
      <c r="B70" s="280" t="str">
        <f>IF(F70&lt;&gt;0,SUM('CPP TITULAIRE-ST'!$D$172:$D$179),"0")</f>
        <v>0</v>
      </c>
      <c r="C70" s="280" t="str">
        <f>IF(F70&lt;&gt;0,SUM('CPP TITULAIRE-ST'!$E$172:$E$179),"0")</f>
        <v>0</v>
      </c>
      <c r="D70" s="303"/>
      <c r="E70" s="83">
        <f t="shared" si="7"/>
        <v>102</v>
      </c>
      <c r="F70" s="281"/>
      <c r="G70" s="84">
        <f>IFERROR(SUM(DONNEES!$I$13+(DONNEES!$I$14*F70/E70)),0)</f>
        <v>0.15</v>
      </c>
      <c r="H70" s="85">
        <f t="shared" si="8"/>
        <v>0.15</v>
      </c>
      <c r="I70" s="86" t="str">
        <f t="shared" si="9"/>
        <v/>
      </c>
      <c r="J70" s="86" t="str">
        <f t="shared" si="10"/>
        <v/>
      </c>
      <c r="K70" s="286"/>
      <c r="L70" s="461">
        <f t="shared" si="11"/>
        <v>0</v>
      </c>
    </row>
    <row r="71" spans="1:12" ht="18.75" hidden="1" customHeight="1">
      <c r="A71" s="87">
        <v>9</v>
      </c>
      <c r="B71" s="280" t="str">
        <f>IF(F71&lt;&gt;0,SUM('CPP TITULAIRE-ST'!$D$172:$D$179),"0")</f>
        <v>0</v>
      </c>
      <c r="C71" s="280" t="str">
        <f>IF(F71&lt;&gt;0,SUM('CPP TITULAIRE-ST'!$E$172:$E$179),"0")</f>
        <v>0</v>
      </c>
      <c r="D71" s="303"/>
      <c r="E71" s="83">
        <f t="shared" si="7"/>
        <v>102</v>
      </c>
      <c r="F71" s="281"/>
      <c r="G71" s="84">
        <f>IFERROR(SUM(DONNEES!$I$13+(DONNEES!$I$14*F71/E71)),0)</f>
        <v>0.15</v>
      </c>
      <c r="H71" s="85">
        <f t="shared" si="8"/>
        <v>0.15</v>
      </c>
      <c r="I71" s="86" t="str">
        <f t="shared" si="9"/>
        <v/>
      </c>
      <c r="J71" s="86" t="str">
        <f t="shared" si="10"/>
        <v/>
      </c>
      <c r="K71" s="286"/>
      <c r="L71" s="461">
        <f t="shared" si="11"/>
        <v>0</v>
      </c>
    </row>
    <row r="72" spans="1:12" ht="18.75" hidden="1" customHeight="1">
      <c r="A72" s="87">
        <v>10</v>
      </c>
      <c r="B72" s="280" t="str">
        <f>IF(F72&lt;&gt;0,SUM('CPP TITULAIRE-ST'!$D$172:$D$179),"0")</f>
        <v>0</v>
      </c>
      <c r="C72" s="280" t="str">
        <f>IF(F72&lt;&gt;0,SUM('CPP TITULAIRE-ST'!$E$172:$E$179),"0")</f>
        <v>0</v>
      </c>
      <c r="D72" s="303"/>
      <c r="E72" s="83">
        <f t="shared" si="7"/>
        <v>102</v>
      </c>
      <c r="F72" s="281"/>
      <c r="G72" s="84">
        <f>IFERROR(SUM(DONNEES!$I$13+(DONNEES!$I$14*F72/E72)),0)</f>
        <v>0.15</v>
      </c>
      <c r="H72" s="85">
        <f t="shared" si="8"/>
        <v>0.15</v>
      </c>
      <c r="I72" s="86" t="str">
        <f t="shared" si="9"/>
        <v/>
      </c>
      <c r="J72" s="86" t="str">
        <f t="shared" si="10"/>
        <v/>
      </c>
      <c r="K72" s="286"/>
      <c r="L72" s="461">
        <f t="shared" si="11"/>
        <v>0</v>
      </c>
    </row>
    <row r="73" spans="1:12" ht="18.75" hidden="1" customHeight="1">
      <c r="A73" s="87">
        <v>11</v>
      </c>
      <c r="B73" s="280" t="str">
        <f>IF(F73&lt;&gt;0,SUM('CPP TITULAIRE-ST'!$D$172:$D$179),"0")</f>
        <v>0</v>
      </c>
      <c r="C73" s="280" t="str">
        <f>IF(F73&lt;&gt;0,SUM('CPP TITULAIRE-ST'!$E$172:$E$179),"0")</f>
        <v>0</v>
      </c>
      <c r="D73" s="303"/>
      <c r="E73" s="83">
        <f t="shared" si="7"/>
        <v>102</v>
      </c>
      <c r="F73" s="281"/>
      <c r="G73" s="84">
        <f>IFERROR(SUM(DONNEES!$I$13+(DONNEES!$I$14*F73/E73)),0)</f>
        <v>0.15</v>
      </c>
      <c r="H73" s="85">
        <f t="shared" si="8"/>
        <v>0.15</v>
      </c>
      <c r="I73" s="86" t="str">
        <f t="shared" si="9"/>
        <v/>
      </c>
      <c r="J73" s="86" t="str">
        <f t="shared" si="10"/>
        <v/>
      </c>
      <c r="K73" s="286"/>
      <c r="L73" s="461">
        <f t="shared" si="11"/>
        <v>0</v>
      </c>
    </row>
    <row r="74" spans="1:12" ht="18.75" hidden="1" customHeight="1">
      <c r="A74" s="87">
        <v>12</v>
      </c>
      <c r="B74" s="280" t="str">
        <f>IF(F74&lt;&gt;0,SUM('CPP TITULAIRE-ST'!$D$172:$D$179),"0")</f>
        <v>0</v>
      </c>
      <c r="C74" s="280" t="str">
        <f>IF(F74&lt;&gt;0,SUM('CPP TITULAIRE-ST'!$E$172:$E$179),"0")</f>
        <v>0</v>
      </c>
      <c r="D74" s="303"/>
      <c r="E74" s="83">
        <f t="shared" si="7"/>
        <v>102</v>
      </c>
      <c r="F74" s="281"/>
      <c r="G74" s="84">
        <f>IFERROR(SUM(DONNEES!$I$13+(DONNEES!$I$14*F74/E74)),0)</f>
        <v>0.15</v>
      </c>
      <c r="H74" s="85">
        <f t="shared" si="8"/>
        <v>0.15</v>
      </c>
      <c r="I74" s="86" t="str">
        <f t="shared" si="9"/>
        <v/>
      </c>
      <c r="J74" s="86" t="str">
        <f t="shared" si="10"/>
        <v/>
      </c>
      <c r="K74" s="286"/>
      <c r="L74" s="461">
        <f t="shared" si="11"/>
        <v>0</v>
      </c>
    </row>
    <row r="75" spans="1:12" ht="18.75" hidden="1" customHeight="1">
      <c r="A75" s="87">
        <v>13</v>
      </c>
      <c r="B75" s="280" t="str">
        <f>IF(F75&lt;&gt;0,SUM('CPP TITULAIRE-ST'!$D$172:$D$179),"0")</f>
        <v>0</v>
      </c>
      <c r="C75" s="280" t="str">
        <f>IF(F75&lt;&gt;0,SUM('CPP TITULAIRE-ST'!$E$172:$E$179),"0")</f>
        <v>0</v>
      </c>
      <c r="D75" s="303"/>
      <c r="E75" s="83">
        <f t="shared" si="7"/>
        <v>102</v>
      </c>
      <c r="F75" s="281"/>
      <c r="G75" s="84">
        <f>IFERROR(SUM(DONNEES!$I$13+(DONNEES!$I$14*F75/E75)),0)</f>
        <v>0.15</v>
      </c>
      <c r="H75" s="85">
        <f t="shared" si="8"/>
        <v>0.15</v>
      </c>
      <c r="I75" s="86" t="str">
        <f t="shared" si="9"/>
        <v/>
      </c>
      <c r="J75" s="86" t="str">
        <f t="shared" si="10"/>
        <v/>
      </c>
      <c r="K75" s="286"/>
      <c r="L75" s="461">
        <f t="shared" si="11"/>
        <v>0</v>
      </c>
    </row>
    <row r="76" spans="1:12" ht="18.75" hidden="1" customHeight="1">
      <c r="A76" s="87">
        <v>14</v>
      </c>
      <c r="B76" s="280" t="str">
        <f>IF(F76&lt;&gt;0,SUM('CPP TITULAIRE-ST'!$D$172:$D$179),"0")</f>
        <v>0</v>
      </c>
      <c r="C76" s="280" t="str">
        <f>IF(F76&lt;&gt;0,SUM('CPP TITULAIRE-ST'!$E$172:$E$179),"0")</f>
        <v>0</v>
      </c>
      <c r="D76" s="303"/>
      <c r="E76" s="83">
        <f t="shared" si="7"/>
        <v>102</v>
      </c>
      <c r="F76" s="281"/>
      <c r="G76" s="84">
        <f>IFERROR(SUM(DONNEES!$I$13+(DONNEES!$I$14*F76/E76)),0)</f>
        <v>0.15</v>
      </c>
      <c r="H76" s="85">
        <f t="shared" si="8"/>
        <v>0.15</v>
      </c>
      <c r="I76" s="86" t="str">
        <f t="shared" si="9"/>
        <v/>
      </c>
      <c r="J76" s="86" t="str">
        <f t="shared" si="10"/>
        <v/>
      </c>
      <c r="K76" s="286"/>
      <c r="L76" s="461">
        <f t="shared" si="11"/>
        <v>0</v>
      </c>
    </row>
    <row r="77" spans="1:12" ht="18.75" hidden="1" customHeight="1">
      <c r="A77" s="87">
        <v>15</v>
      </c>
      <c r="B77" s="280" t="str">
        <f>IF(F77&lt;&gt;0,SUM('CPP TITULAIRE-ST'!$D$172:$D$179),"0")</f>
        <v>0</v>
      </c>
      <c r="C77" s="280" t="str">
        <f>IF(F77&lt;&gt;0,SUM('CPP TITULAIRE-ST'!$E$172:$E$179),"0")</f>
        <v>0</v>
      </c>
      <c r="D77" s="303"/>
      <c r="E77" s="83">
        <f t="shared" si="7"/>
        <v>102</v>
      </c>
      <c r="F77" s="281"/>
      <c r="G77" s="84">
        <f>IFERROR(SUM(DONNEES!$I$13+(DONNEES!$I$14*F77/E77)),0)</f>
        <v>0.15</v>
      </c>
      <c r="H77" s="85">
        <f t="shared" si="8"/>
        <v>0.15</v>
      </c>
      <c r="I77" s="86" t="str">
        <f t="shared" si="9"/>
        <v/>
      </c>
      <c r="J77" s="86" t="str">
        <f t="shared" si="10"/>
        <v/>
      </c>
      <c r="K77" s="286"/>
      <c r="L77" s="461">
        <f t="shared" si="11"/>
        <v>0</v>
      </c>
    </row>
    <row r="78" spans="1:12" ht="18.75" hidden="1" customHeight="1">
      <c r="A78" s="87">
        <v>16</v>
      </c>
      <c r="B78" s="280" t="str">
        <f>IF(F78&lt;&gt;0,SUM('CPP TITULAIRE-ST'!$D$172:$D$179),"0")</f>
        <v>0</v>
      </c>
      <c r="C78" s="280" t="str">
        <f>IF(F78&lt;&gt;0,SUM('CPP TITULAIRE-ST'!$E$172:$E$179),"0")</f>
        <v>0</v>
      </c>
      <c r="D78" s="303"/>
      <c r="E78" s="83">
        <f t="shared" si="7"/>
        <v>102</v>
      </c>
      <c r="F78" s="281"/>
      <c r="G78" s="84">
        <f>IFERROR(SUM(DONNEES!$I$13+(DONNEES!$I$14*F78/E78)),0)</f>
        <v>0.15</v>
      </c>
      <c r="H78" s="85">
        <f t="shared" si="8"/>
        <v>0.15</v>
      </c>
      <c r="I78" s="86" t="str">
        <f t="shared" si="9"/>
        <v/>
      </c>
      <c r="J78" s="86" t="str">
        <f t="shared" si="10"/>
        <v/>
      </c>
      <c r="K78" s="286"/>
      <c r="L78" s="461">
        <f t="shared" si="11"/>
        <v>0</v>
      </c>
    </row>
    <row r="79" spans="1:12" ht="18.75" hidden="1" customHeight="1">
      <c r="A79" s="87">
        <v>17</v>
      </c>
      <c r="B79" s="280" t="str">
        <f>IF(F79&lt;&gt;0,SUM('CPP TITULAIRE-ST'!$D$172:$D$179),"0")</f>
        <v>0</v>
      </c>
      <c r="C79" s="280" t="str">
        <f>IF(F79&lt;&gt;0,SUM('CPP TITULAIRE-ST'!$E$172:$E$179),"0")</f>
        <v>0</v>
      </c>
      <c r="D79" s="303"/>
      <c r="E79" s="83">
        <f t="shared" si="7"/>
        <v>102</v>
      </c>
      <c r="F79" s="281"/>
      <c r="G79" s="84">
        <f>IFERROR(SUM(DONNEES!$I$13+(DONNEES!$I$14*F79/E79)),0)</f>
        <v>0.15</v>
      </c>
      <c r="H79" s="85">
        <f t="shared" si="8"/>
        <v>0.15</v>
      </c>
      <c r="I79" s="86" t="str">
        <f t="shared" si="9"/>
        <v/>
      </c>
      <c r="J79" s="86" t="str">
        <f t="shared" si="10"/>
        <v/>
      </c>
      <c r="K79" s="286"/>
      <c r="L79" s="461">
        <f t="shared" si="11"/>
        <v>0</v>
      </c>
    </row>
    <row r="80" spans="1:12" ht="18.75" hidden="1" customHeight="1">
      <c r="A80" s="87">
        <v>18</v>
      </c>
      <c r="B80" s="280" t="str">
        <f>IF(F80&lt;&gt;0,SUM('CPP TITULAIRE-ST'!$D$172:$D$179),"0")</f>
        <v>0</v>
      </c>
      <c r="C80" s="280" t="str">
        <f>IF(F80&lt;&gt;0,SUM('CPP TITULAIRE-ST'!$E$172:$E$179),"0")</f>
        <v>0</v>
      </c>
      <c r="D80" s="303"/>
      <c r="E80" s="83">
        <f t="shared" si="7"/>
        <v>102</v>
      </c>
      <c r="F80" s="281"/>
      <c r="G80" s="84">
        <f>IFERROR(SUM(DONNEES!$I$13+(DONNEES!$I$14*F80/E80)),0)</f>
        <v>0.15</v>
      </c>
      <c r="H80" s="85">
        <f t="shared" si="8"/>
        <v>0.15</v>
      </c>
      <c r="I80" s="86" t="str">
        <f t="shared" si="9"/>
        <v/>
      </c>
      <c r="J80" s="86" t="str">
        <f t="shared" si="10"/>
        <v/>
      </c>
      <c r="K80" s="286"/>
      <c r="L80" s="461">
        <f t="shared" si="11"/>
        <v>0</v>
      </c>
    </row>
    <row r="81" spans="1:12" ht="18.75" hidden="1" customHeight="1">
      <c r="A81" s="87">
        <v>19</v>
      </c>
      <c r="B81" s="280" t="str">
        <f>IF(F81&lt;&gt;0,SUM('CPP TITULAIRE-ST'!$D$172:$D$179),"0")</f>
        <v>0</v>
      </c>
      <c r="C81" s="280" t="str">
        <f>IF(F81&lt;&gt;0,SUM('CPP TITULAIRE-ST'!$E$172:$E$179),"0")</f>
        <v>0</v>
      </c>
      <c r="D81" s="303"/>
      <c r="E81" s="83">
        <f t="shared" si="7"/>
        <v>102</v>
      </c>
      <c r="F81" s="281"/>
      <c r="G81" s="84">
        <f>IFERROR(SUM(DONNEES!$I$13+(DONNEES!$I$14*F81/E81)),0)</f>
        <v>0.15</v>
      </c>
      <c r="H81" s="85">
        <f t="shared" si="8"/>
        <v>0.15</v>
      </c>
      <c r="I81" s="86" t="str">
        <f t="shared" si="9"/>
        <v/>
      </c>
      <c r="J81" s="86" t="str">
        <f t="shared" si="10"/>
        <v/>
      </c>
      <c r="K81" s="286"/>
      <c r="L81" s="461">
        <f t="shared" si="11"/>
        <v>0</v>
      </c>
    </row>
    <row r="82" spans="1:12" ht="18.75" hidden="1" customHeight="1">
      <c r="A82" s="87">
        <v>20</v>
      </c>
      <c r="B82" s="280" t="str">
        <f>IF(F82&lt;&gt;0,SUM('CPP TITULAIRE-ST'!$D$172:$D$179),"0")</f>
        <v>0</v>
      </c>
      <c r="C82" s="280" t="str">
        <f>IF(F82&lt;&gt;0,SUM('CPP TITULAIRE-ST'!$E$172:$E$179),"0")</f>
        <v>0</v>
      </c>
      <c r="D82" s="303"/>
      <c r="E82" s="83">
        <f t="shared" si="7"/>
        <v>102</v>
      </c>
      <c r="F82" s="281"/>
      <c r="G82" s="84">
        <f>IFERROR(SUM(DONNEES!$I$13+(DONNEES!$I$14*F82/E82)),0)</f>
        <v>0.15</v>
      </c>
      <c r="H82" s="85">
        <f t="shared" si="8"/>
        <v>0.15</v>
      </c>
      <c r="I82" s="86" t="str">
        <f t="shared" si="9"/>
        <v/>
      </c>
      <c r="J82" s="86" t="str">
        <f t="shared" si="10"/>
        <v/>
      </c>
      <c r="K82" s="286"/>
      <c r="L82" s="461">
        <f t="shared" si="11"/>
        <v>0</v>
      </c>
    </row>
    <row r="83" spans="1:12" ht="18.75" hidden="1" customHeight="1">
      <c r="A83" s="87">
        <v>21</v>
      </c>
      <c r="B83" s="280" t="str">
        <f>IF(F83&lt;&gt;0,SUM('CPP TITULAIRE-ST'!$D$172:$D$179),"0")</f>
        <v>0</v>
      </c>
      <c r="C83" s="280" t="str">
        <f>IF(F83&lt;&gt;0,SUM('CPP TITULAIRE-ST'!$E$172:$E$179),"0")</f>
        <v>0</v>
      </c>
      <c r="D83" s="303"/>
      <c r="E83" s="83">
        <f t="shared" si="7"/>
        <v>102</v>
      </c>
      <c r="F83" s="281"/>
      <c r="G83" s="84">
        <f>IFERROR(SUM(DONNEES!$I$13+(DONNEES!$I$14*F83/E83)),0)</f>
        <v>0.15</v>
      </c>
      <c r="H83" s="85">
        <f t="shared" si="8"/>
        <v>0.15</v>
      </c>
      <c r="I83" s="86" t="str">
        <f t="shared" si="9"/>
        <v/>
      </c>
      <c r="J83" s="86" t="str">
        <f t="shared" si="10"/>
        <v/>
      </c>
      <c r="K83" s="286"/>
      <c r="L83" s="461">
        <f t="shared" si="11"/>
        <v>0</v>
      </c>
    </row>
    <row r="84" spans="1:12" ht="18.75" hidden="1" customHeight="1">
      <c r="A84" s="87">
        <v>22</v>
      </c>
      <c r="B84" s="280" t="str">
        <f>IF(F84&lt;&gt;0,SUM('CPP TITULAIRE-ST'!$D$172:$D$179),"0")</f>
        <v>0</v>
      </c>
      <c r="C84" s="280" t="str">
        <f>IF(F84&lt;&gt;0,SUM('CPP TITULAIRE-ST'!$E$172:$E$179),"0")</f>
        <v>0</v>
      </c>
      <c r="D84" s="303"/>
      <c r="E84" s="83">
        <f t="shared" si="7"/>
        <v>102</v>
      </c>
      <c r="F84" s="281"/>
      <c r="G84" s="84">
        <f>IFERROR(SUM(DONNEES!$I$13+(DONNEES!$I$14*F84/E84)),0)</f>
        <v>0.15</v>
      </c>
      <c r="H84" s="85">
        <f t="shared" si="8"/>
        <v>0.15</v>
      </c>
      <c r="I84" s="86" t="str">
        <f t="shared" si="9"/>
        <v/>
      </c>
      <c r="J84" s="86" t="str">
        <f t="shared" si="10"/>
        <v/>
      </c>
      <c r="K84" s="286"/>
      <c r="L84" s="461">
        <f t="shared" si="11"/>
        <v>0</v>
      </c>
    </row>
    <row r="85" spans="1:12" ht="18.75" hidden="1" customHeight="1">
      <c r="A85" s="87">
        <v>23</v>
      </c>
      <c r="B85" s="280" t="str">
        <f>IF(F85&lt;&gt;0,SUM('CPP TITULAIRE-ST'!$D$172:$D$179),"0")</f>
        <v>0</v>
      </c>
      <c r="C85" s="280" t="str">
        <f>IF(F85&lt;&gt;0,SUM('CPP TITULAIRE-ST'!$E$172:$E$179),"0")</f>
        <v>0</v>
      </c>
      <c r="D85" s="303"/>
      <c r="E85" s="83">
        <f t="shared" si="7"/>
        <v>102</v>
      </c>
      <c r="F85" s="281"/>
      <c r="G85" s="84">
        <f>IFERROR(SUM(DONNEES!$I$13+(DONNEES!$I$14*F85/E85)),0)</f>
        <v>0.15</v>
      </c>
      <c r="H85" s="85">
        <f t="shared" si="8"/>
        <v>0.15</v>
      </c>
      <c r="I85" s="86" t="str">
        <f t="shared" si="9"/>
        <v/>
      </c>
      <c r="J85" s="86" t="str">
        <f t="shared" si="10"/>
        <v/>
      </c>
      <c r="K85" s="286"/>
      <c r="L85" s="461">
        <f t="shared" si="11"/>
        <v>0</v>
      </c>
    </row>
    <row r="86" spans="1:12" ht="18.75" hidden="1" customHeight="1">
      <c r="A86" s="87">
        <v>24</v>
      </c>
      <c r="B86" s="280" t="str">
        <f>IF(F86&lt;&gt;0,SUM('CPP TITULAIRE-ST'!$D$172:$D$179),"0")</f>
        <v>0</v>
      </c>
      <c r="C86" s="280" t="str">
        <f>IF(F86&lt;&gt;0,SUM('CPP TITULAIRE-ST'!$E$172:$E$179),"0")</f>
        <v>0</v>
      </c>
      <c r="D86" s="303"/>
      <c r="E86" s="83">
        <f t="shared" si="7"/>
        <v>102</v>
      </c>
      <c r="F86" s="281"/>
      <c r="G86" s="84">
        <f>IFERROR(SUM(DONNEES!$I$13+(DONNEES!$I$14*F86/E86)),0)</f>
        <v>0.15</v>
      </c>
      <c r="H86" s="85">
        <f t="shared" si="8"/>
        <v>0.15</v>
      </c>
      <c r="I86" s="86" t="str">
        <f t="shared" si="9"/>
        <v/>
      </c>
      <c r="J86" s="86" t="str">
        <f t="shared" si="10"/>
        <v/>
      </c>
      <c r="K86" s="286"/>
      <c r="L86" s="461">
        <f t="shared" si="11"/>
        <v>0</v>
      </c>
    </row>
    <row r="87" spans="1:12" ht="18.75" hidden="1" customHeight="1">
      <c r="A87" s="87">
        <v>25</v>
      </c>
      <c r="B87" s="280" t="str">
        <f>IF(F87&lt;&gt;0,SUM('CPP TITULAIRE-ST'!$D$172:$D$179),"0")</f>
        <v>0</v>
      </c>
      <c r="C87" s="280" t="str">
        <f>IF(F87&lt;&gt;0,SUM('CPP TITULAIRE-ST'!$E$172:$E$179),"0")</f>
        <v>0</v>
      </c>
      <c r="D87" s="303"/>
      <c r="E87" s="83">
        <f t="shared" si="7"/>
        <v>102</v>
      </c>
      <c r="F87" s="281"/>
      <c r="G87" s="84">
        <f>IFERROR(SUM(DONNEES!$I$13+(DONNEES!$I$14*F87/E87)),0)</f>
        <v>0.15</v>
      </c>
      <c r="H87" s="85">
        <f t="shared" si="8"/>
        <v>0.15</v>
      </c>
      <c r="I87" s="86" t="str">
        <f t="shared" si="9"/>
        <v/>
      </c>
      <c r="J87" s="86" t="str">
        <f t="shared" si="10"/>
        <v/>
      </c>
      <c r="K87" s="286"/>
      <c r="L87" s="461">
        <f t="shared" si="11"/>
        <v>0</v>
      </c>
    </row>
    <row r="88" spans="1:12" ht="18.75" hidden="1" customHeight="1">
      <c r="A88" s="87">
        <v>26</v>
      </c>
      <c r="B88" s="280" t="str">
        <f>IF(F88&lt;&gt;0,SUM('CPP TITULAIRE-ST'!$D$172:$D$179),"0")</f>
        <v>0</v>
      </c>
      <c r="C88" s="280" t="str">
        <f>IF(F88&lt;&gt;0,SUM('CPP TITULAIRE-ST'!$E$172:$E$179),"0")</f>
        <v>0</v>
      </c>
      <c r="D88" s="303"/>
      <c r="E88" s="83">
        <f t="shared" si="7"/>
        <v>102</v>
      </c>
      <c r="F88" s="281"/>
      <c r="G88" s="84">
        <f>IFERROR(SUM(DONNEES!$I$13+(DONNEES!$I$14*F88/E88)),0)</f>
        <v>0.15</v>
      </c>
      <c r="H88" s="85">
        <f t="shared" si="8"/>
        <v>0.15</v>
      </c>
      <c r="I88" s="86" t="str">
        <f t="shared" si="9"/>
        <v/>
      </c>
      <c r="J88" s="86" t="str">
        <f t="shared" si="10"/>
        <v/>
      </c>
      <c r="K88" s="286"/>
      <c r="L88" s="461">
        <f t="shared" si="11"/>
        <v>0</v>
      </c>
    </row>
    <row r="89" spans="1:12" ht="18.75" hidden="1" customHeight="1">
      <c r="A89" s="87">
        <v>27</v>
      </c>
      <c r="B89" s="280" t="str">
        <f>IF(F89&lt;&gt;0,SUM('CPP TITULAIRE-ST'!$D$172:$D$179),"0")</f>
        <v>0</v>
      </c>
      <c r="C89" s="280" t="str">
        <f>IF(F89&lt;&gt;0,SUM('CPP TITULAIRE-ST'!$E$172:$E$179),"0")</f>
        <v>0</v>
      </c>
      <c r="D89" s="303"/>
      <c r="E89" s="83">
        <f t="shared" si="7"/>
        <v>102</v>
      </c>
      <c r="F89" s="281"/>
      <c r="G89" s="84">
        <f>IFERROR(SUM(DONNEES!$I$13+(DONNEES!$I$14*F89/E89)),0)</f>
        <v>0.15</v>
      </c>
      <c r="H89" s="85">
        <f t="shared" si="8"/>
        <v>0.15</v>
      </c>
      <c r="I89" s="86" t="str">
        <f t="shared" si="9"/>
        <v/>
      </c>
      <c r="J89" s="86" t="str">
        <f t="shared" si="10"/>
        <v/>
      </c>
      <c r="K89" s="286"/>
      <c r="L89" s="461">
        <f t="shared" si="11"/>
        <v>0</v>
      </c>
    </row>
    <row r="90" spans="1:12" ht="18.75" hidden="1" customHeight="1">
      <c r="A90" s="87">
        <v>28</v>
      </c>
      <c r="B90" s="280" t="str">
        <f>IF(F90&lt;&gt;0,SUM('CPP TITULAIRE-ST'!$D$172:$D$179),"0")</f>
        <v>0</v>
      </c>
      <c r="C90" s="280" t="str">
        <f>IF(F90&lt;&gt;0,SUM('CPP TITULAIRE-ST'!$E$172:$E$179),"0")</f>
        <v>0</v>
      </c>
      <c r="D90" s="303"/>
      <c r="E90" s="83">
        <f t="shared" si="7"/>
        <v>102</v>
      </c>
      <c r="F90" s="281"/>
      <c r="G90" s="84">
        <f>IFERROR(SUM(DONNEES!$I$13+(DONNEES!$I$14*F90/E90)),0)</f>
        <v>0.15</v>
      </c>
      <c r="H90" s="85">
        <f t="shared" si="8"/>
        <v>0.15</v>
      </c>
      <c r="I90" s="86" t="str">
        <f t="shared" si="9"/>
        <v/>
      </c>
      <c r="J90" s="86" t="str">
        <f t="shared" si="10"/>
        <v/>
      </c>
      <c r="K90" s="286"/>
      <c r="L90" s="461">
        <f t="shared" si="11"/>
        <v>0</v>
      </c>
    </row>
    <row r="91" spans="1:12" ht="18.75" hidden="1" customHeight="1">
      <c r="A91" s="87">
        <v>29</v>
      </c>
      <c r="B91" s="280" t="str">
        <f>IF(F91&lt;&gt;0,SUM('CPP TITULAIRE-ST'!$D$172:$D$179),"0")</f>
        <v>0</v>
      </c>
      <c r="C91" s="280" t="str">
        <f>IF(F91&lt;&gt;0,SUM('CPP TITULAIRE-ST'!$E$172:$E$179),"0")</f>
        <v>0</v>
      </c>
      <c r="D91" s="303"/>
      <c r="E91" s="83">
        <f t="shared" si="7"/>
        <v>102</v>
      </c>
      <c r="F91" s="281"/>
      <c r="G91" s="84">
        <f>IFERROR(SUM(DONNEES!$I$13+(DONNEES!$I$14*F91/E91)),0)</f>
        <v>0.15</v>
      </c>
      <c r="H91" s="85">
        <f t="shared" si="8"/>
        <v>0.15</v>
      </c>
      <c r="I91" s="86" t="str">
        <f t="shared" si="9"/>
        <v/>
      </c>
      <c r="J91" s="86" t="str">
        <f t="shared" si="10"/>
        <v/>
      </c>
      <c r="K91" s="286"/>
      <c r="L91" s="461">
        <f t="shared" si="11"/>
        <v>0</v>
      </c>
    </row>
    <row r="92" spans="1:12" ht="18.75" hidden="1" customHeight="1">
      <c r="A92" s="87">
        <v>30</v>
      </c>
      <c r="B92" s="280" t="str">
        <f>IF(F92&lt;&gt;0,SUM('CPP TITULAIRE-ST'!$D$172:$D$179),"0")</f>
        <v>0</v>
      </c>
      <c r="C92" s="280" t="str">
        <f>IF(F92&lt;&gt;0,SUM('CPP TITULAIRE-ST'!$E$172:$E$179),"0")</f>
        <v>0</v>
      </c>
      <c r="D92" s="303"/>
      <c r="E92" s="83">
        <f t="shared" si="7"/>
        <v>102</v>
      </c>
      <c r="F92" s="281"/>
      <c r="G92" s="84">
        <f>IFERROR(SUM(DONNEES!$I$13+(DONNEES!$I$14*F92/E92)),0)</f>
        <v>0.15</v>
      </c>
      <c r="H92" s="85">
        <f t="shared" si="8"/>
        <v>0.15</v>
      </c>
      <c r="I92" s="86" t="str">
        <f t="shared" si="9"/>
        <v/>
      </c>
      <c r="J92" s="86" t="str">
        <f t="shared" si="10"/>
        <v/>
      </c>
      <c r="K92" s="286"/>
      <c r="L92" s="461">
        <f t="shared" si="11"/>
        <v>0</v>
      </c>
    </row>
    <row r="93" spans="1:12" ht="18.75" hidden="1" customHeight="1">
      <c r="A93" s="87">
        <v>31</v>
      </c>
      <c r="B93" s="280" t="str">
        <f>IF(F93&lt;&gt;0,SUM('CPP TITULAIRE-ST'!$D$172:$D$179),"0")</f>
        <v>0</v>
      </c>
      <c r="C93" s="280" t="str">
        <f>IF(F93&lt;&gt;0,SUM('CPP TITULAIRE-ST'!$E$172:$E$179),"0")</f>
        <v>0</v>
      </c>
      <c r="D93" s="303"/>
      <c r="E93" s="83">
        <f t="shared" si="7"/>
        <v>102</v>
      </c>
      <c r="F93" s="281"/>
      <c r="G93" s="84">
        <f>IFERROR(SUM(DONNEES!$I$13+(DONNEES!$I$14*F93/E93)),0)</f>
        <v>0.15</v>
      </c>
      <c r="H93" s="85">
        <f t="shared" si="8"/>
        <v>0.15</v>
      </c>
      <c r="I93" s="86" t="str">
        <f t="shared" si="9"/>
        <v/>
      </c>
      <c r="J93" s="86" t="str">
        <f t="shared" si="10"/>
        <v/>
      </c>
      <c r="K93" s="286"/>
      <c r="L93" s="461">
        <f t="shared" si="11"/>
        <v>0</v>
      </c>
    </row>
    <row r="94" spans="1:12" ht="18.75" hidden="1" customHeight="1">
      <c r="A94" s="87">
        <v>32</v>
      </c>
      <c r="B94" s="280" t="str">
        <f>IF(F94&lt;&gt;0,SUM('CPP TITULAIRE-ST'!$D$172:$D$179),"0")</f>
        <v>0</v>
      </c>
      <c r="C94" s="280" t="str">
        <f>IF(F94&lt;&gt;0,SUM('CPP TITULAIRE-ST'!$E$172:$E$179),"0")</f>
        <v>0</v>
      </c>
      <c r="D94" s="303"/>
      <c r="E94" s="83">
        <f t="shared" si="7"/>
        <v>102</v>
      </c>
      <c r="F94" s="281"/>
      <c r="G94" s="84">
        <f>IFERROR(SUM(DONNEES!$I$13+(DONNEES!$I$14*F94/E94)),0)</f>
        <v>0.15</v>
      </c>
      <c r="H94" s="85">
        <f t="shared" si="8"/>
        <v>0.15</v>
      </c>
      <c r="I94" s="86" t="str">
        <f t="shared" si="9"/>
        <v/>
      </c>
      <c r="J94" s="86" t="str">
        <f t="shared" si="10"/>
        <v/>
      </c>
      <c r="K94" s="286"/>
      <c r="L94" s="461">
        <f t="shared" si="11"/>
        <v>0</v>
      </c>
    </row>
    <row r="95" spans="1:12" ht="18.75" hidden="1" customHeight="1">
      <c r="A95" s="87">
        <v>33</v>
      </c>
      <c r="B95" s="280" t="str">
        <f>IF(F95&lt;&gt;0,SUM('CPP TITULAIRE-ST'!$D$172:$D$179),"0")</f>
        <v>0</v>
      </c>
      <c r="C95" s="280" t="str">
        <f>IF(F95&lt;&gt;0,SUM('CPP TITULAIRE-ST'!$E$172:$E$179),"0")</f>
        <v>0</v>
      </c>
      <c r="D95" s="303"/>
      <c r="E95" s="83">
        <f t="shared" si="7"/>
        <v>102</v>
      </c>
      <c r="F95" s="281"/>
      <c r="G95" s="84">
        <f>IFERROR(SUM(DONNEES!$I$13+(DONNEES!$I$14*F95/E95)),0)</f>
        <v>0.15</v>
      </c>
      <c r="H95" s="85">
        <f t="shared" si="8"/>
        <v>0.15</v>
      </c>
      <c r="I95" s="86" t="str">
        <f t="shared" si="9"/>
        <v/>
      </c>
      <c r="J95" s="86" t="str">
        <f t="shared" si="10"/>
        <v/>
      </c>
      <c r="K95" s="286"/>
      <c r="L95" s="461">
        <f t="shared" si="11"/>
        <v>0</v>
      </c>
    </row>
    <row r="96" spans="1:12" ht="18.75" hidden="1" customHeight="1">
      <c r="A96" s="87">
        <v>34</v>
      </c>
      <c r="B96" s="280" t="str">
        <f>IF(F96&lt;&gt;0,SUM('CPP TITULAIRE-ST'!$D$172:$D$179),"0")</f>
        <v>0</v>
      </c>
      <c r="C96" s="280" t="str">
        <f>IF(F96&lt;&gt;0,SUM('CPP TITULAIRE-ST'!$E$172:$E$179),"0")</f>
        <v>0</v>
      </c>
      <c r="D96" s="303"/>
      <c r="E96" s="83">
        <f t="shared" si="7"/>
        <v>102</v>
      </c>
      <c r="F96" s="281"/>
      <c r="G96" s="84">
        <f>IFERROR(SUM(DONNEES!$I$13+(DONNEES!$I$14*F96/E96)),0)</f>
        <v>0.15</v>
      </c>
      <c r="H96" s="85">
        <f t="shared" si="8"/>
        <v>0.15</v>
      </c>
      <c r="I96" s="86" t="str">
        <f t="shared" si="9"/>
        <v/>
      </c>
      <c r="J96" s="86" t="str">
        <f t="shared" si="10"/>
        <v/>
      </c>
      <c r="K96" s="286"/>
      <c r="L96" s="461">
        <f t="shared" si="11"/>
        <v>0</v>
      </c>
    </row>
    <row r="97" spans="1:12" ht="18.75" hidden="1" customHeight="1">
      <c r="A97" s="87">
        <v>35</v>
      </c>
      <c r="B97" s="280" t="str">
        <f>IF(F97&lt;&gt;0,SUM('CPP TITULAIRE-ST'!$D$172:$D$179),"0")</f>
        <v>0</v>
      </c>
      <c r="C97" s="280" t="str">
        <f>IF(F97&lt;&gt;0,SUM('CPP TITULAIRE-ST'!$E$172:$E$179),"0")</f>
        <v>0</v>
      </c>
      <c r="D97" s="303"/>
      <c r="E97" s="83">
        <f t="shared" si="7"/>
        <v>102</v>
      </c>
      <c r="F97" s="281"/>
      <c r="G97" s="84">
        <f>IFERROR(SUM(DONNEES!$I$13+(DONNEES!$I$14*F97/E97)),0)</f>
        <v>0.15</v>
      </c>
      <c r="H97" s="85">
        <f t="shared" si="8"/>
        <v>0.15</v>
      </c>
      <c r="I97" s="86" t="str">
        <f t="shared" si="9"/>
        <v/>
      </c>
      <c r="J97" s="86" t="str">
        <f t="shared" si="10"/>
        <v/>
      </c>
      <c r="K97" s="286"/>
      <c r="L97" s="461">
        <f t="shared" si="11"/>
        <v>0</v>
      </c>
    </row>
    <row r="98" spans="1:12" ht="18.75" hidden="1" customHeight="1">
      <c r="A98" s="87">
        <v>36</v>
      </c>
      <c r="B98" s="280" t="str">
        <f>IF(F98&lt;&gt;0,SUM('CPP TITULAIRE-ST'!$D$172:$D$179),"0")</f>
        <v>0</v>
      </c>
      <c r="C98" s="280" t="str">
        <f>IF(F98&lt;&gt;0,SUM('CPP TITULAIRE-ST'!$E$172:$E$179),"0")</f>
        <v>0</v>
      </c>
      <c r="D98" s="303"/>
      <c r="E98" s="83">
        <f t="shared" si="7"/>
        <v>102</v>
      </c>
      <c r="F98" s="281"/>
      <c r="G98" s="84">
        <f>IFERROR(SUM(DONNEES!$I$13+(DONNEES!$I$14*F98/E98)),0)</f>
        <v>0.15</v>
      </c>
      <c r="H98" s="85">
        <f t="shared" si="8"/>
        <v>0.15</v>
      </c>
      <c r="I98" s="86" t="str">
        <f t="shared" si="9"/>
        <v/>
      </c>
      <c r="J98" s="86" t="str">
        <f t="shared" si="10"/>
        <v/>
      </c>
      <c r="K98" s="286"/>
      <c r="L98" s="461">
        <f t="shared" si="11"/>
        <v>0</v>
      </c>
    </row>
    <row r="99" spans="1:12" ht="18.75" hidden="1" customHeight="1">
      <c r="A99" s="87">
        <v>37</v>
      </c>
      <c r="B99" s="280" t="str">
        <f>IF(F99&lt;&gt;0,SUM('CPP TITULAIRE-ST'!$D$172:$D$179),"0")</f>
        <v>0</v>
      </c>
      <c r="C99" s="280" t="str">
        <f>IF(F99&lt;&gt;0,SUM('CPP TITULAIRE-ST'!$E$172:$E$179),"0")</f>
        <v>0</v>
      </c>
      <c r="D99" s="303"/>
      <c r="E99" s="83">
        <f t="shared" si="7"/>
        <v>102</v>
      </c>
      <c r="F99" s="281"/>
      <c r="G99" s="84">
        <f>IFERROR(SUM(DONNEES!$I$13+(DONNEES!$I$14*F99/E99)),0)</f>
        <v>0.15</v>
      </c>
      <c r="H99" s="85">
        <f t="shared" si="8"/>
        <v>0.15</v>
      </c>
      <c r="I99" s="86" t="str">
        <f t="shared" si="9"/>
        <v/>
      </c>
      <c r="J99" s="86" t="str">
        <f t="shared" si="10"/>
        <v/>
      </c>
      <c r="K99" s="286"/>
      <c r="L99" s="461">
        <f t="shared" si="11"/>
        <v>0</v>
      </c>
    </row>
    <row r="100" spans="1:12" ht="18.75" hidden="1" customHeight="1">
      <c r="A100" s="87">
        <v>38</v>
      </c>
      <c r="B100" s="280" t="str">
        <f>IF(F100&lt;&gt;0,SUM('CPP TITULAIRE-ST'!$D$172:$D$179),"0")</f>
        <v>0</v>
      </c>
      <c r="C100" s="280" t="str">
        <f>IF(F100&lt;&gt;0,SUM('CPP TITULAIRE-ST'!$E$172:$E$179),"0")</f>
        <v>0</v>
      </c>
      <c r="D100" s="303"/>
      <c r="E100" s="83">
        <f t="shared" si="7"/>
        <v>102</v>
      </c>
      <c r="F100" s="281"/>
      <c r="G100" s="84">
        <f>IFERROR(SUM(DONNEES!$I$13+(DONNEES!$I$14*F100/E100)),0)</f>
        <v>0.15</v>
      </c>
      <c r="H100" s="85">
        <f t="shared" si="8"/>
        <v>0.15</v>
      </c>
      <c r="I100" s="86" t="str">
        <f t="shared" si="9"/>
        <v/>
      </c>
      <c r="J100" s="86" t="str">
        <f t="shared" si="10"/>
        <v/>
      </c>
      <c r="K100" s="286"/>
      <c r="L100" s="461">
        <f t="shared" si="11"/>
        <v>0</v>
      </c>
    </row>
    <row r="101" spans="1:12" ht="18.75" hidden="1" customHeight="1">
      <c r="A101" s="87">
        <v>39</v>
      </c>
      <c r="B101" s="280" t="str">
        <f>IF(F101&lt;&gt;0,SUM('CPP TITULAIRE-ST'!$D$172:$D$179),"0")</f>
        <v>0</v>
      </c>
      <c r="C101" s="280" t="str">
        <f>IF(F101&lt;&gt;0,SUM('CPP TITULAIRE-ST'!$E$172:$E$179),"0")</f>
        <v>0</v>
      </c>
      <c r="D101" s="303"/>
      <c r="E101" s="83">
        <f t="shared" si="7"/>
        <v>102</v>
      </c>
      <c r="F101" s="281"/>
      <c r="G101" s="84">
        <f>IFERROR(SUM(DONNEES!$I$13+(DONNEES!$I$14*F101/E101)),0)</f>
        <v>0.15</v>
      </c>
      <c r="H101" s="85">
        <f t="shared" si="8"/>
        <v>0.15</v>
      </c>
      <c r="I101" s="86" t="str">
        <f t="shared" si="9"/>
        <v/>
      </c>
      <c r="J101" s="86" t="str">
        <f t="shared" si="10"/>
        <v/>
      </c>
      <c r="K101" s="286"/>
      <c r="L101" s="461">
        <f t="shared" si="11"/>
        <v>0</v>
      </c>
    </row>
    <row r="102" spans="1:12" ht="18.75" hidden="1" customHeight="1" thickBot="1">
      <c r="A102" s="87">
        <v>40</v>
      </c>
      <c r="B102" s="280" t="str">
        <f>IF(F102&lt;&gt;0,SUM('CPP TITULAIRE-ST'!$D$172:$D$179),"0")</f>
        <v>0</v>
      </c>
      <c r="C102" s="280" t="str">
        <f>IF(F102&lt;&gt;0,SUM('CPP TITULAIRE-ST'!$E$172:$E$179),"0")</f>
        <v>0</v>
      </c>
      <c r="D102" s="303"/>
      <c r="E102" s="83">
        <f t="shared" si="7"/>
        <v>102</v>
      </c>
      <c r="F102" s="281"/>
      <c r="G102" s="84">
        <f>IFERROR(SUM(DONNEES!$I$13+(DONNEES!$I$14*F102/E102)),0)</f>
        <v>0.15</v>
      </c>
      <c r="H102" s="85">
        <f t="shared" si="8"/>
        <v>0.15</v>
      </c>
      <c r="I102" s="86" t="str">
        <f t="shared" si="9"/>
        <v/>
      </c>
      <c r="J102" s="86" t="str">
        <f t="shared" si="10"/>
        <v/>
      </c>
      <c r="K102" s="286"/>
      <c r="L102" s="461">
        <f t="shared" si="11"/>
        <v>0</v>
      </c>
    </row>
    <row r="103" spans="1:12" ht="13.5" thickBot="1">
      <c r="A103" s="88" t="s">
        <v>196</v>
      </c>
      <c r="B103" s="89">
        <f>SUM(B63:B102)</f>
        <v>0</v>
      </c>
      <c r="C103" s="90">
        <f>SUM(C63:C102)</f>
        <v>0</v>
      </c>
      <c r="D103" s="91"/>
      <c r="E103" s="92"/>
      <c r="F103" s="93"/>
      <c r="H103" s="88" t="s">
        <v>196</v>
      </c>
      <c r="I103" s="89">
        <f>SUM(I63:I102)</f>
        <v>0</v>
      </c>
      <c r="J103" s="464">
        <f>SUM(J63:J102)</f>
        <v>0</v>
      </c>
      <c r="L103" s="462">
        <f>1</f>
        <v>1</v>
      </c>
    </row>
    <row r="104" spans="1:12" ht="13.5" thickBot="1">
      <c r="A104" s="95" t="s">
        <v>197</v>
      </c>
      <c r="B104" s="96">
        <f>B103*20/100</f>
        <v>0</v>
      </c>
      <c r="C104" s="97">
        <f>C103*10/100</f>
        <v>0</v>
      </c>
      <c r="E104" s="98"/>
      <c r="F104" s="99"/>
      <c r="H104" s="95" t="s">
        <v>197</v>
      </c>
      <c r="I104" s="89">
        <f>I103*$I$6</f>
        <v>0</v>
      </c>
      <c r="J104" s="465">
        <f>J103*$J$6</f>
        <v>0</v>
      </c>
      <c r="L104" s="460">
        <f>1</f>
        <v>1</v>
      </c>
    </row>
    <row r="105" spans="1:12" ht="13.5" thickBot="1">
      <c r="A105" s="95" t="s">
        <v>17</v>
      </c>
      <c r="B105" s="100">
        <f>B103+B104</f>
        <v>0</v>
      </c>
      <c r="C105" s="101">
        <f>SUM(C103:C104)</f>
        <v>0</v>
      </c>
      <c r="E105" s="98"/>
      <c r="F105" s="99"/>
      <c r="H105" s="95" t="s">
        <v>17</v>
      </c>
      <c r="I105" s="89">
        <f>SUM(I103:I104)</f>
        <v>0</v>
      </c>
      <c r="J105" s="465">
        <f>SUM(J103:J104)</f>
        <v>0</v>
      </c>
      <c r="L105" s="460">
        <f>1</f>
        <v>1</v>
      </c>
    </row>
    <row r="106" spans="1:12" ht="13.5" thickBot="1">
      <c r="A106" s="111"/>
      <c r="H106" s="95" t="s">
        <v>443</v>
      </c>
      <c r="I106" s="89">
        <f>('CPP TITULAIRE-ST'!F182*I62)+'CPP TITULAIRE-ST'!F182</f>
        <v>0</v>
      </c>
      <c r="J106" s="465">
        <f>('CPP TITULAIRE-ST'!G182*J62)+'CPP TITULAIRE-ST'!G182</f>
        <v>0</v>
      </c>
    </row>
    <row r="107" spans="1:12" ht="13.5" thickBot="1">
      <c r="A107" s="103" t="s">
        <v>198</v>
      </c>
      <c r="B107" s="103"/>
      <c r="D107" s="104" t="s">
        <v>199</v>
      </c>
      <c r="H107" s="95" t="s">
        <v>645</v>
      </c>
      <c r="I107" s="89">
        <f>(I105-I106)/(1+(I62))</f>
        <v>0</v>
      </c>
      <c r="J107" s="466">
        <f>(J105-J106)/(1-(J62))</f>
        <v>0</v>
      </c>
    </row>
    <row r="108" spans="1:12">
      <c r="A108" s="111"/>
    </row>
    <row r="109" spans="1:12">
      <c r="A109" s="111"/>
    </row>
    <row r="110" spans="1:12">
      <c r="A110" s="111"/>
    </row>
    <row r="111" spans="1:12">
      <c r="A111" s="111"/>
    </row>
    <row r="112" spans="1:12">
      <c r="A112" s="111"/>
    </row>
    <row r="113" spans="1:1">
      <c r="A113" s="111"/>
    </row>
    <row r="114" spans="1:1">
      <c r="A114" s="111"/>
    </row>
    <row r="115" spans="1:1">
      <c r="A115" s="111"/>
    </row>
    <row r="116" spans="1:1">
      <c r="A116" s="111"/>
    </row>
    <row r="117" spans="1:1">
      <c r="A117" s="111"/>
    </row>
    <row r="118" spans="1:1">
      <c r="A118" s="111"/>
    </row>
    <row r="119" spans="1:1">
      <c r="A119" s="111"/>
    </row>
    <row r="120" spans="1:1">
      <c r="A120" s="111"/>
    </row>
    <row r="121" spans="1:1">
      <c r="A121" s="111"/>
    </row>
    <row r="122" spans="1:1">
      <c r="A122" s="111"/>
    </row>
    <row r="123" spans="1:1">
      <c r="A123" s="111"/>
    </row>
    <row r="124" spans="1:1">
      <c r="A124" s="111"/>
    </row>
    <row r="125" spans="1:1">
      <c r="A125" s="111"/>
    </row>
    <row r="126" spans="1:1">
      <c r="A126" s="111"/>
    </row>
    <row r="127" spans="1:1">
      <c r="A127" s="111"/>
    </row>
    <row r="128" spans="1:1">
      <c r="A128" s="111"/>
    </row>
    <row r="129" spans="1:1">
      <c r="A129" s="111"/>
    </row>
    <row r="130" spans="1:1">
      <c r="A130" s="111"/>
    </row>
    <row r="131" spans="1:1">
      <c r="A131" s="111"/>
    </row>
    <row r="132" spans="1:1">
      <c r="A132" s="111"/>
    </row>
    <row r="133" spans="1:1">
      <c r="A133" s="111"/>
    </row>
    <row r="134" spans="1:1">
      <c r="A134" s="111"/>
    </row>
    <row r="135" spans="1:1">
      <c r="A135" s="111"/>
    </row>
    <row r="136" spans="1:1">
      <c r="A136" s="111"/>
    </row>
    <row r="137" spans="1:1">
      <c r="A137" s="111"/>
    </row>
    <row r="138" spans="1:1">
      <c r="A138" s="111"/>
    </row>
    <row r="139" spans="1:1">
      <c r="A139" s="111"/>
    </row>
    <row r="140" spans="1:1">
      <c r="A140" s="111"/>
    </row>
    <row r="141" spans="1:1">
      <c r="A141" s="111"/>
    </row>
    <row r="142" spans="1:1">
      <c r="A142" s="111"/>
    </row>
    <row r="143" spans="1:1">
      <c r="A143" s="111"/>
    </row>
    <row r="144" spans="1:1">
      <c r="A144" s="111"/>
    </row>
    <row r="145" spans="1:1">
      <c r="A145" s="111"/>
    </row>
    <row r="146" spans="1:1">
      <c r="A146" s="111"/>
    </row>
    <row r="147" spans="1:1">
      <c r="A147" s="111"/>
    </row>
    <row r="148" spans="1:1">
      <c r="A148" s="111"/>
    </row>
    <row r="149" spans="1:1">
      <c r="A149" s="111"/>
    </row>
    <row r="150" spans="1:1">
      <c r="A150" s="111"/>
    </row>
    <row r="151" spans="1:1">
      <c r="A151" s="111"/>
    </row>
    <row r="152" spans="1:1">
      <c r="A152" s="111"/>
    </row>
    <row r="153" spans="1:1">
      <c r="A153" s="111"/>
    </row>
    <row r="154" spans="1:1">
      <c r="A154" s="111"/>
    </row>
    <row r="155" spans="1:1">
      <c r="A155" s="111"/>
    </row>
    <row r="156" spans="1:1">
      <c r="A156" s="111"/>
    </row>
    <row r="157" spans="1:1">
      <c r="A157" s="111"/>
    </row>
  </sheetData>
  <sheetProtection algorithmName="SHA-512" hashValue="6QyTBJEVTUPVxYHn/LJe0hYA+Eoum9kj4IX+s92xLNCDuH+Rrpq9RCf7a3MbxSp2UmAyv6r2JU9MaiBYS96vwQ==" saltValue="Yi04tOW1MTRuNvWNEi6g2A==" spinCount="100000" sheet="1" objects="1" scenarios="1"/>
  <mergeCells count="14">
    <mergeCell ref="H61:H62"/>
    <mergeCell ref="A61:A62"/>
    <mergeCell ref="D61:D62"/>
    <mergeCell ref="E61:E62"/>
    <mergeCell ref="F61:F62"/>
    <mergeCell ref="G61:G62"/>
    <mergeCell ref="A1:J1"/>
    <mergeCell ref="A59:J59"/>
    <mergeCell ref="A5:A6"/>
    <mergeCell ref="D5:D6"/>
    <mergeCell ref="E5:E6"/>
    <mergeCell ref="F5:F6"/>
    <mergeCell ref="G5:G6"/>
    <mergeCell ref="H5:H6"/>
  </mergeCells>
  <printOptions horizontalCentered="1"/>
  <pageMargins left="0.39374999999999999" right="0.31527777777777777" top="1.3402777777777779" bottom="0.39374999999999999" header="0.51180555555555562" footer="0.51180555555555562"/>
  <pageSetup paperSize="9" scale="93" firstPageNumber="0" orientation="landscape" horizontalDpi="300" verticalDpi="300" r:id="rId1"/>
  <headerFooter alignWithMargins="0">
    <oddHeader>&amp;CREVISIONS</oddHeader>
  </headerFooter>
  <rowBreaks count="1" manualBreakCount="1">
    <brk id="56" max="10" man="1"/>
  </rowBreaks>
  <tableParts count="2">
    <tablePart r:id="rId2"/>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LISTES!$I$1:$I$2</xm:f>
          </x14:formula1>
          <xm:sqref>K7:K46 K63:K102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18</vt:i4>
      </vt:variant>
    </vt:vector>
  </HeadingPairs>
  <TitlesOfParts>
    <vt:vector size="29" baseType="lpstr">
      <vt:lpstr>LISTES</vt:lpstr>
      <vt:lpstr>MODE EMPLOI</vt:lpstr>
      <vt:lpstr>DONNEES</vt:lpstr>
      <vt:lpstr>CALCUL AVANCE TITULAIRE</vt:lpstr>
      <vt:lpstr>CALCUL AVANCE COTRAITANT</vt:lpstr>
      <vt:lpstr>CPP TITULAIRE-ST</vt:lpstr>
      <vt:lpstr>RECUP AVANCE TITULAIRE </vt:lpstr>
      <vt:lpstr>RESTITUTION AVANCE SUITE DC4</vt:lpstr>
      <vt:lpstr>RECUP AVANCE CO TRAITANT</vt:lpstr>
      <vt:lpstr>ACTUALISATION</vt:lpstr>
      <vt:lpstr>REVISION</vt:lpstr>
      <vt:lpstr>_16</vt:lpstr>
      <vt:lpstr>_17</vt:lpstr>
      <vt:lpstr>_19</vt:lpstr>
      <vt:lpstr>_23</vt:lpstr>
      <vt:lpstr>_79</vt:lpstr>
      <vt:lpstr>_86</vt:lpstr>
      <vt:lpstr>_87</vt:lpstr>
      <vt:lpstr>LYCEES</vt:lpstr>
      <vt:lpstr>LYCEES1</vt:lpstr>
      <vt:lpstr>'CALCUL AVANCE COTRAITANT'!Zone_d_impression</vt:lpstr>
      <vt:lpstr>'CALCUL AVANCE TITULAIRE'!Zone_d_impression</vt:lpstr>
      <vt:lpstr>'CPP TITULAIRE-ST'!Zone_d_impression</vt:lpstr>
      <vt:lpstr>DONNEES!Zone_d_impression</vt:lpstr>
      <vt:lpstr>'MODE EMPLOI'!Zone_d_impression</vt:lpstr>
      <vt:lpstr>'RECUP AVANCE CO TRAITANT'!Zone_d_impression</vt:lpstr>
      <vt:lpstr>'RECUP AVANCE TITULAIRE '!Zone_d_impression</vt:lpstr>
      <vt:lpstr>'RESTITUTION AVANCE SUITE DC4'!Zone_d_impression</vt:lpstr>
      <vt:lpstr>REVISION!Zone_d_impression</vt:lpstr>
    </vt:vector>
  </TitlesOfParts>
  <Company>Région Nouvelle-Aquitaine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SARRAZIN David</dc:creator>
  <cp:lastModifiedBy>ric</cp:lastModifiedBy>
  <cp:lastPrinted>2019-11-20T22:34:10Z</cp:lastPrinted>
  <dcterms:created xsi:type="dcterms:W3CDTF">2018-07-20T08:43:04Z</dcterms:created>
  <dcterms:modified xsi:type="dcterms:W3CDTF">2019-11-21T12:02:45Z</dcterms:modified>
</cp:coreProperties>
</file>