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defaultThemeVersion="124226"/>
  <mc:AlternateContent xmlns:mc="http://schemas.openxmlformats.org/markup-compatibility/2006">
    <mc:Choice Requires="x15">
      <x15ac:absPath xmlns:x15ac="http://schemas.microsoft.com/office/spreadsheetml/2010/11/ac" url="T:\OneDrive\LesDocuments\LesExcels\"/>
    </mc:Choice>
  </mc:AlternateContent>
  <xr:revisionPtr revIDLastSave="0" documentId="13_ncr:1_{14F611DE-C4BD-4570-8F4F-DAAC4A952EE1}" xr6:coauthVersionLast="45" xr6:coauthVersionMax="45" xr10:uidLastSave="{00000000-0000-0000-0000-000000000000}"/>
  <bookViews>
    <workbookView xWindow="-24120" yWindow="-120" windowWidth="24240" windowHeight="13140" tabRatio="755" xr2:uid="{00000000-000D-0000-FFFF-FFFF00000000}"/>
  </bookViews>
  <sheets>
    <sheet name="Devis" sheetId="7" r:id="rId1"/>
    <sheet name="Produits" sheetId="3" r:id="rId2"/>
    <sheet name="TARIF GRILLAGE RIGIDE" sheetId="8" r:id="rId3"/>
    <sheet name="CLOTURE BOIS" sheetId="11" r:id="rId4"/>
    <sheet name="MUR" sheetId="12" r:id="rId5"/>
    <sheet name="PARAM" sheetId="6" r:id="rId6"/>
    <sheet name="BASE" sheetId="9" r:id="rId7"/>
    <sheet name="params" sheetId="10" r:id="rId8"/>
  </sheets>
  <definedNames>
    <definedName name="Devis_Number">PARAM!$B$2</definedName>
    <definedName name="Hauteur">BASE!$I$5:$I$7</definedName>
    <definedName name="IDCLIENT">#REF!</definedName>
    <definedName name="liste">PARAM!$A$1:$A$5</definedName>
    <definedName name="Liste_Grillage">params!$B$3:$B$11</definedName>
    <definedName name="ListeJour">PARAM!$G$16:$G$37</definedName>
    <definedName name="NombrePersonnes">PARAM!$H$16:$H$21</definedName>
    <definedName name="numDevis">Devis!$C$2</definedName>
    <definedName name="Param_Date">PARAM!$A$32:$C$32</definedName>
    <definedName name="photo">OFFSET(PARAM!$C$1,MATCH(Devis!$G$4,liste,0)-1,)</definedName>
    <definedName name="_xlnm.Print_Area" localSheetId="0">Devis!$A$1:$E$36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6" i="7" l="1"/>
  <c r="E35" i="7"/>
  <c r="O53" i="11"/>
  <c r="C50" i="9"/>
  <c r="B54" i="9" s="1"/>
  <c r="D54" i="9" s="1"/>
  <c r="C28" i="12"/>
  <c r="C12" i="12"/>
  <c r="C11" i="12"/>
  <c r="F17" i="12"/>
  <c r="B55" i="9" l="1"/>
  <c r="D55" i="9" s="1"/>
  <c r="B56" i="9"/>
  <c r="D56" i="9" s="1"/>
  <c r="B57" i="9"/>
  <c r="D57" i="9" s="1"/>
  <c r="B58" i="9"/>
  <c r="D58" i="9" s="1"/>
  <c r="B52" i="9"/>
  <c r="D52" i="9" s="1"/>
  <c r="B53" i="9"/>
  <c r="D53" i="9" s="1"/>
  <c r="C24" i="12"/>
  <c r="C25" i="12" s="1"/>
  <c r="C17" i="12"/>
  <c r="C18" i="12" s="1"/>
  <c r="C20" i="12" s="1"/>
  <c r="C21" i="12" s="1"/>
  <c r="C13" i="12"/>
  <c r="C14" i="12" s="1"/>
  <c r="F18" i="12" s="1"/>
  <c r="F19" i="12" s="1"/>
  <c r="C6" i="12" l="1"/>
  <c r="C29" i="12" s="1"/>
  <c r="D18" i="3"/>
  <c r="O60" i="11"/>
  <c r="O58" i="11"/>
  <c r="O57" i="11"/>
  <c r="N47" i="11"/>
  <c r="N46" i="11"/>
  <c r="N45" i="11"/>
  <c r="N44" i="11"/>
  <c r="O63" i="11" l="1"/>
  <c r="D11" i="3" s="1"/>
  <c r="O64" i="11"/>
  <c r="I7" i="12"/>
  <c r="C18" i="3" s="1"/>
  <c r="E4" i="8"/>
  <c r="C39" i="9" l="1"/>
  <c r="C25" i="9"/>
  <c r="C12" i="9"/>
  <c r="C4" i="9"/>
  <c r="D12" i="8"/>
  <c r="B9" i="9" l="1"/>
  <c r="D9" i="9" s="1"/>
  <c r="B8" i="9"/>
  <c r="D8" i="9" s="1"/>
  <c r="B7" i="9"/>
  <c r="D7" i="9" s="1"/>
  <c r="B6" i="9"/>
  <c r="D6" i="9" s="1"/>
  <c r="B22" i="9"/>
  <c r="D22" i="9" s="1"/>
  <c r="B14" i="9"/>
  <c r="D14" i="9" s="1"/>
  <c r="B18" i="9"/>
  <c r="D18" i="9" s="1"/>
  <c r="B21" i="9"/>
  <c r="D21" i="9" s="1"/>
  <c r="B20" i="9"/>
  <c r="D20" i="9" s="1"/>
  <c r="B19" i="9"/>
  <c r="D19" i="9" s="1"/>
  <c r="B17" i="9"/>
  <c r="D17" i="9" s="1"/>
  <c r="B16" i="9"/>
  <c r="D16" i="9" s="1"/>
  <c r="B15" i="9"/>
  <c r="D15" i="9" s="1"/>
  <c r="B43" i="9"/>
  <c r="D43" i="9" s="1"/>
  <c r="B47" i="9"/>
  <c r="D47" i="9" s="1"/>
  <c r="B44" i="9"/>
  <c r="D44" i="9" s="1"/>
  <c r="B42" i="9"/>
  <c r="D42" i="9" s="1"/>
  <c r="B45" i="9"/>
  <c r="D45" i="9" s="1"/>
  <c r="B41" i="9"/>
  <c r="D41" i="9" s="1"/>
  <c r="B46" i="9"/>
  <c r="D46" i="9" s="1"/>
  <c r="D8" i="8"/>
  <c r="E34" i="7" l="1"/>
  <c r="K31" i="11" l="1"/>
  <c r="G31" i="11"/>
  <c r="C31" i="11"/>
  <c r="O31" i="11" s="1"/>
  <c r="O29" i="11"/>
  <c r="K29" i="11"/>
  <c r="G29" i="11"/>
  <c r="C29" i="11"/>
  <c r="O28" i="11"/>
  <c r="K28" i="11"/>
  <c r="G28" i="11"/>
  <c r="C28" i="11"/>
  <c r="O20" i="11"/>
  <c r="O24" i="11" s="1"/>
  <c r="K20" i="11"/>
  <c r="K24" i="11" s="1"/>
  <c r="K34" i="11" s="1"/>
  <c r="K35" i="11" s="1"/>
  <c r="G20" i="11"/>
  <c r="G24" i="11" s="1"/>
  <c r="G34" i="11" s="1"/>
  <c r="G35" i="11" s="1"/>
  <c r="C20" i="11"/>
  <c r="C24" i="11" s="1"/>
  <c r="C34" i="11" s="1"/>
  <c r="C35" i="11" s="1"/>
  <c r="O34" i="11" l="1"/>
  <c r="O35" i="11" s="1"/>
  <c r="D14" i="8"/>
  <c r="D25" i="10"/>
  <c r="D24" i="10"/>
  <c r="D23" i="10"/>
  <c r="D22" i="10"/>
  <c r="D21" i="10"/>
  <c r="D18" i="10"/>
  <c r="D17" i="10"/>
  <c r="D16" i="10"/>
  <c r="D9" i="8" s="1"/>
  <c r="C10" i="3" s="1"/>
  <c r="D15" i="10"/>
  <c r="D14" i="10"/>
  <c r="D13" i="10"/>
  <c r="D12" i="10"/>
  <c r="C36" i="9"/>
  <c r="C35" i="9"/>
  <c r="C34" i="9"/>
  <c r="C33" i="9"/>
  <c r="C32" i="9"/>
  <c r="C31" i="9"/>
  <c r="C30" i="9"/>
  <c r="C29" i="9"/>
  <c r="C28" i="9"/>
  <c r="C27" i="9"/>
  <c r="B27" i="9" l="1"/>
  <c r="D27" i="9" s="1"/>
  <c r="B35" i="9"/>
  <c r="D35" i="9" s="1"/>
  <c r="B32" i="9"/>
  <c r="D32" i="9" s="1"/>
  <c r="B28" i="9"/>
  <c r="D28" i="9" s="1"/>
  <c r="B36" i="9"/>
  <c r="D36" i="9" s="1"/>
  <c r="B29" i="9"/>
  <c r="D29" i="9" s="1"/>
  <c r="B30" i="9"/>
  <c r="D30" i="9" s="1"/>
  <c r="B31" i="9"/>
  <c r="D31" i="9" s="1"/>
  <c r="B33" i="9"/>
  <c r="D33" i="9" s="1"/>
  <c r="B34" i="9"/>
  <c r="D34" i="9"/>
  <c r="E7" i="8"/>
  <c r="F7" i="8" s="1"/>
  <c r="E5" i="8"/>
  <c r="E6" i="8" s="1"/>
  <c r="E10" i="8"/>
  <c r="E11" i="8" s="1"/>
  <c r="F10" i="8"/>
  <c r="F11" i="8" s="1"/>
  <c r="C17" i="8"/>
  <c r="E8" i="8" l="1"/>
  <c r="G12" i="8" s="1"/>
  <c r="F5" i="8"/>
  <c r="A32" i="6"/>
  <c r="F8" i="8" l="1"/>
  <c r="D13" i="8"/>
  <c r="D10" i="3" s="1"/>
  <c r="F6" i="8"/>
  <c r="F13" i="8" l="1"/>
  <c r="G13" i="8"/>
  <c r="H13" i="8" s="1"/>
</calcChain>
</file>

<file path=xl/sharedStrings.xml><?xml version="1.0" encoding="utf-8"?>
<sst xmlns="http://schemas.openxmlformats.org/spreadsheetml/2006/main" count="371" uniqueCount="249">
  <si>
    <t>DEVIS</t>
  </si>
  <si>
    <t>DESIGNATION</t>
  </si>
  <si>
    <t>PRIX</t>
  </si>
  <si>
    <t>IDPRODUIT</t>
  </si>
  <si>
    <t>TITRE</t>
  </si>
  <si>
    <t xml:space="preserve">Création terasse Cumaru </t>
  </si>
  <si>
    <t>Création terasse Pin</t>
  </si>
  <si>
    <t>Création terasse GOVAPLAST</t>
  </si>
  <si>
    <t>Surface :  m² 
Fourniture et pose d'une terrasse en bois exotique Cumaru   
Structure en lambourde 40*70 en bois exotique   
Visserie inox A2 diamètre 5 mm, longueur 50 mm   
Pose sur plot béton dosé a 250kg/ m3 ou sur système sur vis de fondation / Double lambourdage   
Habillage des rives</t>
  </si>
  <si>
    <t>Surface :  m²   
Fourniture et pose d'une terrasse en pin traité classe 4 autoclave   
Lame épaisseur 27 mm, largeur 145 mm, finition lisse ou striée   
Traitement garanti 10 ans contre attaques champignons…   
Lambourdes 50*50 mm en pin massif traité classe 4 autoclave   
Visserie inox A2 diamètre 5 mm, longueur 50 mm   
Pose sur plot béton dosé a 250kg/ m3 ou sur système sur vis de fondation / Double lambourdag</t>
  </si>
  <si>
    <t>Fourniture et pose d'un platelage en pvc Lame de terrasse GOVAPLAST
Surface :  m²
Gamme GOVAPLAST
Plastique recyclé
Dim : 150 (L) x 30 (h) x 3600 (Lg) en mm
Coloris : gris, noir ou marron
Finition : lisse ou rainuré
Création d'une structure lambourde bois classe 4 
Pose sur plots lambourdes
Habillage des seuils
Fixation lames : clips (fixation invisible)
Habillage des rives (lames Govaplas</t>
  </si>
  <si>
    <t>JOURS</t>
  </si>
  <si>
    <t>PERS.</t>
  </si>
  <si>
    <t>ABIVERT</t>
  </si>
  <si>
    <t>ENTREPRISE</t>
  </si>
  <si>
    <t>TVA</t>
  </si>
  <si>
    <t>1 Pers.</t>
  </si>
  <si>
    <t>2 Pers.</t>
  </si>
  <si>
    <t>1 J.</t>
  </si>
  <si>
    <t>3 Pers.</t>
  </si>
  <si>
    <t>4 Pers.</t>
  </si>
  <si>
    <t>5 Pers.</t>
  </si>
  <si>
    <t>6 Pers.</t>
  </si>
  <si>
    <t xml:space="preserve"> </t>
  </si>
  <si>
    <t>TTC</t>
  </si>
  <si>
    <t xml:space="preserve">Terasse  + allée le long d'un pignon
Surface : 34 m² + 3m²
Etat actuel : dalle béton carller
Fourniture et pose d'une terrasse en bois exotique Cumaru   
Structure en lambourde 40*70 en bois exotique   
Visserie inox A2 diamètre 5 mm, longueur 50 mm   
Plancher en cumaru largeur 145 mm, épaisseur 21 mm, rainure finition lisse
Structure en lambourde 40x70 en bois exotique
Pose sur plots réglables
Pose sur plots lambourdes
Habillage des seuils
Habillage des rives
Nettoyage fin de chantier
</t>
  </si>
  <si>
    <t>Rénovation terrasse / Terrasse bois exotique CUMARU</t>
  </si>
  <si>
    <t xml:space="preserve">Fourniture et pose d'un platelage en pvc Lame de terrasse GOVAPLAST
Surface :  m²
Pose sur dalle béton existante 
Gamme GOVAPLAST
Plastique recyclé
Dim : 150 (L) x 30 (h) x 3600 (Lg) en mm
Coloris : gris, noir ou marron
Finition : lisse ou rainuré
Création d'une structure lambourde bois classe 4 
Pose sur plot béton dosé a 250kg/ m3 ou sur système sur vis de fondation / Double lambourdage
Habillage des seuils
Fixation lames : clips (fixation invisible)
Habillage des rives (lames Govaplast) </t>
  </si>
  <si>
    <t>Surface :  m²
Terrassement de la zone   
Décapage pelouse, empierrement, mise en place d'un géotextile   
Y compris évacuation des déblais</t>
  </si>
  <si>
    <t>Travaux préparatoires</t>
  </si>
  <si>
    <t xml:space="preserve">Béton lavé   </t>
  </si>
  <si>
    <t>Béton dosé à 350 kg/m3   
Coffrage de la zone   
Empiererement   
Coulage de la dalle    
Décoffrage</t>
  </si>
  <si>
    <t xml:space="preserve">Dimensions : 
Gamme LOHEAC 
Forme : Droit 
Lames jointives 240*24
Cadre Inox 30/30 gainé
Serrure inoxydable
Cylindre à 3 dés - Ensemble poignée
Gond à cheville, à platine, à seller
Pivot de sol réglable en bronze alu
Butée de seuil inox à visser ou seller 
Arrêt d'ouverture
Poteaux support 200 *200 
Dimensions : </t>
  </si>
  <si>
    <t xml:space="preserve">Fourniture et pose de portail PVC </t>
  </si>
  <si>
    <t xml:space="preserve">Création de longrine   </t>
  </si>
  <si>
    <t>Zone arrière de la maison
Surface 80 m²
Etat actuel : herbes + mauvaise herbes
Le terrain est considéré non exploité (sans culture)
Travail de la zone : nivellement terrain, passage du roto
Enlèvement des déchets, cailloux, racines ...
Semis gazon
compactage au rouleau à gazon
Remarque : en période de pousse, des mauvaises herbes peuvent pousser. Un traitement sélectif sera à faire au bout de 3 mois par le client.</t>
  </si>
  <si>
    <t>Engazonnement</t>
  </si>
  <si>
    <t>Clôture sur muret existant (épaisseur 20 cm)
Longueur totale : ml
Clôture PVC type Brise Vue 160
Hauteur exécution :  mm (hauteur poteaux) 
Type poteaux : 100x100
Fixation : crapaudine mécanique (intégrée aux poteaux)
PVC blanc ral 9010</t>
  </si>
  <si>
    <t>Fourniture et pose d'une clôture pvc</t>
  </si>
  <si>
    <t>Gris anthracite
Longueur   ml   - Hauteur 1.80 m
Poteaux alu, couleur aluminium
Poteaux scellés au béton</t>
  </si>
  <si>
    <t>Fourniture et pose clôture Govaplast</t>
  </si>
  <si>
    <t>Habillage d'une dalle béton existante en carrelage sur plots
Surface  m²
Base du devis : 
Carrelage modèle GREY SLATE
Format 60x60 cm, épaisseur 20 mm
Pose sur plots réglables / Hauteur seuil 14 cm / Habillage des seuils baies vitrées
Création d'un entourage bois autour de la terrasse, pour un bon maintien de l'ensemble. La rive de la bordure reste visible.
Pin rouge Nord, traitement autoclave vert classe 4
Plots auto-nivellant</t>
  </si>
  <si>
    <t>Rénovation terrasse en carrelage</t>
  </si>
  <si>
    <t>Mur de clôture en parpaings</t>
  </si>
  <si>
    <t xml:space="preserve">Desouchage de la haie   </t>
  </si>
  <si>
    <t>Longueur .. ml
Y compris évacuation et mise en déchetterie</t>
  </si>
  <si>
    <t xml:space="preserve">Coupe à ras de la haie </t>
  </si>
  <si>
    <t>Surface: 
Décapage de la zone pour ise à la côte du fond de forme
Apport d'empierrement 0/30 sur couche de 10 cm, compactage mécanique
Déblais mis en déchetterie</t>
  </si>
  <si>
    <t>Terrassement</t>
  </si>
  <si>
    <t>Fourniture et pose de chainettes en pavés 15*15 cm épaisseur 6 cm 
Type lisse ton sable 
Pose sur lit de béton épaisseur 10cm dosé à 250 kg/m3
Confection de solin en béton pour bloquer les pavés</t>
  </si>
  <si>
    <t>Bordure</t>
  </si>
  <si>
    <t>Surface: 
Fourniture et pose d'enrobé noir 0/6 sur couche de 3-4 cm
110 kg/m²</t>
  </si>
  <si>
    <t xml:space="preserve">Enrobé </t>
  </si>
  <si>
    <t>Afind de délimitation 5 cm en pvc gris …. ml entre alvéole et parterre</t>
  </si>
  <si>
    <t>Fourniture et pose de bordures</t>
  </si>
  <si>
    <t>Surface ..... m²
Apport de sable de concassage 0/4 sur couche de 3-4 cm d'épaisseur tiré à la règle
Nivellement et compactage mécanique
Mise en place de plaques de nidagravel épaisseur 4 cm, avec géotextile soudé à la plaque
Apport de gravillons 6/10 type Radenac
Couche de 5cm
Passage de la plaque vibrante</t>
  </si>
  <si>
    <t>Fourniture et pose nidagravel</t>
  </si>
  <si>
    <t>Surface …m²
Pose d'une toile tissée
Apport d'ardoises Denver noires 15/35</t>
  </si>
  <si>
    <t>Paillage minéral</t>
  </si>
  <si>
    <t>Surface  m² (3.30 x 3.30)
Epaisseur 10 cm
Terrassement
Evacuation empierrement
Coffrage
Coulage
Décoffrage
Séchage 3 semaines
Terrasse surélevée de 10 cm par rapport à la pelouse
Gaine électrique</t>
  </si>
  <si>
    <t xml:space="preserve">Création d'une dalle béton </t>
  </si>
  <si>
    <t>Surface :  m²   
Fourniture et pose d'une terrasse en pin traité classe 4 autoclave 
Pose sur dalle béton existante  
Lame épaisseur 27 mm, largeur 145 mm, finition lisse ou striée   
Traitement garanti 10 ans contre attaques champignons…   
Lambourdes 50*50 mm en pin massif traité classe 4 autoclave   
Visserie inox A2 diamètre 5 mm, longueur 50 mm   
Pose sur plot béton dosé a 250kg/ m3 ou sur système sur vis de fondation / Double lambourdage</t>
  </si>
  <si>
    <t>Rénovation terrasse existante en Pin</t>
  </si>
  <si>
    <t>Rénovation terrasse existante en GOVAPLAST</t>
  </si>
  <si>
    <t>0,5 J.</t>
  </si>
  <si>
    <t>COULEUR A SAISIR</t>
  </si>
  <si>
    <t>OPTION A CHOISIR</t>
  </si>
  <si>
    <t xml:space="preserve">LONGUEUR </t>
  </si>
  <si>
    <t>LONGUEUR CORRIGE</t>
  </si>
  <si>
    <t>MARGE SUR MATERIEL</t>
  </si>
  <si>
    <t>Saisir la surface</t>
  </si>
  <si>
    <t xml:space="preserve">Plaque de soubassement </t>
  </si>
  <si>
    <t>Option couleur soubassement</t>
  </si>
  <si>
    <t>Oui</t>
  </si>
  <si>
    <t>Grillage</t>
  </si>
  <si>
    <t>Poteaux</t>
  </si>
  <si>
    <t>Hauteur fini</t>
  </si>
  <si>
    <t>Occultant</t>
  </si>
  <si>
    <t>Option occultant bois</t>
  </si>
  <si>
    <t>Non</t>
  </si>
  <si>
    <t>Moa</t>
  </si>
  <si>
    <t>Total HT</t>
  </si>
  <si>
    <t xml:space="preserve">Nombre de jour prévue </t>
  </si>
  <si>
    <t>TEXTE POUR DEVIS</t>
  </si>
  <si>
    <t>PRIX cmb PROLIANS</t>
  </si>
  <si>
    <t>PLAQUE DE SOUBASSEMENT</t>
  </si>
  <si>
    <t>COEFF</t>
  </si>
  <si>
    <t xml:space="preserve">Soubassement </t>
  </si>
  <si>
    <t>PRIX VENTE</t>
  </si>
  <si>
    <t xml:space="preserve">prix achat </t>
  </si>
  <si>
    <t xml:space="preserve">marge </t>
  </si>
  <si>
    <t>Etat</t>
  </si>
  <si>
    <t>PLAQUE DE SOUBASSEMENT LONGUEUR 2,50 M / HAUTEUR 0,25 / CIMENT</t>
  </si>
  <si>
    <t>PLAQUE DE SOUBASSEMENT LONGUEUR 2,50 M / HAUTEUR 0,50 / CIMENT</t>
  </si>
  <si>
    <t>PLAQUE DE SOUBASSEMENT LONGUEUR 2,50 M / HAUTEUR 0,25 / ANTHRACITE</t>
  </si>
  <si>
    <t>PLAQUE DE SOUBASSEMENT LONGUEUR 2,50 M / HAUTEUR 0,50 / ANTHRACITE</t>
  </si>
  <si>
    <t>MOA</t>
  </si>
  <si>
    <t>1 jour / 2 Personnes</t>
  </si>
  <si>
    <t>NYLOFLOR 3D PANNEAU DE 2,50 ML</t>
  </si>
  <si>
    <t>Hauteur Grillage</t>
  </si>
  <si>
    <t xml:space="preserve">Longueur par jour </t>
  </si>
  <si>
    <t>Béton</t>
  </si>
  <si>
    <t>POTEAUX BEKAFIX</t>
  </si>
  <si>
    <t>Hauteur des poteaux</t>
  </si>
  <si>
    <t>OCCULTANT NYLOFLOR3D   PANNEAU DE 2,50 ML GRIS OU VERT MEME PRIX</t>
  </si>
  <si>
    <t>OCCULTANT NYLOFLOR3D   PANNEAU DE 2,50 ML BOIS</t>
  </si>
  <si>
    <t xml:space="preserve">Hauteur fini  </t>
  </si>
  <si>
    <t>Soubassement</t>
  </si>
  <si>
    <t>grillage</t>
  </si>
  <si>
    <t>poteaux</t>
  </si>
  <si>
    <t>En option on peux ajouter les occultants PVC ou BOIS</t>
  </si>
  <si>
    <t>TRAVAUX PREPARATOIRES</t>
  </si>
  <si>
    <t>AKALIS</t>
  </si>
  <si>
    <t>Coupe à ras d'une petite haie</t>
  </si>
  <si>
    <t>ml</t>
  </si>
  <si>
    <t>Arrachage des pieds de haie</t>
  </si>
  <si>
    <t>€</t>
  </si>
  <si>
    <t xml:space="preserve">Coupe à ras d'une grande haie </t>
  </si>
  <si>
    <t>Autres Travaux</t>
  </si>
  <si>
    <t>Matériel :</t>
  </si>
  <si>
    <t>Mini-pelle : OUI / NON</t>
  </si>
  <si>
    <t>Rogneuse : OUI / NON</t>
  </si>
  <si>
    <t>Accès :</t>
  </si>
  <si>
    <t>Fourniture et Pose</t>
  </si>
  <si>
    <t>Clôture Bois ep 21mm + Poteaux Alu</t>
  </si>
  <si>
    <t>Lg 10ml : Hauteur 1,80ml / Soit 5 Panneaux</t>
  </si>
  <si>
    <t>Lg 30ml : Hauteur 1,80ml / Soit 16 Panneaux</t>
  </si>
  <si>
    <t>Lg 50ml : Hauteur 1,80ml / Soit 26 Panneaux</t>
  </si>
  <si>
    <t>Lg 1,92ml : Hauteur 1,80ml / Soit 1 Panneau</t>
  </si>
  <si>
    <t>ACHAT</t>
  </si>
  <si>
    <t>Qté</t>
  </si>
  <si>
    <t>Poteaux Alu 2,50ml Gris 7016</t>
  </si>
  <si>
    <t>Plaque Béton 1/2 chaperon 25cm</t>
  </si>
  <si>
    <t>Lame Bois 21mm 21x130mm lg 1,92ml</t>
  </si>
  <si>
    <t>Lame Bois 21mm / Finition lg 1,92ml</t>
  </si>
  <si>
    <t>TOTAL ACHAT</t>
  </si>
  <si>
    <t>VENTE</t>
  </si>
  <si>
    <t>MARGE</t>
  </si>
  <si>
    <t xml:space="preserve">MARGE </t>
  </si>
  <si>
    <t>Fourniture VENTE</t>
  </si>
  <si>
    <t>FOURNITURE VENTE</t>
  </si>
  <si>
    <t>FRAIS / Pose</t>
  </si>
  <si>
    <t>Frais / Pose</t>
  </si>
  <si>
    <t>FRAIS Pose</t>
  </si>
  <si>
    <t>Béton : 7€/ml</t>
  </si>
  <si>
    <t>Main d'œuvre : 30€/ml</t>
  </si>
  <si>
    <t>Location Tariere</t>
  </si>
  <si>
    <t>Mini-Pelle : 120€/30ml</t>
  </si>
  <si>
    <t>VENTE FOURNITURE ET POSE</t>
  </si>
  <si>
    <t>ML</t>
  </si>
  <si>
    <t xml:space="preserve">UTILITAIRE : Clôture Bois ep 21mm + Poteaux Alu / </t>
  </si>
  <si>
    <t>Travaux Préparatoires</t>
  </si>
  <si>
    <t>Coupe à ras de la haie</t>
  </si>
  <si>
    <t>x</t>
  </si>
  <si>
    <t>Longueur Clôture (multiple 1,92)</t>
  </si>
  <si>
    <t>y compris évacuation et mise en déchetterie</t>
  </si>
  <si>
    <t>Hauteur Clôture Hors Sol (avec plaque 25)</t>
  </si>
  <si>
    <t>Transport</t>
  </si>
  <si>
    <t xml:space="preserve">Clôture Lames Bois ep 21mm </t>
  </si>
  <si>
    <t>2 Fourniture et pose d'une cloture bois</t>
  </si>
  <si>
    <t xml:space="preserve">Longueur : </t>
  </si>
  <si>
    <t>Hauteur finit : 1,80ml</t>
  </si>
  <si>
    <t>Couleur :</t>
  </si>
  <si>
    <t>Lames Bois ep 21mm / Section : 21x130mm Double face lg 1,92ml</t>
  </si>
  <si>
    <t>Bois traité Cl 4 : garanti 10 ans contre attaques champignons et termites</t>
  </si>
  <si>
    <t>Plaque béton 1/2 chaperon ht 25cm</t>
  </si>
  <si>
    <t>Poteaux aluminium haute résistance / Coloris :</t>
  </si>
  <si>
    <t>Scellement poteaux au béton dosé à 250kg/m3</t>
  </si>
  <si>
    <t xml:space="preserve">TVA </t>
  </si>
  <si>
    <t>Fourniture et pose portail alu</t>
  </si>
  <si>
    <t>Fourniture et pose de cloture alu</t>
  </si>
  <si>
    <t>1,5 j</t>
  </si>
  <si>
    <t>2 j</t>
  </si>
  <si>
    <t>2,5 j</t>
  </si>
  <si>
    <t>3 j</t>
  </si>
  <si>
    <t>3,5 j</t>
  </si>
  <si>
    <t>4 j</t>
  </si>
  <si>
    <t>4,5 j</t>
  </si>
  <si>
    <t>5 j</t>
  </si>
  <si>
    <t>5,5 j</t>
  </si>
  <si>
    <t xml:space="preserve">Dessouchage de la haie 10 ml
Intervention avec minipelle
Evacuhation et mise en decheterie </t>
  </si>
  <si>
    <t>6 j</t>
  </si>
  <si>
    <t>0,5 J</t>
  </si>
  <si>
    <t>2 h</t>
  </si>
  <si>
    <t>1 h</t>
  </si>
  <si>
    <t>1 J</t>
  </si>
  <si>
    <t>7 j</t>
  </si>
  <si>
    <t>7,5 j</t>
  </si>
  <si>
    <t>6,5 j</t>
  </si>
  <si>
    <t>8 j</t>
  </si>
  <si>
    <t>8,5 j</t>
  </si>
  <si>
    <t>9 j</t>
  </si>
  <si>
    <t>9,5 j</t>
  </si>
  <si>
    <t>10 j</t>
  </si>
  <si>
    <t>HT</t>
  </si>
  <si>
    <t>Fourniture et pose d'une clôture bois 
Longueur .. ml - Hauteur finie .. m
Couleur : bois (pin du Nord)
Lames bois ép 34 mm / Section 34x130 mm double face lg 1.92 ml
Bois traité classe 4 : garantie 10 ans contre attaques champignons et termites
Plaque béton 1/2 chaperon hauteur 25 cm 
Poteaux aluminium haute résistance / Coloris gris anthracite ral 7016
Scellement poteaux au béton dosé à 250 kg/m3</t>
  </si>
  <si>
    <t>Longrine béton
Confection d'une longrine de .. ml
Ouverture de la tranchée
Coffrage
Coulage de la longrine béton dosé à 350 kg/m3
Pour portail coulissant .. ml</t>
  </si>
  <si>
    <t>Section 180x180
Scellement des piliers
Finition : gris anthracite ral 7016</t>
  </si>
  <si>
    <t>Fourniture de 2 piliers aluminium</t>
  </si>
  <si>
    <t>Evacuation arbre à terre</t>
  </si>
  <si>
    <t>Abattage de .. Arbre(s) 
Emplacement : 
Débitage en morceaux de 40 ou 50 cm
Intervention sécuriée à la nacelle élévatrice
Sans déssouchage 
Y compris évacuation des déchets et mise en déchetterie</t>
  </si>
  <si>
    <t>NICOLAS</t>
  </si>
  <si>
    <t>4826</t>
  </si>
  <si>
    <t xml:space="preserve">Main d'œuvre </t>
  </si>
  <si>
    <t xml:space="preserve">Béton </t>
  </si>
  <si>
    <t xml:space="preserve">Mini-Pelle </t>
  </si>
  <si>
    <t xml:space="preserve">Fourniture et pose de cloture bois ep 34mm + Poteaux Alu    </t>
  </si>
  <si>
    <t xml:space="preserve">Fourniture et pose de cloture en grilage rigide  </t>
  </si>
  <si>
    <t>1,7</t>
  </si>
  <si>
    <t>12</t>
  </si>
  <si>
    <t>18</t>
  </si>
  <si>
    <t>66</t>
  </si>
  <si>
    <t>Hauteur</t>
  </si>
  <si>
    <t>Longeur</t>
  </si>
  <si>
    <t>PARPAING</t>
  </si>
  <si>
    <t>Hauteur  (cm)</t>
  </si>
  <si>
    <t>Pronfondeur  (cm)</t>
  </si>
  <si>
    <t>Longueur (cm)</t>
  </si>
  <si>
    <t>Mortier</t>
  </si>
  <si>
    <t>Surface 1</t>
  </si>
  <si>
    <t>Surface 2</t>
  </si>
  <si>
    <t>Surace 3</t>
  </si>
  <si>
    <t>Surface Total</t>
  </si>
  <si>
    <t>surface du mur </t>
  </si>
  <si>
    <t>surface de la brique avec joint </t>
  </si>
  <si>
    <t>Surface</t>
  </si>
  <si>
    <t>nombre de brique </t>
  </si>
  <si>
    <t>Nombre</t>
  </si>
  <si>
    <t>Surface corriger</t>
  </si>
  <si>
    <t>Nombre corriger</t>
  </si>
  <si>
    <t>Nombre de rang</t>
  </si>
  <si>
    <t>nombre de rangs</t>
  </si>
  <si>
    <t>RAS</t>
  </si>
  <si>
    <t>Hauteur corriger</t>
  </si>
  <si>
    <t>TEXT DEVIS</t>
  </si>
  <si>
    <t>0,9</t>
  </si>
  <si>
    <t>0,1</t>
  </si>
  <si>
    <t>0,5</t>
  </si>
  <si>
    <t>0,25</t>
  </si>
  <si>
    <t>0,15</t>
  </si>
  <si>
    <t>TARIFS</t>
  </si>
  <si>
    <t>MUR 1 M²</t>
  </si>
  <si>
    <t>ENDUIT 1 M²</t>
  </si>
  <si>
    <t>PRIX CLIENT</t>
  </si>
  <si>
    <t>Mur</t>
  </si>
  <si>
    <t>Enduit (3 faces)</t>
  </si>
  <si>
    <t>Total</t>
  </si>
  <si>
    <t>45</t>
  </si>
  <si>
    <t>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</si>
</sst>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 &quot;€&quot;;[Red]\-#,##0\ &quot;€&quot;"/>
    <numFmt numFmtId="165" formatCode="#,##0.00\ &quot;€&quot;;[Red]\-#,##0.00\ &quot;€&quot;"/>
    <numFmt numFmtId="166" formatCode="_-* #,##0.00\ &quot;€&quot;_-;\-* #,##0.00\ &quot;€&quot;_-;_-* &quot;-&quot;??\ &quot;€&quot;_-;_-@_-"/>
    <numFmt numFmtId="167" formatCode="#,##0.00\ &quot;€&quot;"/>
    <numFmt numFmtId="168" formatCode="_-* #,##0.00\ [$€-1]_-;\-* #,##0.00\ [$€-1]_-;_-* &quot;-&quot;??\ [$€-1]_-;_-@_-"/>
    <numFmt numFmtId="169" formatCode="00000"/>
    <numFmt numFmtId="170" formatCode="#,##0\ &quot;€&quot;"/>
    <numFmt numFmtId="171" formatCode="0.0"/>
    <numFmt numFmtId="172" formatCode="0.000"/>
  </numFmts>
  <fonts count="36" x14ac:knownFonts="1">
    <font>
      <sz val="11"/>
      <color theme="1"/>
      <name val="Calibri"/>
      <family val="2"/>
      <scheme val="minor"/>
    </font>
    <font>
      <sz val="11"/>
      <color theme="1"/>
      <name val="Calibri"/>
      <family val="2"/>
      <scheme val="minor"/>
    </font>
    <font>
      <sz val="11"/>
      <color rgb="FF002060"/>
      <name val="Calibri"/>
      <family val="2"/>
      <scheme val="minor"/>
    </font>
    <font>
      <b/>
      <sz val="14"/>
      <color rgb="FF002060"/>
      <name val="Calibri"/>
      <family val="2"/>
      <scheme val="minor"/>
    </font>
    <font>
      <b/>
      <sz val="16"/>
      <color rgb="FF002060"/>
      <name val="Calibri"/>
      <family val="2"/>
      <scheme val="minor"/>
    </font>
    <font>
      <b/>
      <sz val="11"/>
      <color theme="1"/>
      <name val="Calibri"/>
      <family val="2"/>
      <scheme val="minor"/>
    </font>
    <font>
      <sz val="8"/>
      <name val="Calibri"/>
      <family val="2"/>
      <scheme val="minor"/>
    </font>
    <font>
      <b/>
      <sz val="12"/>
      <name val="Calibri"/>
      <family val="2"/>
      <scheme val="minor"/>
    </font>
    <font>
      <b/>
      <sz val="16"/>
      <color theme="1"/>
      <name val="Calibri"/>
      <family val="2"/>
      <scheme val="minor"/>
    </font>
    <font>
      <b/>
      <sz val="14"/>
      <name val="Calibri"/>
      <family val="2"/>
      <scheme val="minor"/>
    </font>
    <font>
      <b/>
      <i/>
      <sz val="11"/>
      <color rgb="FFFF0000"/>
      <name val="Calibri"/>
      <family val="2"/>
      <scheme val="minor"/>
    </font>
    <font>
      <sz val="11"/>
      <name val="Calibri"/>
      <family val="2"/>
      <scheme val="minor"/>
    </font>
    <font>
      <b/>
      <sz val="11"/>
      <color theme="0"/>
      <name val="Calibri"/>
      <family val="2"/>
      <scheme val="minor"/>
    </font>
    <font>
      <b/>
      <sz val="18"/>
      <color theme="1"/>
      <name val="Calibri"/>
      <family val="2"/>
      <scheme val="minor"/>
    </font>
    <font>
      <b/>
      <sz val="14"/>
      <color theme="1"/>
      <name val="Calibri"/>
      <family val="2"/>
      <scheme val="minor"/>
    </font>
    <font>
      <sz val="14"/>
      <color theme="1"/>
      <name val="Calibri"/>
      <family val="2"/>
      <scheme val="minor"/>
    </font>
    <font>
      <b/>
      <sz val="11"/>
      <color rgb="FF7030A0"/>
      <name val="Calibri"/>
      <family val="2"/>
      <scheme val="minor"/>
    </font>
    <font>
      <b/>
      <sz val="16"/>
      <color theme="0"/>
      <name val="Calibri"/>
      <family val="2"/>
      <scheme val="minor"/>
    </font>
    <font>
      <b/>
      <sz val="14"/>
      <color theme="0"/>
      <name val="Calibri"/>
      <family val="2"/>
      <scheme val="minor"/>
    </font>
    <font>
      <sz val="12"/>
      <color theme="1"/>
      <name val="Calibri"/>
      <family val="2"/>
      <scheme val="minor"/>
    </font>
    <font>
      <b/>
      <sz val="8"/>
      <color theme="1"/>
      <name val="Calibri"/>
      <family val="2"/>
      <scheme val="minor"/>
    </font>
    <font>
      <sz val="9"/>
      <color theme="1"/>
      <name val="Calibri"/>
      <family val="2"/>
      <scheme val="minor"/>
    </font>
    <font>
      <sz val="8"/>
      <color theme="1"/>
      <name val="Arial"/>
      <family val="2"/>
    </font>
    <font>
      <b/>
      <sz val="8"/>
      <color theme="1"/>
      <name val="Arial"/>
      <family val="2"/>
    </font>
    <font>
      <sz val="8"/>
      <color theme="1"/>
      <name val="Calibri"/>
      <family val="2"/>
      <scheme val="minor"/>
    </font>
    <font>
      <b/>
      <sz val="8"/>
      <color theme="0"/>
      <name val="Arial"/>
      <family val="2"/>
    </font>
    <font>
      <sz val="12"/>
      <color rgb="FFFF0000"/>
      <name val="Calibri"/>
      <family val="2"/>
      <scheme val="minor"/>
    </font>
    <font>
      <b/>
      <sz val="12"/>
      <color theme="1"/>
      <name val="Calibri"/>
      <family val="2"/>
      <scheme val="minor"/>
    </font>
    <font>
      <b/>
      <i/>
      <sz val="14"/>
      <color theme="1"/>
      <name val="Calibri"/>
      <family val="2"/>
      <scheme val="minor"/>
    </font>
    <font>
      <b/>
      <i/>
      <sz val="12"/>
      <color theme="1"/>
      <name val="Calibri"/>
      <family val="2"/>
      <scheme val="minor"/>
    </font>
    <font>
      <sz val="11"/>
      <color theme="0"/>
      <name val="Calibri"/>
      <family val="2"/>
      <scheme val="minor"/>
    </font>
    <font>
      <sz val="8"/>
      <color theme="0"/>
      <name val="Arial"/>
      <family val="2"/>
    </font>
    <font>
      <b/>
      <i/>
      <sz val="14"/>
      <color rgb="FF000000"/>
      <name val="Calibri"/>
      <family val="2"/>
    </font>
    <font>
      <b/>
      <sz val="18"/>
      <color rgb="FF000000"/>
      <name val="Calibri"/>
      <family val="2"/>
    </font>
    <font>
      <b/>
      <sz val="16"/>
      <color rgb="FF000000"/>
      <name val="Calibri"/>
      <family val="2"/>
    </font>
    <font>
      <sz val="11"/>
      <color rgb="FF000000"/>
      <name val="Calibri"/>
      <family val="2"/>
    </font>
  </fonts>
  <fills count="23">
    <fill>
      <patternFill patternType="none"/>
    </fill>
    <fill>
      <patternFill patternType="gray125"/>
    </fill>
    <fill>
      <patternFill patternType="solid">
        <fgColor theme="4" tint="0.39997558519241921"/>
        <bgColor indexed="64"/>
      </patternFill>
    </fill>
    <fill>
      <patternFill patternType="solid">
        <fgColor theme="6"/>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7030A0"/>
        <bgColor indexed="64"/>
      </patternFill>
    </fill>
    <fill>
      <patternFill patternType="solid">
        <fgColor theme="3" tint="-0.499984740745262"/>
        <bgColor indexed="64"/>
      </patternFill>
    </fill>
    <fill>
      <patternFill patternType="solid">
        <fgColor theme="8" tint="0.39997558519241921"/>
        <bgColor indexed="64"/>
      </patternFill>
    </fill>
    <fill>
      <patternFill patternType="solid">
        <fgColor rgb="FF92D050"/>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9"/>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rgb="FFFFC000"/>
        <bgColor indexed="64"/>
      </patternFill>
    </fill>
  </fills>
  <borders count="31">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166" fontId="1" fillId="0" borderId="0" applyFont="0" applyFill="0" applyBorder="0" applyAlignment="0" applyProtection="0"/>
    <xf numFmtId="9" fontId="1" fillId="0" borderId="0" applyFont="0" applyFill="0" applyBorder="0" applyAlignment="0" applyProtection="0"/>
  </cellStyleXfs>
  <cellXfs count="230">
    <xf numFmtId="0" fontId="0" fillId="0" borderId="0" xfId="0"/>
    <xf numFmtId="0" fontId="2" fillId="0" borderId="0" xfId="0" applyFont="1"/>
    <xf numFmtId="0" fontId="3" fillId="0" borderId="0" xfId="0" applyFont="1" applyAlignment="1">
      <alignment horizontal="center"/>
    </xf>
    <xf numFmtId="0" fontId="2" fillId="0" borderId="0" xfId="0" applyFont="1" applyAlignment="1">
      <alignment horizontal="left" vertical="top" wrapText="1"/>
    </xf>
    <xf numFmtId="0" fontId="3"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top"/>
    </xf>
    <xf numFmtId="0" fontId="2" fillId="0" borderId="0" xfId="0" applyFont="1" applyAlignment="1">
      <alignment horizontal="left" vertical="top"/>
    </xf>
    <xf numFmtId="166" fontId="2" fillId="0" borderId="0" xfId="1" applyFont="1" applyAlignment="1">
      <alignment vertical="center"/>
    </xf>
    <xf numFmtId="0" fontId="0" fillId="0" borderId="0" xfId="0" applyAlignment="1">
      <alignment horizontal="center" vertical="center"/>
    </xf>
    <xf numFmtId="0" fontId="0" fillId="0" borderId="0" xfId="0" applyNumberFormat="1" applyAlignment="1">
      <alignment horizontal="center" vertical="center"/>
    </xf>
    <xf numFmtId="0" fontId="5" fillId="0" borderId="15" xfId="0" applyFont="1" applyBorder="1" applyAlignment="1">
      <alignment horizontal="center" vertical="center"/>
    </xf>
    <xf numFmtId="0" fontId="9" fillId="0" borderId="15" xfId="0" applyFont="1" applyBorder="1" applyAlignment="1">
      <alignment horizontal="center" vertical="center"/>
    </xf>
    <xf numFmtId="0" fontId="8" fillId="5" borderId="15" xfId="0" applyFont="1" applyFill="1" applyBorder="1" applyAlignment="1">
      <alignment horizontal="center" vertical="center"/>
    </xf>
    <xf numFmtId="0" fontId="3" fillId="0" borderId="0" xfId="0" applyFont="1" applyAlignment="1">
      <alignment horizontal="left" vertical="center"/>
    </xf>
    <xf numFmtId="0" fontId="2" fillId="0" borderId="0" xfId="0" applyFont="1" applyAlignment="1">
      <alignment horizontal="left" vertical="center"/>
    </xf>
    <xf numFmtId="0" fontId="11" fillId="0" borderId="15" xfId="0" applyFont="1" applyBorder="1" applyAlignment="1">
      <alignment wrapText="1"/>
    </xf>
    <xf numFmtId="0" fontId="11" fillId="0" borderId="15" xfId="1" applyNumberFormat="1" applyFont="1" applyBorder="1" applyAlignment="1">
      <alignment horizontal="center" vertical="center"/>
    </xf>
    <xf numFmtId="167" fontId="11" fillId="0" borderId="15" xfId="0" applyNumberFormat="1" applyFont="1" applyBorder="1" applyAlignment="1">
      <alignment horizontal="center" vertical="center"/>
    </xf>
    <xf numFmtId="0" fontId="11" fillId="0" borderId="15" xfId="0" applyFont="1" applyBorder="1"/>
    <xf numFmtId="0" fontId="14" fillId="6" borderId="15" xfId="0" applyFont="1" applyFill="1" applyBorder="1" applyAlignment="1">
      <alignment horizontal="center"/>
    </xf>
    <xf numFmtId="0" fontId="15" fillId="8" borderId="10" xfId="0" applyFont="1" applyFill="1" applyBorder="1" applyAlignment="1">
      <alignment horizontal="center"/>
    </xf>
    <xf numFmtId="0" fontId="14" fillId="0" borderId="15" xfId="0" applyFont="1" applyBorder="1"/>
    <xf numFmtId="0" fontId="14" fillId="6" borderId="15" xfId="0" applyFont="1" applyFill="1" applyBorder="1" applyAlignment="1" applyProtection="1">
      <alignment horizontal="center"/>
      <protection locked="0"/>
    </xf>
    <xf numFmtId="0" fontId="14" fillId="8" borderId="10" xfId="0" applyFont="1" applyFill="1" applyBorder="1" applyAlignment="1">
      <alignment horizontal="center"/>
    </xf>
    <xf numFmtId="0" fontId="15" fillId="0" borderId="15" xfId="0" applyFont="1" applyBorder="1"/>
    <xf numFmtId="0" fontId="15" fillId="7" borderId="15" xfId="0" applyFont="1" applyFill="1" applyBorder="1" applyAlignment="1" applyProtection="1">
      <alignment horizontal="center"/>
      <protection locked="0"/>
    </xf>
    <xf numFmtId="167" fontId="15" fillId="0" borderId="10" xfId="0" applyNumberFormat="1" applyFont="1" applyBorder="1" applyAlignment="1">
      <alignment horizontal="center"/>
    </xf>
    <xf numFmtId="167" fontId="16" fillId="4" borderId="15" xfId="0" applyNumberFormat="1" applyFont="1" applyFill="1" applyBorder="1" applyAlignment="1">
      <alignment horizontal="center"/>
    </xf>
    <xf numFmtId="167" fontId="15" fillId="0" borderId="10" xfId="0" applyNumberFormat="1" applyFont="1" applyBorder="1" applyAlignment="1">
      <alignment horizontal="center" wrapText="1"/>
    </xf>
    <xf numFmtId="0" fontId="15" fillId="0" borderId="15" xfId="0" applyFont="1" applyBorder="1" applyAlignment="1">
      <alignment horizontal="center"/>
    </xf>
    <xf numFmtId="167" fontId="15" fillId="0" borderId="10" xfId="0" applyNumberFormat="1" applyFont="1" applyBorder="1" applyAlignment="1">
      <alignment horizontal="center" vertical="top" wrapText="1"/>
    </xf>
    <xf numFmtId="167" fontId="12" fillId="9" borderId="15" xfId="0" applyNumberFormat="1" applyFont="1" applyFill="1" applyBorder="1" applyAlignment="1">
      <alignment horizontal="center" vertical="center"/>
    </xf>
    <xf numFmtId="0" fontId="14" fillId="11" borderId="15" xfId="0" applyFont="1" applyFill="1" applyBorder="1"/>
    <xf numFmtId="167" fontId="0" fillId="0" borderId="0" xfId="0" applyNumberFormat="1"/>
    <xf numFmtId="0" fontId="0" fillId="0" borderId="0" xfId="0" applyAlignment="1">
      <alignment wrapText="1"/>
    </xf>
    <xf numFmtId="0" fontId="0" fillId="0" borderId="0" xfId="0" applyAlignment="1">
      <alignment horizontal="center"/>
    </xf>
    <xf numFmtId="0" fontId="5" fillId="0" borderId="0" xfId="0" applyFont="1" applyProtection="1">
      <protection locked="0"/>
    </xf>
    <xf numFmtId="0" fontId="0" fillId="0" borderId="0" xfId="0" applyProtection="1">
      <protection locked="0"/>
    </xf>
    <xf numFmtId="0" fontId="0" fillId="0" borderId="0" xfId="0" applyAlignment="1" applyProtection="1">
      <alignment horizontal="center"/>
      <protection locked="0"/>
    </xf>
    <xf numFmtId="0" fontId="20" fillId="12" borderId="12" xfId="0" applyFont="1" applyFill="1" applyBorder="1" applyProtection="1">
      <protection locked="0"/>
    </xf>
    <xf numFmtId="0" fontId="21" fillId="12" borderId="18" xfId="0" applyFont="1" applyFill="1" applyBorder="1" applyProtection="1">
      <protection locked="0"/>
    </xf>
    <xf numFmtId="0" fontId="0" fillId="6" borderId="18" xfId="0" applyFill="1" applyBorder="1" applyAlignment="1" applyProtection="1">
      <alignment horizontal="center" vertical="top"/>
      <protection locked="0"/>
    </xf>
    <xf numFmtId="0" fontId="5" fillId="13" borderId="15" xfId="0" applyFont="1" applyFill="1" applyBorder="1" applyAlignment="1" applyProtection="1">
      <alignment horizontal="center" vertical="center"/>
      <protection locked="0"/>
    </xf>
    <xf numFmtId="0" fontId="0" fillId="12" borderId="18" xfId="0" applyFill="1" applyBorder="1" applyProtection="1">
      <protection locked="0"/>
    </xf>
    <xf numFmtId="168" fontId="5" fillId="12" borderId="18" xfId="0" applyNumberFormat="1" applyFont="1" applyFill="1" applyBorder="1" applyProtection="1">
      <protection locked="0"/>
    </xf>
    <xf numFmtId="0" fontId="0" fillId="12" borderId="19" xfId="0" applyFill="1" applyBorder="1" applyProtection="1">
      <protection locked="0"/>
    </xf>
    <xf numFmtId="0" fontId="0" fillId="0" borderId="15" xfId="0" applyBorder="1" applyAlignment="1" applyProtection="1">
      <alignment horizontal="center" vertical="center"/>
      <protection locked="0"/>
    </xf>
    <xf numFmtId="0" fontId="0" fillId="8" borderId="15" xfId="0" applyFill="1" applyBorder="1" applyAlignment="1" applyProtection="1">
      <alignment horizontal="center"/>
      <protection locked="0"/>
    </xf>
    <xf numFmtId="1" fontId="22" fillId="0" borderId="18" xfId="0" applyNumberFormat="1" applyFont="1" applyBorder="1" applyAlignment="1" applyProtection="1">
      <alignment horizontal="left" vertical="center"/>
      <protection locked="0"/>
    </xf>
    <xf numFmtId="168" fontId="5" fillId="14" borderId="18" xfId="0" applyNumberFormat="1" applyFont="1" applyFill="1" applyBorder="1" applyAlignment="1" applyProtection="1">
      <alignment horizontal="center" vertical="center"/>
      <protection locked="0"/>
    </xf>
    <xf numFmtId="166" fontId="0" fillId="0" borderId="18" xfId="1" applyFont="1" applyBorder="1" applyAlignment="1" applyProtection="1">
      <alignment horizontal="center" vertical="center"/>
      <protection locked="0"/>
    </xf>
    <xf numFmtId="9" fontId="5" fillId="5" borderId="18" xfId="2" applyFont="1" applyFill="1" applyBorder="1" applyAlignment="1" applyProtection="1">
      <alignment horizontal="center" vertical="center"/>
      <protection locked="0"/>
    </xf>
    <xf numFmtId="2" fontId="0" fillId="0" borderId="15" xfId="0" applyNumberFormat="1" applyBorder="1" applyAlignment="1" applyProtection="1">
      <alignment horizontal="center" vertical="center"/>
      <protection locked="0"/>
    </xf>
    <xf numFmtId="0" fontId="0" fillId="0" borderId="15" xfId="0" applyBorder="1" applyAlignment="1" applyProtection="1">
      <alignment horizontal="center"/>
      <protection locked="0"/>
    </xf>
    <xf numFmtId="0" fontId="0" fillId="15" borderId="15" xfId="0" applyFill="1" applyBorder="1" applyAlignment="1" applyProtection="1">
      <alignment horizontal="center"/>
      <protection locked="0"/>
    </xf>
    <xf numFmtId="0" fontId="5" fillId="0" borderId="15" xfId="0" applyFont="1" applyBorder="1" applyAlignment="1" applyProtection="1">
      <alignment horizontal="center"/>
      <protection locked="0"/>
    </xf>
    <xf numFmtId="0" fontId="0" fillId="12" borderId="18" xfId="0" applyFill="1" applyBorder="1" applyAlignment="1" applyProtection="1">
      <alignment horizontal="center"/>
      <protection locked="0"/>
    </xf>
    <xf numFmtId="0" fontId="5" fillId="6" borderId="15" xfId="0" applyFont="1" applyFill="1" applyBorder="1" applyAlignment="1" applyProtection="1">
      <alignment horizontal="center" vertical="center"/>
      <protection locked="0"/>
    </xf>
    <xf numFmtId="0" fontId="23" fillId="0" borderId="15" xfId="0" applyFont="1" applyBorder="1" applyAlignment="1" applyProtection="1">
      <alignment horizontal="center" wrapText="1"/>
      <protection locked="0"/>
    </xf>
    <xf numFmtId="167" fontId="19" fillId="0" borderId="15" xfId="0" applyNumberFormat="1" applyFont="1" applyBorder="1" applyAlignment="1" applyProtection="1">
      <alignment horizontal="center" vertical="center" wrapText="1"/>
      <protection locked="0"/>
    </xf>
    <xf numFmtId="167" fontId="0" fillId="0" borderId="15" xfId="0" applyNumberFormat="1" applyBorder="1" applyAlignment="1" applyProtection="1">
      <alignment horizontal="center"/>
      <protection locked="0"/>
    </xf>
    <xf numFmtId="0" fontId="22" fillId="0" borderId="18" xfId="0" applyFont="1" applyBorder="1" applyAlignment="1" applyProtection="1">
      <alignment horizontal="center" vertical="center" wrapText="1"/>
      <protection locked="0"/>
    </xf>
    <xf numFmtId="0" fontId="24" fillId="0" borderId="18" xfId="0" applyFont="1" applyBorder="1" applyAlignment="1" applyProtection="1">
      <alignment horizontal="center" vertical="center" wrapText="1"/>
      <protection locked="0"/>
    </xf>
    <xf numFmtId="0" fontId="22" fillId="2" borderId="18" xfId="0" applyFont="1" applyFill="1" applyBorder="1" applyAlignment="1" applyProtection="1">
      <alignment horizontal="center" vertical="center" wrapText="1"/>
      <protection locked="0"/>
    </xf>
    <xf numFmtId="0" fontId="22" fillId="16" borderId="18" xfId="0" applyFont="1" applyFill="1" applyBorder="1" applyAlignment="1" applyProtection="1">
      <alignment horizontal="center" vertical="center" wrapText="1"/>
      <protection locked="0"/>
    </xf>
    <xf numFmtId="0" fontId="22" fillId="17" borderId="18" xfId="0" applyFont="1" applyFill="1" applyBorder="1" applyAlignment="1" applyProtection="1">
      <alignment horizontal="center" vertical="center" wrapText="1"/>
      <protection locked="0"/>
    </xf>
    <xf numFmtId="0" fontId="22" fillId="15" borderId="18" xfId="0" applyFont="1" applyFill="1" applyBorder="1" applyAlignment="1" applyProtection="1">
      <alignment horizontal="center" vertical="center" wrapText="1"/>
      <protection locked="0"/>
    </xf>
    <xf numFmtId="0" fontId="22" fillId="18" borderId="18" xfId="0" applyFont="1" applyFill="1" applyBorder="1" applyAlignment="1" applyProtection="1">
      <alignment horizontal="center" vertical="center" wrapText="1"/>
      <protection locked="0"/>
    </xf>
    <xf numFmtId="0" fontId="22" fillId="13" borderId="18" xfId="0" applyFont="1" applyFill="1" applyBorder="1" applyAlignment="1" applyProtection="1">
      <alignment horizontal="center" vertical="center" wrapText="1"/>
      <protection locked="0"/>
    </xf>
    <xf numFmtId="0" fontId="22" fillId="7" borderId="18" xfId="0" applyFont="1" applyFill="1" applyBorder="1" applyAlignment="1" applyProtection="1">
      <alignment horizontal="center" vertical="center" wrapText="1"/>
      <protection locked="0"/>
    </xf>
    <xf numFmtId="0" fontId="22" fillId="8" borderId="18" xfId="0" applyFont="1" applyFill="1" applyBorder="1" applyAlignment="1" applyProtection="1">
      <alignment horizontal="center" vertical="center" wrapText="1"/>
      <protection locked="0"/>
    </xf>
    <xf numFmtId="0" fontId="22" fillId="19" borderId="18" xfId="0" applyFont="1" applyFill="1" applyBorder="1" applyAlignment="1" applyProtection="1">
      <alignment horizontal="center" vertical="center" wrapText="1"/>
      <protection locked="0"/>
    </xf>
    <xf numFmtId="0" fontId="22" fillId="0" borderId="18" xfId="0" applyFont="1" applyBorder="1" applyAlignment="1" applyProtection="1">
      <alignment horizontal="center"/>
      <protection locked="0"/>
    </xf>
    <xf numFmtId="0" fontId="22" fillId="20" borderId="18" xfId="0" applyFont="1" applyFill="1" applyBorder="1" applyAlignment="1" applyProtection="1">
      <alignment horizontal="center" vertical="center" wrapText="1"/>
      <protection locked="0"/>
    </xf>
    <xf numFmtId="0" fontId="22" fillId="12" borderId="18" xfId="0" applyFont="1" applyFill="1" applyBorder="1" applyAlignment="1" applyProtection="1">
      <alignment horizontal="center" vertical="center" wrapText="1"/>
      <protection locked="0"/>
    </xf>
    <xf numFmtId="0" fontId="0" fillId="0" borderId="15" xfId="0" applyBorder="1" applyAlignment="1">
      <alignment horizontal="center"/>
    </xf>
    <xf numFmtId="169" fontId="0" fillId="0" borderId="15" xfId="0" applyNumberFormat="1" applyBorder="1" applyAlignment="1">
      <alignment horizontal="center"/>
    </xf>
    <xf numFmtId="169" fontId="0" fillId="20" borderId="10" xfId="0" applyNumberFormat="1" applyFill="1" applyBorder="1" applyAlignment="1">
      <alignment horizontal="center"/>
    </xf>
    <xf numFmtId="169" fontId="12" fillId="5" borderId="15" xfId="0" applyNumberFormat="1" applyFont="1" applyFill="1" applyBorder="1" applyAlignment="1">
      <alignment horizontal="center"/>
    </xf>
    <xf numFmtId="0" fontId="23" fillId="0" borderId="15" xfId="0" applyFont="1" applyBorder="1" applyAlignment="1">
      <alignment horizontal="center" wrapText="1"/>
    </xf>
    <xf numFmtId="0" fontId="22" fillId="20" borderId="15" xfId="0" applyFont="1" applyFill="1" applyBorder="1" applyAlignment="1">
      <alignment horizontal="center" vertical="center" wrapText="1"/>
    </xf>
    <xf numFmtId="0" fontId="25" fillId="5" borderId="17" xfId="0" applyFont="1" applyFill="1" applyBorder="1" applyAlignment="1">
      <alignment horizontal="center" wrapText="1"/>
    </xf>
    <xf numFmtId="0" fontId="25" fillId="5" borderId="15" xfId="0" applyFont="1" applyFill="1" applyBorder="1" applyAlignment="1">
      <alignment horizontal="center" wrapText="1"/>
    </xf>
    <xf numFmtId="0" fontId="10" fillId="0" borderId="0" xfId="0" applyFont="1"/>
    <xf numFmtId="0" fontId="5" fillId="14" borderId="9" xfId="0" applyFont="1" applyFill="1" applyBorder="1" applyAlignment="1">
      <alignment horizontal="center" vertical="center"/>
    </xf>
    <xf numFmtId="0" fontId="5" fillId="14" borderId="5" xfId="0" applyFont="1" applyFill="1" applyBorder="1" applyAlignment="1">
      <alignment horizontal="center" vertical="center"/>
    </xf>
    <xf numFmtId="0" fontId="5" fillId="14" borderId="11" xfId="0" applyFont="1" applyFill="1" applyBorder="1" applyAlignment="1">
      <alignment horizontal="center" vertical="center"/>
    </xf>
    <xf numFmtId="0" fontId="0" fillId="0" borderId="15" xfId="0" applyBorder="1"/>
    <xf numFmtId="0" fontId="0" fillId="0" borderId="15" xfId="0" applyBorder="1" applyAlignment="1">
      <alignment horizontal="center" vertical="center"/>
    </xf>
    <xf numFmtId="164" fontId="0" fillId="0" borderId="15" xfId="0" applyNumberFormat="1" applyBorder="1" applyAlignment="1">
      <alignment horizontal="center" vertical="center"/>
    </xf>
    <xf numFmtId="167" fontId="0" fillId="0" borderId="15" xfId="0" applyNumberFormat="1" applyBorder="1" applyAlignment="1">
      <alignment horizontal="right"/>
    </xf>
    <xf numFmtId="0" fontId="0" fillId="0" borderId="15" xfId="0" applyBorder="1" applyAlignment="1">
      <alignment horizontal="left" vertical="center" wrapText="1"/>
    </xf>
    <xf numFmtId="0" fontId="0" fillId="20" borderId="15" xfId="0" applyFill="1" applyBorder="1"/>
    <xf numFmtId="0" fontId="0" fillId="0" borderId="0" xfId="0" applyAlignment="1">
      <alignment horizontal="left" vertical="center" wrapText="1"/>
    </xf>
    <xf numFmtId="164" fontId="0" fillId="0" borderId="0" xfId="0" applyNumberFormat="1" applyAlignment="1">
      <alignment horizontal="center" vertical="center"/>
    </xf>
    <xf numFmtId="164" fontId="0" fillId="0" borderId="15" xfId="0" applyNumberFormat="1" applyBorder="1"/>
    <xf numFmtId="0" fontId="19" fillId="12" borderId="15" xfId="0" applyFont="1" applyFill="1" applyBorder="1" applyAlignment="1">
      <alignment horizontal="center"/>
    </xf>
    <xf numFmtId="165" fontId="0" fillId="0" borderId="15" xfId="0" applyNumberFormat="1" applyBorder="1" applyAlignment="1">
      <alignment horizontal="center"/>
    </xf>
    <xf numFmtId="164" fontId="0" fillId="0" borderId="15" xfId="0" applyNumberFormat="1" applyBorder="1" applyAlignment="1">
      <alignment horizontal="center"/>
    </xf>
    <xf numFmtId="0" fontId="0" fillId="22" borderId="15" xfId="0" applyFill="1" applyBorder="1" applyAlignment="1">
      <alignment horizontal="center"/>
    </xf>
    <xf numFmtId="2" fontId="0" fillId="22" borderId="15" xfId="0" applyNumberFormat="1" applyFill="1" applyBorder="1" applyAlignment="1">
      <alignment horizontal="center"/>
    </xf>
    <xf numFmtId="0" fontId="5" fillId="22" borderId="15" xfId="0" applyFont="1" applyFill="1" applyBorder="1"/>
    <xf numFmtId="164" fontId="27" fillId="22" borderId="15" xfId="0" applyNumberFormat="1" applyFont="1" applyFill="1" applyBorder="1" applyAlignment="1">
      <alignment horizontal="center"/>
    </xf>
    <xf numFmtId="165" fontId="27" fillId="22" borderId="15" xfId="0" applyNumberFormat="1" applyFont="1" applyFill="1" applyBorder="1" applyAlignment="1">
      <alignment horizontal="center"/>
    </xf>
    <xf numFmtId="0" fontId="5" fillId="4" borderId="15" xfId="0" applyFont="1" applyFill="1" applyBorder="1"/>
    <xf numFmtId="0" fontId="0" fillId="0" borderId="5" xfId="0" applyBorder="1"/>
    <xf numFmtId="0" fontId="0" fillId="0" borderId="11" xfId="0" applyBorder="1"/>
    <xf numFmtId="0" fontId="5" fillId="0" borderId="20" xfId="0" applyFont="1" applyBorder="1"/>
    <xf numFmtId="0" fontId="5" fillId="0" borderId="6" xfId="0" applyFont="1" applyBorder="1"/>
    <xf numFmtId="0" fontId="5" fillId="0" borderId="21" xfId="0" applyFont="1" applyBorder="1"/>
    <xf numFmtId="0" fontId="0" fillId="0" borderId="1" xfId="0" applyBorder="1"/>
    <xf numFmtId="0" fontId="27" fillId="12" borderId="22" xfId="0" applyFont="1" applyFill="1" applyBorder="1" applyAlignment="1">
      <alignment horizontal="left"/>
    </xf>
    <xf numFmtId="0" fontId="27" fillId="12" borderId="15" xfId="0" applyFont="1" applyFill="1" applyBorder="1"/>
    <xf numFmtId="0" fontId="27" fillId="12" borderId="23" xfId="0" applyFont="1" applyFill="1" applyBorder="1"/>
    <xf numFmtId="0" fontId="0" fillId="0" borderId="3" xfId="0" applyBorder="1"/>
    <xf numFmtId="0" fontId="0" fillId="0" borderId="6" xfId="0" applyBorder="1"/>
    <xf numFmtId="0" fontId="0" fillId="0" borderId="4" xfId="0" applyBorder="1"/>
    <xf numFmtId="0" fontId="19" fillId="12" borderId="23" xfId="0" applyFont="1" applyFill="1" applyBorder="1" applyAlignment="1">
      <alignment horizontal="center"/>
    </xf>
    <xf numFmtId="0" fontId="0" fillId="0" borderId="22" xfId="0" applyBorder="1"/>
    <xf numFmtId="0" fontId="0" fillId="0" borderId="23" xfId="0" applyBorder="1" applyAlignment="1">
      <alignment horizontal="center"/>
    </xf>
    <xf numFmtId="1" fontId="0" fillId="0" borderId="15" xfId="0" applyNumberFormat="1" applyBorder="1" applyAlignment="1">
      <alignment horizontal="center"/>
    </xf>
    <xf numFmtId="165" fontId="0" fillId="0" borderId="23" xfId="0" applyNumberFormat="1" applyBorder="1" applyAlignment="1">
      <alignment horizontal="center"/>
    </xf>
    <xf numFmtId="164" fontId="0" fillId="0" borderId="23" xfId="0" applyNumberFormat="1" applyBorder="1" applyAlignment="1">
      <alignment horizontal="center"/>
    </xf>
    <xf numFmtId="0" fontId="0" fillId="4" borderId="15" xfId="0" applyFill="1" applyBorder="1"/>
    <xf numFmtId="0" fontId="0" fillId="0" borderId="2" xfId="0" applyBorder="1"/>
    <xf numFmtId="0" fontId="5" fillId="0" borderId="1" xfId="0" applyFont="1" applyBorder="1"/>
    <xf numFmtId="2" fontId="0" fillId="22" borderId="23" xfId="0" applyNumberFormat="1" applyFill="1" applyBorder="1" applyAlignment="1">
      <alignment horizontal="center"/>
    </xf>
    <xf numFmtId="0" fontId="5" fillId="22" borderId="22" xfId="0" applyFont="1" applyFill="1" applyBorder="1"/>
    <xf numFmtId="164" fontId="27" fillId="22" borderId="23" xfId="0" applyNumberFormat="1" applyFont="1" applyFill="1" applyBorder="1" applyAlignment="1">
      <alignment horizontal="center"/>
    </xf>
    <xf numFmtId="0" fontId="0" fillId="0" borderId="22" xfId="0" applyBorder="1" applyAlignment="1">
      <alignment horizontal="center"/>
    </xf>
    <xf numFmtId="170" fontId="0" fillId="0" borderId="15" xfId="0" applyNumberFormat="1" applyBorder="1" applyAlignment="1">
      <alignment horizontal="center"/>
    </xf>
    <xf numFmtId="9" fontId="0" fillId="0" borderId="0" xfId="0" applyNumberFormat="1"/>
    <xf numFmtId="0" fontId="0" fillId="0" borderId="28" xfId="0" applyBorder="1" applyAlignment="1">
      <alignment horizontal="center"/>
    </xf>
    <xf numFmtId="0" fontId="0" fillId="0" borderId="29" xfId="0" applyBorder="1" applyAlignment="1">
      <alignment horizontal="center"/>
    </xf>
    <xf numFmtId="165" fontId="27" fillId="22" borderId="30" xfId="0" applyNumberFormat="1" applyFont="1" applyFill="1" applyBorder="1" applyAlignment="1">
      <alignment horizontal="center"/>
    </xf>
    <xf numFmtId="0" fontId="9" fillId="0" borderId="15" xfId="1" applyNumberFormat="1" applyFont="1" applyBorder="1" applyAlignment="1">
      <alignment horizontal="center" vertical="center"/>
    </xf>
    <xf numFmtId="167" fontId="9" fillId="0" borderId="15" xfId="1" applyNumberFormat="1" applyFont="1" applyBorder="1" applyAlignment="1">
      <alignment horizontal="center" vertical="center"/>
    </xf>
    <xf numFmtId="167" fontId="9" fillId="0" borderId="15" xfId="0" applyNumberFormat="1" applyFont="1" applyBorder="1" applyAlignment="1">
      <alignment horizontal="center" vertical="center"/>
    </xf>
    <xf numFmtId="0" fontId="11" fillId="0" borderId="15" xfId="0" applyFont="1" applyBorder="1" applyAlignment="1">
      <alignment horizontal="left" vertical="top" wrapText="1"/>
    </xf>
    <xf numFmtId="0" fontId="4" fillId="3" borderId="1" xfId="0" applyFont="1" applyFill="1" applyBorder="1" applyAlignment="1">
      <alignment horizontal="center"/>
    </xf>
    <xf numFmtId="22" fontId="0" fillId="0" borderId="0" xfId="0" applyNumberFormat="1"/>
    <xf numFmtId="164" fontId="2" fillId="0" borderId="0" xfId="1" applyNumberFormat="1" applyFont="1" applyAlignment="1">
      <alignment vertical="center"/>
    </xf>
    <xf numFmtId="164" fontId="0" fillId="0" borderId="0" xfId="0" applyNumberFormat="1"/>
    <xf numFmtId="0" fontId="0" fillId="0" borderId="0" xfId="0" applyNumberFormat="1"/>
    <xf numFmtId="0" fontId="0" fillId="0" borderId="15" xfId="0" applyBorder="1" applyAlignment="1">
      <alignment horizontal="center"/>
    </xf>
    <xf numFmtId="170" fontId="0" fillId="0" borderId="0" xfId="0" applyNumberFormat="1"/>
    <xf numFmtId="0" fontId="31" fillId="5" borderId="15" xfId="0" applyFont="1" applyFill="1" applyBorder="1" applyAlignment="1">
      <alignment horizontal="center" vertical="center" wrapText="1"/>
    </xf>
    <xf numFmtId="0" fontId="25" fillId="5" borderId="17" xfId="0" applyFont="1" applyFill="1" applyBorder="1" applyAlignment="1">
      <alignment horizontal="center" vertical="center" wrapText="1"/>
    </xf>
    <xf numFmtId="0" fontId="25" fillId="5" borderId="15" xfId="0" applyFont="1" applyFill="1" applyBorder="1" applyAlignment="1">
      <alignment horizontal="center" vertical="center" wrapText="1"/>
    </xf>
    <xf numFmtId="0" fontId="30" fillId="5" borderId="15" xfId="0" applyFont="1" applyFill="1" applyBorder="1" applyAlignment="1">
      <alignment horizontal="center" vertical="center"/>
    </xf>
    <xf numFmtId="171" fontId="0" fillId="0" borderId="0" xfId="0" applyNumberFormat="1" applyAlignment="1" applyProtection="1">
      <alignment horizontal="center"/>
      <protection locked="0"/>
    </xf>
    <xf numFmtId="171" fontId="0" fillId="6" borderId="18" xfId="0" applyNumberFormat="1" applyFill="1" applyBorder="1" applyAlignment="1">
      <alignment horizontal="center" vertical="top"/>
    </xf>
    <xf numFmtId="0" fontId="0" fillId="0" borderId="15" xfId="0" applyBorder="1" applyAlignment="1">
      <alignment horizontal="center"/>
    </xf>
    <xf numFmtId="0" fontId="0" fillId="0" borderId="15" xfId="0" applyBorder="1" applyAlignment="1">
      <alignment horizontal="center"/>
    </xf>
    <xf numFmtId="0" fontId="0" fillId="0" borderId="15" xfId="0" applyFill="1" applyBorder="1"/>
    <xf numFmtId="2" fontId="0" fillId="0" borderId="15" xfId="0" applyNumberFormat="1" applyBorder="1" applyAlignment="1">
      <alignment horizontal="center"/>
    </xf>
    <xf numFmtId="172" fontId="0" fillId="0" borderId="0" xfId="0" applyNumberFormat="1"/>
    <xf numFmtId="1" fontId="0" fillId="0" borderId="0" xfId="0" applyNumberFormat="1"/>
    <xf numFmtId="2" fontId="0" fillId="0" borderId="0" xfId="0" applyNumberFormat="1"/>
    <xf numFmtId="0" fontId="4" fillId="14" borderId="0" xfId="0" applyFont="1" applyFill="1" applyBorder="1" applyAlignment="1">
      <alignment horizontal="center"/>
    </xf>
    <xf numFmtId="0" fontId="7" fillId="21" borderId="15" xfId="0" applyFont="1" applyFill="1" applyBorder="1" applyAlignment="1">
      <alignment horizontal="center" wrapText="1"/>
    </xf>
    <xf numFmtId="0" fontId="7" fillId="21" borderId="15" xfId="0" applyFont="1" applyFill="1" applyBorder="1" applyAlignment="1">
      <alignment horizontal="center"/>
    </xf>
    <xf numFmtId="0" fontId="10" fillId="0" borderId="1" xfId="0" applyFont="1" applyBorder="1" applyAlignment="1">
      <alignment horizontal="left" vertical="top" wrapText="1"/>
    </xf>
    <xf numFmtId="0" fontId="10" fillId="0" borderId="0" xfId="0" applyFont="1" applyBorder="1" applyAlignment="1">
      <alignment horizontal="left" vertical="top"/>
    </xf>
    <xf numFmtId="0" fontId="10" fillId="0" borderId="2" xfId="0" applyFont="1" applyBorder="1" applyAlignment="1">
      <alignment horizontal="left" vertical="top"/>
    </xf>
    <xf numFmtId="0" fontId="14" fillId="11" borderId="15" xfId="0" applyFont="1" applyFill="1" applyBorder="1" applyAlignment="1">
      <alignment horizontal="center"/>
    </xf>
    <xf numFmtId="0" fontId="9" fillId="0" borderId="10" xfId="0" applyFont="1" applyBorder="1" applyAlignment="1">
      <alignment horizontal="center"/>
    </xf>
    <xf numFmtId="0" fontId="9" fillId="0" borderId="7" xfId="0" applyFont="1" applyBorder="1" applyAlignment="1">
      <alignment horizontal="center"/>
    </xf>
    <xf numFmtId="0" fontId="9" fillId="0" borderId="8" xfId="0" applyFont="1" applyBorder="1" applyAlignment="1">
      <alignment horizontal="center"/>
    </xf>
    <xf numFmtId="0" fontId="19" fillId="0" borderId="9" xfId="0" applyFont="1" applyBorder="1" applyAlignment="1">
      <alignment horizontal="left" vertical="top" wrapText="1"/>
    </xf>
    <xf numFmtId="0" fontId="19" fillId="0" borderId="5" xfId="0" applyFont="1" applyBorder="1" applyAlignment="1">
      <alignment horizontal="left" vertical="top" wrapText="1"/>
    </xf>
    <xf numFmtId="0" fontId="19" fillId="0" borderId="11" xfId="0" applyFont="1" applyBorder="1" applyAlignment="1">
      <alignment horizontal="left" vertical="top" wrapText="1"/>
    </xf>
    <xf numFmtId="0" fontId="19" fillId="0" borderId="1" xfId="0" applyFont="1" applyBorder="1" applyAlignment="1">
      <alignment horizontal="left" vertical="top" wrapText="1"/>
    </xf>
    <xf numFmtId="0" fontId="19" fillId="0" borderId="0" xfId="0" applyFont="1" applyAlignment="1">
      <alignment horizontal="left" vertical="top" wrapText="1"/>
    </xf>
    <xf numFmtId="0" fontId="19" fillId="0" borderId="2" xfId="0" applyFont="1" applyBorder="1" applyAlignment="1">
      <alignment horizontal="left" vertical="top" wrapText="1"/>
    </xf>
    <xf numFmtId="0" fontId="19" fillId="0" borderId="3" xfId="0" applyFont="1" applyBorder="1" applyAlignment="1">
      <alignment horizontal="left" vertical="top" wrapText="1"/>
    </xf>
    <xf numFmtId="0" fontId="19" fillId="0" borderId="6" xfId="0" applyFont="1" applyBorder="1" applyAlignment="1">
      <alignment horizontal="left" vertical="top" wrapText="1"/>
    </xf>
    <xf numFmtId="0" fontId="19" fillId="0" borderId="4" xfId="0" applyFont="1" applyBorder="1" applyAlignment="1">
      <alignment horizontal="left" vertical="top" wrapText="1"/>
    </xf>
    <xf numFmtId="0" fontId="13" fillId="6" borderId="0" xfId="0" applyFont="1" applyFill="1" applyAlignment="1">
      <alignment horizontal="center"/>
    </xf>
    <xf numFmtId="0" fontId="13" fillId="7" borderId="0" xfId="0" applyFont="1" applyFill="1" applyAlignment="1">
      <alignment horizontal="center"/>
    </xf>
    <xf numFmtId="0" fontId="12" fillId="9" borderId="16" xfId="0" applyFont="1" applyFill="1" applyBorder="1" applyAlignment="1">
      <alignment horizontal="center" vertical="center"/>
    </xf>
    <xf numFmtId="0" fontId="12" fillId="9" borderId="17" xfId="0" applyFont="1" applyFill="1" applyBorder="1" applyAlignment="1">
      <alignment horizontal="center" vertical="center"/>
    </xf>
    <xf numFmtId="0" fontId="17" fillId="5" borderId="10" xfId="0" quotePrefix="1" applyFont="1" applyFill="1" applyBorder="1" applyAlignment="1">
      <alignment horizontal="center" vertical="top" wrapText="1"/>
    </xf>
    <xf numFmtId="0" fontId="17" fillId="5" borderId="7" xfId="0" quotePrefix="1" applyFont="1" applyFill="1" applyBorder="1" applyAlignment="1">
      <alignment horizontal="center" vertical="top" wrapText="1"/>
    </xf>
    <xf numFmtId="167" fontId="15" fillId="0" borderId="10" xfId="0" applyNumberFormat="1" applyFont="1" applyBorder="1" applyAlignment="1">
      <alignment horizontal="center"/>
    </xf>
    <xf numFmtId="167" fontId="15" fillId="0" borderId="7" xfId="0" applyNumberFormat="1" applyFont="1" applyBorder="1" applyAlignment="1">
      <alignment horizontal="center"/>
    </xf>
    <xf numFmtId="167" fontId="15" fillId="0" borderId="8" xfId="0" applyNumberFormat="1" applyFont="1" applyBorder="1" applyAlignment="1">
      <alignment horizontal="center"/>
    </xf>
    <xf numFmtId="170" fontId="18" fillId="10" borderId="10" xfId="0" applyNumberFormat="1" applyFont="1" applyFill="1" applyBorder="1" applyAlignment="1">
      <alignment horizontal="center"/>
    </xf>
    <xf numFmtId="170" fontId="18" fillId="10" borderId="7" xfId="0" applyNumberFormat="1" applyFont="1" applyFill="1" applyBorder="1" applyAlignment="1">
      <alignment horizontal="center"/>
    </xf>
    <xf numFmtId="0" fontId="0" fillId="20" borderId="10" xfId="0" applyFill="1" applyBorder="1" applyAlignment="1">
      <alignment horizontal="left"/>
    </xf>
    <xf numFmtId="0" fontId="0" fillId="20" borderId="7" xfId="0" applyFill="1" applyBorder="1" applyAlignment="1">
      <alignment horizontal="left"/>
    </xf>
    <xf numFmtId="0" fontId="0" fillId="20" borderId="8" xfId="0" applyFill="1" applyBorder="1" applyAlignment="1">
      <alignment horizontal="left"/>
    </xf>
    <xf numFmtId="0" fontId="0" fillId="12" borderId="15" xfId="0" applyFill="1" applyBorder="1" applyAlignment="1">
      <alignment horizontal="center"/>
    </xf>
    <xf numFmtId="0" fontId="0" fillId="12" borderId="10" xfId="0" applyFill="1" applyBorder="1" applyAlignment="1">
      <alignment horizontal="center"/>
    </xf>
    <xf numFmtId="0" fontId="0" fillId="12" borderId="7" xfId="0" applyFill="1" applyBorder="1" applyAlignment="1">
      <alignment horizontal="center"/>
    </xf>
    <xf numFmtId="0" fontId="0" fillId="12" borderId="8" xfId="0" applyFill="1" applyBorder="1" applyAlignment="1">
      <alignment horizontal="center"/>
    </xf>
    <xf numFmtId="0" fontId="26" fillId="12" borderId="10" xfId="0" applyFont="1" applyFill="1" applyBorder="1" applyAlignment="1">
      <alignment horizontal="center"/>
    </xf>
    <xf numFmtId="0" fontId="26" fillId="12" borderId="7" xfId="0" applyFont="1" applyFill="1" applyBorder="1" applyAlignment="1">
      <alignment horizontal="center"/>
    </xf>
    <xf numFmtId="0" fontId="26" fillId="12" borderId="8" xfId="0" applyFont="1" applyFill="1" applyBorder="1" applyAlignment="1">
      <alignment horizontal="center"/>
    </xf>
    <xf numFmtId="0" fontId="27" fillId="12" borderId="10" xfId="0" applyFont="1" applyFill="1" applyBorder="1" applyAlignment="1">
      <alignment horizontal="center"/>
    </xf>
    <xf numFmtId="0" fontId="27" fillId="12" borderId="7" xfId="0" applyFont="1" applyFill="1" applyBorder="1" applyAlignment="1">
      <alignment horizontal="center"/>
    </xf>
    <xf numFmtId="0" fontId="27" fillId="12" borderId="8" xfId="0" applyFont="1" applyFill="1" applyBorder="1" applyAlignment="1">
      <alignment horizontal="center"/>
    </xf>
    <xf numFmtId="0" fontId="0" fillId="0" borderId="15" xfId="0" applyBorder="1" applyAlignment="1">
      <alignment horizontal="center" vertical="center"/>
    </xf>
    <xf numFmtId="0" fontId="0" fillId="0" borderId="15" xfId="0" applyBorder="1" applyAlignment="1">
      <alignment horizontal="center"/>
    </xf>
    <xf numFmtId="0" fontId="5" fillId="0" borderId="15" xfId="0" applyFont="1" applyBorder="1" applyAlignment="1">
      <alignment horizontal="center"/>
    </xf>
    <xf numFmtId="0" fontId="27" fillId="12" borderId="15" xfId="0" applyFont="1" applyFill="1" applyBorder="1" applyAlignment="1">
      <alignment horizontal="center"/>
    </xf>
    <xf numFmtId="0" fontId="28" fillId="22" borderId="10" xfId="0" applyFont="1" applyFill="1" applyBorder="1" applyAlignment="1">
      <alignment horizontal="center"/>
    </xf>
    <xf numFmtId="0" fontId="28" fillId="22" borderId="7" xfId="0" applyFont="1" applyFill="1" applyBorder="1" applyAlignment="1">
      <alignment horizontal="center"/>
    </xf>
    <xf numFmtId="0" fontId="28" fillId="22" borderId="8" xfId="0" applyFont="1" applyFill="1" applyBorder="1" applyAlignment="1">
      <alignment horizontal="center"/>
    </xf>
    <xf numFmtId="0" fontId="0" fillId="22" borderId="10" xfId="0" applyFill="1" applyBorder="1" applyAlignment="1">
      <alignment horizontal="center"/>
    </xf>
    <xf numFmtId="0" fontId="0" fillId="22" borderId="7" xfId="0" applyFill="1" applyBorder="1" applyAlignment="1">
      <alignment horizontal="center"/>
    </xf>
    <xf numFmtId="0" fontId="0" fillId="22" borderId="8" xfId="0" applyFill="1" applyBorder="1" applyAlignment="1">
      <alignment horizontal="center"/>
    </xf>
    <xf numFmtId="0" fontId="0" fillId="22" borderId="26" xfId="0" applyFill="1" applyBorder="1" applyAlignment="1">
      <alignment horizontal="center"/>
    </xf>
    <xf numFmtId="0" fontId="0" fillId="22" borderId="27" xfId="0" applyFill="1" applyBorder="1" applyAlignment="1">
      <alignment horizontal="center"/>
    </xf>
    <xf numFmtId="0" fontId="0" fillId="0" borderId="15" xfId="0" applyBorder="1" applyAlignment="1">
      <alignment horizontal="left"/>
    </xf>
    <xf numFmtId="0" fontId="29" fillId="0" borderId="12" xfId="0" applyFont="1" applyBorder="1" applyAlignment="1">
      <alignment horizontal="center"/>
    </xf>
    <xf numFmtId="0" fontId="29" fillId="0" borderId="13" xfId="0" applyFont="1" applyBorder="1" applyAlignment="1">
      <alignment horizontal="center"/>
    </xf>
    <xf numFmtId="0" fontId="29" fillId="0" borderId="14" xfId="0" applyFont="1" applyBorder="1" applyAlignment="1">
      <alignment horizontal="center"/>
    </xf>
    <xf numFmtId="0" fontId="27" fillId="12" borderId="24" xfId="0" applyFont="1" applyFill="1" applyBorder="1" applyAlignment="1">
      <alignment horizontal="left" wrapText="1"/>
    </xf>
    <xf numFmtId="0" fontId="27" fillId="12" borderId="25" xfId="0" applyFont="1" applyFill="1" applyBorder="1" applyAlignment="1">
      <alignment horizontal="left" wrapText="1"/>
    </xf>
    <xf numFmtId="0" fontId="28" fillId="22" borderId="26" xfId="0" applyFont="1" applyFill="1" applyBorder="1" applyAlignment="1">
      <alignment horizontal="center"/>
    </xf>
    <xf numFmtId="0" fontId="28" fillId="22" borderId="27" xfId="0" applyFont="1" applyFill="1" applyBorder="1" applyAlignment="1">
      <alignment horizontal="center"/>
    </xf>
    <xf numFmtId="0" fontId="0" fillId="0" borderId="22" xfId="0" applyBorder="1" applyAlignment="1">
      <alignment horizontal="left"/>
    </xf>
    <xf numFmtId="0" fontId="0" fillId="0" borderId="23" xfId="0" applyBorder="1" applyAlignment="1">
      <alignment horizontal="left"/>
    </xf>
    <xf numFmtId="0" fontId="0" fillId="0" borderId="0" xfId="0" applyAlignment="1">
      <alignment horizontal="center"/>
    </xf>
    <xf numFmtId="0" fontId="0" fillId="0" borderId="0" xfId="0" applyAlignment="1">
      <alignment horizontal="left" vertical="top" wrapText="1"/>
    </xf>
    <xf numFmtId="0" fontId="5" fillId="0" borderId="0" xfId="0" applyFont="1" applyAlignment="1">
      <alignment horizontal="center"/>
    </xf>
    <xf numFmtId="169" fontId="5" fillId="0" borderId="3" xfId="0" applyNumberFormat="1" applyFont="1" applyBorder="1" applyAlignment="1">
      <alignment horizontal="center"/>
    </xf>
    <xf numFmtId="169" fontId="5" fillId="0" borderId="6" xfId="0" applyNumberFormat="1" applyFont="1" applyBorder="1" applyAlignment="1">
      <alignment horizontal="center"/>
    </xf>
  </cellXfs>
  <cellStyles count="3">
    <cellStyle name="Monétaire" xfId="1" builtinId="4"/>
    <cellStyle name="Normal" xfId="0" builtinId="0"/>
    <cellStyle name="Pourcentage" xfId="2" builtinId="5"/>
  </cellStyles>
  <dxfs count="5">
    <dxf>
      <font>
        <b val="0"/>
        <i val="0"/>
        <strike val="0"/>
        <condense val="0"/>
        <extend val="0"/>
        <outline val="0"/>
        <shadow val="0"/>
        <u val="none"/>
        <vertAlign val="baseline"/>
        <sz val="11"/>
        <color rgb="FF002060"/>
        <name val="Calibri"/>
        <scheme val="minor"/>
      </font>
      <alignment vertical="center" textRotation="0" wrapText="0" indent="0" justifyLastLine="0" shrinkToFit="0" readingOrder="0"/>
    </dxf>
    <dxf>
      <font>
        <b val="0"/>
        <i val="0"/>
        <strike val="0"/>
        <condense val="0"/>
        <extend val="0"/>
        <outline val="0"/>
        <shadow val="0"/>
        <u val="none"/>
        <vertAlign val="baseline"/>
        <sz val="11"/>
        <color rgb="FF002060"/>
        <name val="Calibri"/>
        <scheme val="minor"/>
      </font>
      <alignment horizontal="left" vertical="top" textRotation="0" indent="0" justifyLastLine="0" shrinkToFit="0" readingOrder="0"/>
    </dxf>
    <dxf>
      <font>
        <b val="0"/>
        <i val="0"/>
        <strike val="0"/>
        <condense val="0"/>
        <extend val="0"/>
        <outline val="0"/>
        <shadow val="0"/>
        <u val="none"/>
        <vertAlign val="baseline"/>
        <sz val="11"/>
        <color rgb="FF002060"/>
        <name val="Calibri"/>
        <family val="2"/>
        <scheme val="minor"/>
      </font>
      <alignment horizontal="left" vertical="center" textRotation="0" wrapText="0" indent="0" justifyLastLine="0" shrinkToFit="0" readingOrder="0"/>
    </dxf>
    <dxf>
      <font>
        <b val="0"/>
        <i val="0"/>
        <strike val="0"/>
        <condense val="0"/>
        <extend val="0"/>
        <outline val="0"/>
        <shadow val="0"/>
        <u val="none"/>
        <vertAlign val="baseline"/>
        <sz val="11"/>
        <color rgb="FF002060"/>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4"/>
        <color rgb="FF002060"/>
        <name val="Calibri"/>
        <scheme val="minor"/>
      </font>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152400</xdr:colOff>
      <xdr:row>11</xdr:row>
      <xdr:rowOff>68580</xdr:rowOff>
    </xdr:from>
    <xdr:ext cx="2651760" cy="495300"/>
    <xdr:sp macro="" textlink="Param_Date">
      <xdr:nvSpPr>
        <xdr:cNvPr id="5" name="ZoneTexte 4">
          <a:extLst>
            <a:ext uri="{FF2B5EF4-FFF2-40B4-BE49-F238E27FC236}">
              <a16:creationId xmlns:a16="http://schemas.microsoft.com/office/drawing/2014/main" id="{00000000-0008-0000-0000-000005000000}"/>
            </a:ext>
          </a:extLst>
        </xdr:cNvPr>
        <xdr:cNvSpPr txBox="1"/>
      </xdr:nvSpPr>
      <xdr:spPr>
        <a:xfrm>
          <a:off x="381000" y="2247900"/>
          <a:ext cx="2651760" cy="495300"/>
        </a:xfrm>
        <a:prstGeom prst="roundRect">
          <a:avLst/>
        </a:prstGeom>
        <a:ln/>
      </xdr:spPr>
      <xdr:style>
        <a:lnRef idx="3">
          <a:schemeClr val="lt1"/>
        </a:lnRef>
        <a:fillRef idx="1">
          <a:schemeClr val="accent3"/>
        </a:fillRef>
        <a:effectRef idx="1">
          <a:schemeClr val="accent3"/>
        </a:effectRef>
        <a:fontRef idx="minor">
          <a:schemeClr val="lt1"/>
        </a:fontRef>
      </xdr:style>
      <xdr:txBody>
        <a:bodyPr vertOverflow="clip" horzOverflow="clip" wrap="square" rtlCol="0" anchor="t">
          <a:noAutofit/>
        </a:bodyPr>
        <a:lstStyle/>
        <a:p>
          <a:fld id="{8E888CB8-1419-47A2-B6A3-8A001FA7211F}" type="TxLink">
            <a:rPr lang="en-US" sz="1600" b="1" i="0" u="none" strike="noStrike">
              <a:solidFill>
                <a:schemeClr val="bg1"/>
              </a:solidFill>
              <a:latin typeface="Calibri"/>
              <a:cs typeface="Calibri"/>
            </a:rPr>
            <a:pPr/>
            <a:t>Date : 16 novembre 2020</a:t>
          </a:fld>
          <a:endParaRPr lang="fr-FR" sz="1600" b="1">
            <a:solidFill>
              <a:schemeClr val="bg1"/>
            </a:solidFill>
            <a:latin typeface="Arial Black" panose="020B0A04020102020204" pitchFamily="34" charset="0"/>
          </a:endParaRPr>
        </a:p>
      </xdr:txBody>
    </xdr:sp>
    <xdr:clientData/>
  </xdr:oneCellAnchor>
  <xdr:oneCellAnchor>
    <xdr:from>
      <xdr:col>1</xdr:col>
      <xdr:colOff>2926080</xdr:colOff>
      <xdr:row>2</xdr:row>
      <xdr:rowOff>68580</xdr:rowOff>
    </xdr:from>
    <xdr:ext cx="4560570" cy="2331720"/>
    <xdr:sp macro="" textlink="">
      <xdr:nvSpPr>
        <xdr:cNvPr id="6" name="ZoneTexte 5">
          <a:extLst>
            <a:ext uri="{FF2B5EF4-FFF2-40B4-BE49-F238E27FC236}">
              <a16:creationId xmlns:a16="http://schemas.microsoft.com/office/drawing/2014/main" id="{00000000-0008-0000-0000-000006000000}"/>
            </a:ext>
          </a:extLst>
        </xdr:cNvPr>
        <xdr:cNvSpPr txBox="1"/>
      </xdr:nvSpPr>
      <xdr:spPr>
        <a:xfrm>
          <a:off x="3145155" y="525780"/>
          <a:ext cx="4560570" cy="2331720"/>
        </a:xfrm>
        <a:prstGeom prst="roundRect">
          <a:avLst/>
        </a:prstGeom>
        <a:solidFill>
          <a:schemeClr val="bg1"/>
        </a:solidFill>
        <a:ln>
          <a:solidFill>
            <a:schemeClr val="accent3"/>
          </a:solidFill>
        </a:ln>
      </xdr:spPr>
      <xdr:style>
        <a:lnRef idx="3">
          <a:schemeClr val="lt1"/>
        </a:lnRef>
        <a:fillRef idx="1">
          <a:schemeClr val="accent3"/>
        </a:fillRef>
        <a:effectRef idx="1">
          <a:schemeClr val="accent3"/>
        </a:effectRef>
        <a:fontRef idx="minor">
          <a:schemeClr val="lt1"/>
        </a:fontRef>
      </xdr:style>
      <xdr:txBody>
        <a:bodyPr vertOverflow="clip" horzOverflow="clip" wrap="square" rtlCol="0" anchor="t">
          <a:noAutofit/>
        </a:bodyPr>
        <a:lstStyle/>
        <a:p>
          <a:endParaRPr lang="fr-FR">
            <a:solidFill>
              <a:sysClr val="windowText" lastClr="000000"/>
            </a:solidFill>
          </a:endParaRPr>
        </a:p>
      </xdr:txBody>
    </xdr:sp>
    <xdr:clientData/>
  </xdr:oneCellAnchor>
  <mc:AlternateContent xmlns:mc="http://schemas.openxmlformats.org/markup-compatibility/2006">
    <mc:Choice xmlns:a14="http://schemas.microsoft.com/office/drawing/2010/main" Requires="a14">
      <xdr:twoCellAnchor>
        <xdr:from>
          <xdr:col>6</xdr:col>
          <xdr:colOff>57150</xdr:colOff>
          <xdr:row>16</xdr:row>
          <xdr:rowOff>114300</xdr:rowOff>
        </xdr:from>
        <xdr:to>
          <xdr:col>6</xdr:col>
          <xdr:colOff>1390650</xdr:colOff>
          <xdr:row>18</xdr:row>
          <xdr:rowOff>57150</xdr:rowOff>
        </xdr:to>
        <xdr:sp macro="" textlink="">
          <xdr:nvSpPr>
            <xdr:cNvPr id="4114" name="Button 18" descr="IMPRIMER" hidden="1">
              <a:extLst>
                <a:ext uri="{63B3BB69-23CF-44E3-9099-C40C66FF867C}">
                  <a14:compatExt spid="_x0000_s4114"/>
                </a:ext>
                <a:ext uri="{FF2B5EF4-FFF2-40B4-BE49-F238E27FC236}">
                  <a16:creationId xmlns:a16="http://schemas.microsoft.com/office/drawing/2014/main" id="{00000000-0008-0000-0000-0000121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6</xdr:row>
          <xdr:rowOff>19050</xdr:rowOff>
        </xdr:from>
        <xdr:to>
          <xdr:col>6</xdr:col>
          <xdr:colOff>1428750</xdr:colOff>
          <xdr:row>8</xdr:row>
          <xdr:rowOff>57150</xdr:rowOff>
        </xdr:to>
        <xdr:sp macro="" textlink="">
          <xdr:nvSpPr>
            <xdr:cNvPr id="4278" name="Button 182" hidden="1">
              <a:extLst>
                <a:ext uri="{63B3BB69-23CF-44E3-9099-C40C66FF867C}">
                  <a14:compatExt spid="_x0000_s4278"/>
                </a:ext>
                <a:ext uri="{FF2B5EF4-FFF2-40B4-BE49-F238E27FC236}">
                  <a16:creationId xmlns:a16="http://schemas.microsoft.com/office/drawing/2014/main" id="{00000000-0008-0000-0000-0000B6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800" b="1" i="0" u="none" strike="noStrike" baseline="0">
                  <a:solidFill>
                    <a:srgbClr val="000000"/>
                  </a:solidFill>
                  <a:latin typeface="Calibri"/>
                  <a:cs typeface="Calibri"/>
                </a:rPr>
                <a:t>ARTICLES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12</xdr:row>
          <xdr:rowOff>28575</xdr:rowOff>
        </xdr:from>
        <xdr:to>
          <xdr:col>6</xdr:col>
          <xdr:colOff>1466850</xdr:colOff>
          <xdr:row>14</xdr:row>
          <xdr:rowOff>114300</xdr:rowOff>
        </xdr:to>
        <xdr:sp macro="" textlink="">
          <xdr:nvSpPr>
            <xdr:cNvPr id="4292" name="Button 196" hidden="1">
              <a:extLst>
                <a:ext uri="{63B3BB69-23CF-44E3-9099-C40C66FF867C}">
                  <a14:compatExt spid="_x0000_s4292"/>
                </a:ext>
                <a:ext uri="{FF2B5EF4-FFF2-40B4-BE49-F238E27FC236}">
                  <a16:creationId xmlns:a16="http://schemas.microsoft.com/office/drawing/2014/main" id="{00000000-0008-0000-0000-0000C4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000000"/>
                  </a:solidFill>
                  <a:latin typeface="Calibri"/>
                  <a:cs typeface="Calibri"/>
                </a:rPr>
                <a:t>RAS ARTICLES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19</xdr:row>
          <xdr:rowOff>19050</xdr:rowOff>
        </xdr:from>
        <xdr:to>
          <xdr:col>6</xdr:col>
          <xdr:colOff>1352550</xdr:colOff>
          <xdr:row>21</xdr:row>
          <xdr:rowOff>28575</xdr:rowOff>
        </xdr:to>
        <xdr:sp macro="" textlink="">
          <xdr:nvSpPr>
            <xdr:cNvPr id="4334" name="Bouton 238" hidden="1">
              <a:extLst>
                <a:ext uri="{63B3BB69-23CF-44E3-9099-C40C66FF867C}">
                  <a14:compatExt spid="_x0000_s4334"/>
                </a:ext>
                <a:ext uri="{FF2B5EF4-FFF2-40B4-BE49-F238E27FC236}">
                  <a16:creationId xmlns:a16="http://schemas.microsoft.com/office/drawing/2014/main" id="{00000000-0008-0000-0000-0000EE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GENERE PDF</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5</xdr:col>
      <xdr:colOff>634814</xdr:colOff>
      <xdr:row>38</xdr:row>
      <xdr:rowOff>1120</xdr:rowOff>
    </xdr:from>
    <xdr:ext cx="3724274" cy="2386853"/>
    <xdr:pic>
      <xdr:nvPicPr>
        <xdr:cNvPr id="2" name="Imag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24134" y="7026760"/>
          <a:ext cx="3724274" cy="2386853"/>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A1:D32" totalsRowShown="0" headerRowDxfId="4">
  <autoFilter ref="A1:D32" xr:uid="{00000000-0009-0000-0100-000003000000}"/>
  <tableColumns count="4">
    <tableColumn id="1" xr3:uid="{00000000-0010-0000-0000-000001000000}" name="IDPRODUIT" dataDxfId="3"/>
    <tableColumn id="4" xr3:uid="{00000000-0010-0000-0000-000004000000}" name="TITRE" dataDxfId="2"/>
    <tableColumn id="2" xr3:uid="{00000000-0010-0000-0000-000002000000}" name="DESIGNATION" dataDxfId="1"/>
    <tableColumn id="3" xr3:uid="{00000000-0010-0000-0000-000003000000}" name="PRIX" dataDxfId="0"/>
  </tableColumns>
  <tableStyleInfo name="TableStyleLight2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4">
    <tabColor rgb="FF00B050"/>
    <pageSetUpPr fitToPage="1"/>
  </sheetPr>
  <dimension ref="B2:I36"/>
  <sheetViews>
    <sheetView tabSelected="1" workbookViewId="0">
      <selection activeCell="F9" sqref="F9"/>
    </sheetView>
  </sheetViews>
  <sheetFormatPr baseColWidth="10" defaultRowHeight="15" x14ac:dyDescent="0.25"/>
  <cols>
    <col min="1" max="1" width="3.28515625" customWidth="1"/>
    <col min="2" max="2" width="76.28515625" customWidth="1"/>
    <col min="5" max="5" width="13.42578125" bestFit="1" customWidth="1"/>
    <col min="7" max="7" width="25.7109375" customWidth="1"/>
    <col min="8" max="8" width="12.140625" customWidth="1"/>
    <col min="9" max="9" width="11" customWidth="1"/>
    <col min="10" max="10" width="6.7109375" customWidth="1"/>
  </cols>
  <sheetData>
    <row r="2" spans="2:8" ht="21" x14ac:dyDescent="0.35">
      <c r="B2" s="140" t="s">
        <v>0</v>
      </c>
      <c r="C2" s="160" t="s">
        <v>201</v>
      </c>
      <c r="D2" s="160"/>
      <c r="E2" s="160"/>
    </row>
    <row r="3" spans="2:8" ht="21" x14ac:dyDescent="0.25">
      <c r="G3" s="13" t="s">
        <v>14</v>
      </c>
      <c r="H3" s="141">
        <v>44146.702141203707</v>
      </c>
    </row>
    <row r="4" spans="2:8" x14ac:dyDescent="0.25">
      <c r="G4" s="11"/>
    </row>
    <row r="16" spans="2:8" x14ac:dyDescent="0.25">
      <c r="B16" s="85" t="s">
        <v>1</v>
      </c>
      <c r="C16" s="86" t="s">
        <v>11</v>
      </c>
      <c r="D16" s="86" t="s">
        <v>12</v>
      </c>
      <c r="E16" s="87" t="s">
        <v>2</v>
      </c>
    </row>
    <row r="17" spans="2:9" ht="28.15" customHeight="1" x14ac:dyDescent="0.25">
      <c r="B17" s="163"/>
      <c r="C17" s="164"/>
      <c r="D17" s="164"/>
      <c r="E17" s="165"/>
    </row>
    <row r="18" spans="2:9" ht="15.75" x14ac:dyDescent="0.25">
      <c r="B18" s="162"/>
      <c r="C18" s="162"/>
      <c r="D18" s="162"/>
      <c r="E18" s="162"/>
    </row>
    <row r="19" spans="2:9" x14ac:dyDescent="0.25">
      <c r="B19" s="139"/>
      <c r="C19" s="17"/>
      <c r="D19" s="17"/>
      <c r="E19" s="18"/>
    </row>
    <row r="20" spans="2:9" ht="15.75" x14ac:dyDescent="0.25">
      <c r="B20" s="161"/>
      <c r="C20" s="162"/>
      <c r="D20" s="162"/>
      <c r="E20" s="162"/>
    </row>
    <row r="21" spans="2:9" x14ac:dyDescent="0.25">
      <c r="B21" s="139"/>
      <c r="C21" s="17"/>
      <c r="D21" s="17"/>
      <c r="E21" s="18"/>
    </row>
    <row r="22" spans="2:9" ht="15.75" x14ac:dyDescent="0.25">
      <c r="B22" s="162"/>
      <c r="C22" s="162"/>
      <c r="D22" s="162"/>
      <c r="E22" s="162"/>
    </row>
    <row r="23" spans="2:9" x14ac:dyDescent="0.25">
      <c r="B23" s="16"/>
      <c r="C23" s="17"/>
      <c r="D23" s="17"/>
      <c r="E23" s="18"/>
      <c r="I23" t="s">
        <v>23</v>
      </c>
    </row>
    <row r="24" spans="2:9" ht="15.75" x14ac:dyDescent="0.25">
      <c r="B24" s="162"/>
      <c r="C24" s="162"/>
      <c r="D24" s="162"/>
      <c r="E24" s="162"/>
    </row>
    <row r="25" spans="2:9" x14ac:dyDescent="0.25">
      <c r="B25" s="16"/>
      <c r="C25" s="17"/>
      <c r="D25" s="17"/>
      <c r="E25" s="18"/>
    </row>
    <row r="26" spans="2:9" ht="15.75" x14ac:dyDescent="0.25">
      <c r="B26" s="162"/>
      <c r="C26" s="162"/>
      <c r="D26" s="162"/>
      <c r="E26" s="162"/>
    </row>
    <row r="27" spans="2:9" x14ac:dyDescent="0.25">
      <c r="B27" s="16"/>
      <c r="C27" s="17"/>
      <c r="D27" s="17"/>
      <c r="E27" s="18"/>
    </row>
    <row r="28" spans="2:9" ht="15.75" x14ac:dyDescent="0.25">
      <c r="B28" s="162"/>
      <c r="C28" s="162"/>
      <c r="D28" s="162"/>
      <c r="E28" s="162"/>
    </row>
    <row r="29" spans="2:9" x14ac:dyDescent="0.25">
      <c r="B29" s="19"/>
      <c r="C29" s="17"/>
      <c r="D29" s="17"/>
      <c r="E29" s="18"/>
    </row>
    <row r="30" spans="2:9" ht="15.75" x14ac:dyDescent="0.25">
      <c r="B30" s="162"/>
      <c r="C30" s="162"/>
      <c r="D30" s="162"/>
      <c r="E30" s="162"/>
    </row>
    <row r="31" spans="2:9" x14ac:dyDescent="0.25">
      <c r="B31" s="16"/>
      <c r="C31" s="17"/>
      <c r="D31" s="17"/>
      <c r="E31" s="18"/>
    </row>
    <row r="32" spans="2:9" ht="15.75" x14ac:dyDescent="0.25">
      <c r="B32" s="161"/>
      <c r="C32" s="162"/>
      <c r="D32" s="162"/>
      <c r="E32" s="162"/>
    </row>
    <row r="33" spans="2:5" x14ac:dyDescent="0.25">
      <c r="B33" s="16"/>
      <c r="C33" s="17"/>
      <c r="D33" s="17"/>
      <c r="E33" s="18"/>
    </row>
    <row r="34" spans="2:5" ht="18.75" x14ac:dyDescent="0.25">
      <c r="B34" s="35"/>
      <c r="D34" s="12" t="s">
        <v>194</v>
      </c>
      <c r="E34" s="137">
        <f>SUM(E19:E33)</f>
        <v>0</v>
      </c>
    </row>
    <row r="35" spans="2:5" ht="18.75" x14ac:dyDescent="0.25">
      <c r="D35" s="12" t="s">
        <v>15</v>
      </c>
      <c r="E35" s="136" t="e">
        <f>VLOOKUP(G4,PARAM!A1:C3,2,0)</f>
        <v>#N/A</v>
      </c>
    </row>
    <row r="36" spans="2:5" ht="18.75" x14ac:dyDescent="0.25">
      <c r="D36" s="12" t="s">
        <v>24</v>
      </c>
      <c r="E36" s="138" t="e">
        <f>IF(E35=10,(E34*1.1),IF(E35=20,(E34*1.2),0))</f>
        <v>#N/A</v>
      </c>
    </row>
  </sheetData>
  <mergeCells count="10">
    <mergeCell ref="C2:E2"/>
    <mergeCell ref="B32:E32"/>
    <mergeCell ref="B17:E17"/>
    <mergeCell ref="B18:E18"/>
    <mergeCell ref="B20:E20"/>
    <mergeCell ref="B22:E22"/>
    <mergeCell ref="B24:E24"/>
    <mergeCell ref="B26:E26"/>
    <mergeCell ref="B28:E28"/>
    <mergeCell ref="B30:E30"/>
  </mergeCells>
  <dataValidations count="1">
    <dataValidation type="list" allowBlank="1" showInputMessage="1" showErrorMessage="1" sqref="G4" xr:uid="{00000000-0002-0000-0000-000000000000}">
      <formula1>liste</formula1>
    </dataValidation>
  </dataValidations>
  <pageMargins left="0.7" right="0.7" top="0.75" bottom="0.75" header="0.3" footer="0.3"/>
  <pageSetup paperSize="9" scale="75"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4114" r:id="rId4" name="Button 18">
              <controlPr defaultSize="0" print="0" autoFill="0" autoPict="0" macro="[0]!Feuil4.ImprimeF2" altText="IMPRIMER">
                <anchor moveWithCells="1" sizeWithCells="1">
                  <from>
                    <xdr:col>6</xdr:col>
                    <xdr:colOff>57150</xdr:colOff>
                    <xdr:row>16</xdr:row>
                    <xdr:rowOff>114300</xdr:rowOff>
                  </from>
                  <to>
                    <xdr:col>6</xdr:col>
                    <xdr:colOff>1390650</xdr:colOff>
                    <xdr:row>18</xdr:row>
                    <xdr:rowOff>57150</xdr:rowOff>
                  </to>
                </anchor>
              </controlPr>
            </control>
          </mc:Choice>
        </mc:AlternateContent>
        <mc:AlternateContent xmlns:mc="http://schemas.openxmlformats.org/markup-compatibility/2006">
          <mc:Choice Requires="x14">
            <control shapeId="4278" r:id="rId5" name="Button 182">
              <controlPr defaultSize="0" print="0" autoFill="0" autoPict="0" macro="[0]!afficherFormProduit">
                <anchor moveWithCells="1">
                  <from>
                    <xdr:col>6</xdr:col>
                    <xdr:colOff>28575</xdr:colOff>
                    <xdr:row>6</xdr:row>
                    <xdr:rowOff>19050</xdr:rowOff>
                  </from>
                  <to>
                    <xdr:col>6</xdr:col>
                    <xdr:colOff>1428750</xdr:colOff>
                    <xdr:row>8</xdr:row>
                    <xdr:rowOff>57150</xdr:rowOff>
                  </to>
                </anchor>
              </controlPr>
            </control>
          </mc:Choice>
        </mc:AlternateContent>
        <mc:AlternateContent xmlns:mc="http://schemas.openxmlformats.org/markup-compatibility/2006">
          <mc:Choice Requires="x14">
            <control shapeId="4292" r:id="rId6" name="Button 196">
              <controlPr defaultSize="0" print="0" autoFill="0" autoPict="0" macro="[0]!effacer_Produit">
                <anchor moveWithCells="1">
                  <from>
                    <xdr:col>6</xdr:col>
                    <xdr:colOff>28575</xdr:colOff>
                    <xdr:row>12</xdr:row>
                    <xdr:rowOff>28575</xdr:rowOff>
                  </from>
                  <to>
                    <xdr:col>6</xdr:col>
                    <xdr:colOff>1466850</xdr:colOff>
                    <xdr:row>14</xdr:row>
                    <xdr:rowOff>114300</xdr:rowOff>
                  </to>
                </anchor>
              </controlPr>
            </control>
          </mc:Choice>
        </mc:AlternateContent>
        <mc:AlternateContent xmlns:mc="http://schemas.openxmlformats.org/markup-compatibility/2006">
          <mc:Choice Requires="x14">
            <control shapeId="4334" r:id="rId7" name="Bouton 238">
              <controlPr defaultSize="0" print="0" autoFill="0" autoPict="0" macro="[0]!genererPdf">
                <anchor moveWithCells="1">
                  <from>
                    <xdr:col>6</xdr:col>
                    <xdr:colOff>133350</xdr:colOff>
                    <xdr:row>19</xdr:row>
                    <xdr:rowOff>19050</xdr:rowOff>
                  </from>
                  <to>
                    <xdr:col>6</xdr:col>
                    <xdr:colOff>1352550</xdr:colOff>
                    <xdr:row>21</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theme="0" tint="-0.499984740745262"/>
  </sheetPr>
  <dimension ref="A1:Y31"/>
  <sheetViews>
    <sheetView topLeftCell="A13" workbookViewId="0">
      <selection activeCell="D31" sqref="D31"/>
    </sheetView>
  </sheetViews>
  <sheetFormatPr baseColWidth="10" defaultRowHeight="15" x14ac:dyDescent="0.25"/>
  <cols>
    <col min="1" max="1" width="21.7109375" style="5" bestFit="1" customWidth="1"/>
    <col min="2" max="2" width="50.7109375" style="15" bestFit="1" customWidth="1"/>
    <col min="3" max="3" width="86.7109375" style="7" customWidth="1"/>
    <col min="4" max="4" width="11.42578125" style="8" customWidth="1"/>
    <col min="5" max="5" width="3" style="1" customWidth="1"/>
    <col min="6" max="7" width="6.85546875" style="1" customWidth="1"/>
    <col min="8" max="8" width="3.42578125" style="1" customWidth="1"/>
    <col min="9" max="9" width="7.42578125" style="1" customWidth="1"/>
    <col min="10" max="10" width="5.85546875" style="1" customWidth="1"/>
    <col min="11" max="12" width="5.42578125" style="1" customWidth="1"/>
    <col min="13" max="13" width="5.5703125" style="1" customWidth="1"/>
    <col min="14" max="14" width="5" style="1" customWidth="1"/>
    <col min="15" max="15" width="5.140625" style="1" customWidth="1"/>
    <col min="16" max="16" width="3.85546875" style="1" customWidth="1"/>
    <col min="17" max="17" width="4.7109375" style="1" customWidth="1"/>
    <col min="18" max="18" width="3.7109375" style="1" customWidth="1"/>
    <col min="19" max="19" width="4.140625" style="1" customWidth="1"/>
    <col min="20" max="20" width="5.28515625" style="1" customWidth="1"/>
    <col min="21" max="21" width="7.85546875" style="1" customWidth="1"/>
    <col min="22" max="22" width="2.7109375" style="1" customWidth="1"/>
    <col min="23" max="23" width="3.85546875" style="1" customWidth="1"/>
    <col min="24" max="24" width="7.7109375" style="1" customWidth="1"/>
    <col min="25" max="25" width="7.28515625" style="1" customWidth="1"/>
  </cols>
  <sheetData>
    <row r="1" spans="1:4" s="2" customFormat="1" ht="18.75" x14ac:dyDescent="0.3">
      <c r="A1" s="4" t="s">
        <v>3</v>
      </c>
      <c r="B1" s="14" t="s">
        <v>4</v>
      </c>
      <c r="C1" s="6" t="s">
        <v>1</v>
      </c>
      <c r="D1" s="4" t="s">
        <v>2</v>
      </c>
    </row>
    <row r="2" spans="1:4" ht="13.15" customHeight="1" x14ac:dyDescent="0.25">
      <c r="A2" s="5">
        <v>1</v>
      </c>
      <c r="B2" s="15" t="s">
        <v>5</v>
      </c>
      <c r="C2" s="3" t="s">
        <v>8</v>
      </c>
      <c r="D2" s="8">
        <v>12</v>
      </c>
    </row>
    <row r="3" spans="1:4" ht="12.6" customHeight="1" x14ac:dyDescent="0.25">
      <c r="A3" s="5">
        <v>2</v>
      </c>
      <c r="B3" s="15" t="s">
        <v>6</v>
      </c>
      <c r="C3" s="3" t="s">
        <v>9</v>
      </c>
      <c r="D3" s="8">
        <v>11</v>
      </c>
    </row>
    <row r="4" spans="1:4" ht="12.6" customHeight="1" x14ac:dyDescent="0.25">
      <c r="A4" s="5">
        <v>3</v>
      </c>
      <c r="B4" s="15" t="s">
        <v>7</v>
      </c>
      <c r="C4" s="3" t="s">
        <v>10</v>
      </c>
      <c r="D4" s="8">
        <v>9</v>
      </c>
    </row>
    <row r="5" spans="1:4" ht="13.9" customHeight="1" x14ac:dyDescent="0.25">
      <c r="A5" s="5">
        <v>4</v>
      </c>
      <c r="B5" s="15" t="s">
        <v>26</v>
      </c>
      <c r="C5" s="3" t="s">
        <v>25</v>
      </c>
      <c r="D5" s="8">
        <v>1</v>
      </c>
    </row>
    <row r="6" spans="1:4" ht="16.149999999999999" customHeight="1" x14ac:dyDescent="0.25">
      <c r="A6" s="5">
        <v>5</v>
      </c>
      <c r="B6" s="15" t="s">
        <v>62</v>
      </c>
      <c r="C6" s="3" t="s">
        <v>61</v>
      </c>
      <c r="D6" s="8">
        <v>140</v>
      </c>
    </row>
    <row r="7" spans="1:4" ht="16.149999999999999" customHeight="1" x14ac:dyDescent="0.25">
      <c r="A7" s="5">
        <v>6</v>
      </c>
      <c r="B7" s="15" t="s">
        <v>63</v>
      </c>
      <c r="C7" s="3" t="s">
        <v>27</v>
      </c>
      <c r="D7" s="8">
        <v>160</v>
      </c>
    </row>
    <row r="8" spans="1:4" ht="14.45" customHeight="1" x14ac:dyDescent="0.25">
      <c r="A8" s="5">
        <v>7</v>
      </c>
      <c r="B8" s="15" t="s">
        <v>29</v>
      </c>
      <c r="C8" s="3" t="s">
        <v>28</v>
      </c>
      <c r="D8" s="8">
        <v>1</v>
      </c>
    </row>
    <row r="9" spans="1:4" ht="12" customHeight="1" x14ac:dyDescent="0.25">
      <c r="A9" s="5">
        <v>8</v>
      </c>
      <c r="B9" s="15" t="s">
        <v>30</v>
      </c>
      <c r="C9" s="3" t="s">
        <v>31</v>
      </c>
      <c r="D9" s="8">
        <v>1</v>
      </c>
    </row>
    <row r="10" spans="1:4" ht="12" customHeight="1" x14ac:dyDescent="0.25">
      <c r="A10" s="5">
        <v>9</v>
      </c>
      <c r="B10" s="15" t="s">
        <v>207</v>
      </c>
      <c r="C10" s="3" t="str">
        <f ca="1">"Grilage rigide"&amp; IF('TARIF GRILLAGE RIGIDE'!D10="OUI", " avec occultant "," sans occultant")  &amp; IF('TARIF GRILLAGE RIGIDE'!D10="OUI", IF('TARIF GRILLAGE RIGIDE'!D11="OUI", " BOIS"," PVC "),"") &amp; IF('TARIF GRILLAGE RIGIDE'!D5="Sans"," et sans soubassement"," et avec soubassement")  &amp; "
Longueur : "&amp; 'TARIF GRILLAGE RIGIDE'!D4 &amp; "   ml   
Hauteur finit : "&amp; 'TARIF GRILLAGE RIGIDE'!D9 &amp; "  m   
Couleur :  Gris ou Vert
Poteaux haute resistance    
Fixation : Scellement    
Kit occultation :" &amp; IF('TARIF GRILLAGE RIGIDE'!D10="OUI", " OUI "," NON")  &amp; IF('TARIF GRILLAGE RIGIDE'!D10="OUI", IF('TARIF GRILLAGE RIGIDE'!D11="OUI", " - (BOIS)"," - (PVC) "),"")  &amp;   "  
Hauteur "&amp; 'TARIF GRILLAGE RIGIDE'!D7 &amp;"  m - Longueur " &amp; 'TARIF GRILLAGE RIGIDE'!D4 &amp;"  ml  " &amp; IF('TARIF GRILLAGE RIGIDE'!D5=0.25,"
Soubassement beton hauteur : 0,25 cm","") &amp; IF('TARIF GRILLAGE RIGIDE'!D5=0.5,"
Soubassement beton hauteur : 0,50 cm","")</f>
        <v>Grilage rigide sans occultant et avec soubassement
Longueur : 66   ml   
Hauteur finit : 1,78  m   
Couleur :  Gris ou Vert
Poteaux haute resistance    
Fixation : Scellement    
Kit occultation : NON  
Hauteur 1,53  m - Longueur 66  ml  
Soubassement beton hauteur : 0,25 cm</v>
      </c>
      <c r="D10" s="8">
        <f ca="1">'TARIF GRILLAGE RIGIDE'!D13:E13</f>
        <v>6055.3039999999992</v>
      </c>
    </row>
    <row r="11" spans="1:4" ht="12.6" customHeight="1" x14ac:dyDescent="0.25">
      <c r="A11" s="5">
        <v>10</v>
      </c>
      <c r="B11" s="15" t="s">
        <v>206</v>
      </c>
      <c r="C11" s="3" t="s">
        <v>195</v>
      </c>
      <c r="D11" s="142">
        <f>'CLOTURE BOIS'!O63</f>
        <v>8540.4</v>
      </c>
    </row>
    <row r="12" spans="1:4" ht="15" customHeight="1" x14ac:dyDescent="0.25">
      <c r="A12" s="5">
        <v>11</v>
      </c>
      <c r="B12" s="15" t="s">
        <v>33</v>
      </c>
      <c r="C12" s="3" t="s">
        <v>32</v>
      </c>
      <c r="D12" s="8">
        <v>1</v>
      </c>
    </row>
    <row r="13" spans="1:4" ht="13.15" customHeight="1" x14ac:dyDescent="0.25">
      <c r="A13" s="5">
        <v>12</v>
      </c>
      <c r="B13" s="15" t="s">
        <v>34</v>
      </c>
      <c r="C13" s="3" t="s">
        <v>196</v>
      </c>
      <c r="D13" s="8">
        <v>1200</v>
      </c>
    </row>
    <row r="14" spans="1:4" ht="16.899999999999999" customHeight="1" x14ac:dyDescent="0.25">
      <c r="A14" s="5">
        <v>13</v>
      </c>
      <c r="B14" s="15" t="s">
        <v>36</v>
      </c>
      <c r="C14" s="3" t="s">
        <v>35</v>
      </c>
      <c r="D14" s="8">
        <v>8</v>
      </c>
    </row>
    <row r="15" spans="1:4" ht="13.9" customHeight="1" x14ac:dyDescent="0.25">
      <c r="A15" s="5">
        <v>14</v>
      </c>
      <c r="B15" s="15" t="s">
        <v>38</v>
      </c>
      <c r="C15" s="3" t="s">
        <v>37</v>
      </c>
      <c r="D15" s="8">
        <v>1</v>
      </c>
    </row>
    <row r="16" spans="1:4" ht="14.45" customHeight="1" x14ac:dyDescent="0.25">
      <c r="A16" s="5">
        <v>15</v>
      </c>
      <c r="B16" s="15" t="s">
        <v>40</v>
      </c>
      <c r="C16" s="3" t="s">
        <v>39</v>
      </c>
      <c r="D16" s="8">
        <v>1</v>
      </c>
    </row>
    <row r="17" spans="1:4" ht="15" customHeight="1" x14ac:dyDescent="0.25">
      <c r="A17" s="5">
        <v>16</v>
      </c>
      <c r="B17" s="15" t="s">
        <v>42</v>
      </c>
      <c r="C17" s="3" t="s">
        <v>41</v>
      </c>
      <c r="D17" s="8">
        <v>130</v>
      </c>
    </row>
    <row r="18" spans="1:4" ht="18.600000000000001" customHeight="1" x14ac:dyDescent="0.25">
      <c r="A18" s="5">
        <v>17</v>
      </c>
      <c r="B18" s="15" t="s">
        <v>43</v>
      </c>
      <c r="C18" s="3" t="str">
        <f>MUR!I7</f>
        <v>Confection d'une semelle de fondation en béton armé   
Elévation d'un mur en parpaings creux 0,5x0,25x0,25 cm 
Longeur  : 12 m
Hauteur env. : 0,9 m
nombre de rangs : 4
nombre d'éléments : 45 
Confection d'une ceinture en béton armé de  0,1m
Enduit gratté   
Surface :24,6m²
Baguettes d'angle de protection   
Coloris a définir</v>
      </c>
      <c r="D18" s="8">
        <f>MUR!F19</f>
        <v>2295</v>
      </c>
    </row>
    <row r="19" spans="1:4" ht="14.45" customHeight="1" x14ac:dyDescent="0.25">
      <c r="A19" s="5">
        <v>18</v>
      </c>
      <c r="B19" s="15" t="s">
        <v>44</v>
      </c>
      <c r="C19" s="3" t="s">
        <v>180</v>
      </c>
      <c r="D19" s="8">
        <v>1</v>
      </c>
    </row>
    <row r="20" spans="1:4" ht="13.9" customHeight="1" x14ac:dyDescent="0.25">
      <c r="A20" s="5">
        <v>19</v>
      </c>
      <c r="B20" s="15" t="s">
        <v>46</v>
      </c>
      <c r="C20" s="3" t="s">
        <v>45</v>
      </c>
      <c r="D20" s="8">
        <v>1</v>
      </c>
    </row>
    <row r="21" spans="1:4" ht="14.45" customHeight="1" x14ac:dyDescent="0.25">
      <c r="A21" s="5">
        <v>20</v>
      </c>
      <c r="B21" s="15" t="s">
        <v>48</v>
      </c>
      <c r="C21" s="3" t="s">
        <v>47</v>
      </c>
      <c r="D21" s="8">
        <v>23</v>
      </c>
    </row>
    <row r="22" spans="1:4" ht="16.149999999999999" customHeight="1" x14ac:dyDescent="0.25">
      <c r="A22" s="5">
        <v>21</v>
      </c>
      <c r="B22" s="15" t="s">
        <v>50</v>
      </c>
      <c r="C22" s="3" t="s">
        <v>49</v>
      </c>
      <c r="D22" s="8">
        <v>29</v>
      </c>
    </row>
    <row r="23" spans="1:4" ht="12.6" customHeight="1" x14ac:dyDescent="0.25">
      <c r="A23" s="5">
        <v>22</v>
      </c>
      <c r="B23" s="15" t="s">
        <v>52</v>
      </c>
      <c r="C23" s="3" t="s">
        <v>51</v>
      </c>
      <c r="D23" s="8">
        <v>24</v>
      </c>
    </row>
    <row r="24" spans="1:4" x14ac:dyDescent="0.25">
      <c r="A24" s="5">
        <v>23</v>
      </c>
      <c r="B24" s="15" t="s">
        <v>54</v>
      </c>
      <c r="C24" s="3" t="s">
        <v>53</v>
      </c>
      <c r="D24" s="8">
        <v>17</v>
      </c>
    </row>
    <row r="25" spans="1:4" ht="10.9" customHeight="1" x14ac:dyDescent="0.25">
      <c r="A25" s="5">
        <v>24</v>
      </c>
      <c r="B25" s="15" t="s">
        <v>56</v>
      </c>
      <c r="C25" s="3" t="s">
        <v>55</v>
      </c>
      <c r="D25" s="8">
        <v>35</v>
      </c>
    </row>
    <row r="26" spans="1:4" ht="14.45" customHeight="1" x14ac:dyDescent="0.25">
      <c r="A26" s="5">
        <v>25</v>
      </c>
      <c r="B26" s="15" t="s">
        <v>58</v>
      </c>
      <c r="C26" s="3" t="s">
        <v>57</v>
      </c>
      <c r="D26" s="8">
        <v>60</v>
      </c>
    </row>
    <row r="27" spans="1:4" ht="22.9" customHeight="1" x14ac:dyDescent="0.25">
      <c r="A27" s="5">
        <v>26</v>
      </c>
      <c r="B27" s="15" t="s">
        <v>60</v>
      </c>
      <c r="C27" s="3" t="s">
        <v>59</v>
      </c>
      <c r="D27" s="8">
        <v>1100</v>
      </c>
    </row>
    <row r="28" spans="1:4" x14ac:dyDescent="0.25">
      <c r="A28" s="5">
        <v>27</v>
      </c>
      <c r="B28" s="15" t="s">
        <v>170</v>
      </c>
      <c r="D28" s="8">
        <v>1</v>
      </c>
    </row>
    <row r="29" spans="1:4" x14ac:dyDescent="0.25">
      <c r="A29" s="5">
        <v>28</v>
      </c>
      <c r="B29" s="15" t="s">
        <v>169</v>
      </c>
      <c r="D29" s="8">
        <v>1</v>
      </c>
    </row>
    <row r="30" spans="1:4" ht="45" x14ac:dyDescent="0.25">
      <c r="A30" s="5">
        <v>29</v>
      </c>
      <c r="B30" s="15" t="s">
        <v>198</v>
      </c>
      <c r="C30" s="3" t="s">
        <v>197</v>
      </c>
      <c r="D30" s="8">
        <v>750</v>
      </c>
    </row>
    <row r="31" spans="1:4" ht="107.25" customHeight="1" x14ac:dyDescent="0.25">
      <c r="A31" s="5">
        <v>30</v>
      </c>
      <c r="B31" s="15" t="s">
        <v>199</v>
      </c>
      <c r="C31" s="3" t="s">
        <v>200</v>
      </c>
      <c r="D31" s="8">
        <v>0</v>
      </c>
    </row>
  </sheetData>
  <pageMargins left="0.7" right="0.7" top="0.75" bottom="0.75" header="0.3" footer="0.3"/>
  <pageSetup paperSize="9" orientation="portrait" horizontalDpi="4294967293"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5">
    <tabColor theme="3" tint="0.39997558519241921"/>
  </sheetPr>
  <dimension ref="C1:I28"/>
  <sheetViews>
    <sheetView workbookViewId="0">
      <selection activeCell="C17" sqref="C17:F28"/>
    </sheetView>
  </sheetViews>
  <sheetFormatPr baseColWidth="10" defaultColWidth="11.5703125" defaultRowHeight="15" x14ac:dyDescent="0.25"/>
  <cols>
    <col min="1" max="1" width="3" customWidth="1"/>
    <col min="2" max="2" width="4.5703125" customWidth="1"/>
    <col min="3" max="3" width="44.85546875" customWidth="1"/>
    <col min="4" max="4" width="20.85546875" style="36" customWidth="1"/>
    <col min="5" max="5" width="27.5703125" style="36" customWidth="1"/>
    <col min="6" max="6" width="26" customWidth="1"/>
  </cols>
  <sheetData>
    <row r="1" spans="3:8" ht="23.25" x14ac:dyDescent="0.35">
      <c r="C1" s="179" t="s">
        <v>65</v>
      </c>
      <c r="D1" s="179"/>
      <c r="E1" s="179"/>
      <c r="F1" s="179"/>
    </row>
    <row r="2" spans="3:8" ht="23.25" x14ac:dyDescent="0.35">
      <c r="C2" s="180" t="s">
        <v>66</v>
      </c>
      <c r="D2" s="180"/>
      <c r="E2" s="180"/>
      <c r="F2" s="180"/>
    </row>
    <row r="3" spans="3:8" ht="18.75" x14ac:dyDescent="0.3">
      <c r="D3" s="20" t="s">
        <v>67</v>
      </c>
      <c r="E3" s="21" t="s">
        <v>68</v>
      </c>
      <c r="F3" s="181" t="s">
        <v>69</v>
      </c>
    </row>
    <row r="4" spans="3:8" ht="18.75" x14ac:dyDescent="0.3">
      <c r="C4" s="22" t="s">
        <v>70</v>
      </c>
      <c r="D4" s="23" t="s">
        <v>211</v>
      </c>
      <c r="E4" s="24">
        <f>ROUNDUP(D4/2.5,0)</f>
        <v>27</v>
      </c>
      <c r="F4" s="182"/>
    </row>
    <row r="5" spans="3:8" ht="18.75" x14ac:dyDescent="0.3">
      <c r="C5" s="25" t="s">
        <v>71</v>
      </c>
      <c r="D5" s="144">
        <v>0.25</v>
      </c>
      <c r="E5" s="27">
        <f>+IFERROR((D5=0.25)*(E4*BASE!B6) + (D5=0.5)*(E4*BASE!B7),0)</f>
        <v>745.875</v>
      </c>
      <c r="F5" s="28">
        <f>(D5=0.25)*(E5-E4*BASE!C6) + (D5=0.5)*(E5-E4*BASE!C7)</f>
        <v>307.125</v>
      </c>
    </row>
    <row r="6" spans="3:8" ht="18.75" x14ac:dyDescent="0.3">
      <c r="C6" s="25" t="s">
        <v>72</v>
      </c>
      <c r="D6" t="s">
        <v>79</v>
      </c>
      <c r="E6" s="29">
        <f>IFERROR(IF(D6="OUI", (D5=0.25)*(E4*BASE!B8-E5) + (D5=0.5)*(E4*BASE!B9-E5), 0 ),0)</f>
        <v>0</v>
      </c>
      <c r="F6" s="28">
        <f>IF(D6="OUI", (D5=0.25)*(E5+E6-F5-(E4*BASE!C8)) + (D5=0.5)*(E5+E6-F5-(E4*BASE!C9)), 0 )</f>
        <v>0</v>
      </c>
    </row>
    <row r="7" spans="3:8" ht="18.75" x14ac:dyDescent="0.3">
      <c r="C7" s="25" t="s">
        <v>74</v>
      </c>
      <c r="D7" s="26">
        <v>1.53</v>
      </c>
      <c r="E7" s="29">
        <f>IFERROR(VLOOKUP(D7,BASE!A14:B22,2)*E4,0)</f>
        <v>1525.2569999999998</v>
      </c>
      <c r="F7" s="28">
        <f>E7-VLOOKUP(D7,BASE!A14:C22,3)*E4</f>
        <v>628.04699999999991</v>
      </c>
    </row>
    <row r="8" spans="3:8" ht="18.75" x14ac:dyDescent="0.3">
      <c r="C8" s="25" t="s">
        <v>75</v>
      </c>
      <c r="D8" s="30">
        <f ca="1">VLOOKUP(D7,OFFSET(params!$A$2,MATCH($D$5,params!$A$3:$A$29,0),1,COUNTIF(params!$A$3:$A$29,$D$5),3),2,0)</f>
        <v>2.1749999999999998</v>
      </c>
      <c r="E8" s="29">
        <f ca="1">IFERROR(VLOOKUP(D8,BASE!A27:B36,2)*(E4+1),0)</f>
        <v>1474.1719999999998</v>
      </c>
      <c r="F8" s="28">
        <f ca="1">E8-VLOOKUP(D8,BASE!A27:C36,3)*E4</f>
        <v>637.98199999999986</v>
      </c>
    </row>
    <row r="9" spans="3:8" ht="21" x14ac:dyDescent="0.3">
      <c r="C9" s="25" t="s">
        <v>76</v>
      </c>
      <c r="D9" s="183">
        <f ca="1">IFERROR(VLOOKUP(D8,OFFSET(params!$A$2,MATCH($D$5,params!$A$3:$A$25,0),2,COUNTIF(params!$A$3:$A$25,$D$5),2),2,FALSE),0)</f>
        <v>1.78</v>
      </c>
      <c r="E9" s="184"/>
      <c r="F9" s="184"/>
    </row>
    <row r="10" spans="3:8" ht="18.75" x14ac:dyDescent="0.3">
      <c r="C10" s="25" t="s">
        <v>77</v>
      </c>
      <c r="D10" t="s">
        <v>79</v>
      </c>
      <c r="E10" s="31">
        <f>IF(D10="OUI", IFERROR(VLOOKUP(D7,BASE!A41:B47,2,FALSE)*E4,"IMPOSSIBLE"),IF(D10="Non",0))</f>
        <v>0</v>
      </c>
      <c r="F10" s="28">
        <f>IF(D10="OUI",VLOOKUP(D7,BASE!A41:C47,3)*E4,0)</f>
        <v>0</v>
      </c>
    </row>
    <row r="11" spans="3:8" ht="18.75" x14ac:dyDescent="0.3">
      <c r="C11" s="25" t="s">
        <v>78</v>
      </c>
      <c r="D11" t="s">
        <v>79</v>
      </c>
      <c r="E11" s="27">
        <f>IF(D11="OUI", IFERROR((VLOOKUP(D7,BASE!A52:B58,2,FALSE)*E4-E10),"IMPOSSIBLE"),IF(D11="Non",0))</f>
        <v>0</v>
      </c>
      <c r="F11" s="28">
        <f>IF(D11="OUI",F10-(VLOOKUP(D7,(BASE!A52:C58),3)*E4),0)</f>
        <v>0</v>
      </c>
    </row>
    <row r="12" spans="3:8" ht="18.75" x14ac:dyDescent="0.3">
      <c r="C12" s="25" t="s">
        <v>80</v>
      </c>
      <c r="D12" s="185">
        <f>IFERROR((D4/BASE!M14)*BASE!N10,0)</f>
        <v>2310</v>
      </c>
      <c r="E12" s="186"/>
      <c r="F12" s="187"/>
      <c r="G12">
        <f ca="1">IFERROR(SUM(E5:E12),0)</f>
        <v>3745.3039999999992</v>
      </c>
    </row>
    <row r="13" spans="3:8" ht="18.75" x14ac:dyDescent="0.3">
      <c r="C13" s="25" t="s">
        <v>81</v>
      </c>
      <c r="D13" s="188">
        <f ca="1">IFERROR(SUM(E5:E12)+D12,0)</f>
        <v>6055.3039999999992</v>
      </c>
      <c r="E13" s="189"/>
      <c r="F13" s="32">
        <f ca="1">IFERROR(SUM(F5:F12),0)</f>
        <v>1573.1539999999998</v>
      </c>
      <c r="G13" s="146">
        <f ca="1">D13</f>
        <v>6055.3039999999992</v>
      </c>
      <c r="H13">
        <f ca="1">SUMPRODUCT(IF(ISERROR(G13),0,(G13)))</f>
        <v>6055.3039999999992</v>
      </c>
    </row>
    <row r="14" spans="3:8" ht="18.75" x14ac:dyDescent="0.3">
      <c r="C14" s="33" t="s">
        <v>82</v>
      </c>
      <c r="D14" s="166">
        <f>D4/BASE!M14</f>
        <v>3.6666666666666665</v>
      </c>
      <c r="E14" s="166"/>
      <c r="F14" s="166"/>
      <c r="G14" s="34"/>
    </row>
    <row r="16" spans="3:8" ht="18.75" x14ac:dyDescent="0.3">
      <c r="C16" s="167" t="s">
        <v>83</v>
      </c>
      <c r="D16" s="168"/>
      <c r="E16" s="168"/>
      <c r="F16" s="169"/>
    </row>
    <row r="17" spans="3:9" ht="14.45" customHeight="1" x14ac:dyDescent="0.25">
      <c r="C17" s="170" t="str">
        <f ca="1">"Grilage rigide"&amp; IF(D10="OUI", " avec occultant "," sans occultant")  &amp; IF(D10="OUI", IF(D11="OUI", " BOIS"," PVC "),"") &amp; IF(D5="Sans"," et sans soubassement"," et avec soubassement")  &amp; "
Longueur : "&amp; D4 &amp; "   ml   
Hauteur finit : "&amp; D9 &amp; "  m   
Couleur :  Gris ou Vert
Poteaux haute resistance    
Fixation : Scellement    
Kit occultation :" &amp; IF(D10="OUI", " OUI "," NON")  &amp; IF(D10="OUI", IF(D11="OUI", " - (BOIS)"," - (PVC) "),"")  &amp;   "  
Hauteur "&amp; D7 &amp;"  m - Longueur " &amp; D4 &amp;"  ml  " &amp; IF(D5=0.25,"
Soubassement beton hauteur : 0,25 cm","") &amp; IF(D5=0.5,"
Soubassement beton hauteur : 0,50 cm","")</f>
        <v>Grilage rigide sans occultant et avec soubassement
Longueur : 66   ml   
Hauteur finit : 1,78  m   
Couleur :  Gris ou Vert
Poteaux haute resistance    
Fixation : Scellement    
Kit occultation : NON  
Hauteur 1,53  m - Longueur 66  ml  
Soubassement beton hauteur : 0,25 cm</v>
      </c>
      <c r="D17" s="171"/>
      <c r="E17" s="171"/>
      <c r="F17" s="172"/>
    </row>
    <row r="18" spans="3:9" x14ac:dyDescent="0.25">
      <c r="C18" s="173"/>
      <c r="D18" s="174"/>
      <c r="E18" s="174"/>
      <c r="F18" s="175"/>
    </row>
    <row r="19" spans="3:9" x14ac:dyDescent="0.25">
      <c r="C19" s="173"/>
      <c r="D19" s="174"/>
      <c r="E19" s="174"/>
      <c r="F19" s="175"/>
    </row>
    <row r="20" spans="3:9" x14ac:dyDescent="0.25">
      <c r="C20" s="173"/>
      <c r="D20" s="174"/>
      <c r="E20" s="174"/>
      <c r="F20" s="175"/>
    </row>
    <row r="21" spans="3:9" x14ac:dyDescent="0.25">
      <c r="C21" s="173"/>
      <c r="D21" s="174"/>
      <c r="E21" s="174"/>
      <c r="F21" s="175"/>
      <c r="I21" s="35"/>
    </row>
    <row r="22" spans="3:9" ht="100.9" customHeight="1" x14ac:dyDescent="0.25">
      <c r="C22" s="173"/>
      <c r="D22" s="174"/>
      <c r="E22" s="174"/>
      <c r="F22" s="175"/>
    </row>
    <row r="23" spans="3:9" ht="1.9" customHeight="1" x14ac:dyDescent="0.25">
      <c r="C23" s="173"/>
      <c r="D23" s="174"/>
      <c r="E23" s="174"/>
      <c r="F23" s="175"/>
    </row>
    <row r="24" spans="3:9" hidden="1" x14ac:dyDescent="0.25">
      <c r="C24" s="173"/>
      <c r="D24" s="174"/>
      <c r="E24" s="174"/>
      <c r="F24" s="175"/>
    </row>
    <row r="25" spans="3:9" hidden="1" x14ac:dyDescent="0.25">
      <c r="C25" s="173"/>
      <c r="D25" s="174"/>
      <c r="E25" s="174"/>
      <c r="F25" s="175"/>
    </row>
    <row r="26" spans="3:9" hidden="1" x14ac:dyDescent="0.25">
      <c r="C26" s="173"/>
      <c r="D26" s="174"/>
      <c r="E26" s="174"/>
      <c r="F26" s="175"/>
    </row>
    <row r="27" spans="3:9" hidden="1" x14ac:dyDescent="0.25">
      <c r="C27" s="173"/>
      <c r="D27" s="174"/>
      <c r="E27" s="174"/>
      <c r="F27" s="175"/>
    </row>
    <row r="28" spans="3:9" hidden="1" x14ac:dyDescent="0.25">
      <c r="C28" s="176"/>
      <c r="D28" s="177"/>
      <c r="E28" s="177"/>
      <c r="F28" s="178"/>
    </row>
  </sheetData>
  <mergeCells count="9">
    <mergeCell ref="D14:F14"/>
    <mergeCell ref="C16:F16"/>
    <mergeCell ref="C17:F28"/>
    <mergeCell ref="C1:F1"/>
    <mergeCell ref="C2:F2"/>
    <mergeCell ref="F3:F4"/>
    <mergeCell ref="D9:F9"/>
    <mergeCell ref="D12:F12"/>
    <mergeCell ref="D13:E13"/>
  </mergeCells>
  <dataValidations count="1">
    <dataValidation type="list" allowBlank="1" showInputMessage="1" showErrorMessage="1" sqref="D7" xr:uid="{00000000-0002-0000-0200-000000000000}">
      <formula1>Liste_Grillage</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tabColor rgb="FFFFC000"/>
  </sheetPr>
  <dimension ref="A1:O64"/>
  <sheetViews>
    <sheetView topLeftCell="B1" workbookViewId="0">
      <selection activeCell="O65" sqref="O65"/>
    </sheetView>
  </sheetViews>
  <sheetFormatPr baseColWidth="10" defaultRowHeight="15" x14ac:dyDescent="0.25"/>
  <cols>
    <col min="1" max="1" width="34.42578125" customWidth="1"/>
    <col min="2" max="2" width="7.5703125" bestFit="1" customWidth="1"/>
    <col min="3" max="3" width="8.28515625" bestFit="1" customWidth="1"/>
    <col min="4" max="4" width="2.5703125" customWidth="1"/>
    <col min="5" max="5" width="34.42578125" customWidth="1"/>
    <col min="6" max="6" width="9.5703125" bestFit="1" customWidth="1"/>
    <col min="7" max="7" width="7.85546875" bestFit="1" customWidth="1"/>
    <col min="8" max="8" width="2.5703125" customWidth="1"/>
    <col min="9" max="9" width="34.42578125" customWidth="1"/>
    <col min="10" max="11" width="7.85546875" bestFit="1" customWidth="1"/>
    <col min="12" max="12" width="2.5703125" customWidth="1"/>
    <col min="13" max="13" width="34.42578125" bestFit="1" customWidth="1"/>
    <col min="14" max="14" width="9.5703125" bestFit="1" customWidth="1"/>
    <col min="15" max="15" width="9.42578125" bestFit="1" customWidth="1"/>
  </cols>
  <sheetData>
    <row r="1" spans="1:15" x14ac:dyDescent="0.25">
      <c r="A1" s="193" t="s">
        <v>111</v>
      </c>
      <c r="B1" s="193"/>
      <c r="C1" s="193"/>
      <c r="F1" s="194" t="s">
        <v>111</v>
      </c>
      <c r="G1" s="195"/>
      <c r="H1" s="195"/>
      <c r="I1" s="195"/>
      <c r="J1" s="196"/>
    </row>
    <row r="2" spans="1:15" ht="15.75" x14ac:dyDescent="0.25">
      <c r="A2" s="197" t="s">
        <v>112</v>
      </c>
      <c r="B2" s="198"/>
      <c r="C2" s="199"/>
      <c r="F2" s="197" t="s">
        <v>13</v>
      </c>
      <c r="G2" s="198"/>
      <c r="H2" s="198"/>
      <c r="I2" s="198"/>
      <c r="J2" s="199"/>
    </row>
    <row r="3" spans="1:15" x14ac:dyDescent="0.25">
      <c r="A3" s="88" t="s">
        <v>113</v>
      </c>
      <c r="B3" s="89" t="s">
        <v>114</v>
      </c>
      <c r="C3" s="90">
        <v>20</v>
      </c>
      <c r="F3" s="190" t="s">
        <v>115</v>
      </c>
      <c r="G3" s="191"/>
      <c r="H3" s="191"/>
      <c r="I3" s="192"/>
      <c r="J3" s="91" t="s">
        <v>116</v>
      </c>
    </row>
    <row r="4" spans="1:15" x14ac:dyDescent="0.25">
      <c r="A4" s="92" t="s">
        <v>117</v>
      </c>
      <c r="B4" s="89" t="s">
        <v>114</v>
      </c>
      <c r="C4" s="90">
        <v>27</v>
      </c>
      <c r="F4" s="190" t="s">
        <v>118</v>
      </c>
      <c r="G4" s="191"/>
      <c r="H4" s="192"/>
      <c r="I4" s="93"/>
      <c r="J4" s="88"/>
    </row>
    <row r="5" spans="1:15" x14ac:dyDescent="0.25">
      <c r="A5" s="94"/>
      <c r="B5" s="9"/>
      <c r="C5" s="95"/>
      <c r="F5" s="203" t="s">
        <v>119</v>
      </c>
      <c r="G5" s="204" t="s">
        <v>120</v>
      </c>
      <c r="H5" s="204"/>
      <c r="I5" s="204"/>
      <c r="J5" s="96">
        <v>200</v>
      </c>
    </row>
    <row r="6" spans="1:15" x14ac:dyDescent="0.25">
      <c r="A6" s="94"/>
      <c r="B6" s="9"/>
      <c r="C6" s="95"/>
      <c r="F6" s="203"/>
      <c r="G6" s="204" t="s">
        <v>121</v>
      </c>
      <c r="H6" s="204"/>
      <c r="I6" s="204"/>
      <c r="J6" s="96">
        <v>200</v>
      </c>
    </row>
    <row r="7" spans="1:15" ht="6" customHeight="1" x14ac:dyDescent="0.25"/>
    <row r="8" spans="1:15" x14ac:dyDescent="0.25">
      <c r="F8" s="76" t="s">
        <v>122</v>
      </c>
      <c r="G8" s="204"/>
      <c r="H8" s="204"/>
      <c r="I8" s="204"/>
      <c r="J8" s="88"/>
    </row>
    <row r="10" spans="1:15" x14ac:dyDescent="0.25">
      <c r="A10" s="205" t="s">
        <v>123</v>
      </c>
      <c r="B10" s="205"/>
      <c r="C10" s="205"/>
      <c r="E10" s="205" t="s">
        <v>123</v>
      </c>
      <c r="F10" s="205"/>
      <c r="G10" s="205"/>
      <c r="I10" s="205" t="s">
        <v>123</v>
      </c>
      <c r="J10" s="205"/>
      <c r="K10" s="205"/>
      <c r="M10" s="205" t="s">
        <v>123</v>
      </c>
      <c r="N10" s="205"/>
      <c r="O10" s="205"/>
    </row>
    <row r="11" spans="1:15" ht="15.75" x14ac:dyDescent="0.25">
      <c r="A11" s="206" t="s">
        <v>124</v>
      </c>
      <c r="B11" s="206"/>
      <c r="C11" s="206"/>
      <c r="E11" s="206" t="s">
        <v>124</v>
      </c>
      <c r="F11" s="206"/>
      <c r="G11" s="206"/>
      <c r="I11" s="206" t="s">
        <v>124</v>
      </c>
      <c r="J11" s="206"/>
      <c r="K11" s="206"/>
      <c r="M11" s="206" t="s">
        <v>124</v>
      </c>
      <c r="N11" s="206"/>
      <c r="O11" s="206"/>
    </row>
    <row r="12" spans="1:15" ht="15.75" x14ac:dyDescent="0.25">
      <c r="A12" s="200" t="s">
        <v>125</v>
      </c>
      <c r="B12" s="201"/>
      <c r="C12" s="202"/>
      <c r="E12" s="200" t="s">
        <v>126</v>
      </c>
      <c r="F12" s="201"/>
      <c r="G12" s="202"/>
      <c r="I12" s="200" t="s">
        <v>127</v>
      </c>
      <c r="J12" s="201"/>
      <c r="K12" s="202"/>
      <c r="M12" s="200" t="s">
        <v>128</v>
      </c>
      <c r="N12" s="201"/>
      <c r="O12" s="202"/>
    </row>
    <row r="13" spans="1:15" ht="15.75" x14ac:dyDescent="0.25">
      <c r="A13" s="97"/>
      <c r="B13" s="97"/>
      <c r="C13" s="97" t="s">
        <v>129</v>
      </c>
      <c r="E13" s="97"/>
      <c r="F13" s="97"/>
      <c r="G13" s="97" t="s">
        <v>129</v>
      </c>
      <c r="I13" s="97"/>
      <c r="J13" s="97"/>
      <c r="K13" s="97" t="s">
        <v>129</v>
      </c>
      <c r="M13" s="97"/>
      <c r="N13" s="97"/>
      <c r="O13" s="97" t="s">
        <v>129</v>
      </c>
    </row>
    <row r="14" spans="1:15" x14ac:dyDescent="0.25">
      <c r="A14" s="88"/>
      <c r="B14" s="76" t="s">
        <v>130</v>
      </c>
      <c r="C14" s="76"/>
      <c r="E14" s="88"/>
      <c r="F14" s="76" t="s">
        <v>130</v>
      </c>
      <c r="G14" s="76"/>
      <c r="I14" s="88"/>
      <c r="J14" s="76" t="s">
        <v>130</v>
      </c>
      <c r="K14" s="76"/>
      <c r="M14" s="88"/>
      <c r="N14" s="76" t="s">
        <v>130</v>
      </c>
      <c r="O14" s="76"/>
    </row>
    <row r="15" spans="1:15" x14ac:dyDescent="0.25">
      <c r="A15" s="88" t="s">
        <v>131</v>
      </c>
      <c r="B15" s="76">
        <v>6</v>
      </c>
      <c r="C15" s="98">
        <v>37.75</v>
      </c>
      <c r="E15" s="88" t="s">
        <v>131</v>
      </c>
      <c r="F15" s="76">
        <v>17</v>
      </c>
      <c r="G15" s="98">
        <v>37.75</v>
      </c>
      <c r="I15" s="88" t="s">
        <v>131</v>
      </c>
      <c r="J15" s="76">
        <v>27</v>
      </c>
      <c r="K15" s="98">
        <v>37.75</v>
      </c>
      <c r="M15" s="88" t="s">
        <v>131</v>
      </c>
      <c r="N15" s="76">
        <v>2</v>
      </c>
      <c r="O15" s="98">
        <v>37.75</v>
      </c>
    </row>
    <row r="16" spans="1:15" x14ac:dyDescent="0.25">
      <c r="A16" s="88" t="s">
        <v>132</v>
      </c>
      <c r="B16" s="76">
        <v>5</v>
      </c>
      <c r="C16" s="98">
        <v>19.899999999999999</v>
      </c>
      <c r="E16" s="88" t="s">
        <v>132</v>
      </c>
      <c r="F16" s="76">
        <v>16</v>
      </c>
      <c r="G16" s="98">
        <v>19.3</v>
      </c>
      <c r="I16" s="88" t="s">
        <v>132</v>
      </c>
      <c r="J16" s="76">
        <v>26</v>
      </c>
      <c r="K16" s="98">
        <v>19.3</v>
      </c>
      <c r="M16" s="88" t="s">
        <v>132</v>
      </c>
      <c r="N16" s="76">
        <v>1</v>
      </c>
      <c r="O16" s="98">
        <v>19.3</v>
      </c>
    </row>
    <row r="17" spans="1:15" x14ac:dyDescent="0.25">
      <c r="A17" s="88" t="s">
        <v>133</v>
      </c>
      <c r="B17" s="76">
        <v>55</v>
      </c>
      <c r="C17" s="98">
        <v>5</v>
      </c>
      <c r="E17" s="88" t="s">
        <v>133</v>
      </c>
      <c r="F17" s="76">
        <v>176</v>
      </c>
      <c r="G17" s="98">
        <v>5</v>
      </c>
      <c r="I17" s="88" t="s">
        <v>133</v>
      </c>
      <c r="J17" s="76">
        <v>286</v>
      </c>
      <c r="K17" s="98">
        <v>5</v>
      </c>
      <c r="M17" s="88" t="s">
        <v>133</v>
      </c>
      <c r="N17" s="76">
        <v>11</v>
      </c>
      <c r="O17" s="98">
        <v>5</v>
      </c>
    </row>
    <row r="18" spans="1:15" x14ac:dyDescent="0.25">
      <c r="A18" s="88" t="s">
        <v>134</v>
      </c>
      <c r="B18" s="76">
        <v>5</v>
      </c>
      <c r="C18" s="98">
        <v>5.57</v>
      </c>
      <c r="E18" s="88" t="s">
        <v>134</v>
      </c>
      <c r="F18" s="76">
        <v>16</v>
      </c>
      <c r="G18" s="98">
        <v>5.57</v>
      </c>
      <c r="I18" s="88" t="s">
        <v>134</v>
      </c>
      <c r="J18" s="76">
        <v>26</v>
      </c>
      <c r="K18" s="98">
        <v>5.57</v>
      </c>
      <c r="M18" s="88" t="s">
        <v>134</v>
      </c>
      <c r="N18" s="76">
        <v>1</v>
      </c>
      <c r="O18" s="98">
        <v>5.57</v>
      </c>
    </row>
    <row r="19" spans="1:15" x14ac:dyDescent="0.25">
      <c r="A19" s="88"/>
      <c r="B19" s="76"/>
      <c r="C19" s="99"/>
      <c r="E19" s="88"/>
      <c r="F19" s="76"/>
      <c r="G19" s="99"/>
      <c r="I19" s="88"/>
      <c r="J19" s="76"/>
      <c r="K19" s="99"/>
      <c r="M19" s="88"/>
      <c r="N19" s="76"/>
      <c r="O19" s="99"/>
    </row>
    <row r="20" spans="1:15" x14ac:dyDescent="0.25">
      <c r="A20" s="88" t="s">
        <v>135</v>
      </c>
      <c r="B20" s="76"/>
      <c r="C20" s="99">
        <f>(B15*C15)+(B16*C16)+(B17*C17)+(B18*C18)</f>
        <v>628.85</v>
      </c>
      <c r="E20" s="88" t="s">
        <v>135</v>
      </c>
      <c r="F20" s="76"/>
      <c r="G20" s="99">
        <f>(F15*G15)+(F16*G16)+(F17*G17)+(F18*G18)</f>
        <v>1919.67</v>
      </c>
      <c r="I20" s="88" t="s">
        <v>135</v>
      </c>
      <c r="J20" s="76"/>
      <c r="K20" s="99">
        <f>(J15*K15)+(J16*K16)+(J17*K17)+(J18*K18)</f>
        <v>3095.8700000000003</v>
      </c>
      <c r="M20" s="88" t="s">
        <v>135</v>
      </c>
      <c r="N20" s="76"/>
      <c r="O20" s="99">
        <f>(N15*O15)+(N16*O16)+(N17*O17)+(N18*O18)</f>
        <v>155.37</v>
      </c>
    </row>
    <row r="21" spans="1:15" ht="18.75" x14ac:dyDescent="0.3">
      <c r="A21" s="207" t="s">
        <v>136</v>
      </c>
      <c r="B21" s="208"/>
      <c r="C21" s="209"/>
      <c r="E21" s="207" t="s">
        <v>136</v>
      </c>
      <c r="F21" s="208"/>
      <c r="G21" s="209"/>
      <c r="I21" s="207" t="s">
        <v>136</v>
      </c>
      <c r="J21" s="208"/>
      <c r="K21" s="209"/>
      <c r="M21" s="207" t="s">
        <v>136</v>
      </c>
      <c r="N21" s="208"/>
      <c r="O21" s="209"/>
    </row>
    <row r="22" spans="1:15" x14ac:dyDescent="0.25">
      <c r="A22" s="88"/>
      <c r="B22" s="100" t="s">
        <v>137</v>
      </c>
      <c r="C22" s="101">
        <v>1.3</v>
      </c>
      <c r="E22" s="88"/>
      <c r="F22" s="100" t="s">
        <v>137</v>
      </c>
      <c r="G22" s="101">
        <v>1.27</v>
      </c>
      <c r="I22" s="88"/>
      <c r="J22" s="100" t="s">
        <v>138</v>
      </c>
      <c r="K22" s="101">
        <v>1.25</v>
      </c>
      <c r="M22" s="88"/>
      <c r="N22" s="100" t="s">
        <v>138</v>
      </c>
      <c r="O22" s="101">
        <v>1.3</v>
      </c>
    </row>
    <row r="23" spans="1:15" x14ac:dyDescent="0.25">
      <c r="A23" s="88"/>
      <c r="B23" s="76"/>
      <c r="C23" s="99"/>
      <c r="E23" s="88"/>
      <c r="F23" s="76"/>
      <c r="G23" s="99"/>
      <c r="I23" s="88"/>
      <c r="J23" s="76"/>
      <c r="K23" s="99"/>
      <c r="M23" s="88"/>
      <c r="N23" s="76"/>
      <c r="O23" s="99"/>
    </row>
    <row r="24" spans="1:15" ht="15.75" x14ac:dyDescent="0.25">
      <c r="A24" s="102" t="s">
        <v>139</v>
      </c>
      <c r="B24" s="100"/>
      <c r="C24" s="103">
        <f>C20*C22</f>
        <v>817.50500000000011</v>
      </c>
      <c r="E24" s="102" t="s">
        <v>139</v>
      </c>
      <c r="F24" s="100"/>
      <c r="G24" s="103">
        <f>G20*G22</f>
        <v>2437.9809</v>
      </c>
      <c r="I24" s="102" t="s">
        <v>140</v>
      </c>
      <c r="J24" s="100"/>
      <c r="K24" s="103">
        <f>K20*K22</f>
        <v>3869.8375000000005</v>
      </c>
      <c r="M24" s="102" t="s">
        <v>140</v>
      </c>
      <c r="N24" s="100"/>
      <c r="O24" s="103">
        <f>O20*O22</f>
        <v>201.98100000000002</v>
      </c>
    </row>
    <row r="25" spans="1:15" x14ac:dyDescent="0.25">
      <c r="A25" s="88"/>
      <c r="B25" s="76"/>
      <c r="C25" s="99"/>
      <c r="E25" s="88"/>
      <c r="F25" s="76"/>
      <c r="G25" s="99"/>
      <c r="I25" s="88"/>
      <c r="J25" s="76"/>
      <c r="K25" s="99"/>
      <c r="M25" s="88"/>
      <c r="N25" s="76"/>
      <c r="O25" s="99"/>
    </row>
    <row r="26" spans="1:15" x14ac:dyDescent="0.25">
      <c r="A26" s="210" t="s">
        <v>141</v>
      </c>
      <c r="B26" s="211"/>
      <c r="C26" s="212"/>
      <c r="E26" s="210" t="s">
        <v>142</v>
      </c>
      <c r="F26" s="211"/>
      <c r="G26" s="212"/>
      <c r="I26" s="210" t="s">
        <v>143</v>
      </c>
      <c r="J26" s="211"/>
      <c r="K26" s="212"/>
      <c r="M26" s="210" t="s">
        <v>143</v>
      </c>
      <c r="N26" s="211"/>
      <c r="O26" s="212"/>
    </row>
    <row r="27" spans="1:15" x14ac:dyDescent="0.25">
      <c r="A27" s="215"/>
      <c r="B27" s="215"/>
      <c r="C27" s="215"/>
      <c r="E27" s="215"/>
      <c r="F27" s="215"/>
      <c r="G27" s="215"/>
      <c r="I27" s="215"/>
      <c r="J27" s="215"/>
      <c r="K27" s="215"/>
      <c r="M27" s="215"/>
      <c r="N27" s="215"/>
      <c r="O27" s="215"/>
    </row>
    <row r="28" spans="1:15" x14ac:dyDescent="0.25">
      <c r="A28" s="76" t="s">
        <v>144</v>
      </c>
      <c r="B28" s="99">
        <v>7</v>
      </c>
      <c r="C28" s="99">
        <f>B28*10</f>
        <v>70</v>
      </c>
      <c r="E28" s="76" t="s">
        <v>144</v>
      </c>
      <c r="F28" s="99">
        <v>7</v>
      </c>
      <c r="G28" s="99">
        <f>F28*30</f>
        <v>210</v>
      </c>
      <c r="I28" s="76" t="s">
        <v>144</v>
      </c>
      <c r="J28" s="99">
        <v>7</v>
      </c>
      <c r="K28" s="99">
        <f>J28*50</f>
        <v>350</v>
      </c>
      <c r="M28" s="76" t="s">
        <v>144</v>
      </c>
      <c r="N28" s="99">
        <v>7</v>
      </c>
      <c r="O28" s="99">
        <f>N28*1.92</f>
        <v>13.44</v>
      </c>
    </row>
    <row r="29" spans="1:15" x14ac:dyDescent="0.25">
      <c r="A29" s="76" t="s">
        <v>145</v>
      </c>
      <c r="B29" s="99">
        <v>30</v>
      </c>
      <c r="C29" s="99">
        <f>B29*10</f>
        <v>300</v>
      </c>
      <c r="E29" s="76" t="s">
        <v>145</v>
      </c>
      <c r="F29" s="99">
        <v>30</v>
      </c>
      <c r="G29" s="99">
        <f>F29*30</f>
        <v>900</v>
      </c>
      <c r="I29" s="76" t="s">
        <v>145</v>
      </c>
      <c r="J29" s="99">
        <v>30</v>
      </c>
      <c r="K29" s="99">
        <f>J29*50</f>
        <v>1500</v>
      </c>
      <c r="M29" s="76" t="s">
        <v>145</v>
      </c>
      <c r="N29" s="99">
        <v>30</v>
      </c>
      <c r="O29" s="99">
        <f>N29*1.92</f>
        <v>57.599999999999994</v>
      </c>
    </row>
    <row r="30" spans="1:15" x14ac:dyDescent="0.25">
      <c r="A30" s="76" t="s">
        <v>146</v>
      </c>
      <c r="B30" s="76"/>
      <c r="C30" s="99"/>
      <c r="E30" s="76" t="s">
        <v>146</v>
      </c>
      <c r="F30" s="76"/>
      <c r="G30" s="99"/>
      <c r="I30" s="76" t="s">
        <v>146</v>
      </c>
      <c r="J30" s="76"/>
      <c r="K30" s="99"/>
      <c r="M30" s="76" t="s">
        <v>146</v>
      </c>
      <c r="N30" s="76"/>
      <c r="O30" s="99"/>
    </row>
    <row r="31" spans="1:15" x14ac:dyDescent="0.25">
      <c r="A31" s="76" t="s">
        <v>147</v>
      </c>
      <c r="B31" s="76"/>
      <c r="C31" s="99">
        <f>120/3</f>
        <v>40</v>
      </c>
      <c r="E31" s="76" t="s">
        <v>147</v>
      </c>
      <c r="F31" s="76"/>
      <c r="G31" s="99">
        <f>120</f>
        <v>120</v>
      </c>
      <c r="I31" s="76" t="s">
        <v>147</v>
      </c>
      <c r="J31" s="76"/>
      <c r="K31" s="99">
        <f>120*(50/30)</f>
        <v>200</v>
      </c>
      <c r="M31" s="76" t="s">
        <v>147</v>
      </c>
      <c r="N31" s="76"/>
      <c r="O31" s="99">
        <f>C31/10</f>
        <v>4</v>
      </c>
    </row>
    <row r="32" spans="1:15" x14ac:dyDescent="0.25">
      <c r="A32" s="76"/>
      <c r="B32" s="76"/>
      <c r="C32" s="99"/>
      <c r="E32" s="76"/>
      <c r="F32" s="76"/>
      <c r="G32" s="99"/>
      <c r="I32" s="76"/>
      <c r="J32" s="76"/>
      <c r="K32" s="99"/>
      <c r="M32" s="76"/>
      <c r="N32" s="76"/>
      <c r="O32" s="99"/>
    </row>
    <row r="33" spans="1:15" x14ac:dyDescent="0.25">
      <c r="A33" s="210" t="s">
        <v>148</v>
      </c>
      <c r="B33" s="211"/>
      <c r="C33" s="212"/>
      <c r="E33" s="210" t="s">
        <v>148</v>
      </c>
      <c r="F33" s="211"/>
      <c r="G33" s="212"/>
      <c r="I33" s="210" t="s">
        <v>148</v>
      </c>
      <c r="J33" s="211"/>
      <c r="K33" s="212"/>
      <c r="M33" s="210" t="s">
        <v>148</v>
      </c>
      <c r="N33" s="211"/>
      <c r="O33" s="212"/>
    </row>
    <row r="34" spans="1:15" ht="15.75" x14ac:dyDescent="0.25">
      <c r="A34" s="76"/>
      <c r="B34" s="76"/>
      <c r="C34" s="103">
        <f>(C24+C28+C29+C30+C31)</f>
        <v>1227.5050000000001</v>
      </c>
      <c r="E34" s="76"/>
      <c r="F34" s="76"/>
      <c r="G34" s="103">
        <f>(G24+G28+G29+G30+G31)</f>
        <v>3667.9809</v>
      </c>
      <c r="I34" s="76"/>
      <c r="J34" s="76"/>
      <c r="K34" s="103">
        <f>(K24+K28+K29+K30+K31)</f>
        <v>5919.8375000000005</v>
      </c>
      <c r="M34" s="76"/>
      <c r="N34" s="76"/>
      <c r="O34" s="103">
        <f>(O24+O28+O29+O30+O31)</f>
        <v>277.02100000000002</v>
      </c>
    </row>
    <row r="35" spans="1:15" ht="15.75" x14ac:dyDescent="0.25">
      <c r="A35" s="76"/>
      <c r="B35" s="76" t="s">
        <v>149</v>
      </c>
      <c r="C35" s="103">
        <f>C34/10</f>
        <v>122.75050000000002</v>
      </c>
      <c r="E35" s="76"/>
      <c r="F35" s="76" t="s">
        <v>149</v>
      </c>
      <c r="G35" s="103">
        <f>G34/30</f>
        <v>122.26603</v>
      </c>
      <c r="I35" s="76"/>
      <c r="J35" s="76" t="s">
        <v>149</v>
      </c>
      <c r="K35" s="103">
        <f>K34/50</f>
        <v>118.39675000000001</v>
      </c>
      <c r="M35" s="76"/>
      <c r="N35" s="76" t="s">
        <v>149</v>
      </c>
      <c r="O35" s="104">
        <f>O34/1.92</f>
        <v>144.28177083333335</v>
      </c>
    </row>
    <row r="37" spans="1:15" ht="15.75" thickBot="1" x14ac:dyDescent="0.3"/>
    <row r="38" spans="1:15" ht="16.5" thickBot="1" x14ac:dyDescent="0.3">
      <c r="M38" s="216" t="s">
        <v>150</v>
      </c>
      <c r="N38" s="217"/>
      <c r="O38" s="218"/>
    </row>
    <row r="39" spans="1:15" x14ac:dyDescent="0.25">
      <c r="A39" s="105" t="s">
        <v>151</v>
      </c>
      <c r="B39" s="106"/>
      <c r="C39" s="106"/>
      <c r="D39" s="106"/>
      <c r="E39" s="107"/>
      <c r="M39" s="108"/>
      <c r="N39" s="109"/>
      <c r="O39" s="110"/>
    </row>
    <row r="40" spans="1:15" ht="18.75" x14ac:dyDescent="0.3">
      <c r="A40" s="111" t="s">
        <v>152</v>
      </c>
      <c r="C40" s="25">
        <v>1</v>
      </c>
      <c r="D40" s="30" t="s">
        <v>153</v>
      </c>
      <c r="E40" s="88"/>
      <c r="M40" s="112" t="s">
        <v>154</v>
      </c>
      <c r="N40" s="113">
        <v>33</v>
      </c>
      <c r="O40" s="114" t="s">
        <v>114</v>
      </c>
    </row>
    <row r="41" spans="1:15" ht="15.75" x14ac:dyDescent="0.25">
      <c r="A41" s="115" t="s">
        <v>155</v>
      </c>
      <c r="B41" s="116"/>
      <c r="C41" s="116"/>
      <c r="D41" s="116"/>
      <c r="E41" s="117"/>
      <c r="M41" s="219" t="s">
        <v>156</v>
      </c>
      <c r="N41" s="113">
        <v>1.8</v>
      </c>
      <c r="O41" s="114" t="s">
        <v>114</v>
      </c>
    </row>
    <row r="42" spans="1:15" ht="15.75" x14ac:dyDescent="0.25">
      <c r="M42" s="220"/>
      <c r="N42" s="97"/>
      <c r="O42" s="118" t="s">
        <v>129</v>
      </c>
    </row>
    <row r="43" spans="1:15" x14ac:dyDescent="0.25">
      <c r="M43" s="119"/>
      <c r="N43" s="76" t="s">
        <v>130</v>
      </c>
      <c r="O43" s="120"/>
    </row>
    <row r="44" spans="1:15" x14ac:dyDescent="0.25">
      <c r="M44" s="119" t="s">
        <v>131</v>
      </c>
      <c r="N44" s="121">
        <f>(N40/1.92)+1</f>
        <v>18.1875</v>
      </c>
      <c r="O44" s="122">
        <v>37.75</v>
      </c>
    </row>
    <row r="45" spans="1:15" x14ac:dyDescent="0.25">
      <c r="A45" s="105" t="s">
        <v>151</v>
      </c>
      <c r="B45" s="106"/>
      <c r="C45" s="106"/>
      <c r="D45" s="106"/>
      <c r="E45" s="107"/>
      <c r="M45" s="119" t="s">
        <v>132</v>
      </c>
      <c r="N45" s="121">
        <f>(N40/1.92)</f>
        <v>17.1875</v>
      </c>
      <c r="O45" s="122">
        <v>39.9</v>
      </c>
    </row>
    <row r="46" spans="1:15" ht="18.75" x14ac:dyDescent="0.3">
      <c r="A46" s="111" t="s">
        <v>115</v>
      </c>
      <c r="C46" s="25">
        <v>1</v>
      </c>
      <c r="D46" s="30" t="s">
        <v>153</v>
      </c>
      <c r="E46" s="88"/>
      <c r="M46" s="119" t="s">
        <v>133</v>
      </c>
      <c r="N46" s="121">
        <f>((N41-0.25-0.13)/0.13)*(N40/1.92)</f>
        <v>187.74038461538458</v>
      </c>
      <c r="O46" s="122">
        <v>5</v>
      </c>
    </row>
    <row r="47" spans="1:15" x14ac:dyDescent="0.25">
      <c r="A47" s="115" t="s">
        <v>155</v>
      </c>
      <c r="B47" s="116"/>
      <c r="C47" s="116"/>
      <c r="D47" s="116"/>
      <c r="E47" s="117"/>
      <c r="M47" s="119" t="s">
        <v>134</v>
      </c>
      <c r="N47" s="121">
        <f>N40/1.92</f>
        <v>17.1875</v>
      </c>
      <c r="O47" s="122">
        <v>5.57</v>
      </c>
    </row>
    <row r="48" spans="1:15" x14ac:dyDescent="0.25">
      <c r="M48" s="119" t="s">
        <v>157</v>
      </c>
      <c r="N48" s="153">
        <v>1</v>
      </c>
      <c r="O48" s="123">
        <v>50</v>
      </c>
    </row>
    <row r="49" spans="1:15" x14ac:dyDescent="0.25">
      <c r="A49" s="124" t="s">
        <v>158</v>
      </c>
      <c r="B49" s="106"/>
      <c r="C49" s="106"/>
      <c r="D49" s="106"/>
      <c r="E49" s="107"/>
      <c r="M49" s="119" t="s">
        <v>135</v>
      </c>
      <c r="N49" s="153"/>
      <c r="O49" s="123" t="s">
        <v>202</v>
      </c>
    </row>
    <row r="50" spans="1:15" ht="18.75" x14ac:dyDescent="0.3">
      <c r="A50" s="111"/>
      <c r="E50" s="125"/>
      <c r="M50" s="221" t="s">
        <v>136</v>
      </c>
      <c r="N50" s="208"/>
      <c r="O50" s="222"/>
    </row>
    <row r="51" spans="1:15" x14ac:dyDescent="0.25">
      <c r="A51" s="126" t="s">
        <v>159</v>
      </c>
      <c r="E51" s="125"/>
      <c r="M51" s="119"/>
      <c r="N51" s="100" t="s">
        <v>138</v>
      </c>
      <c r="O51" s="127">
        <v>1.4</v>
      </c>
    </row>
    <row r="52" spans="1:15" ht="18.75" x14ac:dyDescent="0.3">
      <c r="A52" s="111" t="s">
        <v>160</v>
      </c>
      <c r="C52" s="25">
        <v>1</v>
      </c>
      <c r="D52" s="30" t="s">
        <v>153</v>
      </c>
      <c r="E52" s="88"/>
      <c r="M52" s="119"/>
      <c r="N52" s="153"/>
      <c r="O52" s="123"/>
    </row>
    <row r="53" spans="1:15" ht="15.75" x14ac:dyDescent="0.25">
      <c r="A53" s="111" t="s">
        <v>161</v>
      </c>
      <c r="E53" s="125"/>
      <c r="M53" s="128" t="s">
        <v>140</v>
      </c>
      <c r="N53" s="100"/>
      <c r="O53" s="129">
        <f>O49*O51</f>
        <v>6756.4</v>
      </c>
    </row>
    <row r="54" spans="1:15" x14ac:dyDescent="0.25">
      <c r="A54" s="111" t="s">
        <v>162</v>
      </c>
      <c r="E54" s="125"/>
      <c r="M54" s="119"/>
      <c r="N54" s="153"/>
      <c r="O54" s="123"/>
    </row>
    <row r="55" spans="1:15" x14ac:dyDescent="0.25">
      <c r="A55" s="111" t="s">
        <v>163</v>
      </c>
      <c r="E55" s="125"/>
      <c r="M55" s="213" t="s">
        <v>143</v>
      </c>
      <c r="N55" s="211"/>
      <c r="O55" s="214"/>
    </row>
    <row r="56" spans="1:15" x14ac:dyDescent="0.25">
      <c r="A56" s="111" t="s">
        <v>164</v>
      </c>
      <c r="E56" s="125"/>
      <c r="M56" s="223"/>
      <c r="N56" s="215"/>
      <c r="O56" s="224"/>
    </row>
    <row r="57" spans="1:15" x14ac:dyDescent="0.25">
      <c r="A57" s="111" t="s">
        <v>165</v>
      </c>
      <c r="E57" s="125"/>
      <c r="M57" s="130" t="s">
        <v>204</v>
      </c>
      <c r="N57" s="131">
        <v>8</v>
      </c>
      <c r="O57" s="123">
        <f>N57*N40</f>
        <v>264</v>
      </c>
    </row>
    <row r="58" spans="1:15" x14ac:dyDescent="0.25">
      <c r="A58" s="111" t="s">
        <v>166</v>
      </c>
      <c r="E58" s="125"/>
      <c r="M58" s="130" t="s">
        <v>203</v>
      </c>
      <c r="N58" s="131">
        <v>40</v>
      </c>
      <c r="O58" s="123">
        <f>N58*N40</f>
        <v>1320</v>
      </c>
    </row>
    <row r="59" spans="1:15" x14ac:dyDescent="0.25">
      <c r="A59" s="115" t="s">
        <v>167</v>
      </c>
      <c r="B59" s="116"/>
      <c r="C59" s="116"/>
      <c r="D59" s="116"/>
      <c r="E59" s="117"/>
      <c r="M59" s="130" t="s">
        <v>146</v>
      </c>
      <c r="N59" s="153">
        <v>0</v>
      </c>
      <c r="O59" s="123"/>
    </row>
    <row r="60" spans="1:15" x14ac:dyDescent="0.25">
      <c r="M60" s="130" t="s">
        <v>205</v>
      </c>
      <c r="N60" s="153">
        <v>200</v>
      </c>
      <c r="O60" s="123">
        <f>N60</f>
        <v>200</v>
      </c>
    </row>
    <row r="61" spans="1:15" x14ac:dyDescent="0.25">
      <c r="M61" s="130"/>
      <c r="N61" s="153"/>
      <c r="O61" s="123"/>
    </row>
    <row r="62" spans="1:15" x14ac:dyDescent="0.25">
      <c r="A62" t="s">
        <v>168</v>
      </c>
      <c r="B62" s="132">
        <v>0.1</v>
      </c>
      <c r="M62" s="213" t="s">
        <v>148</v>
      </c>
      <c r="N62" s="211"/>
      <c r="O62" s="214"/>
    </row>
    <row r="63" spans="1:15" ht="15.75" x14ac:dyDescent="0.25">
      <c r="M63" s="130"/>
      <c r="N63" s="153"/>
      <c r="O63" s="129">
        <f>(O53+O57+O58+O59+O60)</f>
        <v>8540.4</v>
      </c>
    </row>
    <row r="64" spans="1:15" ht="16.5" thickBot="1" x14ac:dyDescent="0.3">
      <c r="M64" s="133"/>
      <c r="N64" s="134" t="s">
        <v>149</v>
      </c>
      <c r="O64" s="135">
        <f>O63/N40</f>
        <v>258.8</v>
      </c>
    </row>
  </sheetData>
  <mergeCells count="44">
    <mergeCell ref="M62:O62"/>
    <mergeCell ref="A27:C27"/>
    <mergeCell ref="E27:G27"/>
    <mergeCell ref="I27:K27"/>
    <mergeCell ref="M27:O27"/>
    <mergeCell ref="A33:C33"/>
    <mergeCell ref="E33:G33"/>
    <mergeCell ref="I33:K33"/>
    <mergeCell ref="M33:O33"/>
    <mergeCell ref="M38:O38"/>
    <mergeCell ref="M41:M42"/>
    <mergeCell ref="M50:O50"/>
    <mergeCell ref="M55:O55"/>
    <mergeCell ref="M56:O56"/>
    <mergeCell ref="A21:C21"/>
    <mergeCell ref="E21:G21"/>
    <mergeCell ref="I21:K21"/>
    <mergeCell ref="M21:O21"/>
    <mergeCell ref="A26:C26"/>
    <mergeCell ref="E26:G26"/>
    <mergeCell ref="I26:K26"/>
    <mergeCell ref="M26:O26"/>
    <mergeCell ref="A12:C12"/>
    <mergeCell ref="E12:G12"/>
    <mergeCell ref="I12:K12"/>
    <mergeCell ref="M12:O12"/>
    <mergeCell ref="F5:F6"/>
    <mergeCell ref="G5:I5"/>
    <mergeCell ref="G6:I6"/>
    <mergeCell ref="G8:I8"/>
    <mergeCell ref="A10:C10"/>
    <mergeCell ref="E10:G10"/>
    <mergeCell ref="I10:K10"/>
    <mergeCell ref="M10:O10"/>
    <mergeCell ref="A11:C11"/>
    <mergeCell ref="E11:G11"/>
    <mergeCell ref="I11:K11"/>
    <mergeCell ref="M11:O11"/>
    <mergeCell ref="F4:H4"/>
    <mergeCell ref="A1:C1"/>
    <mergeCell ref="F1:J1"/>
    <mergeCell ref="A2:C2"/>
    <mergeCell ref="F2:J2"/>
    <mergeCell ref="F3:I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2B5EE-ECFF-4704-8B03-F76D510E297C}">
  <sheetPr codeName="Feuil8"/>
  <dimension ref="B3:O29"/>
  <sheetViews>
    <sheetView zoomScale="102" zoomScaleNormal="102" workbookViewId="0">
      <selection activeCell="C29" sqref="C29"/>
    </sheetView>
  </sheetViews>
  <sheetFormatPr baseColWidth="10" defaultRowHeight="15" x14ac:dyDescent="0.25"/>
  <cols>
    <col min="2" max="2" width="16.28515625" bestFit="1" customWidth="1"/>
    <col min="3" max="3" width="14.85546875" bestFit="1" customWidth="1"/>
    <col min="5" max="5" width="17.85546875" bestFit="1" customWidth="1"/>
    <col min="6" max="6" width="13.7109375" customWidth="1"/>
    <col min="7" max="7" width="7.5703125" bestFit="1" customWidth="1"/>
  </cols>
  <sheetData>
    <row r="3" spans="2:15" x14ac:dyDescent="0.25">
      <c r="B3" s="154" t="s">
        <v>213</v>
      </c>
      <c r="C3" s="154" t="s">
        <v>212</v>
      </c>
      <c r="E3" s="203" t="s">
        <v>214</v>
      </c>
      <c r="F3" s="203"/>
    </row>
    <row r="4" spans="2:15" x14ac:dyDescent="0.25">
      <c r="B4" s="156" t="s">
        <v>209</v>
      </c>
      <c r="C4" s="156" t="s">
        <v>235</v>
      </c>
      <c r="E4" s="88" t="s">
        <v>217</v>
      </c>
      <c r="F4" s="156" t="s">
        <v>237</v>
      </c>
    </row>
    <row r="5" spans="2:15" x14ac:dyDescent="0.25">
      <c r="B5" s="154" t="s">
        <v>232</v>
      </c>
      <c r="C5" s="156" t="s">
        <v>233</v>
      </c>
      <c r="E5" s="88" t="s">
        <v>215</v>
      </c>
      <c r="F5" s="156" t="s">
        <v>238</v>
      </c>
      <c r="I5" s="225" t="s">
        <v>234</v>
      </c>
      <c r="J5" s="225"/>
      <c r="K5" s="225"/>
      <c r="L5" s="225"/>
      <c r="M5" s="225"/>
      <c r="N5" s="225"/>
      <c r="O5" s="225"/>
    </row>
    <row r="6" spans="2:15" x14ac:dyDescent="0.25">
      <c r="B6" s="156" t="s">
        <v>236</v>
      </c>
      <c r="C6" s="156">
        <f>C25*F5</f>
        <v>1</v>
      </c>
      <c r="E6" s="88" t="s">
        <v>216</v>
      </c>
      <c r="F6" s="156" t="s">
        <v>238</v>
      </c>
    </row>
    <row r="7" spans="2:15" x14ac:dyDescent="0.25">
      <c r="E7" s="155" t="s">
        <v>218</v>
      </c>
      <c r="F7" s="154" t="s">
        <v>239</v>
      </c>
      <c r="I7" s="226" t="str">
        <f>"Confection d'une semelle de fondation en béton armé   
Elévation d'un mur en parpaings creux " &amp; F4  &amp; "x" &amp; F5 &amp; "x" &amp; F6 &amp; " cm 
Longeur  : " &amp; B4 &amp; " m
Hauteur env. : " &amp; C4 &amp; " m
nombre de rangs : " &amp; C25 &amp; "
nombre d'éléments : " &amp; C21 &amp; " 
Confection d'une ceinture en béton armé de  " &amp; B6 &amp; "m
Enduit gratté   
Surface :" &amp; C14 &amp; "m²
Baguettes d'angle de protection   
Coloris a définir"</f>
        <v>Confection d'une semelle de fondation en béton armé   
Elévation d'un mur en parpaings creux 0,5x0,25x0,25 cm 
Longeur  : 12 m
Hauteur env. : 0,9 m
nombre de rangs : 4
nombre d'éléments : 45 
Confection d'une ceinture en béton armé de  0,1m
Enduit gratté   
Surface :24,6m²
Baguettes d'angle de protection   
Coloris a définir</v>
      </c>
      <c r="J7" s="226"/>
      <c r="K7" s="226"/>
      <c r="L7" s="226"/>
      <c r="M7" s="226"/>
      <c r="N7" s="226"/>
      <c r="O7" s="226"/>
    </row>
    <row r="8" spans="2:15" x14ac:dyDescent="0.25">
      <c r="I8" s="226"/>
      <c r="J8" s="226"/>
      <c r="K8" s="226"/>
      <c r="L8" s="226"/>
      <c r="M8" s="226"/>
      <c r="N8" s="226"/>
      <c r="O8" s="226"/>
    </row>
    <row r="9" spans="2:15" x14ac:dyDescent="0.25">
      <c r="I9" s="226"/>
      <c r="J9" s="226"/>
      <c r="K9" s="226"/>
      <c r="L9" s="226"/>
      <c r="M9" s="226"/>
      <c r="N9" s="226"/>
      <c r="O9" s="226"/>
    </row>
    <row r="10" spans="2:15" x14ac:dyDescent="0.25">
      <c r="B10" s="227" t="s">
        <v>223</v>
      </c>
      <c r="C10" s="227"/>
      <c r="E10" s="227" t="s">
        <v>240</v>
      </c>
      <c r="F10" s="227"/>
      <c r="I10" s="226"/>
      <c r="J10" s="226"/>
      <c r="K10" s="226"/>
      <c r="L10" s="226"/>
      <c r="M10" s="226"/>
      <c r="N10" s="226"/>
      <c r="O10" s="226"/>
    </row>
    <row r="11" spans="2:15" x14ac:dyDescent="0.25">
      <c r="B11" t="s">
        <v>219</v>
      </c>
      <c r="C11">
        <f>B4*C4</f>
        <v>10.8</v>
      </c>
      <c r="E11" t="s">
        <v>241</v>
      </c>
      <c r="F11" t="s">
        <v>248</v>
      </c>
      <c r="I11" s="226"/>
      <c r="J11" s="226"/>
      <c r="K11" s="226"/>
      <c r="L11" s="226"/>
      <c r="M11" s="226"/>
      <c r="N11" s="226"/>
      <c r="O11" s="226"/>
    </row>
    <row r="12" spans="2:15" x14ac:dyDescent="0.25">
      <c r="B12" t="s">
        <v>220</v>
      </c>
      <c r="C12">
        <f>B4*C4</f>
        <v>10.8</v>
      </c>
      <c r="E12" t="s">
        <v>242</v>
      </c>
      <c r="F12" t="s">
        <v>247</v>
      </c>
      <c r="I12" s="226"/>
      <c r="J12" s="226"/>
      <c r="K12" s="226"/>
      <c r="L12" s="226"/>
      <c r="M12" s="226"/>
      <c r="N12" s="226"/>
      <c r="O12" s="226"/>
    </row>
    <row r="13" spans="2:15" x14ac:dyDescent="0.25">
      <c r="B13" s="143" t="s">
        <v>221</v>
      </c>
      <c r="C13">
        <f>B4*F6</f>
        <v>3</v>
      </c>
      <c r="I13" s="226"/>
      <c r="J13" s="226"/>
      <c r="K13" s="226"/>
      <c r="L13" s="226"/>
      <c r="M13" s="226"/>
      <c r="N13" s="226"/>
      <c r="O13" s="226"/>
    </row>
    <row r="14" spans="2:15" x14ac:dyDescent="0.25">
      <c r="B14" t="s">
        <v>222</v>
      </c>
      <c r="C14">
        <f>SUM(C11:C13)</f>
        <v>24.6</v>
      </c>
      <c r="I14" s="226"/>
      <c r="J14" s="226"/>
      <c r="K14" s="226"/>
      <c r="L14" s="226"/>
      <c r="M14" s="226"/>
      <c r="N14" s="226"/>
      <c r="O14" s="226"/>
    </row>
    <row r="15" spans="2:15" x14ac:dyDescent="0.25">
      <c r="I15" s="226"/>
      <c r="J15" s="226"/>
      <c r="K15" s="226"/>
      <c r="L15" s="226"/>
      <c r="M15" s="226"/>
      <c r="N15" s="226"/>
      <c r="O15" s="226"/>
    </row>
    <row r="16" spans="2:15" x14ac:dyDescent="0.25">
      <c r="B16" s="227" t="s">
        <v>224</v>
      </c>
      <c r="C16" s="227"/>
      <c r="E16" s="227" t="s">
        <v>243</v>
      </c>
      <c r="F16" s="227"/>
      <c r="I16" s="226"/>
      <c r="J16" s="226"/>
      <c r="K16" s="226"/>
      <c r="L16" s="226"/>
      <c r="M16" s="226"/>
      <c r="N16" s="226"/>
      <c r="O16" s="226"/>
    </row>
    <row r="17" spans="2:15" x14ac:dyDescent="0.25">
      <c r="B17" t="s">
        <v>225</v>
      </c>
      <c r="C17" s="157">
        <f>(F4+F7)*(F5+F7)</f>
        <v>0.26</v>
      </c>
      <c r="E17" t="s">
        <v>244</v>
      </c>
      <c r="F17">
        <f>(B4*C4)*F11</f>
        <v>1188</v>
      </c>
    </row>
    <row r="18" spans="2:15" x14ac:dyDescent="0.25">
      <c r="B18" t="s">
        <v>228</v>
      </c>
      <c r="C18" s="157">
        <f>ROUNDDOWN(C17,3)</f>
        <v>0.26</v>
      </c>
      <c r="E18" t="s">
        <v>245</v>
      </c>
      <c r="F18">
        <f>F12*C14</f>
        <v>1107</v>
      </c>
      <c r="I18" s="226"/>
      <c r="J18" s="226"/>
      <c r="K18" s="226"/>
      <c r="L18" s="226"/>
      <c r="M18" s="226"/>
      <c r="N18" s="226"/>
      <c r="O18" s="226"/>
    </row>
    <row r="19" spans="2:15" x14ac:dyDescent="0.25">
      <c r="B19" s="227" t="s">
        <v>226</v>
      </c>
      <c r="C19" s="227"/>
      <c r="E19" t="s">
        <v>246</v>
      </c>
      <c r="F19">
        <f>SUM(F17:F18)</f>
        <v>2295</v>
      </c>
      <c r="I19" s="226"/>
      <c r="J19" s="226"/>
      <c r="K19" s="226"/>
      <c r="L19" s="226"/>
      <c r="M19" s="226"/>
      <c r="N19" s="226"/>
      <c r="O19" s="226"/>
    </row>
    <row r="20" spans="2:15" x14ac:dyDescent="0.25">
      <c r="B20" t="s">
        <v>227</v>
      </c>
      <c r="C20" s="158">
        <f>C11/C18</f>
        <v>41.53846153846154</v>
      </c>
      <c r="I20" s="226"/>
      <c r="J20" s="226"/>
      <c r="K20" s="226"/>
      <c r="L20" s="226"/>
      <c r="M20" s="226"/>
      <c r="N20" s="226"/>
      <c r="O20" s="226"/>
    </row>
    <row r="21" spans="2:15" x14ac:dyDescent="0.25">
      <c r="B21" t="s">
        <v>229</v>
      </c>
      <c r="C21" s="158">
        <f>ROUNDUP(C20*1.07,0)</f>
        <v>45</v>
      </c>
      <c r="I21" s="226"/>
      <c r="J21" s="226"/>
      <c r="K21" s="226"/>
      <c r="L21" s="226"/>
      <c r="M21" s="226"/>
      <c r="N21" s="226"/>
      <c r="O21" s="226"/>
    </row>
    <row r="22" spans="2:15" x14ac:dyDescent="0.25">
      <c r="I22" s="226"/>
      <c r="J22" s="226"/>
      <c r="K22" s="226"/>
      <c r="L22" s="226"/>
      <c r="M22" s="226"/>
      <c r="N22" s="226"/>
      <c r="O22" s="226"/>
    </row>
    <row r="23" spans="2:15" x14ac:dyDescent="0.25">
      <c r="B23" s="227" t="s">
        <v>230</v>
      </c>
      <c r="C23" s="227"/>
      <c r="I23" s="226"/>
      <c r="J23" s="226"/>
      <c r="K23" s="226"/>
      <c r="L23" s="226"/>
      <c r="M23" s="226"/>
      <c r="N23" s="226"/>
      <c r="O23" s="226"/>
    </row>
    <row r="24" spans="2:15" x14ac:dyDescent="0.25">
      <c r="B24" t="s">
        <v>231</v>
      </c>
      <c r="C24" s="159">
        <f>(C4/F5)</f>
        <v>3.6</v>
      </c>
    </row>
    <row r="25" spans="2:15" x14ac:dyDescent="0.25">
      <c r="B25" t="s">
        <v>229</v>
      </c>
      <c r="C25" s="159">
        <f>ROUNDUP(C24,0)</f>
        <v>4</v>
      </c>
    </row>
    <row r="27" spans="2:15" x14ac:dyDescent="0.25">
      <c r="B27" s="227" t="s">
        <v>76</v>
      </c>
      <c r="C27" s="227"/>
    </row>
    <row r="28" spans="2:15" x14ac:dyDescent="0.25">
      <c r="B28" t="s">
        <v>212</v>
      </c>
      <c r="C28" s="159">
        <f>C4+B6</f>
        <v>1</v>
      </c>
    </row>
    <row r="29" spans="2:15" x14ac:dyDescent="0.25">
      <c r="B29" t="s">
        <v>233</v>
      </c>
      <c r="C29" s="159">
        <f>C6+B6</f>
        <v>1.1000000000000001</v>
      </c>
    </row>
  </sheetData>
  <mergeCells count="11">
    <mergeCell ref="B10:C10"/>
    <mergeCell ref="B16:C16"/>
    <mergeCell ref="B19:C19"/>
    <mergeCell ref="B23:C23"/>
    <mergeCell ref="B27:C27"/>
    <mergeCell ref="E3:F3"/>
    <mergeCell ref="I5:O5"/>
    <mergeCell ref="I7:O16"/>
    <mergeCell ref="I18:O23"/>
    <mergeCell ref="E10:F10"/>
    <mergeCell ref="E16:F1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C00000"/>
  </sheetPr>
  <dimension ref="A1:H37"/>
  <sheetViews>
    <sheetView zoomScale="70" zoomScaleNormal="70" workbookViewId="0">
      <selection activeCell="E1" sqref="E1"/>
    </sheetView>
  </sheetViews>
  <sheetFormatPr baseColWidth="10" defaultRowHeight="15" x14ac:dyDescent="0.25"/>
  <cols>
    <col min="1" max="1" width="26" customWidth="1"/>
    <col min="2" max="2" width="6.42578125" style="9" bestFit="1" customWidth="1"/>
    <col min="3" max="3" width="66.7109375" customWidth="1"/>
  </cols>
  <sheetData>
    <row r="1" spans="1:8" ht="159" customHeight="1" x14ac:dyDescent="0.25">
      <c r="A1" s="9"/>
      <c r="B1" s="10">
        <v>20</v>
      </c>
    </row>
    <row r="2" spans="1:8" ht="172.15" customHeight="1" x14ac:dyDescent="0.25">
      <c r="A2" s="9"/>
      <c r="B2" s="10">
        <v>10</v>
      </c>
    </row>
    <row r="3" spans="1:8" ht="172.9" customHeight="1" x14ac:dyDescent="0.25">
      <c r="A3" s="9"/>
      <c r="B3" s="10">
        <v>20</v>
      </c>
    </row>
    <row r="4" spans="1:8" ht="176.45" customHeight="1" x14ac:dyDescent="0.25">
      <c r="A4" s="9"/>
      <c r="B4" s="10">
        <v>10</v>
      </c>
    </row>
    <row r="5" spans="1:8" ht="218.45" customHeight="1" x14ac:dyDescent="0.25">
      <c r="A5" s="9"/>
      <c r="B5" s="10">
        <v>20</v>
      </c>
    </row>
    <row r="16" spans="1:8" x14ac:dyDescent="0.25">
      <c r="G16" t="s">
        <v>184</v>
      </c>
      <c r="H16" s="9" t="s">
        <v>16</v>
      </c>
    </row>
    <row r="17" spans="1:8" x14ac:dyDescent="0.25">
      <c r="G17" t="s">
        <v>183</v>
      </c>
      <c r="H17" s="9" t="s">
        <v>17</v>
      </c>
    </row>
    <row r="18" spans="1:8" x14ac:dyDescent="0.25">
      <c r="A18" t="s">
        <v>64</v>
      </c>
      <c r="G18" t="s">
        <v>182</v>
      </c>
      <c r="H18" s="9" t="s">
        <v>19</v>
      </c>
    </row>
    <row r="19" spans="1:8" x14ac:dyDescent="0.25">
      <c r="A19" t="s">
        <v>18</v>
      </c>
      <c r="B19" s="9" t="s">
        <v>16</v>
      </c>
      <c r="G19" t="s">
        <v>185</v>
      </c>
      <c r="H19" s="9" t="s">
        <v>20</v>
      </c>
    </row>
    <row r="20" spans="1:8" x14ac:dyDescent="0.25">
      <c r="A20" t="s">
        <v>171</v>
      </c>
      <c r="B20" s="9" t="s">
        <v>17</v>
      </c>
      <c r="G20" t="s">
        <v>171</v>
      </c>
      <c r="H20" s="9" t="s">
        <v>21</v>
      </c>
    </row>
    <row r="21" spans="1:8" x14ac:dyDescent="0.25">
      <c r="A21" t="s">
        <v>172</v>
      </c>
      <c r="B21" s="9" t="s">
        <v>19</v>
      </c>
      <c r="G21" t="s">
        <v>172</v>
      </c>
      <c r="H21" s="9" t="s">
        <v>22</v>
      </c>
    </row>
    <row r="22" spans="1:8" x14ac:dyDescent="0.25">
      <c r="A22" t="s">
        <v>173</v>
      </c>
      <c r="B22" s="9" t="s">
        <v>20</v>
      </c>
      <c r="G22" t="s">
        <v>173</v>
      </c>
    </row>
    <row r="23" spans="1:8" x14ac:dyDescent="0.25">
      <c r="A23" t="s">
        <v>174</v>
      </c>
      <c r="B23" s="9" t="s">
        <v>21</v>
      </c>
      <c r="G23" t="s">
        <v>174</v>
      </c>
    </row>
    <row r="24" spans="1:8" x14ac:dyDescent="0.25">
      <c r="A24" t="s">
        <v>175</v>
      </c>
      <c r="B24" s="9" t="s">
        <v>22</v>
      </c>
      <c r="G24" t="s">
        <v>175</v>
      </c>
    </row>
    <row r="25" spans="1:8" x14ac:dyDescent="0.25">
      <c r="A25" t="s">
        <v>176</v>
      </c>
      <c r="G25" t="s">
        <v>176</v>
      </c>
    </row>
    <row r="26" spans="1:8" x14ac:dyDescent="0.25">
      <c r="A26" t="s">
        <v>177</v>
      </c>
      <c r="G26" t="s">
        <v>177</v>
      </c>
    </row>
    <row r="27" spans="1:8" x14ac:dyDescent="0.25">
      <c r="A27" t="s">
        <v>178</v>
      </c>
      <c r="G27" t="s">
        <v>178</v>
      </c>
    </row>
    <row r="28" spans="1:8" x14ac:dyDescent="0.25">
      <c r="A28" t="s">
        <v>179</v>
      </c>
      <c r="G28" t="s">
        <v>179</v>
      </c>
    </row>
    <row r="29" spans="1:8" x14ac:dyDescent="0.25">
      <c r="G29" t="s">
        <v>181</v>
      </c>
    </row>
    <row r="30" spans="1:8" x14ac:dyDescent="0.25">
      <c r="G30" t="s">
        <v>188</v>
      </c>
    </row>
    <row r="31" spans="1:8" x14ac:dyDescent="0.25">
      <c r="G31" t="s">
        <v>186</v>
      </c>
    </row>
    <row r="32" spans="1:8" x14ac:dyDescent="0.25">
      <c r="A32" t="str">
        <f ca="1">"Date : "&amp;TEXT(TODAY(),"jj mmmm aaaa")</f>
        <v>Date : 16 novembre 2020</v>
      </c>
      <c r="B32"/>
      <c r="G32" t="s">
        <v>187</v>
      </c>
    </row>
    <row r="33" spans="7:7" x14ac:dyDescent="0.25">
      <c r="G33" t="s">
        <v>189</v>
      </c>
    </row>
    <row r="34" spans="7:7" x14ac:dyDescent="0.25">
      <c r="G34" t="s">
        <v>190</v>
      </c>
    </row>
    <row r="35" spans="7:7" x14ac:dyDescent="0.25">
      <c r="G35" t="s">
        <v>191</v>
      </c>
    </row>
    <row r="36" spans="7:7" x14ac:dyDescent="0.25">
      <c r="G36" t="s">
        <v>192</v>
      </c>
    </row>
    <row r="37" spans="7:7" x14ac:dyDescent="0.25">
      <c r="G37" t="s">
        <v>193</v>
      </c>
    </row>
  </sheetData>
  <phoneticPr fontId="6" type="noConversion"/>
  <pageMargins left="0.7" right="0.7" top="0.75" bottom="0.75" header="0.3" footer="0.3"/>
  <pageSetup paperSize="9" orientation="portrait" horizont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2:N58"/>
  <sheetViews>
    <sheetView workbookViewId="0">
      <selection activeCell="D48" sqref="D48"/>
    </sheetView>
  </sheetViews>
  <sheetFormatPr baseColWidth="10" defaultColWidth="11.42578125" defaultRowHeight="15" x14ac:dyDescent="0.25"/>
  <cols>
    <col min="1" max="1" width="57.5703125" style="38" bestFit="1" customWidth="1"/>
    <col min="2" max="2" width="16.85546875" style="38" customWidth="1"/>
    <col min="3" max="3" width="15" style="38" customWidth="1"/>
    <col min="4" max="7" width="11.42578125" style="38"/>
    <col min="8" max="8" width="8.28515625" style="38" bestFit="1" customWidth="1"/>
    <col min="9" max="9" width="13.28515625" style="38" bestFit="1" customWidth="1"/>
    <col min="10" max="10" width="12.42578125" style="38" customWidth="1"/>
    <col min="11" max="11" width="8.28515625" style="39" bestFit="1" customWidth="1"/>
    <col min="12" max="12" width="10.42578125" style="38" customWidth="1"/>
    <col min="13" max="13" width="17.85546875" style="39" bestFit="1" customWidth="1"/>
    <col min="14" max="16384" width="11.42578125" style="38"/>
  </cols>
  <sheetData>
    <row r="2" spans="1:14" x14ac:dyDescent="0.25">
      <c r="A2" s="37" t="s">
        <v>84</v>
      </c>
    </row>
    <row r="3" spans="1:14" ht="15.75" thickBot="1" x14ac:dyDescent="0.3"/>
    <row r="4" spans="1:14" ht="15.75" thickBot="1" x14ac:dyDescent="0.3">
      <c r="A4" s="40" t="s">
        <v>85</v>
      </c>
      <c r="B4" s="41" t="s">
        <v>86</v>
      </c>
      <c r="C4" s="42" t="str">
        <f>G5</f>
        <v>1,7</v>
      </c>
      <c r="G4" s="39" t="s">
        <v>86</v>
      </c>
      <c r="I4" s="43" t="s">
        <v>87</v>
      </c>
    </row>
    <row r="5" spans="1:14" ht="15.75" thickBot="1" x14ac:dyDescent="0.3">
      <c r="A5" s="44"/>
      <c r="B5" s="45" t="s">
        <v>88</v>
      </c>
      <c r="C5" s="46" t="s">
        <v>89</v>
      </c>
      <c r="D5" s="46" t="s">
        <v>90</v>
      </c>
      <c r="G5" s="151" t="s">
        <v>208</v>
      </c>
      <c r="I5" s="47">
        <v>0</v>
      </c>
      <c r="N5" s="48" t="s">
        <v>91</v>
      </c>
    </row>
    <row r="6" spans="1:14" ht="15.75" thickBot="1" x14ac:dyDescent="0.3">
      <c r="A6" s="49" t="s">
        <v>92</v>
      </c>
      <c r="B6" s="50">
        <f>C6*C4</f>
        <v>27.625</v>
      </c>
      <c r="C6" s="51">
        <v>16.25</v>
      </c>
      <c r="D6" s="52">
        <f>1-(C6/B6)</f>
        <v>0.41176470588235292</v>
      </c>
      <c r="I6" s="53">
        <v>0.25</v>
      </c>
      <c r="N6" s="54" t="s">
        <v>79</v>
      </c>
    </row>
    <row r="7" spans="1:14" ht="15.75" thickBot="1" x14ac:dyDescent="0.3">
      <c r="A7" s="49" t="s">
        <v>93</v>
      </c>
      <c r="B7" s="50">
        <f>C7*C4</f>
        <v>43.367000000000004</v>
      </c>
      <c r="C7" s="51">
        <v>25.51</v>
      </c>
      <c r="D7" s="52">
        <f>1-(C7/B7)</f>
        <v>0.41176470588235292</v>
      </c>
      <c r="I7" s="53">
        <v>0.5</v>
      </c>
      <c r="N7" s="54" t="s">
        <v>73</v>
      </c>
    </row>
    <row r="8" spans="1:14" ht="15.75" thickBot="1" x14ac:dyDescent="0.3">
      <c r="A8" s="49" t="s">
        <v>94</v>
      </c>
      <c r="B8" s="50">
        <f>C8*C4</f>
        <v>36.345999999999997</v>
      </c>
      <c r="C8" s="51">
        <v>21.38</v>
      </c>
      <c r="D8" s="52">
        <f>1-(C8/B8)</f>
        <v>0.41176470588235292</v>
      </c>
    </row>
    <row r="9" spans="1:14" ht="15.75" thickBot="1" x14ac:dyDescent="0.3">
      <c r="A9" s="49" t="s">
        <v>95</v>
      </c>
      <c r="B9" s="50">
        <f>C9*C4</f>
        <v>58.14</v>
      </c>
      <c r="C9" s="51">
        <v>34.200000000000003</v>
      </c>
      <c r="D9" s="52">
        <f>1-(C9/B9)</f>
        <v>0.41176470588235292</v>
      </c>
      <c r="N9" s="55" t="s">
        <v>96</v>
      </c>
    </row>
    <row r="10" spans="1:14" x14ac:dyDescent="0.25">
      <c r="M10" s="56" t="s">
        <v>97</v>
      </c>
      <c r="N10" s="54">
        <v>630</v>
      </c>
    </row>
    <row r="11" spans="1:14" ht="15.75" thickBot="1" x14ac:dyDescent="0.3"/>
    <row r="12" spans="1:14" ht="15.75" thickBot="1" x14ac:dyDescent="0.3">
      <c r="A12" s="40" t="s">
        <v>98</v>
      </c>
      <c r="B12" s="41" t="s">
        <v>86</v>
      </c>
      <c r="C12" s="42" t="str">
        <f>G5</f>
        <v>1,7</v>
      </c>
    </row>
    <row r="13" spans="1:14" ht="15.75" thickBot="1" x14ac:dyDescent="0.3">
      <c r="A13" s="57" t="s">
        <v>99</v>
      </c>
      <c r="B13" s="45" t="s">
        <v>88</v>
      </c>
      <c r="C13" s="46" t="s">
        <v>89</v>
      </c>
      <c r="D13" s="46" t="s">
        <v>90</v>
      </c>
      <c r="M13" s="58" t="s">
        <v>100</v>
      </c>
    </row>
    <row r="14" spans="1:14" ht="16.5" thickBot="1" x14ac:dyDescent="0.3">
      <c r="A14" s="59">
        <v>0.63</v>
      </c>
      <c r="B14" s="50">
        <f>C14*C12</f>
        <v>31.092999999999996</v>
      </c>
      <c r="C14" s="60">
        <v>18.29</v>
      </c>
      <c r="D14" s="52">
        <f t="shared" ref="D14:D22" si="0">1-(C14/B14)</f>
        <v>0.41176470588235292</v>
      </c>
      <c r="M14" s="47" t="s">
        <v>210</v>
      </c>
    </row>
    <row r="15" spans="1:14" ht="16.5" thickBot="1" x14ac:dyDescent="0.3">
      <c r="A15" s="59">
        <v>0.83</v>
      </c>
      <c r="B15" s="50">
        <f>C15*C12</f>
        <v>33.523999999999994</v>
      </c>
      <c r="C15" s="60">
        <v>19.72</v>
      </c>
      <c r="D15" s="52">
        <f t="shared" si="0"/>
        <v>0.41176470588235292</v>
      </c>
    </row>
    <row r="16" spans="1:14" ht="16.5" thickBot="1" x14ac:dyDescent="0.3">
      <c r="A16" s="59">
        <v>1.03</v>
      </c>
      <c r="B16" s="50">
        <f>C16*C12</f>
        <v>39.320999999999998</v>
      </c>
      <c r="C16" s="60">
        <v>23.13</v>
      </c>
      <c r="D16" s="52">
        <f t="shared" si="0"/>
        <v>0.41176470588235292</v>
      </c>
    </row>
    <row r="17" spans="1:5" ht="15.75" thickBot="1" x14ac:dyDescent="0.3">
      <c r="A17" s="59">
        <v>1.23</v>
      </c>
      <c r="B17" s="50">
        <f>C17*C12</f>
        <v>44.726999999999997</v>
      </c>
      <c r="C17" s="61">
        <v>26.31</v>
      </c>
      <c r="D17" s="52">
        <f t="shared" si="0"/>
        <v>0.41176470588235292</v>
      </c>
    </row>
    <row r="18" spans="1:5" ht="15.75" thickBot="1" x14ac:dyDescent="0.3">
      <c r="A18" s="59">
        <v>1.53</v>
      </c>
      <c r="B18" s="50">
        <f>C18*C12</f>
        <v>56.490999999999993</v>
      </c>
      <c r="C18" s="61">
        <v>33.229999999999997</v>
      </c>
      <c r="D18" s="52">
        <f t="shared" si="0"/>
        <v>0.41176470588235292</v>
      </c>
    </row>
    <row r="19" spans="1:5" ht="16.5" thickBot="1" x14ac:dyDescent="0.3">
      <c r="A19" s="59">
        <v>1.73</v>
      </c>
      <c r="B19" s="50">
        <f>C19*C12</f>
        <v>64.565999999999988</v>
      </c>
      <c r="C19" s="60">
        <v>37.979999999999997</v>
      </c>
      <c r="D19" s="52">
        <f t="shared" si="0"/>
        <v>0.41176470588235292</v>
      </c>
    </row>
    <row r="20" spans="1:5" ht="16.5" thickBot="1" x14ac:dyDescent="0.3">
      <c r="A20" s="59">
        <v>1.93</v>
      </c>
      <c r="B20" s="50">
        <f>C20*C12</f>
        <v>67.965999999999994</v>
      </c>
      <c r="C20" s="60">
        <v>39.979999999999997</v>
      </c>
      <c r="D20" s="52">
        <f t="shared" si="0"/>
        <v>0.41176470588235292</v>
      </c>
    </row>
    <row r="21" spans="1:5" ht="16.5" thickBot="1" x14ac:dyDescent="0.3">
      <c r="A21" s="59">
        <v>2.0299999999999998</v>
      </c>
      <c r="B21" s="50">
        <f>C21*C12</f>
        <v>75.837000000000003</v>
      </c>
      <c r="C21" s="60">
        <v>44.61</v>
      </c>
      <c r="D21" s="52">
        <f t="shared" si="0"/>
        <v>0.41176470588235292</v>
      </c>
    </row>
    <row r="22" spans="1:5" ht="16.5" thickBot="1" x14ac:dyDescent="0.3">
      <c r="A22" s="59">
        <v>2.4300000000000002</v>
      </c>
      <c r="B22" s="50">
        <f>C22*C12</f>
        <v>87.787999999999997</v>
      </c>
      <c r="C22" s="60">
        <v>51.64</v>
      </c>
      <c r="D22" s="52">
        <f t="shared" si="0"/>
        <v>0.41176470588235292</v>
      </c>
    </row>
    <row r="23" spans="1:5" ht="15.75" thickBot="1" x14ac:dyDescent="0.3"/>
    <row r="24" spans="1:5" ht="15.75" thickBot="1" x14ac:dyDescent="0.3">
      <c r="B24" s="41" t="s">
        <v>101</v>
      </c>
      <c r="C24" s="42" t="s">
        <v>209</v>
      </c>
      <c r="E24" s="38" t="s">
        <v>209</v>
      </c>
    </row>
    <row r="25" spans="1:5" ht="15.75" thickBot="1" x14ac:dyDescent="0.3">
      <c r="A25" s="40" t="s">
        <v>102</v>
      </c>
      <c r="B25" s="41" t="s">
        <v>86</v>
      </c>
      <c r="C25" s="152" t="str">
        <f>G5</f>
        <v>1,7</v>
      </c>
    </row>
    <row r="26" spans="1:5" ht="15.75" thickBot="1" x14ac:dyDescent="0.3">
      <c r="A26" s="57" t="s">
        <v>103</v>
      </c>
      <c r="B26" s="45" t="s">
        <v>88</v>
      </c>
      <c r="C26" s="44" t="s">
        <v>89</v>
      </c>
      <c r="D26" s="44" t="s">
        <v>90</v>
      </c>
    </row>
    <row r="27" spans="1:5" ht="15.75" thickBot="1" x14ac:dyDescent="0.3">
      <c r="A27" s="62">
        <v>0.67500000000000004</v>
      </c>
      <c r="B27" s="50">
        <f>C27*C25</f>
        <v>38.283999999999999</v>
      </c>
      <c r="C27" s="63">
        <f>10.52+C24</f>
        <v>22.52</v>
      </c>
      <c r="D27" s="52">
        <f t="shared" ref="D27:D36" si="1">1-(C27/B27)</f>
        <v>0.41176470588235292</v>
      </c>
    </row>
    <row r="28" spans="1:5" ht="15.75" thickBot="1" x14ac:dyDescent="0.3">
      <c r="A28" s="64">
        <v>1.075</v>
      </c>
      <c r="B28" s="50">
        <f>C28*C25</f>
        <v>40.731999999999999</v>
      </c>
      <c r="C28" s="63">
        <f>11.96+C24</f>
        <v>23.96</v>
      </c>
      <c r="D28" s="52">
        <f t="shared" si="1"/>
        <v>0.41176470588235292</v>
      </c>
    </row>
    <row r="29" spans="1:5" ht="15.75" thickBot="1" x14ac:dyDescent="0.3">
      <c r="A29" s="65">
        <v>1.2749999999999999</v>
      </c>
      <c r="B29" s="50">
        <f>C29*C25</f>
        <v>43.996000000000002</v>
      </c>
      <c r="C29" s="63">
        <f>13.88+C24</f>
        <v>25.880000000000003</v>
      </c>
      <c r="D29" s="52">
        <f t="shared" si="1"/>
        <v>0.41176470588235292</v>
      </c>
    </row>
    <row r="30" spans="1:5" ht="15.75" thickBot="1" x14ac:dyDescent="0.3">
      <c r="A30" s="66">
        <v>1.4750000000000001</v>
      </c>
      <c r="B30" s="50">
        <f>C30*C25</f>
        <v>45.491999999999997</v>
      </c>
      <c r="C30" s="63">
        <f>14.76+C24</f>
        <v>26.759999999999998</v>
      </c>
      <c r="D30" s="52">
        <f t="shared" si="1"/>
        <v>0.41176470588235292</v>
      </c>
    </row>
    <row r="31" spans="1:5" ht="15.75" thickBot="1" x14ac:dyDescent="0.3">
      <c r="A31" s="67">
        <v>1.575</v>
      </c>
      <c r="B31" s="50">
        <f>C31*C25</f>
        <v>46.563000000000002</v>
      </c>
      <c r="C31" s="63">
        <f>15.39+C24</f>
        <v>27.39</v>
      </c>
      <c r="D31" s="52">
        <f t="shared" si="1"/>
        <v>0.41176470588235292</v>
      </c>
    </row>
    <row r="32" spans="1:5" ht="15.75" thickBot="1" x14ac:dyDescent="0.3">
      <c r="A32" s="68">
        <v>1.675</v>
      </c>
      <c r="B32" s="50">
        <f>C32*C25</f>
        <v>47.94</v>
      </c>
      <c r="C32" s="63">
        <f>16.2+C24</f>
        <v>28.2</v>
      </c>
      <c r="D32" s="52">
        <f t="shared" si="1"/>
        <v>0.41176470588235292</v>
      </c>
    </row>
    <row r="33" spans="1:4" ht="15.75" thickBot="1" x14ac:dyDescent="0.3">
      <c r="A33" s="69">
        <v>1.9750000000000001</v>
      </c>
      <c r="B33" s="50">
        <f>C33*C25</f>
        <v>52.326000000000001</v>
      </c>
      <c r="C33" s="63">
        <f>18.78+C24</f>
        <v>30.78</v>
      </c>
      <c r="D33" s="52">
        <f t="shared" si="1"/>
        <v>0.41176470588235292</v>
      </c>
    </row>
    <row r="34" spans="1:4" ht="15.75" thickBot="1" x14ac:dyDescent="0.3">
      <c r="A34" s="70">
        <v>2.1749999999999998</v>
      </c>
      <c r="B34" s="50">
        <f>C34*C25</f>
        <v>52.648999999999994</v>
      </c>
      <c r="C34" s="63">
        <f>18.97+C24</f>
        <v>30.97</v>
      </c>
      <c r="D34" s="52">
        <f t="shared" si="1"/>
        <v>0.41176470588235292</v>
      </c>
    </row>
    <row r="35" spans="1:4" ht="15.75" thickBot="1" x14ac:dyDescent="0.3">
      <c r="A35" s="71">
        <v>2.4750000000000001</v>
      </c>
      <c r="B35" s="50">
        <f>C35*C25</f>
        <v>56.865000000000002</v>
      </c>
      <c r="C35" s="63">
        <f>21.45+C24</f>
        <v>33.450000000000003</v>
      </c>
      <c r="D35" s="52">
        <f t="shared" si="1"/>
        <v>0.41176470588235292</v>
      </c>
    </row>
    <row r="36" spans="1:4" ht="15.75" thickBot="1" x14ac:dyDescent="0.3">
      <c r="A36" s="72">
        <v>3.1749999999999998</v>
      </c>
      <c r="B36" s="50">
        <f>C36*C25</f>
        <v>79.695999999999998</v>
      </c>
      <c r="C36" s="63">
        <f>34.88+C24</f>
        <v>46.88</v>
      </c>
      <c r="D36" s="52">
        <f t="shared" si="1"/>
        <v>0.41176470588235292</v>
      </c>
    </row>
    <row r="38" spans="1:4" ht="15.75" thickBot="1" x14ac:dyDescent="0.3"/>
    <row r="39" spans="1:4" ht="15.75" thickBot="1" x14ac:dyDescent="0.3">
      <c r="A39" s="40" t="s">
        <v>104</v>
      </c>
      <c r="B39" s="41" t="s">
        <v>86</v>
      </c>
      <c r="C39" s="152" t="str">
        <f>G5</f>
        <v>1,7</v>
      </c>
    </row>
    <row r="40" spans="1:4" ht="15.75" thickBot="1" x14ac:dyDescent="0.3">
      <c r="A40" s="44"/>
      <c r="B40" s="45" t="s">
        <v>88</v>
      </c>
      <c r="C40" s="44" t="s">
        <v>89</v>
      </c>
      <c r="D40" s="44" t="s">
        <v>90</v>
      </c>
    </row>
    <row r="41" spans="1:4" ht="15.75" thickBot="1" x14ac:dyDescent="0.3">
      <c r="A41" s="62">
        <v>1.03</v>
      </c>
      <c r="B41" s="50">
        <f>C41*C39</f>
        <v>72.504999999999995</v>
      </c>
      <c r="C41" s="62">
        <v>42.65</v>
      </c>
      <c r="D41" s="52">
        <f t="shared" ref="D41:D47" si="2">1-(C41/B41)</f>
        <v>0.41176470588235292</v>
      </c>
    </row>
    <row r="42" spans="1:4" ht="15.75" thickBot="1" x14ac:dyDescent="0.3">
      <c r="A42" s="62">
        <v>1.23</v>
      </c>
      <c r="B42" s="50">
        <f>C42*C39</f>
        <v>84.234999999999999</v>
      </c>
      <c r="C42" s="73">
        <v>49.55</v>
      </c>
      <c r="D42" s="52">
        <f t="shared" si="2"/>
        <v>0.41176470588235292</v>
      </c>
    </row>
    <row r="43" spans="1:4" ht="15.75" thickBot="1" x14ac:dyDescent="0.3">
      <c r="A43" s="74">
        <v>1.53</v>
      </c>
      <c r="B43" s="50">
        <f>C43*C39</f>
        <v>90.626999999999995</v>
      </c>
      <c r="C43" s="73">
        <v>53.31</v>
      </c>
      <c r="D43" s="52">
        <f t="shared" si="2"/>
        <v>0.41176470588235292</v>
      </c>
    </row>
    <row r="44" spans="1:4" ht="15.75" thickBot="1" x14ac:dyDescent="0.3">
      <c r="A44" s="62">
        <v>1.73</v>
      </c>
      <c r="B44" s="50">
        <f>C44*C39</f>
        <v>101.303</v>
      </c>
      <c r="C44" s="62">
        <v>59.59</v>
      </c>
      <c r="D44" s="52">
        <f t="shared" si="2"/>
        <v>0.41176470588235292</v>
      </c>
    </row>
    <row r="45" spans="1:4" ht="15.75" thickBot="1" x14ac:dyDescent="0.3">
      <c r="A45" s="62">
        <v>1.93</v>
      </c>
      <c r="B45" s="50">
        <f>C45*C39</f>
        <v>122.621</v>
      </c>
      <c r="C45" s="62">
        <v>72.13</v>
      </c>
      <c r="D45" s="52">
        <f t="shared" si="2"/>
        <v>0.41176470588235292</v>
      </c>
    </row>
    <row r="46" spans="1:4" ht="15.75" thickBot="1" x14ac:dyDescent="0.3">
      <c r="A46" s="62">
        <v>2.0299999999999998</v>
      </c>
      <c r="B46" s="50">
        <f>C46*C39</f>
        <v>205.309</v>
      </c>
      <c r="C46" s="62">
        <v>120.77</v>
      </c>
      <c r="D46" s="52">
        <f t="shared" si="2"/>
        <v>0.41176470588235292</v>
      </c>
    </row>
    <row r="47" spans="1:4" ht="15.75" thickBot="1" x14ac:dyDescent="0.3">
      <c r="A47" s="62">
        <v>2.4300000000000002</v>
      </c>
      <c r="B47" s="50">
        <f>C47*C39</f>
        <v>330.46299999999997</v>
      </c>
      <c r="C47" s="62">
        <v>194.39</v>
      </c>
      <c r="D47" s="52">
        <f t="shared" si="2"/>
        <v>0.41176470588235292</v>
      </c>
    </row>
    <row r="49" spans="1:4" ht="15.75" thickBot="1" x14ac:dyDescent="0.3"/>
    <row r="50" spans="1:4" ht="15.75" thickBot="1" x14ac:dyDescent="0.3">
      <c r="A50" s="40" t="s">
        <v>105</v>
      </c>
      <c r="B50" s="41" t="s">
        <v>86</v>
      </c>
      <c r="C50" s="152">
        <f>G5+0.2</f>
        <v>1.9</v>
      </c>
    </row>
    <row r="51" spans="1:4" ht="15.75" thickBot="1" x14ac:dyDescent="0.3">
      <c r="A51" s="44"/>
      <c r="B51" s="45" t="s">
        <v>88</v>
      </c>
      <c r="C51" s="44" t="s">
        <v>89</v>
      </c>
      <c r="D51" s="44" t="s">
        <v>90</v>
      </c>
    </row>
    <row r="52" spans="1:4" ht="15.75" thickBot="1" x14ac:dyDescent="0.3">
      <c r="A52" s="62">
        <v>1.03</v>
      </c>
      <c r="B52" s="50">
        <f>C52*C50</f>
        <v>81.034999999999997</v>
      </c>
      <c r="C52" s="62">
        <v>42.65</v>
      </c>
      <c r="D52" s="52">
        <f t="shared" ref="D52:D58" si="3">1-(C52/B52)</f>
        <v>0.47368421052631582</v>
      </c>
    </row>
    <row r="53" spans="1:4" ht="15.75" thickBot="1" x14ac:dyDescent="0.3">
      <c r="A53" s="62">
        <v>1.23</v>
      </c>
      <c r="B53" s="50">
        <f>C53*C50</f>
        <v>94.144999999999996</v>
      </c>
      <c r="C53" s="73">
        <v>49.55</v>
      </c>
      <c r="D53" s="52">
        <f t="shared" si="3"/>
        <v>0.47368421052631582</v>
      </c>
    </row>
    <row r="54" spans="1:4" ht="15.75" thickBot="1" x14ac:dyDescent="0.3">
      <c r="A54" s="75">
        <v>1.53</v>
      </c>
      <c r="B54" s="50">
        <f>C54*C50</f>
        <v>101.289</v>
      </c>
      <c r="C54" s="73">
        <v>53.31</v>
      </c>
      <c r="D54" s="52">
        <f t="shared" si="3"/>
        <v>0.47368421052631582</v>
      </c>
    </row>
    <row r="55" spans="1:4" ht="15.75" thickBot="1" x14ac:dyDescent="0.3">
      <c r="A55" s="62">
        <v>1.73</v>
      </c>
      <c r="B55" s="50">
        <f>C55*C50</f>
        <v>113.221</v>
      </c>
      <c r="C55" s="62">
        <v>59.59</v>
      </c>
      <c r="D55" s="52">
        <f t="shared" si="3"/>
        <v>0.47368421052631582</v>
      </c>
    </row>
    <row r="56" spans="1:4" ht="15.75" thickBot="1" x14ac:dyDescent="0.3">
      <c r="A56" s="62">
        <v>1.93</v>
      </c>
      <c r="B56" s="50">
        <f>C56*C50</f>
        <v>137.047</v>
      </c>
      <c r="C56" s="62">
        <v>72.13</v>
      </c>
      <c r="D56" s="52">
        <f t="shared" si="3"/>
        <v>0.47368421052631582</v>
      </c>
    </row>
    <row r="57" spans="1:4" ht="15.75" thickBot="1" x14ac:dyDescent="0.3">
      <c r="A57" s="62">
        <v>2.0299999999999998</v>
      </c>
      <c r="B57" s="50">
        <f>C57*C50</f>
        <v>229.46299999999999</v>
      </c>
      <c r="C57" s="62">
        <v>120.77</v>
      </c>
      <c r="D57" s="52">
        <f t="shared" si="3"/>
        <v>0.47368421052631582</v>
      </c>
    </row>
    <row r="58" spans="1:4" ht="15.75" thickBot="1" x14ac:dyDescent="0.3">
      <c r="A58" s="62">
        <v>2.4300000000000002</v>
      </c>
      <c r="B58" s="50">
        <f>C58*C50</f>
        <v>369.34099999999995</v>
      </c>
      <c r="C58" s="62">
        <v>194.39</v>
      </c>
      <c r="D58" s="52">
        <f t="shared" si="3"/>
        <v>0.47368421052631571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H29"/>
  <sheetViews>
    <sheetView topLeftCell="A10" workbookViewId="0">
      <selection activeCell="G22" sqref="G22"/>
    </sheetView>
  </sheetViews>
  <sheetFormatPr baseColWidth="10" defaultRowHeight="15" x14ac:dyDescent="0.25"/>
  <sheetData>
    <row r="1" spans="1:8" x14ac:dyDescent="0.25">
      <c r="A1" s="228" t="s">
        <v>106</v>
      </c>
      <c r="B1" s="229"/>
      <c r="C1" s="229"/>
      <c r="D1" s="229"/>
      <c r="E1" t="s">
        <v>87</v>
      </c>
      <c r="F1" s="36"/>
    </row>
    <row r="2" spans="1:8" x14ac:dyDescent="0.25">
      <c r="A2" s="76" t="s">
        <v>107</v>
      </c>
      <c r="B2" s="77" t="s">
        <v>108</v>
      </c>
      <c r="C2" s="78" t="s">
        <v>109</v>
      </c>
      <c r="D2" s="79" t="s">
        <v>106</v>
      </c>
      <c r="E2">
        <v>0.25</v>
      </c>
      <c r="F2" s="36"/>
    </row>
    <row r="3" spans="1:8" x14ac:dyDescent="0.25">
      <c r="A3" s="76">
        <v>0</v>
      </c>
      <c r="B3" s="80">
        <v>0.63</v>
      </c>
      <c r="C3" s="81">
        <v>1.075</v>
      </c>
      <c r="D3" s="82">
        <v>0.63</v>
      </c>
      <c r="E3">
        <v>0.5</v>
      </c>
      <c r="F3" s="36"/>
    </row>
    <row r="4" spans="1:8" x14ac:dyDescent="0.25">
      <c r="A4" s="145">
        <v>0</v>
      </c>
      <c r="B4" s="80">
        <v>0.83</v>
      </c>
      <c r="C4" s="81">
        <v>1.2749999999999999</v>
      </c>
      <c r="D4" s="83">
        <v>0.83</v>
      </c>
      <c r="F4" s="36"/>
    </row>
    <row r="5" spans="1:8" x14ac:dyDescent="0.25">
      <c r="A5" s="145">
        <v>0</v>
      </c>
      <c r="B5" s="80">
        <v>1.03</v>
      </c>
      <c r="C5" s="81">
        <v>1.4750000000000001</v>
      </c>
      <c r="D5" s="83">
        <v>1.03</v>
      </c>
      <c r="F5" s="36"/>
    </row>
    <row r="6" spans="1:8" x14ac:dyDescent="0.25">
      <c r="A6" s="145">
        <v>0</v>
      </c>
      <c r="B6" s="80">
        <v>1.23</v>
      </c>
      <c r="C6" s="81">
        <v>1.575</v>
      </c>
      <c r="D6" s="83">
        <v>1.23</v>
      </c>
      <c r="F6" s="36"/>
    </row>
    <row r="7" spans="1:8" x14ac:dyDescent="0.25">
      <c r="A7" s="145">
        <v>0</v>
      </c>
      <c r="B7" s="80">
        <v>1.53</v>
      </c>
      <c r="C7" s="81">
        <v>1.675</v>
      </c>
      <c r="D7" s="83">
        <v>1.53</v>
      </c>
      <c r="F7" s="36"/>
    </row>
    <row r="8" spans="1:8" x14ac:dyDescent="0.25">
      <c r="A8" s="145">
        <v>0</v>
      </c>
      <c r="B8" s="80">
        <v>1.73</v>
      </c>
      <c r="C8" s="81">
        <v>1.9750000000000001</v>
      </c>
      <c r="D8" s="83">
        <v>1.73</v>
      </c>
      <c r="F8" s="36"/>
      <c r="H8" s="84" t="s">
        <v>110</v>
      </c>
    </row>
    <row r="9" spans="1:8" x14ac:dyDescent="0.25">
      <c r="A9" s="145">
        <v>0</v>
      </c>
      <c r="B9" s="80">
        <v>1.93</v>
      </c>
      <c r="C9" s="81">
        <v>2.1749999999999998</v>
      </c>
      <c r="D9" s="83">
        <v>1.93</v>
      </c>
      <c r="F9" s="36"/>
    </row>
    <row r="10" spans="1:8" x14ac:dyDescent="0.25">
      <c r="A10" s="145">
        <v>0</v>
      </c>
      <c r="B10" s="80">
        <v>2.0299999999999998</v>
      </c>
      <c r="C10" s="81">
        <v>2.4750000000000001</v>
      </c>
      <c r="D10" s="83">
        <v>2.0299999999999998</v>
      </c>
      <c r="F10" s="36"/>
    </row>
    <row r="11" spans="1:8" x14ac:dyDescent="0.25">
      <c r="A11" s="145">
        <v>0</v>
      </c>
      <c r="B11" s="80">
        <v>2.4300000000000002</v>
      </c>
      <c r="C11" s="81">
        <v>3.1749999999999998</v>
      </c>
      <c r="D11" s="83">
        <v>2.4300000000000002</v>
      </c>
      <c r="F11" s="36"/>
    </row>
    <row r="12" spans="1:8" x14ac:dyDescent="0.25">
      <c r="A12" s="76">
        <v>0.25</v>
      </c>
      <c r="B12" s="80">
        <v>0.63</v>
      </c>
      <c r="C12" s="81">
        <v>1.2749999999999999</v>
      </c>
      <c r="D12" s="82">
        <f>0.63+E2</f>
        <v>0.88</v>
      </c>
      <c r="F12" s="36"/>
    </row>
    <row r="13" spans="1:8" x14ac:dyDescent="0.25">
      <c r="A13" s="76">
        <v>0.25</v>
      </c>
      <c r="B13" s="80">
        <v>0.83</v>
      </c>
      <c r="C13" s="81">
        <v>1.4750000000000001</v>
      </c>
      <c r="D13" s="83">
        <f>0.83+E2</f>
        <v>1.08</v>
      </c>
      <c r="F13" s="36"/>
    </row>
    <row r="14" spans="1:8" x14ac:dyDescent="0.25">
      <c r="A14" s="76">
        <v>0.25</v>
      </c>
      <c r="B14" s="80">
        <v>1.03</v>
      </c>
      <c r="C14" s="81">
        <v>1.575</v>
      </c>
      <c r="D14" s="83">
        <f>1.03+E2</f>
        <v>1.28</v>
      </c>
      <c r="F14" s="36"/>
    </row>
    <row r="15" spans="1:8" x14ac:dyDescent="0.25">
      <c r="A15" s="76">
        <v>0.25</v>
      </c>
      <c r="B15" s="80">
        <v>1.23</v>
      </c>
      <c r="C15" s="81">
        <v>1.675</v>
      </c>
      <c r="D15" s="83">
        <f>1.23+E2</f>
        <v>1.48</v>
      </c>
      <c r="F15" s="36"/>
    </row>
    <row r="16" spans="1:8" x14ac:dyDescent="0.25">
      <c r="A16" s="76">
        <v>0.25</v>
      </c>
      <c r="B16" s="80">
        <v>1.53</v>
      </c>
      <c r="C16" s="81">
        <v>2.1749999999999998</v>
      </c>
      <c r="D16" s="83">
        <f>1.53+E2</f>
        <v>1.78</v>
      </c>
      <c r="F16" s="36"/>
    </row>
    <row r="17" spans="1:6" x14ac:dyDescent="0.25">
      <c r="A17" s="76">
        <v>0.25</v>
      </c>
      <c r="B17" s="80">
        <v>1.73</v>
      </c>
      <c r="C17" s="81">
        <v>2.4750000000000001</v>
      </c>
      <c r="D17" s="83">
        <f>1.73+E2</f>
        <v>1.98</v>
      </c>
      <c r="F17" s="36"/>
    </row>
    <row r="18" spans="1:6" x14ac:dyDescent="0.25">
      <c r="A18" s="76">
        <v>0.25</v>
      </c>
      <c r="B18" s="80">
        <v>1.93</v>
      </c>
      <c r="C18" s="81">
        <v>3.1749999999999998</v>
      </c>
      <c r="D18" s="83">
        <f>1.93+E2</f>
        <v>2.1799999999999997</v>
      </c>
      <c r="F18" s="36"/>
    </row>
    <row r="19" spans="1:6" x14ac:dyDescent="0.25">
      <c r="A19" s="145">
        <v>0.25</v>
      </c>
      <c r="B19" s="80">
        <v>2.0299999999999998</v>
      </c>
      <c r="C19" s="81">
        <v>0</v>
      </c>
      <c r="D19" s="150">
        <v>0</v>
      </c>
      <c r="F19" s="36"/>
    </row>
    <row r="20" spans="1:6" x14ac:dyDescent="0.25">
      <c r="A20" s="145">
        <v>0.25</v>
      </c>
      <c r="B20" s="80">
        <v>2.4300000000000002</v>
      </c>
      <c r="C20" s="81">
        <v>0</v>
      </c>
      <c r="D20" s="150">
        <v>0</v>
      </c>
      <c r="F20" s="36"/>
    </row>
    <row r="21" spans="1:6" x14ac:dyDescent="0.25">
      <c r="A21" s="76">
        <v>0.5</v>
      </c>
      <c r="B21" s="80">
        <v>0.63</v>
      </c>
      <c r="C21" s="81">
        <v>1.4750000000000001</v>
      </c>
      <c r="D21" s="148">
        <f>0.63+E3</f>
        <v>1.1299999999999999</v>
      </c>
      <c r="F21" s="36"/>
    </row>
    <row r="22" spans="1:6" x14ac:dyDescent="0.25">
      <c r="A22" s="76">
        <v>0.5</v>
      </c>
      <c r="B22" s="80">
        <v>0.83</v>
      </c>
      <c r="C22" s="81">
        <v>1.675</v>
      </c>
      <c r="D22" s="149">
        <f>0.83+E3</f>
        <v>1.33</v>
      </c>
      <c r="F22" s="36"/>
    </row>
    <row r="23" spans="1:6" x14ac:dyDescent="0.25">
      <c r="A23" s="76">
        <v>0.5</v>
      </c>
      <c r="B23" s="80">
        <v>1.03</v>
      </c>
      <c r="C23" s="81">
        <v>1.9750000000000001</v>
      </c>
      <c r="D23" s="149">
        <f>1.03+E3</f>
        <v>1.53</v>
      </c>
      <c r="F23" s="36"/>
    </row>
    <row r="24" spans="1:6" x14ac:dyDescent="0.25">
      <c r="A24" s="76">
        <v>0.5</v>
      </c>
      <c r="B24" s="80">
        <v>1.23</v>
      </c>
      <c r="C24" s="81">
        <v>2.4750000000000001</v>
      </c>
      <c r="D24" s="149">
        <f>1.23+E3</f>
        <v>1.73</v>
      </c>
      <c r="F24" s="36"/>
    </row>
    <row r="25" spans="1:6" x14ac:dyDescent="0.25">
      <c r="A25" s="76">
        <v>0.5</v>
      </c>
      <c r="B25" s="80">
        <v>1.53</v>
      </c>
      <c r="C25" s="81">
        <v>3.1749999999999998</v>
      </c>
      <c r="D25" s="149">
        <f>1.53+E3</f>
        <v>2.0300000000000002</v>
      </c>
      <c r="F25" s="36"/>
    </row>
    <row r="26" spans="1:6" x14ac:dyDescent="0.25">
      <c r="A26" s="145">
        <v>0.5</v>
      </c>
      <c r="B26" s="80">
        <v>1.73</v>
      </c>
      <c r="C26" s="81">
        <v>0</v>
      </c>
      <c r="D26" s="147">
        <v>0</v>
      </c>
    </row>
    <row r="27" spans="1:6" x14ac:dyDescent="0.25">
      <c r="A27" s="145">
        <v>0.5</v>
      </c>
      <c r="B27" s="80">
        <v>1.93</v>
      </c>
      <c r="C27" s="81">
        <v>0</v>
      </c>
      <c r="D27" s="147">
        <v>0</v>
      </c>
    </row>
    <row r="28" spans="1:6" x14ac:dyDescent="0.25">
      <c r="A28" s="145">
        <v>0.5</v>
      </c>
      <c r="B28" s="80">
        <v>2.0299999999999998</v>
      </c>
      <c r="C28" s="81">
        <v>0</v>
      </c>
      <c r="D28" s="147">
        <v>0</v>
      </c>
    </row>
    <row r="29" spans="1:6" x14ac:dyDescent="0.25">
      <c r="A29" s="145">
        <v>0.5</v>
      </c>
      <c r="B29" s="80">
        <v>2.4300000000000002</v>
      </c>
      <c r="C29" s="81">
        <v>0</v>
      </c>
      <c r="D29" s="147">
        <v>0</v>
      </c>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9</vt:i4>
      </vt:variant>
    </vt:vector>
  </HeadingPairs>
  <TitlesOfParts>
    <vt:vector size="17" baseType="lpstr">
      <vt:lpstr>Devis</vt:lpstr>
      <vt:lpstr>Produits</vt:lpstr>
      <vt:lpstr>TARIF GRILLAGE RIGIDE</vt:lpstr>
      <vt:lpstr>CLOTURE BOIS</vt:lpstr>
      <vt:lpstr>MUR</vt:lpstr>
      <vt:lpstr>PARAM</vt:lpstr>
      <vt:lpstr>BASE</vt:lpstr>
      <vt:lpstr>params</vt:lpstr>
      <vt:lpstr>Devis_Number</vt:lpstr>
      <vt:lpstr>Hauteur</vt:lpstr>
      <vt:lpstr>liste</vt:lpstr>
      <vt:lpstr>Liste_Grillage</vt:lpstr>
      <vt:lpstr>ListeJour</vt:lpstr>
      <vt:lpstr>NombrePersonnes</vt:lpstr>
      <vt:lpstr>numDevis</vt:lpstr>
      <vt:lpstr>Param_Date</vt:lpstr>
      <vt:lpstr>Devis!Zone_d_impression</vt:lpstr>
    </vt:vector>
  </TitlesOfParts>
  <Company>RATP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LANCELOT Justin</dc:creator>
  <cp:lastModifiedBy> </cp:lastModifiedBy>
  <cp:lastPrinted>2020-11-11T16:22:46Z</cp:lastPrinted>
  <dcterms:created xsi:type="dcterms:W3CDTF">2018-08-08T09:45:04Z</dcterms:created>
  <dcterms:modified xsi:type="dcterms:W3CDTF">2020-11-16T23:18:10Z</dcterms:modified>
</cp:coreProperties>
</file>