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C:\Users\HAFIZOU Christopher\Documents\Doc pompier\Récap anuelle\"/>
    </mc:Choice>
  </mc:AlternateContent>
  <xr:revisionPtr revIDLastSave="0" documentId="13_ncr:1_{A0AFB4ED-C854-4929-BE77-D66598869659}" xr6:coauthVersionLast="43" xr6:coauthVersionMax="43" xr10:uidLastSave="{00000000-0000-0000-0000-000000000000}"/>
  <bookViews>
    <workbookView xWindow="-108" yWindow="-108" windowWidth="23256" windowHeight="13176" tabRatio="715" activeTab="2" xr2:uid="{00000000-000D-0000-FFFF-FFFF00000000}"/>
  </bookViews>
  <sheets>
    <sheet name="Données" sheetId="3" r:id="rId1"/>
    <sheet name="Test sur jour nuit" sheetId="7" state="hidden" r:id="rId2"/>
    <sheet name="Calcul indemnités mensuelles" sheetId="8" r:id="rId3"/>
    <sheet name="Paramètres" sheetId="2" r:id="rId4"/>
    <sheet name="Jours Fériés" sheetId="5" r:id="rId5"/>
    <sheet name="Feuil1" sheetId="9" r:id="rId6"/>
  </sheets>
  <definedNames>
    <definedName name="_xlnm._FilterDatabase" localSheetId="2" hidden="1">'Calcul indemnités mensuelles'!$A$1:$B$14</definedName>
    <definedName name="DebNuit">Paramètres!$B$2</definedName>
    <definedName name="FinNuit">Paramètres!$B$1</definedName>
    <definedName name="Heures">Paramètres!$E$2:$E$1441</definedName>
    <definedName name="JF">'Jours Fériés'!$B$2:$Q$13</definedName>
    <definedName name="Motifs">Paramètres!$B$16:$B$30</definedName>
    <definedName name="réponses">Paramètres!$H$2:$H$4</definedName>
    <definedName name="TAUX1">Paramètres!$B$4</definedName>
    <definedName name="TAUX2">Paramètres!$B$5</definedName>
    <definedName name="TAUX3">Paramètres!$B$6</definedName>
    <definedName name="TAUX4">Paramètres!$B$7</definedName>
    <definedName name="véhicule">Paramètres!$B$9:$B$14</definedName>
  </definedNames>
  <calcPr calcId="181029"/>
  <pivotCaches>
    <pivotCache cacheId="0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64" i="3" l="1"/>
  <c r="B64" i="3" s="1"/>
  <c r="L64" i="3"/>
  <c r="M64" i="3"/>
  <c r="O64" i="3"/>
  <c r="K72" i="3"/>
  <c r="B72" i="3" s="1"/>
  <c r="L72" i="3"/>
  <c r="Q72" i="3" s="1"/>
  <c r="M72" i="3"/>
  <c r="O72" i="3"/>
  <c r="E64" i="3" l="1"/>
  <c r="P64" i="3"/>
  <c r="N64" i="3" s="1"/>
  <c r="T64" i="3"/>
  <c r="S64" i="3"/>
  <c r="Q64" i="3"/>
  <c r="X64" i="3" s="1"/>
  <c r="E72" i="3"/>
  <c r="S72" i="3"/>
  <c r="P72" i="3"/>
  <c r="T72" i="3"/>
  <c r="R64" i="3" l="1"/>
  <c r="Y72" i="3"/>
  <c r="Y64" i="3"/>
  <c r="W64" i="3"/>
  <c r="R72" i="3"/>
  <c r="N72" i="3"/>
  <c r="W72" i="3" s="1"/>
  <c r="X72" i="3" l="1"/>
  <c r="K97" i="3" l="1"/>
  <c r="B97" i="3" s="1"/>
  <c r="K98" i="3"/>
  <c r="B98" i="3" s="1"/>
  <c r="K99" i="3"/>
  <c r="B99" i="3" s="1"/>
  <c r="K100" i="3"/>
  <c r="K101" i="3"/>
  <c r="L97" i="3"/>
  <c r="L98" i="3"/>
  <c r="T98" i="3" s="1"/>
  <c r="L99" i="3"/>
  <c r="Q99" i="3" s="1"/>
  <c r="L100" i="3"/>
  <c r="Q100" i="3" s="1"/>
  <c r="L101" i="3"/>
  <c r="Q101" i="3" s="1"/>
  <c r="M97" i="3"/>
  <c r="M98" i="3"/>
  <c r="M99" i="3"/>
  <c r="M100" i="3"/>
  <c r="M101" i="3"/>
  <c r="O97" i="3"/>
  <c r="O98" i="3"/>
  <c r="O99" i="3"/>
  <c r="O100" i="3"/>
  <c r="O101" i="3"/>
  <c r="K93" i="3"/>
  <c r="B93" i="3" s="1"/>
  <c r="K94" i="3"/>
  <c r="B94" i="3" s="1"/>
  <c r="K95" i="3"/>
  <c r="B95" i="3" s="1"/>
  <c r="K96" i="3"/>
  <c r="B96" i="3" s="1"/>
  <c r="L93" i="3"/>
  <c r="Q93" i="3" s="1"/>
  <c r="L94" i="3"/>
  <c r="T94" i="3" s="1"/>
  <c r="L95" i="3"/>
  <c r="L96" i="3"/>
  <c r="Q96" i="3" s="1"/>
  <c r="M93" i="3"/>
  <c r="M94" i="3"/>
  <c r="M95" i="3"/>
  <c r="M96" i="3"/>
  <c r="O94" i="3"/>
  <c r="O96" i="3"/>
  <c r="K90" i="3"/>
  <c r="B90" i="3" s="1"/>
  <c r="K91" i="3"/>
  <c r="K92" i="3"/>
  <c r="B92" i="3" s="1"/>
  <c r="L90" i="3"/>
  <c r="Q90" i="3" s="1"/>
  <c r="L91" i="3"/>
  <c r="Q91" i="3" s="1"/>
  <c r="L92" i="3"/>
  <c r="Q92" i="3" s="1"/>
  <c r="M90" i="3"/>
  <c r="M91" i="3"/>
  <c r="M92" i="3"/>
  <c r="O90" i="3"/>
  <c r="K85" i="3"/>
  <c r="B85" i="3" s="1"/>
  <c r="K86" i="3"/>
  <c r="B86" i="3" s="1"/>
  <c r="K87" i="3"/>
  <c r="B87" i="3" s="1"/>
  <c r="K88" i="3"/>
  <c r="K89" i="3"/>
  <c r="B89" i="3" s="1"/>
  <c r="L85" i="3"/>
  <c r="Q85" i="3" s="1"/>
  <c r="L86" i="3"/>
  <c r="T86" i="3" s="1"/>
  <c r="L87" i="3"/>
  <c r="T87" i="3" s="1"/>
  <c r="L88" i="3"/>
  <c r="L89" i="3"/>
  <c r="M85" i="3"/>
  <c r="M86" i="3"/>
  <c r="M87" i="3"/>
  <c r="M88" i="3"/>
  <c r="M89" i="3"/>
  <c r="O85" i="3"/>
  <c r="O88" i="3"/>
  <c r="K81" i="3"/>
  <c r="B81" i="3" s="1"/>
  <c r="K82" i="3"/>
  <c r="B82" i="3" s="1"/>
  <c r="K83" i="3"/>
  <c r="B83" i="3" s="1"/>
  <c r="K84" i="3"/>
  <c r="B84" i="3" s="1"/>
  <c r="L81" i="3"/>
  <c r="Q81" i="3" s="1"/>
  <c r="L82" i="3"/>
  <c r="Q82" i="3" s="1"/>
  <c r="L83" i="3"/>
  <c r="Q83" i="3" s="1"/>
  <c r="L84" i="3"/>
  <c r="M81" i="3"/>
  <c r="M82" i="3"/>
  <c r="M83" i="3"/>
  <c r="M84" i="3"/>
  <c r="O81" i="3"/>
  <c r="K73" i="3"/>
  <c r="B73" i="3" s="1"/>
  <c r="K74" i="3"/>
  <c r="B74" i="3" s="1"/>
  <c r="K75" i="3"/>
  <c r="B75" i="3" s="1"/>
  <c r="K76" i="3"/>
  <c r="B76" i="3" s="1"/>
  <c r="K77" i="3"/>
  <c r="B77" i="3" s="1"/>
  <c r="K78" i="3"/>
  <c r="B78" i="3" s="1"/>
  <c r="K79" i="3"/>
  <c r="B79" i="3" s="1"/>
  <c r="K80" i="3"/>
  <c r="B80" i="3" s="1"/>
  <c r="L73" i="3"/>
  <c r="L74" i="3"/>
  <c r="Q74" i="3" s="1"/>
  <c r="L75" i="3"/>
  <c r="T75" i="3" s="1"/>
  <c r="L76" i="3"/>
  <c r="Q76" i="3" s="1"/>
  <c r="L77" i="3"/>
  <c r="T77" i="3" s="1"/>
  <c r="L78" i="3"/>
  <c r="T78" i="3" s="1"/>
  <c r="L79" i="3"/>
  <c r="Q79" i="3" s="1"/>
  <c r="L80" i="3"/>
  <c r="M73" i="3"/>
  <c r="M74" i="3"/>
  <c r="M75" i="3"/>
  <c r="M76" i="3"/>
  <c r="M77" i="3"/>
  <c r="M78" i="3"/>
  <c r="M79" i="3"/>
  <c r="M80" i="3"/>
  <c r="O75" i="3"/>
  <c r="K63" i="3"/>
  <c r="B63" i="3" s="1"/>
  <c r="K65" i="3"/>
  <c r="B65" i="3" s="1"/>
  <c r="K66" i="3"/>
  <c r="B66" i="3" s="1"/>
  <c r="K67" i="3"/>
  <c r="B67" i="3" s="1"/>
  <c r="K68" i="3"/>
  <c r="B68" i="3" s="1"/>
  <c r="K69" i="3"/>
  <c r="B69" i="3" s="1"/>
  <c r="K70" i="3"/>
  <c r="B70" i="3" s="1"/>
  <c r="K71" i="3"/>
  <c r="B71" i="3" s="1"/>
  <c r="L63" i="3"/>
  <c r="L65" i="3"/>
  <c r="L66" i="3"/>
  <c r="T66" i="3" s="1"/>
  <c r="L67" i="3"/>
  <c r="L68" i="3"/>
  <c r="Q68" i="3" s="1"/>
  <c r="L69" i="3"/>
  <c r="Q69" i="3" s="1"/>
  <c r="L70" i="3"/>
  <c r="T70" i="3" s="1"/>
  <c r="L71" i="3"/>
  <c r="M63" i="3"/>
  <c r="M65" i="3"/>
  <c r="M66" i="3"/>
  <c r="M67" i="3"/>
  <c r="M68" i="3"/>
  <c r="M69" i="3"/>
  <c r="M70" i="3"/>
  <c r="M71" i="3"/>
  <c r="O65" i="3"/>
  <c r="O89" i="3" l="1"/>
  <c r="O95" i="3"/>
  <c r="O93" i="3"/>
  <c r="O92" i="3"/>
  <c r="O91" i="3"/>
  <c r="O87" i="3"/>
  <c r="O86" i="3"/>
  <c r="O71" i="3"/>
  <c r="O73" i="3"/>
  <c r="O80" i="3"/>
  <c r="O84" i="3"/>
  <c r="O83" i="3"/>
  <c r="O82" i="3"/>
  <c r="O79" i="3"/>
  <c r="O78" i="3"/>
  <c r="O77" i="3"/>
  <c r="O76" i="3"/>
  <c r="O69" i="3"/>
  <c r="O67" i="3"/>
  <c r="O74" i="3"/>
  <c r="O70" i="3"/>
  <c r="O68" i="3"/>
  <c r="O66" i="3"/>
  <c r="T93" i="3"/>
  <c r="P95" i="3"/>
  <c r="N95" i="3" s="1"/>
  <c r="S97" i="3"/>
  <c r="T99" i="3"/>
  <c r="Q87" i="3"/>
  <c r="Q98" i="3"/>
  <c r="P75" i="3"/>
  <c r="N75" i="3" s="1"/>
  <c r="Q94" i="3"/>
  <c r="P99" i="3"/>
  <c r="N99" i="3" s="1"/>
  <c r="P88" i="3"/>
  <c r="N88" i="3" s="1"/>
  <c r="S100" i="3"/>
  <c r="S98" i="3"/>
  <c r="R98" i="3" s="1"/>
  <c r="S94" i="3"/>
  <c r="R94" i="3" s="1"/>
  <c r="T100" i="3"/>
  <c r="S95" i="3"/>
  <c r="Q97" i="3"/>
  <c r="P100" i="3"/>
  <c r="N100" i="3" s="1"/>
  <c r="O63" i="3"/>
  <c r="T88" i="3"/>
  <c r="T97" i="3"/>
  <c r="P97" i="3"/>
  <c r="S101" i="3"/>
  <c r="Q75" i="3"/>
  <c r="Q86" i="3"/>
  <c r="T101" i="3"/>
  <c r="P98" i="3"/>
  <c r="N98" i="3" s="1"/>
  <c r="P93" i="3"/>
  <c r="P94" i="3"/>
  <c r="N94" i="3" s="1"/>
  <c r="P83" i="3"/>
  <c r="V99" i="3"/>
  <c r="E99" i="3"/>
  <c r="V98" i="3"/>
  <c r="E98" i="3"/>
  <c r="V97" i="3"/>
  <c r="E97" i="3"/>
  <c r="S96" i="3"/>
  <c r="P101" i="3"/>
  <c r="N101" i="3" s="1"/>
  <c r="T96" i="3"/>
  <c r="S99" i="3"/>
  <c r="B101" i="3"/>
  <c r="P82" i="3"/>
  <c r="T90" i="3"/>
  <c r="T95" i="3"/>
  <c r="S93" i="3"/>
  <c r="B100" i="3"/>
  <c r="S87" i="3"/>
  <c r="R87" i="3" s="1"/>
  <c r="S90" i="3"/>
  <c r="Q95" i="3"/>
  <c r="S91" i="3"/>
  <c r="E96" i="3"/>
  <c r="E95" i="3"/>
  <c r="V95" i="3"/>
  <c r="E94" i="3"/>
  <c r="V93" i="3"/>
  <c r="E93" i="3"/>
  <c r="Q88" i="3"/>
  <c r="T91" i="3"/>
  <c r="P96" i="3"/>
  <c r="N96" i="3" s="1"/>
  <c r="S92" i="3"/>
  <c r="S88" i="3"/>
  <c r="T81" i="3"/>
  <c r="S86" i="3"/>
  <c r="R86" i="3" s="1"/>
  <c r="P92" i="3"/>
  <c r="T92" i="3"/>
  <c r="E92" i="3"/>
  <c r="E90" i="3"/>
  <c r="P80" i="3"/>
  <c r="P91" i="3"/>
  <c r="P90" i="3"/>
  <c r="N90" i="3" s="1"/>
  <c r="P81" i="3"/>
  <c r="N81" i="3" s="1"/>
  <c r="S81" i="3"/>
  <c r="B88" i="3"/>
  <c r="P87" i="3"/>
  <c r="B91" i="3"/>
  <c r="E89" i="3"/>
  <c r="V89" i="3"/>
  <c r="E85" i="3"/>
  <c r="V87" i="3"/>
  <c r="E87" i="3"/>
  <c r="V86" i="3"/>
  <c r="E86" i="3"/>
  <c r="S89" i="3"/>
  <c r="T83" i="3"/>
  <c r="T85" i="3"/>
  <c r="P89" i="3"/>
  <c r="T82" i="3"/>
  <c r="Q89" i="3"/>
  <c r="P86" i="3"/>
  <c r="T89" i="3"/>
  <c r="P85" i="3"/>
  <c r="N85" i="3" s="1"/>
  <c r="S83" i="3"/>
  <c r="S85" i="3"/>
  <c r="R85" i="3" s="1"/>
  <c r="P67" i="3"/>
  <c r="N67" i="3" s="1"/>
  <c r="T79" i="3"/>
  <c r="T76" i="3"/>
  <c r="P76" i="3"/>
  <c r="S77" i="3"/>
  <c r="P73" i="3"/>
  <c r="N73" i="3" s="1"/>
  <c r="S76" i="3"/>
  <c r="P77" i="3"/>
  <c r="S82" i="3"/>
  <c r="P84" i="3"/>
  <c r="N84" i="3" s="1"/>
  <c r="S75" i="3"/>
  <c r="R75" i="3" s="1"/>
  <c r="Q77" i="3"/>
  <c r="T84" i="3"/>
  <c r="Q84" i="3"/>
  <c r="S84" i="3"/>
  <c r="E82" i="3"/>
  <c r="V82" i="3"/>
  <c r="E81" i="3"/>
  <c r="E83" i="3"/>
  <c r="V83" i="3"/>
  <c r="E84" i="3"/>
  <c r="V84" i="3"/>
  <c r="S80" i="3"/>
  <c r="S65" i="3"/>
  <c r="S78" i="3"/>
  <c r="R78" i="3" s="1"/>
  <c r="Q67" i="3"/>
  <c r="P68" i="3"/>
  <c r="S74" i="3"/>
  <c r="P74" i="3"/>
  <c r="T74" i="3"/>
  <c r="S73" i="3"/>
  <c r="P78" i="3"/>
  <c r="T73" i="3"/>
  <c r="Q78" i="3"/>
  <c r="P71" i="3"/>
  <c r="P79" i="3"/>
  <c r="T80" i="3"/>
  <c r="S79" i="3"/>
  <c r="Q73" i="3"/>
  <c r="P65" i="3"/>
  <c r="N65" i="3" s="1"/>
  <c r="Q80" i="3"/>
  <c r="Q65" i="3"/>
  <c r="T65" i="3"/>
  <c r="E79" i="3"/>
  <c r="V79" i="3"/>
  <c r="V77" i="3"/>
  <c r="E77" i="3"/>
  <c r="V76" i="3"/>
  <c r="E76" i="3"/>
  <c r="E75" i="3"/>
  <c r="V78" i="3"/>
  <c r="E78" i="3"/>
  <c r="E74" i="3"/>
  <c r="V74" i="3"/>
  <c r="E73" i="3"/>
  <c r="E80" i="3"/>
  <c r="V80" i="3"/>
  <c r="T68" i="3"/>
  <c r="S68" i="3"/>
  <c r="Q63" i="3"/>
  <c r="T63" i="3"/>
  <c r="S67" i="3"/>
  <c r="S63" i="3"/>
  <c r="P63" i="3"/>
  <c r="T67" i="3"/>
  <c r="E69" i="3"/>
  <c r="V69" i="3"/>
  <c r="T71" i="3"/>
  <c r="S69" i="3"/>
  <c r="T69" i="3"/>
  <c r="P69" i="3"/>
  <c r="N69" i="3" s="1"/>
  <c r="S70" i="3"/>
  <c r="R70" i="3" s="1"/>
  <c r="E65" i="3"/>
  <c r="Q71" i="3"/>
  <c r="P70" i="3"/>
  <c r="S71" i="3"/>
  <c r="Q66" i="3"/>
  <c r="P66" i="3"/>
  <c r="S66" i="3"/>
  <c r="R66" i="3" s="1"/>
  <c r="Q70" i="3"/>
  <c r="V70" i="3"/>
  <c r="E70" i="3"/>
  <c r="V68" i="3"/>
  <c r="E68" i="3"/>
  <c r="E71" i="3"/>
  <c r="V71" i="3"/>
  <c r="E67" i="3"/>
  <c r="V67" i="3"/>
  <c r="E66" i="3"/>
  <c r="V66" i="3"/>
  <c r="E63" i="3"/>
  <c r="V63" i="3"/>
  <c r="K61" i="3"/>
  <c r="B61" i="3" s="1"/>
  <c r="K62" i="3"/>
  <c r="B62" i="3" s="1"/>
  <c r="L61" i="3"/>
  <c r="Q61" i="3" s="1"/>
  <c r="L62" i="3"/>
  <c r="Q62" i="3" s="1"/>
  <c r="M61" i="3"/>
  <c r="M62" i="3"/>
  <c r="O61" i="3"/>
  <c r="K48" i="3"/>
  <c r="B48" i="3" s="1"/>
  <c r="K49" i="3"/>
  <c r="B49" i="3" s="1"/>
  <c r="K50" i="3"/>
  <c r="B50" i="3" s="1"/>
  <c r="K51" i="3"/>
  <c r="B51" i="3" s="1"/>
  <c r="K52" i="3"/>
  <c r="B52" i="3" s="1"/>
  <c r="K53" i="3"/>
  <c r="B53" i="3" s="1"/>
  <c r="K54" i="3"/>
  <c r="B54" i="3" s="1"/>
  <c r="K55" i="3"/>
  <c r="B55" i="3" s="1"/>
  <c r="K56" i="3"/>
  <c r="B56" i="3" s="1"/>
  <c r="K57" i="3"/>
  <c r="B57" i="3" s="1"/>
  <c r="K58" i="3"/>
  <c r="B58" i="3" s="1"/>
  <c r="K59" i="3"/>
  <c r="B59" i="3" s="1"/>
  <c r="K60" i="3"/>
  <c r="B60" i="3" s="1"/>
  <c r="L48" i="3"/>
  <c r="T48" i="3" s="1"/>
  <c r="L49" i="3"/>
  <c r="Q49" i="3" s="1"/>
  <c r="L50" i="3"/>
  <c r="Q50" i="3" s="1"/>
  <c r="L51" i="3"/>
  <c r="L52" i="3"/>
  <c r="T52" i="3" s="1"/>
  <c r="L53" i="3"/>
  <c r="L54" i="3"/>
  <c r="L55" i="3"/>
  <c r="Q55" i="3" s="1"/>
  <c r="L56" i="3"/>
  <c r="L57" i="3"/>
  <c r="L58" i="3"/>
  <c r="T58" i="3" s="1"/>
  <c r="L59" i="3"/>
  <c r="L60" i="3"/>
  <c r="T60" i="3" s="1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O50" i="3"/>
  <c r="O52" i="3"/>
  <c r="O56" i="3"/>
  <c r="K37" i="3"/>
  <c r="B37" i="3" s="1"/>
  <c r="K38" i="3"/>
  <c r="B38" i="3" s="1"/>
  <c r="K39" i="3"/>
  <c r="B39" i="3" s="1"/>
  <c r="K40" i="3"/>
  <c r="B40" i="3" s="1"/>
  <c r="K41" i="3"/>
  <c r="B41" i="3" s="1"/>
  <c r="K42" i="3"/>
  <c r="B42" i="3" s="1"/>
  <c r="K43" i="3"/>
  <c r="B43" i="3" s="1"/>
  <c r="K44" i="3"/>
  <c r="B44" i="3" s="1"/>
  <c r="K45" i="3"/>
  <c r="B45" i="3" s="1"/>
  <c r="K46" i="3"/>
  <c r="B46" i="3" s="1"/>
  <c r="K47" i="3"/>
  <c r="B47" i="3" s="1"/>
  <c r="L37" i="3"/>
  <c r="T37" i="3" s="1"/>
  <c r="L38" i="3"/>
  <c r="T38" i="3" s="1"/>
  <c r="L39" i="3"/>
  <c r="T39" i="3" s="1"/>
  <c r="L40" i="3"/>
  <c r="Q40" i="3" s="1"/>
  <c r="L41" i="3"/>
  <c r="T41" i="3" s="1"/>
  <c r="L42" i="3"/>
  <c r="L43" i="3"/>
  <c r="T43" i="3" s="1"/>
  <c r="L44" i="3"/>
  <c r="Q44" i="3" s="1"/>
  <c r="L45" i="3"/>
  <c r="L46" i="3"/>
  <c r="Q46" i="3" s="1"/>
  <c r="L47" i="3"/>
  <c r="M37" i="3"/>
  <c r="M38" i="3"/>
  <c r="M39" i="3"/>
  <c r="M40" i="3"/>
  <c r="M41" i="3"/>
  <c r="M42" i="3"/>
  <c r="M43" i="3"/>
  <c r="M44" i="3"/>
  <c r="M45" i="3"/>
  <c r="M46" i="3"/>
  <c r="M47" i="3"/>
  <c r="O41" i="3"/>
  <c r="O42" i="3"/>
  <c r="O47" i="3"/>
  <c r="N71" i="3" l="1"/>
  <c r="N87" i="3"/>
  <c r="W87" i="3" s="1"/>
  <c r="N91" i="3"/>
  <c r="N92" i="3"/>
  <c r="N80" i="3"/>
  <c r="N83" i="3"/>
  <c r="R93" i="3"/>
  <c r="N82" i="3"/>
  <c r="N79" i="3"/>
  <c r="N78" i="3"/>
  <c r="W78" i="3" s="1"/>
  <c r="N77" i="3"/>
  <c r="N63" i="3"/>
  <c r="R97" i="3"/>
  <c r="N70" i="3"/>
  <c r="X70" i="3" s="1"/>
  <c r="N68" i="3"/>
  <c r="N66" i="3"/>
  <c r="W66" i="3" s="1"/>
  <c r="R99" i="3"/>
  <c r="X99" i="3" s="1"/>
  <c r="R100" i="3"/>
  <c r="X100" i="3" s="1"/>
  <c r="R95" i="3"/>
  <c r="W95" i="3" s="1"/>
  <c r="Y97" i="3"/>
  <c r="N97" i="3"/>
  <c r="X97" i="3" s="1"/>
  <c r="R92" i="3"/>
  <c r="W94" i="3"/>
  <c r="Y83" i="3"/>
  <c r="Y98" i="3"/>
  <c r="R101" i="3"/>
  <c r="W101" i="3" s="1"/>
  <c r="W98" i="3"/>
  <c r="X98" i="3"/>
  <c r="R88" i="3"/>
  <c r="W88" i="3" s="1"/>
  <c r="Y93" i="3"/>
  <c r="O62" i="3"/>
  <c r="X94" i="3"/>
  <c r="Y77" i="3"/>
  <c r="Y94" i="3"/>
  <c r="R91" i="3"/>
  <c r="W91" i="3" s="1"/>
  <c r="N93" i="3"/>
  <c r="Y99" i="3"/>
  <c r="Y95" i="3"/>
  <c r="R90" i="3"/>
  <c r="W90" i="3" s="1"/>
  <c r="E101" i="3"/>
  <c r="Y101" i="3"/>
  <c r="V101" i="3"/>
  <c r="E100" i="3"/>
  <c r="Y100" i="3"/>
  <c r="V100" i="3"/>
  <c r="R83" i="3"/>
  <c r="R77" i="3"/>
  <c r="R96" i="3"/>
  <c r="X96" i="3" s="1"/>
  <c r="R81" i="3"/>
  <c r="X81" i="3" s="1"/>
  <c r="Y81" i="3"/>
  <c r="W75" i="3"/>
  <c r="R76" i="3"/>
  <c r="Y86" i="3"/>
  <c r="Y90" i="3"/>
  <c r="Y96" i="3"/>
  <c r="Y79" i="3"/>
  <c r="Y92" i="3"/>
  <c r="X87" i="3"/>
  <c r="Y87" i="3"/>
  <c r="E88" i="3"/>
  <c r="Y88" i="3"/>
  <c r="R80" i="3"/>
  <c r="R89" i="3"/>
  <c r="N86" i="3"/>
  <c r="W86" i="3" s="1"/>
  <c r="Y75" i="3"/>
  <c r="Y89" i="3"/>
  <c r="Y76" i="3"/>
  <c r="N89" i="3"/>
  <c r="Y91" i="3"/>
  <c r="E91" i="3"/>
  <c r="X85" i="3"/>
  <c r="W85" i="3"/>
  <c r="Y85" i="3"/>
  <c r="N76" i="3"/>
  <c r="R73" i="3"/>
  <c r="W73" i="3" s="1"/>
  <c r="R82" i="3"/>
  <c r="Y82" i="3"/>
  <c r="R74" i="3"/>
  <c r="Y74" i="3"/>
  <c r="X75" i="3"/>
  <c r="R84" i="3"/>
  <c r="W84" i="3" s="1"/>
  <c r="N74" i="3"/>
  <c r="Y84" i="3"/>
  <c r="Y78" i="3"/>
  <c r="R65" i="3"/>
  <c r="W65" i="3" s="1"/>
  <c r="Y73" i="3"/>
  <c r="R67" i="3"/>
  <c r="W67" i="3" s="1"/>
  <c r="Y80" i="3"/>
  <c r="Y63" i="3"/>
  <c r="R69" i="3"/>
  <c r="X69" i="3" s="1"/>
  <c r="Y67" i="3"/>
  <c r="Y65" i="3"/>
  <c r="O57" i="3"/>
  <c r="R79" i="3"/>
  <c r="Y68" i="3"/>
  <c r="R63" i="3"/>
  <c r="R68" i="3"/>
  <c r="Y70" i="3"/>
  <c r="Y69" i="3"/>
  <c r="Y66" i="3"/>
  <c r="R71" i="3"/>
  <c r="O54" i="3"/>
  <c r="Y71" i="3"/>
  <c r="S49" i="3"/>
  <c r="P59" i="3"/>
  <c r="S51" i="3"/>
  <c r="T50" i="3"/>
  <c r="Q58" i="3"/>
  <c r="O49" i="3"/>
  <c r="S48" i="3"/>
  <c r="R48" i="3" s="1"/>
  <c r="T61" i="3"/>
  <c r="S61" i="3"/>
  <c r="O58" i="3"/>
  <c r="T49" i="3"/>
  <c r="Q51" i="3"/>
  <c r="P56" i="3"/>
  <c r="N56" i="3" s="1"/>
  <c r="O48" i="3"/>
  <c r="T56" i="3"/>
  <c r="Q56" i="3"/>
  <c r="O55" i="3"/>
  <c r="O53" i="3"/>
  <c r="T59" i="3"/>
  <c r="S55" i="3"/>
  <c r="Q48" i="3"/>
  <c r="P53" i="3"/>
  <c r="O60" i="3"/>
  <c r="O46" i="3"/>
  <c r="P55" i="3"/>
  <c r="O44" i="3"/>
  <c r="O45" i="3"/>
  <c r="T55" i="3"/>
  <c r="P48" i="3"/>
  <c r="O40" i="3"/>
  <c r="O39" i="3"/>
  <c r="O38" i="3"/>
  <c r="O37" i="3"/>
  <c r="T57" i="3"/>
  <c r="Q59" i="3"/>
  <c r="S57" i="3"/>
  <c r="Q57" i="3"/>
  <c r="T54" i="3"/>
  <c r="S59" i="3"/>
  <c r="O59" i="3"/>
  <c r="S54" i="3"/>
  <c r="O43" i="3"/>
  <c r="T51" i="3"/>
  <c r="Q54" i="3"/>
  <c r="P54" i="3"/>
  <c r="O51" i="3"/>
  <c r="P51" i="3"/>
  <c r="E62" i="3"/>
  <c r="V62" i="3"/>
  <c r="E59" i="3"/>
  <c r="E51" i="3"/>
  <c r="E55" i="3"/>
  <c r="V55" i="3"/>
  <c r="E61" i="3"/>
  <c r="S58" i="3"/>
  <c r="R58" i="3" s="1"/>
  <c r="P50" i="3"/>
  <c r="N50" i="3" s="1"/>
  <c r="P61" i="3"/>
  <c r="N61" i="3" s="1"/>
  <c r="T53" i="3"/>
  <c r="S62" i="3"/>
  <c r="P58" i="3"/>
  <c r="T62" i="3"/>
  <c r="P62" i="3"/>
  <c r="S53" i="3"/>
  <c r="Q53" i="3"/>
  <c r="S50" i="3"/>
  <c r="E52" i="3"/>
  <c r="V58" i="3"/>
  <c r="E58" i="3"/>
  <c r="E50" i="3"/>
  <c r="V57" i="3"/>
  <c r="E57" i="3"/>
  <c r="V49" i="3"/>
  <c r="E49" i="3"/>
  <c r="E56" i="3"/>
  <c r="V48" i="3"/>
  <c r="E48" i="3"/>
  <c r="E60" i="3"/>
  <c r="V60" i="3"/>
  <c r="E54" i="3"/>
  <c r="V54" i="3"/>
  <c r="E53" i="3"/>
  <c r="V53" i="3"/>
  <c r="P60" i="3"/>
  <c r="P52" i="3"/>
  <c r="N52" i="3" s="1"/>
  <c r="S60" i="3"/>
  <c r="R60" i="3" s="1"/>
  <c r="S52" i="3"/>
  <c r="R52" i="3" s="1"/>
  <c r="V59" i="3"/>
  <c r="V51" i="3"/>
  <c r="Q60" i="3"/>
  <c r="Q52" i="3"/>
  <c r="P57" i="3"/>
  <c r="P49" i="3"/>
  <c r="S47" i="3"/>
  <c r="S56" i="3"/>
  <c r="Y56" i="3" s="1"/>
  <c r="S37" i="3"/>
  <c r="R37" i="3" s="1"/>
  <c r="Q39" i="3"/>
  <c r="S42" i="3"/>
  <c r="T47" i="3"/>
  <c r="Q41" i="3"/>
  <c r="S39" i="3"/>
  <c r="R39" i="3" s="1"/>
  <c r="Q47" i="3"/>
  <c r="P39" i="3"/>
  <c r="S44" i="3"/>
  <c r="Q38" i="3"/>
  <c r="T46" i="3"/>
  <c r="S41" i="3"/>
  <c r="P41" i="3"/>
  <c r="N41" i="3" s="1"/>
  <c r="P45" i="3"/>
  <c r="P37" i="3"/>
  <c r="S45" i="3"/>
  <c r="T42" i="3"/>
  <c r="T45" i="3"/>
  <c r="P44" i="3"/>
  <c r="T44" i="3"/>
  <c r="P42" i="3"/>
  <c r="N42" i="3" s="1"/>
  <c r="P40" i="3"/>
  <c r="Q42" i="3"/>
  <c r="T40" i="3"/>
  <c r="S40" i="3"/>
  <c r="P43" i="3"/>
  <c r="V46" i="3"/>
  <c r="E46" i="3"/>
  <c r="E38" i="3"/>
  <c r="V38" i="3"/>
  <c r="E42" i="3"/>
  <c r="Q37" i="3"/>
  <c r="S43" i="3"/>
  <c r="P46" i="3"/>
  <c r="P38" i="3"/>
  <c r="Q45" i="3"/>
  <c r="S38" i="3"/>
  <c r="R38" i="3" s="1"/>
  <c r="Q43" i="3"/>
  <c r="S46" i="3"/>
  <c r="E41" i="3"/>
  <c r="V40" i="3"/>
  <c r="E40" i="3"/>
  <c r="E47" i="3"/>
  <c r="V39" i="3"/>
  <c r="E39" i="3"/>
  <c r="E37" i="3"/>
  <c r="E45" i="3"/>
  <c r="V45" i="3"/>
  <c r="E44" i="3"/>
  <c r="V44" i="3"/>
  <c r="E43" i="3"/>
  <c r="V43" i="3"/>
  <c r="P47" i="3"/>
  <c r="N47" i="3" s="1"/>
  <c r="K24" i="3"/>
  <c r="B24" i="3" s="1"/>
  <c r="K25" i="3"/>
  <c r="B25" i="3" s="1"/>
  <c r="K26" i="3"/>
  <c r="B26" i="3" s="1"/>
  <c r="K27" i="3"/>
  <c r="B27" i="3" s="1"/>
  <c r="K28" i="3"/>
  <c r="B28" i="3" s="1"/>
  <c r="K29" i="3"/>
  <c r="B29" i="3" s="1"/>
  <c r="K30" i="3"/>
  <c r="B30" i="3" s="1"/>
  <c r="K31" i="3"/>
  <c r="B31" i="3" s="1"/>
  <c r="K32" i="3"/>
  <c r="B32" i="3" s="1"/>
  <c r="K33" i="3"/>
  <c r="B33" i="3" s="1"/>
  <c r="K34" i="3"/>
  <c r="B34" i="3" s="1"/>
  <c r="K35" i="3"/>
  <c r="B35" i="3" s="1"/>
  <c r="K36" i="3"/>
  <c r="B36" i="3" s="1"/>
  <c r="L24" i="3"/>
  <c r="L25" i="3"/>
  <c r="L26" i="3"/>
  <c r="L27" i="3"/>
  <c r="T27" i="3" s="1"/>
  <c r="L28" i="3"/>
  <c r="T28" i="3" s="1"/>
  <c r="L29" i="3"/>
  <c r="L30" i="3"/>
  <c r="L31" i="3"/>
  <c r="L32" i="3"/>
  <c r="L33" i="3"/>
  <c r="L34" i="3"/>
  <c r="L35" i="3"/>
  <c r="T35" i="3" s="1"/>
  <c r="L36" i="3"/>
  <c r="O24" i="3"/>
  <c r="O28" i="3"/>
  <c r="O34" i="3"/>
  <c r="O36" i="3"/>
  <c r="K18" i="3"/>
  <c r="B18" i="3" s="1"/>
  <c r="L18" i="3"/>
  <c r="K19" i="3"/>
  <c r="B19" i="3" s="1"/>
  <c r="L19" i="3"/>
  <c r="K20" i="3"/>
  <c r="B20" i="3" s="1"/>
  <c r="L20" i="3"/>
  <c r="K21" i="3"/>
  <c r="B21" i="3" s="1"/>
  <c r="L21" i="3"/>
  <c r="K22" i="3"/>
  <c r="B22" i="3" s="1"/>
  <c r="L22" i="3"/>
  <c r="K23" i="3"/>
  <c r="B23" i="3" s="1"/>
  <c r="L23" i="3"/>
  <c r="K13" i="3"/>
  <c r="B13" i="3" s="1"/>
  <c r="L13" i="3"/>
  <c r="K14" i="3"/>
  <c r="B14" i="3" s="1"/>
  <c r="L14" i="3"/>
  <c r="K15" i="3"/>
  <c r="B15" i="3" s="1"/>
  <c r="L15" i="3"/>
  <c r="K16" i="3"/>
  <c r="B16" i="3" s="1"/>
  <c r="L16" i="3"/>
  <c r="K10" i="3"/>
  <c r="B10" i="3" s="1"/>
  <c r="L10" i="3"/>
  <c r="K11" i="3"/>
  <c r="B11" i="3" s="1"/>
  <c r="L11" i="3"/>
  <c r="K9" i="3"/>
  <c r="B9" i="3" s="1"/>
  <c r="L9" i="3"/>
  <c r="W71" i="3" l="1"/>
  <c r="W92" i="3"/>
  <c r="R51" i="3"/>
  <c r="X66" i="3"/>
  <c r="X78" i="3"/>
  <c r="W80" i="3"/>
  <c r="X76" i="3"/>
  <c r="X83" i="3"/>
  <c r="X93" i="3"/>
  <c r="W77" i="3"/>
  <c r="X63" i="3"/>
  <c r="X82" i="3"/>
  <c r="W70" i="3"/>
  <c r="X95" i="3"/>
  <c r="W100" i="3"/>
  <c r="X88" i="3"/>
  <c r="W99" i="3"/>
  <c r="X92" i="3"/>
  <c r="X90" i="3"/>
  <c r="X80" i="3"/>
  <c r="X101" i="3"/>
  <c r="W97" i="3"/>
  <c r="W81" i="3"/>
  <c r="W96" i="3"/>
  <c r="X91" i="3"/>
  <c r="N62" i="3"/>
  <c r="W83" i="3"/>
  <c r="W93" i="3"/>
  <c r="X65" i="3"/>
  <c r="X77" i="3"/>
  <c r="X89" i="3"/>
  <c r="W89" i="3"/>
  <c r="W76" i="3"/>
  <c r="W69" i="3"/>
  <c r="W82" i="3"/>
  <c r="W74" i="3"/>
  <c r="X73" i="3"/>
  <c r="X86" i="3"/>
  <c r="X67" i="3"/>
  <c r="X84" i="3"/>
  <c r="X74" i="3"/>
  <c r="W79" i="3"/>
  <c r="X79" i="3"/>
  <c r="W63" i="3"/>
  <c r="R61" i="3"/>
  <c r="W61" i="3" s="1"/>
  <c r="W68" i="3"/>
  <c r="X68" i="3"/>
  <c r="R49" i="3"/>
  <c r="N59" i="3"/>
  <c r="N53" i="3"/>
  <c r="X71" i="3"/>
  <c r="R50" i="3"/>
  <c r="N40" i="3"/>
  <c r="N45" i="3"/>
  <c r="N49" i="3"/>
  <c r="O30" i="3"/>
  <c r="Y54" i="3"/>
  <c r="N48" i="3"/>
  <c r="X48" i="3" s="1"/>
  <c r="N37" i="3"/>
  <c r="N51" i="3"/>
  <c r="N44" i="3"/>
  <c r="N43" i="3"/>
  <c r="R57" i="3"/>
  <c r="N55" i="3"/>
  <c r="O29" i="3"/>
  <c r="N58" i="3"/>
  <c r="W58" i="3" s="1"/>
  <c r="Y55" i="3"/>
  <c r="O33" i="3"/>
  <c r="Y53" i="3"/>
  <c r="R55" i="3"/>
  <c r="R59" i="3"/>
  <c r="Y57" i="3"/>
  <c r="R62" i="3"/>
  <c r="O31" i="3"/>
  <c r="R47" i="3"/>
  <c r="N38" i="3"/>
  <c r="W38" i="3" s="1"/>
  <c r="N46" i="3"/>
  <c r="Y62" i="3"/>
  <c r="Y60" i="3"/>
  <c r="Y59" i="3"/>
  <c r="O32" i="3"/>
  <c r="Y48" i="3"/>
  <c r="Y61" i="3"/>
  <c r="Y39" i="3"/>
  <c r="O35" i="3"/>
  <c r="N60" i="3"/>
  <c r="W60" i="3" s="1"/>
  <c r="W50" i="3"/>
  <c r="Y51" i="3"/>
  <c r="N54" i="3"/>
  <c r="Y58" i="3"/>
  <c r="R54" i="3"/>
  <c r="N57" i="3"/>
  <c r="Y50" i="3"/>
  <c r="X50" i="3"/>
  <c r="Y52" i="3"/>
  <c r="R53" i="3"/>
  <c r="W52" i="3"/>
  <c r="X52" i="3"/>
  <c r="R46" i="3"/>
  <c r="R42" i="3"/>
  <c r="W42" i="3" s="1"/>
  <c r="R56" i="3"/>
  <c r="Y49" i="3"/>
  <c r="N39" i="3"/>
  <c r="X39" i="3" s="1"/>
  <c r="R44" i="3"/>
  <c r="Y41" i="3"/>
  <c r="R40" i="3"/>
  <c r="Y37" i="3"/>
  <c r="Y43" i="3"/>
  <c r="R41" i="3"/>
  <c r="X41" i="3" s="1"/>
  <c r="R45" i="3"/>
  <c r="Y44" i="3"/>
  <c r="Y38" i="3"/>
  <c r="Y40" i="3"/>
  <c r="W37" i="3"/>
  <c r="R43" i="3"/>
  <c r="Y45" i="3"/>
  <c r="Y46" i="3"/>
  <c r="X42" i="3"/>
  <c r="Y42" i="3"/>
  <c r="X37" i="3"/>
  <c r="W47" i="3"/>
  <c r="X47" i="3"/>
  <c r="Y47" i="3"/>
  <c r="P33" i="3"/>
  <c r="S29" i="3"/>
  <c r="S25" i="3"/>
  <c r="T33" i="3"/>
  <c r="S28" i="3"/>
  <c r="R28" i="3" s="1"/>
  <c r="O26" i="3"/>
  <c r="P32" i="3"/>
  <c r="P30" i="3"/>
  <c r="P25" i="3"/>
  <c r="P24" i="3"/>
  <c r="N24" i="3" s="1"/>
  <c r="O27" i="3"/>
  <c r="T26" i="3"/>
  <c r="O25" i="3"/>
  <c r="T25" i="3"/>
  <c r="S33" i="3"/>
  <c r="S31" i="3"/>
  <c r="P28" i="3"/>
  <c r="N28" i="3" s="1"/>
  <c r="P34" i="3"/>
  <c r="N34" i="3" s="1"/>
  <c r="P26" i="3"/>
  <c r="T29" i="3"/>
  <c r="P29" i="3"/>
  <c r="T34" i="3"/>
  <c r="S35" i="3"/>
  <c r="R35" i="3" s="1"/>
  <c r="P31" i="3"/>
  <c r="S34" i="3"/>
  <c r="T30" i="3"/>
  <c r="P36" i="3"/>
  <c r="N36" i="3" s="1"/>
  <c r="P35" i="3"/>
  <c r="P27" i="3"/>
  <c r="T31" i="3"/>
  <c r="S36" i="3"/>
  <c r="S26" i="3"/>
  <c r="T36" i="3"/>
  <c r="S27" i="3"/>
  <c r="R27" i="3" s="1"/>
  <c r="S32" i="3"/>
  <c r="S24" i="3"/>
  <c r="T32" i="3"/>
  <c r="T24" i="3"/>
  <c r="Y24" i="3" s="1"/>
  <c r="S30" i="3"/>
  <c r="O20" i="3"/>
  <c r="E31" i="3"/>
  <c r="E30" i="3"/>
  <c r="E29" i="3"/>
  <c r="E36" i="3"/>
  <c r="E28" i="3"/>
  <c r="E35" i="3"/>
  <c r="V35" i="3"/>
  <c r="E27" i="3"/>
  <c r="V27" i="3"/>
  <c r="E34" i="3"/>
  <c r="E26" i="3"/>
  <c r="V26" i="3"/>
  <c r="E33" i="3"/>
  <c r="E25" i="3"/>
  <c r="V25" i="3"/>
  <c r="E32" i="3"/>
  <c r="E24" i="3"/>
  <c r="O23" i="3"/>
  <c r="O22" i="3"/>
  <c r="O21" i="3"/>
  <c r="O19" i="3"/>
  <c r="O18" i="3"/>
  <c r="T18" i="3"/>
  <c r="S18" i="3"/>
  <c r="T19" i="3"/>
  <c r="E18" i="3"/>
  <c r="V18" i="3"/>
  <c r="P18" i="3"/>
  <c r="S19" i="3"/>
  <c r="T20" i="3"/>
  <c r="S20" i="3"/>
  <c r="E19" i="3"/>
  <c r="V19" i="3"/>
  <c r="P19" i="3"/>
  <c r="E20" i="3"/>
  <c r="V20" i="3"/>
  <c r="P20" i="3"/>
  <c r="T21" i="3"/>
  <c r="S22" i="3"/>
  <c r="E21" i="3"/>
  <c r="V21" i="3"/>
  <c r="T22" i="3"/>
  <c r="P21" i="3"/>
  <c r="S23" i="3"/>
  <c r="S21" i="3"/>
  <c r="E22" i="3"/>
  <c r="V22" i="3"/>
  <c r="T23" i="3"/>
  <c r="P22" i="3"/>
  <c r="E23" i="3"/>
  <c r="V23" i="3"/>
  <c r="P23" i="3"/>
  <c r="O16" i="3"/>
  <c r="O15" i="3"/>
  <c r="O14" i="3"/>
  <c r="O13" i="3"/>
  <c r="T15" i="3"/>
  <c r="T16" i="3"/>
  <c r="T13" i="3"/>
  <c r="T14" i="3"/>
  <c r="E13" i="3"/>
  <c r="V13" i="3"/>
  <c r="P13" i="3"/>
  <c r="S14" i="3"/>
  <c r="S13" i="3"/>
  <c r="S16" i="3"/>
  <c r="R16" i="3" s="1"/>
  <c r="E14" i="3"/>
  <c r="V14" i="3"/>
  <c r="P14" i="3"/>
  <c r="S15" i="3"/>
  <c r="E15" i="3"/>
  <c r="V15" i="3"/>
  <c r="P15" i="3"/>
  <c r="E16" i="3"/>
  <c r="V16" i="3"/>
  <c r="O11" i="3"/>
  <c r="P16" i="3"/>
  <c r="O10" i="3"/>
  <c r="O9" i="3"/>
  <c r="T10" i="3"/>
  <c r="S10" i="3"/>
  <c r="P10" i="3"/>
  <c r="E10" i="3"/>
  <c r="V10" i="3"/>
  <c r="T11" i="3"/>
  <c r="S11" i="3"/>
  <c r="E11" i="3"/>
  <c r="V11" i="3"/>
  <c r="P11" i="3"/>
  <c r="E9" i="3"/>
  <c r="V9" i="3"/>
  <c r="P9" i="3"/>
  <c r="S9" i="3"/>
  <c r="T9" i="3"/>
  <c r="K7" i="3"/>
  <c r="B7" i="3" s="1"/>
  <c r="L7" i="3"/>
  <c r="T7" i="3" s="1"/>
  <c r="K6" i="3"/>
  <c r="B6" i="3" s="1"/>
  <c r="L6" i="3"/>
  <c r="T6" i="3" s="1"/>
  <c r="K5" i="3"/>
  <c r="B5" i="3" s="1"/>
  <c r="L5" i="3"/>
  <c r="N16" i="3" l="1"/>
  <c r="X51" i="3"/>
  <c r="X62" i="3"/>
  <c r="W43" i="3"/>
  <c r="W48" i="3"/>
  <c r="X61" i="3"/>
  <c r="X58" i="3"/>
  <c r="W59" i="3"/>
  <c r="N29" i="3"/>
  <c r="W53" i="3"/>
  <c r="X45" i="3"/>
  <c r="W51" i="3"/>
  <c r="W49" i="3"/>
  <c r="X49" i="3"/>
  <c r="X38" i="3"/>
  <c r="W40" i="3"/>
  <c r="N33" i="3"/>
  <c r="N30" i="3"/>
  <c r="W57" i="3"/>
  <c r="X44" i="3"/>
  <c r="N31" i="3"/>
  <c r="X55" i="3"/>
  <c r="W55" i="3"/>
  <c r="X59" i="3"/>
  <c r="W46" i="3"/>
  <c r="X40" i="3"/>
  <c r="W62" i="3"/>
  <c r="X57" i="3"/>
  <c r="N32" i="3"/>
  <c r="W39" i="3"/>
  <c r="N35" i="3"/>
  <c r="X60" i="3"/>
  <c r="W54" i="3"/>
  <c r="X54" i="3"/>
  <c r="X46" i="3"/>
  <c r="X53" i="3"/>
  <c r="X56" i="3"/>
  <c r="W56" i="3"/>
  <c r="W44" i="3"/>
  <c r="W45" i="3"/>
  <c r="W41" i="3"/>
  <c r="R31" i="3"/>
  <c r="X43" i="3"/>
  <c r="R29" i="3"/>
  <c r="N26" i="3"/>
  <c r="R25" i="3"/>
  <c r="R26" i="3"/>
  <c r="Y35" i="3"/>
  <c r="Y25" i="3"/>
  <c r="Y33" i="3"/>
  <c r="N27" i="3"/>
  <c r="R33" i="3"/>
  <c r="N25" i="3"/>
  <c r="Y29" i="3"/>
  <c r="Y26" i="3"/>
  <c r="R36" i="3"/>
  <c r="R30" i="3"/>
  <c r="Y27" i="3"/>
  <c r="Y28" i="3"/>
  <c r="Y36" i="3"/>
  <c r="Y30" i="3"/>
  <c r="Y34" i="3"/>
  <c r="R34" i="3"/>
  <c r="X28" i="3"/>
  <c r="Y31" i="3"/>
  <c r="R32" i="3"/>
  <c r="W24" i="3"/>
  <c r="W28" i="3"/>
  <c r="Y32" i="3"/>
  <c r="R24" i="3"/>
  <c r="X24" i="3" s="1"/>
  <c r="N22" i="3"/>
  <c r="R18" i="3"/>
  <c r="R21" i="3"/>
  <c r="R20" i="3"/>
  <c r="Y23" i="3"/>
  <c r="R23" i="3"/>
  <c r="Y18" i="3"/>
  <c r="Y21" i="3"/>
  <c r="R19" i="3"/>
  <c r="Y19" i="3"/>
  <c r="N19" i="3"/>
  <c r="Y20" i="3"/>
  <c r="N18" i="3"/>
  <c r="N21" i="3"/>
  <c r="R22" i="3"/>
  <c r="N20" i="3"/>
  <c r="Y22" i="3"/>
  <c r="N23" i="3"/>
  <c r="R14" i="3"/>
  <c r="N15" i="3"/>
  <c r="Y14" i="3"/>
  <c r="R15" i="3"/>
  <c r="R13" i="3"/>
  <c r="Y13" i="3"/>
  <c r="Y15" i="3"/>
  <c r="N13" i="3"/>
  <c r="N14" i="3"/>
  <c r="Y16" i="3"/>
  <c r="N9" i="3"/>
  <c r="N10" i="3"/>
  <c r="Y11" i="3"/>
  <c r="R10" i="3"/>
  <c r="R11" i="3"/>
  <c r="Y10" i="3"/>
  <c r="N11" i="3"/>
  <c r="R9" i="3"/>
  <c r="Y9" i="3"/>
  <c r="O7" i="3"/>
  <c r="O6" i="3"/>
  <c r="O5" i="3"/>
  <c r="S7" i="3"/>
  <c r="R7" i="3" s="1"/>
  <c r="V7" i="3"/>
  <c r="E7" i="3"/>
  <c r="P7" i="3"/>
  <c r="E6" i="3"/>
  <c r="V6" i="3"/>
  <c r="P6" i="3"/>
  <c r="S6" i="3"/>
  <c r="R6" i="3" s="1"/>
  <c r="E5" i="3"/>
  <c r="V5" i="3"/>
  <c r="P5" i="3"/>
  <c r="S5" i="3"/>
  <c r="T5" i="3"/>
  <c r="B41" i="2"/>
  <c r="B40" i="2"/>
  <c r="N7" i="3" l="1"/>
  <c r="N5" i="3"/>
  <c r="Y6" i="3"/>
  <c r="N6" i="3"/>
  <c r="R5" i="3"/>
  <c r="Y7" i="3"/>
  <c r="Y5" i="3"/>
  <c r="L2" i="3"/>
  <c r="L3" i="3"/>
  <c r="L4" i="3"/>
  <c r="L8" i="3"/>
  <c r="L12" i="3"/>
  <c r="L17" i="3"/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F920" i="2"/>
  <c r="F921" i="2"/>
  <c r="F922" i="2"/>
  <c r="F923" i="2"/>
  <c r="F924" i="2"/>
  <c r="F925" i="2"/>
  <c r="F926" i="2"/>
  <c r="F927" i="2"/>
  <c r="F928" i="2"/>
  <c r="F929" i="2"/>
  <c r="F930" i="2"/>
  <c r="F931" i="2"/>
  <c r="F932" i="2"/>
  <c r="F933" i="2"/>
  <c r="F934" i="2"/>
  <c r="F935" i="2"/>
  <c r="F936" i="2"/>
  <c r="F937" i="2"/>
  <c r="F938" i="2"/>
  <c r="F939" i="2"/>
  <c r="F940" i="2"/>
  <c r="F941" i="2"/>
  <c r="F942" i="2"/>
  <c r="F943" i="2"/>
  <c r="F944" i="2"/>
  <c r="F945" i="2"/>
  <c r="F946" i="2"/>
  <c r="F947" i="2"/>
  <c r="F948" i="2"/>
  <c r="F949" i="2"/>
  <c r="F950" i="2"/>
  <c r="F951" i="2"/>
  <c r="F952" i="2"/>
  <c r="F953" i="2"/>
  <c r="F954" i="2"/>
  <c r="F955" i="2"/>
  <c r="F956" i="2"/>
  <c r="F957" i="2"/>
  <c r="F958" i="2"/>
  <c r="F959" i="2"/>
  <c r="F960" i="2"/>
  <c r="F961" i="2"/>
  <c r="F962" i="2"/>
  <c r="F963" i="2"/>
  <c r="F964" i="2"/>
  <c r="F965" i="2"/>
  <c r="F966" i="2"/>
  <c r="F967" i="2"/>
  <c r="F968" i="2"/>
  <c r="F969" i="2"/>
  <c r="F970" i="2"/>
  <c r="F971" i="2"/>
  <c r="F972" i="2"/>
  <c r="F973" i="2"/>
  <c r="F974" i="2"/>
  <c r="F975" i="2"/>
  <c r="F976" i="2"/>
  <c r="F977" i="2"/>
  <c r="F978" i="2"/>
  <c r="F979" i="2"/>
  <c r="F980" i="2"/>
  <c r="F981" i="2"/>
  <c r="F982" i="2"/>
  <c r="F983" i="2"/>
  <c r="F984" i="2"/>
  <c r="F985" i="2"/>
  <c r="F986" i="2"/>
  <c r="F987" i="2"/>
  <c r="F988" i="2"/>
  <c r="F989" i="2"/>
  <c r="F990" i="2"/>
  <c r="F991" i="2"/>
  <c r="F992" i="2"/>
  <c r="F993" i="2"/>
  <c r="F994" i="2"/>
  <c r="F995" i="2"/>
  <c r="F996" i="2"/>
  <c r="F997" i="2"/>
  <c r="F998" i="2"/>
  <c r="F999" i="2"/>
  <c r="F1000" i="2"/>
  <c r="F1001" i="2"/>
  <c r="F1002" i="2"/>
  <c r="F1003" i="2"/>
  <c r="F1004" i="2"/>
  <c r="F1005" i="2"/>
  <c r="F1006" i="2"/>
  <c r="F1007" i="2"/>
  <c r="F1008" i="2"/>
  <c r="F1009" i="2"/>
  <c r="F1010" i="2"/>
  <c r="F1011" i="2"/>
  <c r="F1012" i="2"/>
  <c r="F1013" i="2"/>
  <c r="F1014" i="2"/>
  <c r="F1015" i="2"/>
  <c r="F1016" i="2"/>
  <c r="F1017" i="2"/>
  <c r="F1018" i="2"/>
  <c r="F1019" i="2"/>
  <c r="F1020" i="2"/>
  <c r="F1021" i="2"/>
  <c r="F1022" i="2"/>
  <c r="F1023" i="2"/>
  <c r="F1024" i="2"/>
  <c r="F1025" i="2"/>
  <c r="F1026" i="2"/>
  <c r="F1027" i="2"/>
  <c r="F1028" i="2"/>
  <c r="F1029" i="2"/>
  <c r="F1030" i="2"/>
  <c r="F1031" i="2"/>
  <c r="F1032" i="2"/>
  <c r="F1033" i="2"/>
  <c r="F1034" i="2"/>
  <c r="F1035" i="2"/>
  <c r="F1036" i="2"/>
  <c r="F1037" i="2"/>
  <c r="F1038" i="2"/>
  <c r="F1039" i="2"/>
  <c r="F1040" i="2"/>
  <c r="F1041" i="2"/>
  <c r="F1042" i="2"/>
  <c r="F1043" i="2"/>
  <c r="F1044" i="2"/>
  <c r="F1045" i="2"/>
  <c r="F1046" i="2"/>
  <c r="F1047" i="2"/>
  <c r="F1048" i="2"/>
  <c r="F1049" i="2"/>
  <c r="F1050" i="2"/>
  <c r="F1051" i="2"/>
  <c r="F1052" i="2"/>
  <c r="F1053" i="2"/>
  <c r="F1054" i="2"/>
  <c r="F1055" i="2"/>
  <c r="F1056" i="2"/>
  <c r="F1057" i="2"/>
  <c r="F1058" i="2"/>
  <c r="F1059" i="2"/>
  <c r="F1060" i="2"/>
  <c r="F1061" i="2"/>
  <c r="F1062" i="2"/>
  <c r="F1063" i="2"/>
  <c r="F1064" i="2"/>
  <c r="F1065" i="2"/>
  <c r="F1066" i="2"/>
  <c r="F1067" i="2"/>
  <c r="F1068" i="2"/>
  <c r="F1069" i="2"/>
  <c r="F1070" i="2"/>
  <c r="F1071" i="2"/>
  <c r="F1072" i="2"/>
  <c r="F1073" i="2"/>
  <c r="F1074" i="2"/>
  <c r="F1075" i="2"/>
  <c r="F1076" i="2"/>
  <c r="F1077" i="2"/>
  <c r="F1078" i="2"/>
  <c r="F1079" i="2"/>
  <c r="F1080" i="2"/>
  <c r="F1081" i="2"/>
  <c r="F1082" i="2"/>
  <c r="F1083" i="2"/>
  <c r="F1084" i="2"/>
  <c r="F1085" i="2"/>
  <c r="F1086" i="2"/>
  <c r="F1087" i="2"/>
  <c r="F1088" i="2"/>
  <c r="F1089" i="2"/>
  <c r="F1090" i="2"/>
  <c r="F1091" i="2"/>
  <c r="F1092" i="2"/>
  <c r="F1093" i="2"/>
  <c r="F1094" i="2"/>
  <c r="F1095" i="2"/>
  <c r="F1096" i="2"/>
  <c r="F1097" i="2"/>
  <c r="F1098" i="2"/>
  <c r="F1099" i="2"/>
  <c r="F1100" i="2"/>
  <c r="F1101" i="2"/>
  <c r="F1102" i="2"/>
  <c r="F1103" i="2"/>
  <c r="F1104" i="2"/>
  <c r="F1105" i="2"/>
  <c r="F1106" i="2"/>
  <c r="F1107" i="2"/>
  <c r="F1108" i="2"/>
  <c r="F1109" i="2"/>
  <c r="F1110" i="2"/>
  <c r="F1111" i="2"/>
  <c r="F1112" i="2"/>
  <c r="F1113" i="2"/>
  <c r="F1114" i="2"/>
  <c r="F1115" i="2"/>
  <c r="F1116" i="2"/>
  <c r="F1117" i="2"/>
  <c r="F1118" i="2"/>
  <c r="F1119" i="2"/>
  <c r="F1120" i="2"/>
  <c r="F1121" i="2"/>
  <c r="F1122" i="2"/>
  <c r="F1123" i="2"/>
  <c r="F1124" i="2"/>
  <c r="F1125" i="2"/>
  <c r="F1126" i="2"/>
  <c r="F1127" i="2"/>
  <c r="F1128" i="2"/>
  <c r="F1129" i="2"/>
  <c r="F1130" i="2"/>
  <c r="F1131" i="2"/>
  <c r="F1132" i="2"/>
  <c r="F1133" i="2"/>
  <c r="F1134" i="2"/>
  <c r="F1135" i="2"/>
  <c r="F1136" i="2"/>
  <c r="F1137" i="2"/>
  <c r="F1138" i="2"/>
  <c r="F1139" i="2"/>
  <c r="F1140" i="2"/>
  <c r="F1141" i="2"/>
  <c r="F1142" i="2"/>
  <c r="F1143" i="2"/>
  <c r="F1144" i="2"/>
  <c r="F1145" i="2"/>
  <c r="F1146" i="2"/>
  <c r="F1147" i="2"/>
  <c r="F1148" i="2"/>
  <c r="F1149" i="2"/>
  <c r="F1150" i="2"/>
  <c r="F1151" i="2"/>
  <c r="F1152" i="2"/>
  <c r="F1153" i="2"/>
  <c r="F1154" i="2"/>
  <c r="F1155" i="2"/>
  <c r="F1156" i="2"/>
  <c r="F1157" i="2"/>
  <c r="F1158" i="2"/>
  <c r="F1159" i="2"/>
  <c r="F1160" i="2"/>
  <c r="F1161" i="2"/>
  <c r="F1162" i="2"/>
  <c r="F1163" i="2"/>
  <c r="F1164" i="2"/>
  <c r="F1165" i="2"/>
  <c r="F1166" i="2"/>
  <c r="F1167" i="2"/>
  <c r="F1168" i="2"/>
  <c r="F1169" i="2"/>
  <c r="F1170" i="2"/>
  <c r="F1171" i="2"/>
  <c r="F1172" i="2"/>
  <c r="F1173" i="2"/>
  <c r="F1174" i="2"/>
  <c r="F1175" i="2"/>
  <c r="F1176" i="2"/>
  <c r="F1177" i="2"/>
  <c r="F1178" i="2"/>
  <c r="F1179" i="2"/>
  <c r="F1180" i="2"/>
  <c r="F1181" i="2"/>
  <c r="F1182" i="2"/>
  <c r="F1183" i="2"/>
  <c r="F1184" i="2"/>
  <c r="F1185" i="2"/>
  <c r="F1186" i="2"/>
  <c r="F1187" i="2"/>
  <c r="F1188" i="2"/>
  <c r="F1189" i="2"/>
  <c r="F1190" i="2"/>
  <c r="F1191" i="2"/>
  <c r="F1192" i="2"/>
  <c r="F1193" i="2"/>
  <c r="F1194" i="2"/>
  <c r="F1195" i="2"/>
  <c r="F1196" i="2"/>
  <c r="F1197" i="2"/>
  <c r="F1198" i="2"/>
  <c r="F1199" i="2"/>
  <c r="F1200" i="2"/>
  <c r="F1201" i="2"/>
  <c r="F1202" i="2"/>
  <c r="F1203" i="2"/>
  <c r="F1204" i="2"/>
  <c r="F1205" i="2"/>
  <c r="F1206" i="2"/>
  <c r="F1207" i="2"/>
  <c r="F1208" i="2"/>
  <c r="F1209" i="2"/>
  <c r="F1210" i="2"/>
  <c r="F1211" i="2"/>
  <c r="F1212" i="2"/>
  <c r="F1213" i="2"/>
  <c r="F1214" i="2"/>
  <c r="F1215" i="2"/>
  <c r="F1216" i="2"/>
  <c r="F1217" i="2"/>
  <c r="F1218" i="2"/>
  <c r="F1219" i="2"/>
  <c r="F1220" i="2"/>
  <c r="F1221" i="2"/>
  <c r="F1222" i="2"/>
  <c r="F1223" i="2"/>
  <c r="F1224" i="2"/>
  <c r="F1225" i="2"/>
  <c r="F1226" i="2"/>
  <c r="F1227" i="2"/>
  <c r="F1228" i="2"/>
  <c r="F1229" i="2"/>
  <c r="F1230" i="2"/>
  <c r="F1231" i="2"/>
  <c r="F1232" i="2"/>
  <c r="F1233" i="2"/>
  <c r="F1234" i="2"/>
  <c r="F1235" i="2"/>
  <c r="F1236" i="2"/>
  <c r="F1237" i="2"/>
  <c r="F1238" i="2"/>
  <c r="F1239" i="2"/>
  <c r="F1240" i="2"/>
  <c r="F1241" i="2"/>
  <c r="F1242" i="2"/>
  <c r="F1243" i="2"/>
  <c r="F1244" i="2"/>
  <c r="F1245" i="2"/>
  <c r="F1246" i="2"/>
  <c r="F1247" i="2"/>
  <c r="F1248" i="2"/>
  <c r="F1249" i="2"/>
  <c r="F1250" i="2"/>
  <c r="F1251" i="2"/>
  <c r="F1252" i="2"/>
  <c r="F1253" i="2"/>
  <c r="F1254" i="2"/>
  <c r="F1255" i="2"/>
  <c r="F1256" i="2"/>
  <c r="F1257" i="2"/>
  <c r="F1258" i="2"/>
  <c r="F1259" i="2"/>
  <c r="F1260" i="2"/>
  <c r="F1261" i="2"/>
  <c r="F1262" i="2"/>
  <c r="F1263" i="2"/>
  <c r="F1264" i="2"/>
  <c r="F1265" i="2"/>
  <c r="F1266" i="2"/>
  <c r="F1267" i="2"/>
  <c r="F1268" i="2"/>
  <c r="F1269" i="2"/>
  <c r="F1270" i="2"/>
  <c r="F1271" i="2"/>
  <c r="F1272" i="2"/>
  <c r="F1273" i="2"/>
  <c r="F1274" i="2"/>
  <c r="F1275" i="2"/>
  <c r="F1276" i="2"/>
  <c r="F1277" i="2"/>
  <c r="F1278" i="2"/>
  <c r="F1279" i="2"/>
  <c r="F1280" i="2"/>
  <c r="F1281" i="2"/>
  <c r="F1282" i="2"/>
  <c r="F1283" i="2"/>
  <c r="F1284" i="2"/>
  <c r="F1285" i="2"/>
  <c r="F1286" i="2"/>
  <c r="F1287" i="2"/>
  <c r="F1288" i="2"/>
  <c r="F1289" i="2"/>
  <c r="F1290" i="2"/>
  <c r="F1291" i="2"/>
  <c r="F1292" i="2"/>
  <c r="F1293" i="2"/>
  <c r="F1294" i="2"/>
  <c r="F1295" i="2"/>
  <c r="F1296" i="2"/>
  <c r="F1297" i="2"/>
  <c r="F1298" i="2"/>
  <c r="F1299" i="2"/>
  <c r="F1300" i="2"/>
  <c r="F1301" i="2"/>
  <c r="F1302" i="2"/>
  <c r="F1303" i="2"/>
  <c r="F1304" i="2"/>
  <c r="F1305" i="2"/>
  <c r="F1306" i="2"/>
  <c r="F1307" i="2"/>
  <c r="F1308" i="2"/>
  <c r="F1309" i="2"/>
  <c r="F1310" i="2"/>
  <c r="F1311" i="2"/>
  <c r="F1312" i="2"/>
  <c r="F1313" i="2"/>
  <c r="F1314" i="2"/>
  <c r="F1315" i="2"/>
  <c r="F1316" i="2"/>
  <c r="F1317" i="2"/>
  <c r="F1318" i="2"/>
  <c r="F1319" i="2"/>
  <c r="F1320" i="2"/>
  <c r="F1321" i="2"/>
  <c r="F1322" i="2"/>
  <c r="F1323" i="2"/>
  <c r="F1324" i="2"/>
  <c r="F1325" i="2"/>
  <c r="F1326" i="2"/>
  <c r="F1327" i="2"/>
  <c r="F1328" i="2"/>
  <c r="F1329" i="2"/>
  <c r="F1330" i="2"/>
  <c r="F1331" i="2"/>
  <c r="F1332" i="2"/>
  <c r="F1333" i="2"/>
  <c r="F1334" i="2"/>
  <c r="F1335" i="2"/>
  <c r="F1336" i="2"/>
  <c r="F1337" i="2"/>
  <c r="F1338" i="2"/>
  <c r="F1339" i="2"/>
  <c r="F1340" i="2"/>
  <c r="F1341" i="2"/>
  <c r="F1342" i="2"/>
  <c r="F1343" i="2"/>
  <c r="F1344" i="2"/>
  <c r="F1345" i="2"/>
  <c r="F1346" i="2"/>
  <c r="F1347" i="2"/>
  <c r="F1348" i="2"/>
  <c r="F1349" i="2"/>
  <c r="F1350" i="2"/>
  <c r="F1351" i="2"/>
  <c r="F1352" i="2"/>
  <c r="F1353" i="2"/>
  <c r="F1354" i="2"/>
  <c r="F1355" i="2"/>
  <c r="F1356" i="2"/>
  <c r="F1357" i="2"/>
  <c r="F1358" i="2"/>
  <c r="F1359" i="2"/>
  <c r="F1360" i="2"/>
  <c r="F1361" i="2"/>
  <c r="F1362" i="2"/>
  <c r="F1363" i="2"/>
  <c r="F1364" i="2"/>
  <c r="F1365" i="2"/>
  <c r="F1366" i="2"/>
  <c r="F1367" i="2"/>
  <c r="F1368" i="2"/>
  <c r="F1369" i="2"/>
  <c r="F1370" i="2"/>
  <c r="F1371" i="2"/>
  <c r="F1372" i="2"/>
  <c r="F1373" i="2"/>
  <c r="F1374" i="2"/>
  <c r="F1375" i="2"/>
  <c r="F1376" i="2"/>
  <c r="F1377" i="2"/>
  <c r="F1378" i="2"/>
  <c r="F1379" i="2"/>
  <c r="F1380" i="2"/>
  <c r="F1381" i="2"/>
  <c r="F1382" i="2"/>
  <c r="F1383" i="2"/>
  <c r="F1384" i="2"/>
  <c r="F1385" i="2"/>
  <c r="F1386" i="2"/>
  <c r="F1387" i="2"/>
  <c r="F1388" i="2"/>
  <c r="F1389" i="2"/>
  <c r="F1390" i="2"/>
  <c r="F1391" i="2"/>
  <c r="F1392" i="2"/>
  <c r="F1393" i="2"/>
  <c r="F1394" i="2"/>
  <c r="F1395" i="2"/>
  <c r="F1396" i="2"/>
  <c r="F1397" i="2"/>
  <c r="F1398" i="2"/>
  <c r="F1399" i="2"/>
  <c r="F1400" i="2"/>
  <c r="F1401" i="2"/>
  <c r="F1402" i="2"/>
  <c r="F1403" i="2"/>
  <c r="F1404" i="2"/>
  <c r="F1405" i="2"/>
  <c r="F1406" i="2"/>
  <c r="F1407" i="2"/>
  <c r="F1408" i="2"/>
  <c r="F1409" i="2"/>
  <c r="F1410" i="2"/>
  <c r="F1411" i="2"/>
  <c r="F1412" i="2"/>
  <c r="F1413" i="2"/>
  <c r="F1414" i="2"/>
  <c r="F1415" i="2"/>
  <c r="F1416" i="2"/>
  <c r="F1417" i="2"/>
  <c r="F1418" i="2"/>
  <c r="F1419" i="2"/>
  <c r="F1420" i="2"/>
  <c r="F1421" i="2"/>
  <c r="F1422" i="2"/>
  <c r="F1423" i="2"/>
  <c r="F1424" i="2"/>
  <c r="F1425" i="2"/>
  <c r="F1426" i="2"/>
  <c r="F1427" i="2"/>
  <c r="F1428" i="2"/>
  <c r="F1429" i="2"/>
  <c r="F1430" i="2"/>
  <c r="F1431" i="2"/>
  <c r="F1432" i="2"/>
  <c r="F1433" i="2"/>
  <c r="F1434" i="2"/>
  <c r="F1435" i="2"/>
  <c r="F1436" i="2"/>
  <c r="F1437" i="2"/>
  <c r="F1438" i="2"/>
  <c r="F1439" i="2"/>
  <c r="F1440" i="2"/>
  <c r="F1441" i="2"/>
  <c r="F2" i="2"/>
  <c r="K2" i="3" l="1"/>
  <c r="B2" i="3" s="1"/>
  <c r="K3" i="3"/>
  <c r="B3" i="3" s="1"/>
  <c r="E3" i="3" s="1"/>
  <c r="K4" i="3"/>
  <c r="B4" i="3" s="1"/>
  <c r="E4" i="3" s="1"/>
  <c r="O2" i="3"/>
  <c r="K8" i="3"/>
  <c r="B8" i="3" s="1"/>
  <c r="E8" i="3" s="1"/>
  <c r="K12" i="3"/>
  <c r="B12" i="3" s="1"/>
  <c r="E12" i="3" s="1"/>
  <c r="K17" i="3"/>
  <c r="B17" i="3" s="1"/>
  <c r="E17" i="3" s="1"/>
  <c r="T12" i="3"/>
  <c r="O8" i="3"/>
  <c r="U64" i="3" l="1"/>
  <c r="U72" i="3"/>
  <c r="U97" i="3"/>
  <c r="U99" i="3"/>
  <c r="U98" i="3"/>
  <c r="U101" i="3"/>
  <c r="U100" i="3"/>
  <c r="U96" i="3"/>
  <c r="U94" i="3"/>
  <c r="U95" i="3"/>
  <c r="U93" i="3"/>
  <c r="U90" i="3"/>
  <c r="U92" i="3"/>
  <c r="U91" i="3"/>
  <c r="U88" i="3"/>
  <c r="U89" i="3"/>
  <c r="U85" i="3"/>
  <c r="U87" i="3"/>
  <c r="U86" i="3"/>
  <c r="U82" i="3"/>
  <c r="U84" i="3"/>
  <c r="U83" i="3"/>
  <c r="U81" i="3"/>
  <c r="U78" i="3"/>
  <c r="U79" i="3"/>
  <c r="U74" i="3"/>
  <c r="U76" i="3"/>
  <c r="U80" i="3"/>
  <c r="U77" i="3"/>
  <c r="U75" i="3"/>
  <c r="U73" i="3"/>
  <c r="U69" i="3"/>
  <c r="U65" i="3"/>
  <c r="U70" i="3"/>
  <c r="U67" i="3"/>
  <c r="U63" i="3"/>
  <c r="U68" i="3"/>
  <c r="U66" i="3"/>
  <c r="U71" i="3"/>
  <c r="U62" i="3"/>
  <c r="U61" i="3"/>
  <c r="U55" i="3"/>
  <c r="U52" i="3"/>
  <c r="U50" i="3"/>
  <c r="U48" i="3"/>
  <c r="U59" i="3"/>
  <c r="U51" i="3"/>
  <c r="U58" i="3"/>
  <c r="U56" i="3"/>
  <c r="U53" i="3"/>
  <c r="U60" i="3"/>
  <c r="U54" i="3"/>
  <c r="U49" i="3"/>
  <c r="U57" i="3"/>
  <c r="U46" i="3"/>
  <c r="U38" i="3"/>
  <c r="U42" i="3"/>
  <c r="U39" i="3"/>
  <c r="U37" i="3"/>
  <c r="U45" i="3"/>
  <c r="U47" i="3"/>
  <c r="U41" i="3"/>
  <c r="U43" i="3"/>
  <c r="U44" i="3"/>
  <c r="U40" i="3"/>
  <c r="U26" i="3"/>
  <c r="U32" i="3"/>
  <c r="U28" i="3"/>
  <c r="U30" i="3"/>
  <c r="U34" i="3"/>
  <c r="U25" i="3"/>
  <c r="U36" i="3"/>
  <c r="U33" i="3"/>
  <c r="U31" i="3"/>
  <c r="U27" i="3"/>
  <c r="U29" i="3"/>
  <c r="U35" i="3"/>
  <c r="U24" i="3"/>
  <c r="U18" i="3"/>
  <c r="U20" i="3"/>
  <c r="U19" i="3"/>
  <c r="U21" i="3"/>
  <c r="U22" i="3"/>
  <c r="U23" i="3"/>
  <c r="U13" i="3"/>
  <c r="U14" i="3"/>
  <c r="U15" i="3"/>
  <c r="U16" i="3"/>
  <c r="U10" i="3"/>
  <c r="U11" i="3"/>
  <c r="U9" i="3"/>
  <c r="U7" i="3"/>
  <c r="U6" i="3"/>
  <c r="U5" i="3"/>
  <c r="E2" i="3"/>
  <c r="S2" i="3"/>
  <c r="O3" i="3"/>
  <c r="O4" i="3"/>
  <c r="S3" i="3"/>
  <c r="P2" i="3"/>
  <c r="N2" i="3" s="1"/>
  <c r="P3" i="3"/>
  <c r="T2" i="3"/>
  <c r="Y2" i="3" s="1"/>
  <c r="T3" i="3"/>
  <c r="T4" i="3"/>
  <c r="S4" i="3"/>
  <c r="V3" i="3"/>
  <c r="P4" i="3"/>
  <c r="O17" i="3"/>
  <c r="O12" i="3"/>
  <c r="V4" i="3"/>
  <c r="S12" i="3"/>
  <c r="R12" i="3" s="1"/>
  <c r="T8" i="3"/>
  <c r="P12" i="3"/>
  <c r="S8" i="3"/>
  <c r="P8" i="3"/>
  <c r="Y8" i="3" s="1"/>
  <c r="P17" i="3"/>
  <c r="S17" i="3"/>
  <c r="T17" i="3"/>
  <c r="N3" i="3" l="1"/>
  <c r="N4" i="3"/>
  <c r="R3" i="3"/>
  <c r="R2" i="3"/>
  <c r="Y3" i="3"/>
  <c r="R8" i="3"/>
  <c r="X2" i="3"/>
  <c r="N12" i="3"/>
  <c r="W2" i="3"/>
  <c r="Y4" i="3"/>
  <c r="R4" i="3"/>
  <c r="Y12" i="3"/>
  <c r="N17" i="3"/>
  <c r="N8" i="3"/>
  <c r="X8" i="3" s="1"/>
  <c r="W8" i="3"/>
  <c r="R17" i="3"/>
  <c r="Y17" i="3"/>
  <c r="B3" i="8" l="1"/>
  <c r="B4" i="8"/>
  <c r="B5" i="8"/>
  <c r="B6" i="8"/>
  <c r="B7" i="8"/>
  <c r="B8" i="8"/>
  <c r="B9" i="8"/>
  <c r="B10" i="8"/>
  <c r="B11" i="8"/>
  <c r="B12" i="8"/>
  <c r="B13" i="8"/>
  <c r="B2" i="8"/>
  <c r="G2" i="7" l="1"/>
  <c r="G3" i="7"/>
  <c r="G4" i="7"/>
  <c r="G5" i="7"/>
  <c r="G6" i="7"/>
  <c r="G7" i="7"/>
  <c r="G8" i="7"/>
  <c r="G9" i="7"/>
  <c r="H2" i="7"/>
  <c r="H3" i="7"/>
  <c r="H4" i="7"/>
  <c r="H5" i="7"/>
  <c r="H6" i="7"/>
  <c r="H7" i="7"/>
  <c r="H8" i="7"/>
  <c r="H9" i="7"/>
  <c r="D2" i="7"/>
  <c r="D3" i="7"/>
  <c r="D4" i="7"/>
  <c r="D5" i="7"/>
  <c r="D6" i="7"/>
  <c r="D7" i="7"/>
  <c r="D8" i="7"/>
  <c r="D9" i="7"/>
  <c r="E4" i="7" l="1"/>
  <c r="E5" i="7"/>
  <c r="E6" i="7"/>
  <c r="E7" i="7"/>
  <c r="E8" i="7"/>
  <c r="E9" i="7"/>
  <c r="F7" i="7" l="1"/>
  <c r="F6" i="7"/>
  <c r="F9" i="7"/>
  <c r="F5" i="7"/>
  <c r="F8" i="7"/>
  <c r="F4" i="7"/>
  <c r="C7" i="7"/>
  <c r="C6" i="7"/>
  <c r="C8" i="7"/>
  <c r="C4" i="7"/>
  <c r="C9" i="7"/>
  <c r="C5" i="7"/>
  <c r="E3" i="7"/>
  <c r="F3" i="7"/>
  <c r="F2" i="7"/>
  <c r="E2" i="7"/>
  <c r="C3" i="7" l="1"/>
  <c r="C2" i="7"/>
  <c r="I12" i="8" l="1"/>
  <c r="U3" i="3"/>
  <c r="U4" i="3"/>
  <c r="U2" i="3"/>
  <c r="U12" i="3"/>
  <c r="U8" i="3"/>
  <c r="U17" i="3"/>
  <c r="I7" i="8" l="1"/>
  <c r="I10" i="8"/>
  <c r="I9" i="8"/>
  <c r="I6" i="8"/>
  <c r="I4" i="8"/>
  <c r="I11" i="8"/>
  <c r="I8" i="8"/>
  <c r="I5" i="8"/>
  <c r="I13" i="8"/>
  <c r="I3" i="8"/>
  <c r="I2" i="8"/>
  <c r="D2" i="5"/>
  <c r="E2" i="5"/>
  <c r="F2" i="5"/>
  <c r="G2" i="5"/>
  <c r="H2" i="5"/>
  <c r="I2" i="5"/>
  <c r="J2" i="5"/>
  <c r="K2" i="5"/>
  <c r="L2" i="5"/>
  <c r="M2" i="5"/>
  <c r="N2" i="5"/>
  <c r="O2" i="5"/>
  <c r="P2" i="5"/>
  <c r="Q2" i="5"/>
  <c r="D3" i="5"/>
  <c r="D4" i="5" s="1"/>
  <c r="E3" i="5"/>
  <c r="E8" i="5" s="1"/>
  <c r="F3" i="5"/>
  <c r="F4" i="5" s="1"/>
  <c r="G3" i="5"/>
  <c r="G4" i="5" s="1"/>
  <c r="H3" i="5"/>
  <c r="H4" i="5" s="1"/>
  <c r="I3" i="5"/>
  <c r="I8" i="5" s="1"/>
  <c r="J3" i="5"/>
  <c r="J4" i="5" s="1"/>
  <c r="K3" i="5"/>
  <c r="K8" i="5" s="1"/>
  <c r="L3" i="5"/>
  <c r="L4" i="5" s="1"/>
  <c r="M3" i="5"/>
  <c r="M8" i="5" s="1"/>
  <c r="N3" i="5"/>
  <c r="N7" i="5" s="1"/>
  <c r="O3" i="5"/>
  <c r="O7" i="5" s="1"/>
  <c r="P3" i="5"/>
  <c r="P4" i="5" s="1"/>
  <c r="Q3" i="5"/>
  <c r="Q4" i="5" s="1"/>
  <c r="D5" i="5"/>
  <c r="E5" i="5"/>
  <c r="F5" i="5"/>
  <c r="G5" i="5"/>
  <c r="H5" i="5"/>
  <c r="I5" i="5"/>
  <c r="J5" i="5"/>
  <c r="K5" i="5"/>
  <c r="L5" i="5"/>
  <c r="M5" i="5"/>
  <c r="N5" i="5"/>
  <c r="O5" i="5"/>
  <c r="P5" i="5"/>
  <c r="Q5" i="5"/>
  <c r="D6" i="5"/>
  <c r="E6" i="5"/>
  <c r="F6" i="5"/>
  <c r="G6" i="5"/>
  <c r="H6" i="5"/>
  <c r="I6" i="5"/>
  <c r="J6" i="5"/>
  <c r="K6" i="5"/>
  <c r="L6" i="5"/>
  <c r="M6" i="5"/>
  <c r="N6" i="5"/>
  <c r="O6" i="5"/>
  <c r="P6" i="5"/>
  <c r="Q6" i="5"/>
  <c r="D9" i="5"/>
  <c r="E9" i="5"/>
  <c r="F9" i="5"/>
  <c r="G9" i="5"/>
  <c r="H9" i="5"/>
  <c r="I9" i="5"/>
  <c r="J9" i="5"/>
  <c r="K9" i="5"/>
  <c r="L9" i="5"/>
  <c r="M9" i="5"/>
  <c r="N9" i="5"/>
  <c r="O9" i="5"/>
  <c r="P9" i="5"/>
  <c r="Q9" i="5"/>
  <c r="D10" i="5"/>
  <c r="E10" i="5"/>
  <c r="F10" i="5"/>
  <c r="G10" i="5"/>
  <c r="H10" i="5"/>
  <c r="I10" i="5"/>
  <c r="J10" i="5"/>
  <c r="K10" i="5"/>
  <c r="L10" i="5"/>
  <c r="M10" i="5"/>
  <c r="N10" i="5"/>
  <c r="O10" i="5"/>
  <c r="P10" i="5"/>
  <c r="Q10" i="5"/>
  <c r="D11" i="5"/>
  <c r="E11" i="5"/>
  <c r="F11" i="5"/>
  <c r="G11" i="5"/>
  <c r="H11" i="5"/>
  <c r="I11" i="5"/>
  <c r="J11" i="5"/>
  <c r="K11" i="5"/>
  <c r="L11" i="5"/>
  <c r="M11" i="5"/>
  <c r="N11" i="5"/>
  <c r="O11" i="5"/>
  <c r="P11" i="5"/>
  <c r="Q11" i="5"/>
  <c r="D12" i="5"/>
  <c r="E12" i="5"/>
  <c r="F12" i="5"/>
  <c r="G12" i="5"/>
  <c r="H12" i="5"/>
  <c r="I12" i="5"/>
  <c r="J12" i="5"/>
  <c r="K12" i="5"/>
  <c r="L12" i="5"/>
  <c r="M12" i="5"/>
  <c r="N12" i="5"/>
  <c r="O12" i="5"/>
  <c r="P12" i="5"/>
  <c r="Q12" i="5"/>
  <c r="D13" i="5"/>
  <c r="E13" i="5"/>
  <c r="F13" i="5"/>
  <c r="G13" i="5"/>
  <c r="H13" i="5"/>
  <c r="I13" i="5"/>
  <c r="J13" i="5"/>
  <c r="K13" i="5"/>
  <c r="L13" i="5"/>
  <c r="M13" i="5"/>
  <c r="N13" i="5"/>
  <c r="O13" i="5"/>
  <c r="P13" i="5"/>
  <c r="Q13" i="5"/>
  <c r="C2" i="5"/>
  <c r="C3" i="5"/>
  <c r="C7" i="5" s="1"/>
  <c r="C5" i="5"/>
  <c r="C6" i="5"/>
  <c r="C9" i="5"/>
  <c r="C10" i="5"/>
  <c r="C11" i="5"/>
  <c r="C12" i="5"/>
  <c r="C13" i="5"/>
  <c r="B13" i="5"/>
  <c r="H8" i="5" l="1"/>
  <c r="O8" i="5"/>
  <c r="G7" i="5"/>
  <c r="G8" i="5"/>
  <c r="J7" i="5"/>
  <c r="J8" i="5"/>
  <c r="N4" i="5"/>
  <c r="F8" i="5"/>
  <c r="K7" i="5"/>
  <c r="O4" i="5"/>
  <c r="N8" i="5"/>
  <c r="F7" i="5"/>
  <c r="K4" i="5"/>
  <c r="L8" i="5"/>
  <c r="P8" i="5"/>
  <c r="D8" i="5"/>
  <c r="Q7" i="5"/>
  <c r="P7" i="5"/>
  <c r="L7" i="5"/>
  <c r="H7" i="5"/>
  <c r="D7" i="5"/>
  <c r="M4" i="5"/>
  <c r="I4" i="5"/>
  <c r="E4" i="5"/>
  <c r="M7" i="5"/>
  <c r="I7" i="5"/>
  <c r="E7" i="5"/>
  <c r="Q8" i="5"/>
  <c r="C8" i="5"/>
  <c r="C4" i="5"/>
  <c r="B2" i="5"/>
  <c r="B10" i="5"/>
  <c r="B3" i="5"/>
  <c r="B11" i="5"/>
  <c r="B6" i="5"/>
  <c r="B12" i="5"/>
  <c r="B5" i="5"/>
  <c r="B9" i="5"/>
  <c r="M32" i="3" l="1"/>
  <c r="M33" i="3"/>
  <c r="M18" i="3"/>
  <c r="M9" i="3"/>
  <c r="M26" i="3"/>
  <c r="M6" i="3"/>
  <c r="M5" i="3"/>
  <c r="Q33" i="3"/>
  <c r="Q31" i="3"/>
  <c r="Q27" i="3"/>
  <c r="Q14" i="3"/>
  <c r="Q32" i="3"/>
  <c r="Q30" i="3"/>
  <c r="Q20" i="3"/>
  <c r="Q26" i="3"/>
  <c r="Q10" i="3"/>
  <c r="B8" i="5"/>
  <c r="B4" i="5"/>
  <c r="M30" i="3" s="1"/>
  <c r="B7" i="5"/>
  <c r="X33" i="3" l="1"/>
  <c r="W33" i="3"/>
  <c r="W30" i="3"/>
  <c r="X30" i="3"/>
  <c r="X32" i="3"/>
  <c r="W32" i="3"/>
  <c r="Q5" i="3"/>
  <c r="Q19" i="3"/>
  <c r="Q18" i="3"/>
  <c r="Q11" i="3"/>
  <c r="M34" i="3"/>
  <c r="M15" i="3"/>
  <c r="M23" i="3"/>
  <c r="M24" i="3"/>
  <c r="Q28" i="3"/>
  <c r="Q9" i="3"/>
  <c r="Q15" i="3"/>
  <c r="Q35" i="3"/>
  <c r="M29" i="3"/>
  <c r="M25" i="3"/>
  <c r="M20" i="3"/>
  <c r="X20" i="3" s="1"/>
  <c r="Q13" i="3"/>
  <c r="Q16" i="3"/>
  <c r="M19" i="3"/>
  <c r="M22" i="3"/>
  <c r="M31" i="3"/>
  <c r="X31" i="3" s="1"/>
  <c r="W26" i="3"/>
  <c r="X26" i="3"/>
  <c r="Q21" i="3"/>
  <c r="Q29" i="3"/>
  <c r="Q22" i="3"/>
  <c r="M28" i="3"/>
  <c r="M16" i="3"/>
  <c r="M10" i="3"/>
  <c r="W10" i="3" s="1"/>
  <c r="Q6" i="3"/>
  <c r="Q36" i="3"/>
  <c r="Q24" i="3"/>
  <c r="M7" i="3"/>
  <c r="M13" i="3"/>
  <c r="M27" i="3"/>
  <c r="W27" i="3" s="1"/>
  <c r="M36" i="3"/>
  <c r="M14" i="3"/>
  <c r="X14" i="3" s="1"/>
  <c r="Q7" i="3"/>
  <c r="Q23" i="3"/>
  <c r="Q34" i="3"/>
  <c r="Q25" i="3"/>
  <c r="M21" i="3"/>
  <c r="M11" i="3"/>
  <c r="M35" i="3"/>
  <c r="Q3" i="3"/>
  <c r="M8" i="3"/>
  <c r="M4" i="3"/>
  <c r="M3" i="3"/>
  <c r="Q8" i="3"/>
  <c r="M2" i="3"/>
  <c r="Q12" i="3"/>
  <c r="Q17" i="3"/>
  <c r="Q2" i="3"/>
  <c r="M17" i="3"/>
  <c r="Q4" i="3"/>
  <c r="M12" i="3"/>
  <c r="W31" i="3" l="1"/>
  <c r="X29" i="3"/>
  <c r="W29" i="3"/>
  <c r="X10" i="3"/>
  <c r="X25" i="3"/>
  <c r="W25" i="3"/>
  <c r="X27" i="3"/>
  <c r="X7" i="3"/>
  <c r="W7" i="3"/>
  <c r="X34" i="3"/>
  <c r="W34" i="3"/>
  <c r="W23" i="3"/>
  <c r="X23" i="3"/>
  <c r="W14" i="3"/>
  <c r="W36" i="3"/>
  <c r="X36" i="3"/>
  <c r="W35" i="3"/>
  <c r="X35" i="3"/>
  <c r="X11" i="3"/>
  <c r="W11" i="3"/>
  <c r="W6" i="3"/>
  <c r="X6" i="3"/>
  <c r="W22" i="3"/>
  <c r="X22" i="3"/>
  <c r="X16" i="3"/>
  <c r="W16" i="3"/>
  <c r="X15" i="3"/>
  <c r="W15" i="3"/>
  <c r="W18" i="3"/>
  <c r="X18" i="3"/>
  <c r="W20" i="3"/>
  <c r="X13" i="3"/>
  <c r="W13" i="3"/>
  <c r="W9" i="3"/>
  <c r="X9" i="3"/>
  <c r="X19" i="3"/>
  <c r="W19" i="3"/>
  <c r="W21" i="3"/>
  <c r="X21" i="3"/>
  <c r="X5" i="3"/>
  <c r="W5" i="3"/>
  <c r="X17" i="3"/>
  <c r="W17" i="3"/>
  <c r="X4" i="3"/>
  <c r="W4" i="3"/>
  <c r="X12" i="3"/>
  <c r="W12" i="3"/>
  <c r="W3" i="3"/>
  <c r="X3" i="3"/>
  <c r="V64" i="3" l="1"/>
  <c r="V72" i="3"/>
  <c r="V96" i="3"/>
  <c r="V94" i="3"/>
  <c r="V91" i="3"/>
  <c r="V92" i="3"/>
  <c r="V88" i="3"/>
  <c r="V90" i="3"/>
  <c r="V81" i="3"/>
  <c r="V85" i="3"/>
  <c r="V73" i="3"/>
  <c r="V75" i="3"/>
  <c r="V61" i="3"/>
  <c r="V65" i="3"/>
  <c r="V36" i="3"/>
  <c r="V37" i="3"/>
  <c r="V41" i="3"/>
  <c r="V34" i="3"/>
  <c r="V50" i="3"/>
  <c r="V42" i="3"/>
  <c r="V56" i="3"/>
  <c r="V52" i="3"/>
  <c r="V47" i="3"/>
  <c r="V28" i="3"/>
  <c r="V30" i="3"/>
  <c r="V33" i="3"/>
  <c r="V31" i="3"/>
  <c r="V29" i="3"/>
  <c r="V32" i="3"/>
  <c r="V17" i="3"/>
  <c r="V24" i="3"/>
  <c r="V12" i="3"/>
  <c r="G12" i="8"/>
  <c r="H12" i="8" s="1"/>
  <c r="G11" i="8"/>
  <c r="H11" i="8" s="1"/>
  <c r="G10" i="8"/>
  <c r="H10" i="8" s="1"/>
  <c r="G13" i="8"/>
  <c r="H13" i="8" s="1"/>
  <c r="G6" i="8"/>
  <c r="H6" i="8" s="1"/>
  <c r="G8" i="8"/>
  <c r="G4" i="8"/>
  <c r="H4" i="8" s="1"/>
  <c r="G3" i="8"/>
  <c r="H3" i="8" s="1"/>
  <c r="G5" i="8"/>
  <c r="H5" i="8" s="1"/>
  <c r="G2" i="8"/>
  <c r="H2" i="8" s="1"/>
  <c r="G9" i="8"/>
  <c r="H9" i="8" s="1"/>
  <c r="G7" i="8"/>
  <c r="H7" i="8" s="1"/>
  <c r="C6" i="8"/>
  <c r="D6" i="8" s="1"/>
  <c r="H8" i="8" l="1"/>
  <c r="R8" i="8" s="1"/>
  <c r="P6" i="8"/>
  <c r="R3" i="8"/>
  <c r="R4" i="8"/>
  <c r="R6" i="8"/>
  <c r="R7" i="8"/>
  <c r="R13" i="8"/>
  <c r="R9" i="8"/>
  <c r="R10" i="8"/>
  <c r="R2" i="8"/>
  <c r="R11" i="8"/>
  <c r="R5" i="8"/>
  <c r="R12" i="8"/>
  <c r="V2" i="3"/>
  <c r="V8" i="3"/>
  <c r="C11" i="8"/>
  <c r="D11" i="8" s="1"/>
  <c r="C3" i="8"/>
  <c r="D3" i="8" s="1"/>
  <c r="C13" i="8"/>
  <c r="D13" i="8" s="1"/>
  <c r="C5" i="8"/>
  <c r="D5" i="8" s="1"/>
  <c r="E11" i="8"/>
  <c r="F11" i="8" s="1"/>
  <c r="E2" i="8"/>
  <c r="F2" i="8" s="1"/>
  <c r="E10" i="8"/>
  <c r="F10" i="8" s="1"/>
  <c r="E3" i="8"/>
  <c r="F3" i="8" s="1"/>
  <c r="E13" i="8"/>
  <c r="F13" i="8" s="1"/>
  <c r="E12" i="8"/>
  <c r="F12" i="8" s="1"/>
  <c r="E5" i="8"/>
  <c r="F5" i="8" s="1"/>
  <c r="E7" i="8"/>
  <c r="F7" i="8" s="1"/>
  <c r="E4" i="8"/>
  <c r="F4" i="8" s="1"/>
  <c r="E6" i="8"/>
  <c r="F6" i="8" s="1"/>
  <c r="E9" i="8"/>
  <c r="F9" i="8" s="1"/>
  <c r="E8" i="8"/>
  <c r="F8" i="8" s="1"/>
  <c r="C8" i="8"/>
  <c r="C10" i="8"/>
  <c r="C9" i="8"/>
  <c r="C4" i="8"/>
  <c r="C2" i="8"/>
  <c r="C7" i="8"/>
  <c r="D7" i="8" s="1"/>
  <c r="C12" i="8"/>
  <c r="D12" i="8" s="1"/>
  <c r="M2" i="8" l="1"/>
  <c r="D10" i="8"/>
  <c r="P10" i="8" s="1"/>
  <c r="M10" i="8"/>
  <c r="D9" i="8"/>
  <c r="M9" i="8"/>
  <c r="D2" i="8"/>
  <c r="K2" i="8"/>
  <c r="L2" i="8" s="1"/>
  <c r="D8" i="8"/>
  <c r="P8" i="8" s="1"/>
  <c r="D4" i="8"/>
  <c r="P4" i="8" s="1"/>
  <c r="M4" i="8"/>
  <c r="M6" i="8"/>
  <c r="M8" i="8"/>
  <c r="M11" i="8"/>
  <c r="P3" i="8"/>
  <c r="M3" i="8"/>
  <c r="N3" i="8" s="1"/>
  <c r="O3" i="8" s="1"/>
  <c r="M12" i="8"/>
  <c r="M7" i="8"/>
  <c r="M5" i="8"/>
  <c r="M13" i="8"/>
  <c r="N13" i="8" s="1"/>
  <c r="O13" i="8" s="1"/>
  <c r="H14" i="8"/>
  <c r="R14" i="8"/>
  <c r="Q13" i="8"/>
  <c r="Q8" i="8"/>
  <c r="Q3" i="8"/>
  <c r="Q9" i="8"/>
  <c r="Q10" i="8"/>
  <c r="Q4" i="8"/>
  <c r="Q11" i="8"/>
  <c r="Q7" i="8"/>
  <c r="Q5" i="8"/>
  <c r="Q12" i="8"/>
  <c r="K7" i="8"/>
  <c r="L7" i="8" s="1"/>
  <c r="K4" i="8"/>
  <c r="L4" i="8" s="1"/>
  <c r="K5" i="8"/>
  <c r="L5" i="8" s="1"/>
  <c r="P5" i="8"/>
  <c r="K9" i="8"/>
  <c r="L9" i="8" s="1"/>
  <c r="K13" i="8"/>
  <c r="L13" i="8" s="1"/>
  <c r="P13" i="8"/>
  <c r="K10" i="8"/>
  <c r="L10" i="8" s="1"/>
  <c r="K3" i="8"/>
  <c r="L3" i="8" s="1"/>
  <c r="K8" i="8"/>
  <c r="L8" i="8" s="1"/>
  <c r="K11" i="8"/>
  <c r="L11" i="8" s="1"/>
  <c r="P12" i="8"/>
  <c r="K12" i="8"/>
  <c r="L12" i="8" s="1"/>
  <c r="K6" i="8"/>
  <c r="L6" i="8" s="1"/>
  <c r="Q2" i="8"/>
  <c r="N8" i="8" l="1"/>
  <c r="S8" i="8" s="1"/>
  <c r="N12" i="8"/>
  <c r="O12" i="8" s="1"/>
  <c r="N4" i="8"/>
  <c r="O4" i="8" s="1"/>
  <c r="N7" i="8"/>
  <c r="O7" i="8" s="1"/>
  <c r="N11" i="8"/>
  <c r="S11" i="8" s="1"/>
  <c r="N10" i="8"/>
  <c r="O10" i="8" s="1"/>
  <c r="N5" i="8"/>
  <c r="O5" i="8" s="1"/>
  <c r="N6" i="8"/>
  <c r="O6" i="8" s="1"/>
  <c r="N9" i="8"/>
  <c r="N2" i="8"/>
  <c r="O2" i="8" s="1"/>
  <c r="S2" i="8"/>
  <c r="Q6" i="8"/>
  <c r="Q14" i="8" s="1"/>
  <c r="F14" i="8"/>
  <c r="P2" i="8"/>
  <c r="P7" i="8"/>
  <c r="D14" i="8"/>
  <c r="P9" i="8"/>
  <c r="P11" i="8"/>
  <c r="O8" i="8" l="1"/>
  <c r="S7" i="8"/>
  <c r="O11" i="8"/>
  <c r="S10" i="8"/>
  <c r="S12" i="8"/>
  <c r="S6" i="8"/>
  <c r="S9" i="8"/>
  <c r="O9" i="8"/>
  <c r="S13" i="8"/>
  <c r="P14" i="8"/>
  <c r="L14" i="8"/>
  <c r="I14" i="8" l="1"/>
  <c r="S4" i="8"/>
  <c r="S3" i="8"/>
  <c r="S5" i="8"/>
  <c r="J2" i="8"/>
  <c r="J11" i="8"/>
  <c r="J8" i="8"/>
  <c r="J5" i="8"/>
  <c r="N14" i="8"/>
  <c r="O14" i="8"/>
  <c r="S14" i="8" l="1"/>
  <c r="U2" i="8"/>
  <c r="U3" i="8" s="1"/>
  <c r="U4" i="8" s="1"/>
  <c r="U5" i="8" s="1"/>
  <c r="U6" i="8" s="1"/>
  <c r="U7" i="8" s="1"/>
  <c r="U8" i="8" s="1"/>
  <c r="U9" i="8" s="1"/>
  <c r="U10" i="8" s="1"/>
  <c r="U11" i="8" s="1"/>
  <c r="U12" i="8" s="1"/>
  <c r="U13" i="8" s="1"/>
  <c r="U14" i="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K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  <comment ref="L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  <comment ref="B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HAFIZOU Christopher</author>
  </authors>
  <commentList>
    <comment ref="E1" authorId="0" shapeId="0" xr:uid="{D323F31D-4F07-4936-A39B-AAA080DF54A4}">
      <text>
        <r>
          <rPr>
            <b/>
            <sz val="9"/>
            <color indexed="81"/>
            <rFont val="Tahoma"/>
            <charset val="1"/>
          </rPr>
          <t>formule pour arrondi &gt; (15,30,45…)
=SI(E5=0;0;ARRONDI.SUP(E5*4*24+1/60/24;0)/4/24)</t>
        </r>
      </text>
    </comment>
  </commentList>
</comments>
</file>

<file path=xl/sharedStrings.xml><?xml version="1.0" encoding="utf-8"?>
<sst xmlns="http://schemas.openxmlformats.org/spreadsheetml/2006/main" count="163" uniqueCount="105">
  <si>
    <t>Date</t>
  </si>
  <si>
    <t>Véhicule</t>
  </si>
  <si>
    <t>VSAV</t>
  </si>
  <si>
    <t>FPTL</t>
  </si>
  <si>
    <t>CCF</t>
  </si>
  <si>
    <t>VLOD</t>
  </si>
  <si>
    <t>Lundi de Pâques</t>
  </si>
  <si>
    <t>Assomption</t>
  </si>
  <si>
    <t>Armistice</t>
  </si>
  <si>
    <t>Noël</t>
  </si>
  <si>
    <t>Jours fériés</t>
  </si>
  <si>
    <t>Début Dim ou Férié</t>
  </si>
  <si>
    <t>Fin Dim ou Férié</t>
  </si>
  <si>
    <t>Hfin corrigée</t>
  </si>
  <si>
    <t>Durée interv. dim ou férié</t>
  </si>
  <si>
    <t>Durée interv. nuit</t>
  </si>
  <si>
    <t>Durée interv. jour</t>
  </si>
  <si>
    <t>Hdébut interv.</t>
  </si>
  <si>
    <t>Hfin Interv.</t>
  </si>
  <si>
    <t>JOUR1</t>
  </si>
  <si>
    <t>NUIT1.1</t>
  </si>
  <si>
    <t>NUIT1.2</t>
  </si>
  <si>
    <t>JOUR2</t>
  </si>
  <si>
    <t>NUIT2.1</t>
  </si>
  <si>
    <t>NUIT2.2</t>
  </si>
  <si>
    <t>Hdébut corrigé</t>
  </si>
  <si>
    <t>Véhicules</t>
  </si>
  <si>
    <t>Fin Nuit</t>
  </si>
  <si>
    <t>Début Nuit</t>
  </si>
  <si>
    <t>Taux sans interv.</t>
  </si>
  <si>
    <t>Taux interv. jour</t>
  </si>
  <si>
    <t>Taux interv. dim ou férié</t>
  </si>
  <si>
    <t>Taux interv. nuit</t>
  </si>
  <si>
    <t>Interv. hors poste</t>
  </si>
  <si>
    <t>Premier de l'AN</t>
  </si>
  <si>
    <t>Pâques</t>
  </si>
  <si>
    <t>Fête du travail</t>
  </si>
  <si>
    <t>Victoire de 1945</t>
  </si>
  <si>
    <t>Ascension</t>
  </si>
  <si>
    <t>Pentecôte</t>
  </si>
  <si>
    <t>Fête nationale</t>
  </si>
  <si>
    <t>Toussaint</t>
  </si>
  <si>
    <t>Hdébut garde</t>
  </si>
  <si>
    <t>Hfin garde</t>
  </si>
  <si>
    <t>Garde / Interv.</t>
  </si>
  <si>
    <t>Total</t>
  </si>
  <si>
    <t>Année</t>
  </si>
  <si>
    <t>Mois</t>
  </si>
  <si>
    <t>indemnités sans inter</t>
  </si>
  <si>
    <t>indemnités inter dim/jr ferié</t>
  </si>
  <si>
    <t>indemnités inter Jr</t>
  </si>
  <si>
    <t>Indémnités inter. Nuit</t>
  </si>
  <si>
    <t>AVP</t>
  </si>
  <si>
    <t>TS</t>
  </si>
  <si>
    <t>Malaise</t>
  </si>
  <si>
    <t>Paturiante</t>
  </si>
  <si>
    <t xml:space="preserve">Agression </t>
  </si>
  <si>
    <t>Hémorragie</t>
  </si>
  <si>
    <t>Personne état d'ébiété</t>
  </si>
  <si>
    <t>Noyade</t>
  </si>
  <si>
    <t>Traumatime</t>
  </si>
  <si>
    <t>Autres</t>
  </si>
  <si>
    <t>Motif Départ</t>
  </si>
  <si>
    <t>Motifs Départ</t>
  </si>
  <si>
    <t>Malade</t>
  </si>
  <si>
    <t>Chute</t>
  </si>
  <si>
    <t>Brûlure</t>
  </si>
  <si>
    <t>Détres.Respi</t>
  </si>
  <si>
    <t>Heures</t>
  </si>
  <si>
    <t>Arrondi</t>
  </si>
  <si>
    <t>budget annuel</t>
  </si>
  <si>
    <t>Nbre d'heure effectués/Trimestre</t>
  </si>
  <si>
    <t>H max annuel 1440</t>
  </si>
  <si>
    <t>H max Trimestriel 360</t>
  </si>
  <si>
    <t>H max mensuel 120</t>
  </si>
  <si>
    <t>H min annuel 384</t>
  </si>
  <si>
    <t>H min trimestriel 96</t>
  </si>
  <si>
    <t>H min mensuel 0</t>
  </si>
  <si>
    <t>INC</t>
  </si>
  <si>
    <t>Budget restant</t>
  </si>
  <si>
    <t>&gt;24h</t>
  </si>
  <si>
    <t xml:space="preserve">Oui </t>
  </si>
  <si>
    <t>Réponses</t>
  </si>
  <si>
    <t>Total durée inter / +arrondi</t>
  </si>
  <si>
    <t>Sapeur</t>
  </si>
  <si>
    <t>Formation</t>
  </si>
  <si>
    <t>mars</t>
  </si>
  <si>
    <t>mai</t>
  </si>
  <si>
    <t>août</t>
  </si>
  <si>
    <t>avril</t>
  </si>
  <si>
    <t>juillet</t>
  </si>
  <si>
    <t>septembre</t>
  </si>
  <si>
    <t>octobre</t>
  </si>
  <si>
    <t>novembre</t>
  </si>
  <si>
    <t>décembre</t>
  </si>
  <si>
    <t>janvier</t>
  </si>
  <si>
    <t>février</t>
  </si>
  <si>
    <t>GARDE CIS</t>
  </si>
  <si>
    <t>Garde de :</t>
  </si>
  <si>
    <t>Indemnités</t>
  </si>
  <si>
    <t>Garde postée au CIS</t>
  </si>
  <si>
    <t>Garde postée réelle</t>
  </si>
  <si>
    <t>Total activité du mois</t>
  </si>
  <si>
    <t xml:space="preserve">Reçu le mois de : </t>
  </si>
  <si>
    <t>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</si>
</sst>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* #,##0.00\ &quot;€&quot;_-;\-* #,##0.00\ &quot;€&quot;_-;_-* &quot;-&quot;??\ &quot;€&quot;_-;_-@_-"/>
    <numFmt numFmtId="164" formatCode="ddd\ dd\-mm"/>
    <numFmt numFmtId="165" formatCode="[$-40C]General"/>
    <numFmt numFmtId="166" formatCode="[hh]:mm"/>
    <numFmt numFmtId="167" formatCode="ddd\ dd\-mmm\-yyyy"/>
    <numFmt numFmtId="168" formatCode="d\ hh:mm"/>
    <numFmt numFmtId="169" formatCode="d\ * hh:mm"/>
    <numFmt numFmtId="170" formatCode="mmm"/>
    <numFmt numFmtId="171" formatCode="#,##0.00\ &quot;€&quot;"/>
    <numFmt numFmtId="172" formatCode="[$-F400]h:mm:ss\ AM/PM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Courier New"/>
      <family val="3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8" tint="-0.249977111117893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1"/>
      <color theme="8" tint="-0.249977111117893"/>
      <name val="Calibri"/>
      <scheme val="minor"/>
    </font>
    <font>
      <i/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i/>
      <sz val="11"/>
      <color theme="1" tint="4.9989318521683403E-2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theme="1" tint="4.9989318521683403E-2"/>
      <name val="Calibri"/>
      <scheme val="minor"/>
    </font>
    <font>
      <i/>
      <sz val="11"/>
      <color theme="1" tint="4.9989318521683403E-2"/>
      <name val="Calibri"/>
      <scheme val="minor"/>
    </font>
    <font>
      <b/>
      <i/>
      <sz val="11"/>
      <color theme="0" tint="-0.499984740745262"/>
      <name val="Calibri"/>
      <family val="2"/>
      <scheme val="minor"/>
    </font>
    <font>
      <b/>
      <sz val="9"/>
      <color indexed="81"/>
      <name val="Tahoma"/>
      <charset val="1"/>
    </font>
    <font>
      <i/>
      <sz val="11"/>
      <color theme="1" tint="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theme="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slantDashDot">
        <color auto="1"/>
      </left>
      <right/>
      <top/>
      <bottom/>
      <diagonal/>
    </border>
    <border>
      <left/>
      <right style="thin">
        <color theme="0"/>
      </right>
      <top style="thin">
        <color theme="4" tint="0.39997558519241921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double">
        <color theme="4" tint="0.3999450666829432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slantDashDot">
        <color auto="1"/>
      </right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  <border>
      <left/>
      <right/>
      <top/>
      <bottom style="double">
        <color indexed="64"/>
      </bottom>
      <diagonal/>
    </border>
    <border>
      <left style="slantDashDot">
        <color auto="1"/>
      </left>
      <right/>
      <top/>
      <bottom style="double">
        <color indexed="64"/>
      </bottom>
      <diagonal/>
    </border>
    <border>
      <left/>
      <right style="slantDashDot">
        <color auto="1"/>
      </right>
      <top/>
      <bottom style="double">
        <color indexed="64"/>
      </bottom>
      <diagonal/>
    </border>
  </borders>
  <cellStyleXfs count="13">
    <xf numFmtId="0" fontId="0" fillId="0" borderId="0"/>
    <xf numFmtId="44" fontId="1" fillId="0" borderId="0" applyFont="0" applyFill="0" applyBorder="0" applyAlignment="0" applyProtection="0"/>
    <xf numFmtId="0" fontId="4" fillId="0" borderId="0">
      <alignment horizontal="left" vertical="center"/>
    </xf>
    <xf numFmtId="1" fontId="4" fillId="0" borderId="0" applyBorder="0" applyProtection="0">
      <alignment horizontal="center" vertical="center"/>
    </xf>
    <xf numFmtId="0" fontId="5" fillId="0" borderId="0"/>
    <xf numFmtId="0" fontId="1" fillId="0" borderId="0"/>
    <xf numFmtId="165" fontId="4" fillId="0" borderId="0"/>
    <xf numFmtId="165" fontId="6" fillId="0" borderId="0"/>
    <xf numFmtId="165" fontId="6" fillId="0" borderId="0"/>
    <xf numFmtId="0" fontId="7" fillId="0" borderId="0"/>
    <xf numFmtId="0" fontId="8" fillId="0" borderId="0"/>
    <xf numFmtId="0" fontId="2" fillId="0" borderId="0"/>
    <xf numFmtId="0" fontId="4" fillId="0" borderId="0">
      <alignment horizontal="left" vertical="center"/>
    </xf>
  </cellStyleXfs>
  <cellXfs count="181">
    <xf numFmtId="0" fontId="0" fillId="0" borderId="0" xfId="0"/>
    <xf numFmtId="164" fontId="5" fillId="0" borderId="0" xfId="4" applyNumberFormat="1"/>
    <xf numFmtId="0" fontId="12" fillId="0" borderId="0" xfId="0" applyFont="1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3" fillId="0" borderId="0" xfId="4" applyFont="1"/>
    <xf numFmtId="0" fontId="13" fillId="0" borderId="0" xfId="0" applyFont="1" applyAlignment="1">
      <alignment horizontal="center"/>
    </xf>
    <xf numFmtId="0" fontId="12" fillId="0" borderId="0" xfId="0" applyFont="1" applyAlignment="1">
      <alignment vertical="center" wrapText="1"/>
    </xf>
    <xf numFmtId="169" fontId="12" fillId="0" borderId="0" xfId="0" applyNumberFormat="1" applyFont="1"/>
    <xf numFmtId="166" fontId="12" fillId="0" borderId="0" xfId="0" applyNumberFormat="1" applyFont="1"/>
    <xf numFmtId="44" fontId="12" fillId="0" borderId="0" xfId="1" applyFont="1"/>
    <xf numFmtId="169" fontId="15" fillId="0" borderId="0" xfId="0" applyNumberFormat="1" applyFont="1" applyAlignment="1">
      <alignment vertical="center" wrapText="1"/>
    </xf>
    <xf numFmtId="166" fontId="15" fillId="0" borderId="0" xfId="0" applyNumberFormat="1" applyFont="1" applyAlignment="1">
      <alignment vertical="center" wrapText="1"/>
    </xf>
    <xf numFmtId="0" fontId="0" fillId="0" borderId="1" xfId="0" applyBorder="1"/>
    <xf numFmtId="167" fontId="20" fillId="0" borderId="0" xfId="0" applyNumberFormat="1" applyFont="1" applyAlignment="1">
      <alignment horizontal="center" vertical="center"/>
    </xf>
    <xf numFmtId="0" fontId="3" fillId="0" borderId="3" xfId="0" applyFont="1" applyBorder="1"/>
    <xf numFmtId="166" fontId="19" fillId="2" borderId="3" xfId="0" applyNumberFormat="1" applyFont="1" applyFill="1" applyBorder="1"/>
    <xf numFmtId="171" fontId="19" fillId="0" borderId="3" xfId="0" applyNumberFormat="1" applyFont="1" applyBorder="1"/>
    <xf numFmtId="171" fontId="1" fillId="0" borderId="1" xfId="1" applyNumberFormat="1" applyBorder="1"/>
    <xf numFmtId="0" fontId="19" fillId="0" borderId="0" xfId="0" applyFont="1"/>
    <xf numFmtId="0" fontId="11" fillId="0" borderId="0" xfId="0" applyFont="1" applyAlignment="1">
      <alignment horizontal="center" vertical="center" wrapText="1"/>
    </xf>
    <xf numFmtId="166" fontId="15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66" fontId="15" fillId="0" borderId="10" xfId="0" applyNumberFormat="1" applyFont="1" applyBorder="1" applyAlignment="1">
      <alignment horizontal="center" vertical="center" wrapText="1"/>
    </xf>
    <xf numFmtId="169" fontId="11" fillId="0" borderId="0" xfId="0" applyNumberFormat="1" applyFont="1" applyAlignment="1">
      <alignment horizontal="center" vertical="center" wrapText="1"/>
    </xf>
    <xf numFmtId="166" fontId="11" fillId="0" borderId="0" xfId="0" applyNumberFormat="1" applyFont="1" applyAlignment="1">
      <alignment horizontal="center" vertical="center" wrapText="1"/>
    </xf>
    <xf numFmtId="166" fontId="11" fillId="0" borderId="10" xfId="0" applyNumberFormat="1" applyFont="1" applyBorder="1" applyAlignment="1">
      <alignment horizontal="center" vertical="center" wrapText="1"/>
    </xf>
    <xf numFmtId="167" fontId="20" fillId="0" borderId="0" xfId="0" applyNumberFormat="1" applyFont="1" applyAlignment="1">
      <alignment horizontal="center"/>
    </xf>
    <xf numFmtId="166" fontId="20" fillId="0" borderId="0" xfId="0" applyNumberFormat="1" applyFont="1" applyAlignment="1">
      <alignment horizontal="center"/>
    </xf>
    <xf numFmtId="166" fontId="20" fillId="0" borderId="10" xfId="0" applyNumberFormat="1" applyFont="1" applyBorder="1" applyAlignment="1">
      <alignment horizontal="center"/>
    </xf>
    <xf numFmtId="169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166" fontId="16" fillId="0" borderId="0" xfId="0" applyNumberFormat="1" applyFont="1" applyAlignment="1">
      <alignment horizontal="center"/>
    </xf>
    <xf numFmtId="166" fontId="16" fillId="0" borderId="1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169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166" fontId="18" fillId="0" borderId="0" xfId="0" applyNumberFormat="1" applyFont="1" applyAlignment="1">
      <alignment horizontal="center"/>
    </xf>
    <xf numFmtId="166" fontId="18" fillId="0" borderId="10" xfId="0" applyNumberFormat="1" applyFont="1" applyBorder="1" applyAlignment="1">
      <alignment horizontal="center"/>
    </xf>
    <xf numFmtId="0" fontId="14" fillId="0" borderId="0" xfId="0" applyFont="1" applyAlignment="1">
      <alignment horizontal="center"/>
    </xf>
    <xf numFmtId="166" fontId="21" fillId="0" borderId="0" xfId="0" applyNumberFormat="1" applyFont="1" applyAlignment="1">
      <alignment horizontal="center"/>
    </xf>
    <xf numFmtId="168" fontId="16" fillId="0" borderId="0" xfId="0" applyNumberFormat="1" applyFont="1" applyAlignment="1">
      <alignment horizontal="center"/>
    </xf>
    <xf numFmtId="166" fontId="14" fillId="0" borderId="0" xfId="0" applyNumberFormat="1" applyFont="1" applyAlignment="1">
      <alignment horizontal="center"/>
    </xf>
    <xf numFmtId="0" fontId="0" fillId="0" borderId="10" xfId="0" applyBorder="1" applyAlignment="1">
      <alignment horizontal="center"/>
    </xf>
    <xf numFmtId="169" fontId="14" fillId="0" borderId="0" xfId="0" applyNumberFormat="1" applyFont="1" applyAlignment="1">
      <alignment horizontal="center"/>
    </xf>
    <xf numFmtId="168" fontId="16" fillId="0" borderId="0" xfId="0" applyNumberFormat="1" applyFont="1" applyAlignment="1">
      <alignment horizontal="left" vertical="center"/>
    </xf>
    <xf numFmtId="20" fontId="0" fillId="0" borderId="2" xfId="0" applyNumberFormat="1" applyBorder="1" applyAlignment="1">
      <alignment vertical="center"/>
    </xf>
    <xf numFmtId="20" fontId="0" fillId="0" borderId="4" xfId="0" applyNumberFormat="1" applyBorder="1" applyAlignment="1">
      <alignment vertical="center"/>
    </xf>
    <xf numFmtId="20" fontId="0" fillId="0" borderId="3" xfId="0" applyNumberFormat="1" applyBorder="1" applyAlignment="1">
      <alignment vertical="center"/>
    </xf>
    <xf numFmtId="20" fontId="0" fillId="0" borderId="0" xfId="0" applyNumberFormat="1" applyAlignment="1">
      <alignment vertical="center"/>
    </xf>
    <xf numFmtId="166" fontId="11" fillId="3" borderId="11" xfId="0" applyNumberFormat="1" applyFont="1" applyFill="1" applyBorder="1" applyAlignment="1">
      <alignment horizontal="center" vertical="center" wrapText="1"/>
    </xf>
    <xf numFmtId="46" fontId="0" fillId="0" borderId="0" xfId="0" applyNumberFormat="1"/>
    <xf numFmtId="0" fontId="0" fillId="0" borderId="15" xfId="0" applyBorder="1" applyAlignment="1">
      <alignment vertical="center"/>
    </xf>
    <xf numFmtId="166" fontId="25" fillId="0" borderId="0" xfId="0" applyNumberFormat="1" applyFont="1" applyAlignment="1">
      <alignment horizontal="center"/>
    </xf>
    <xf numFmtId="167" fontId="24" fillId="0" borderId="0" xfId="0" applyNumberFormat="1" applyFont="1" applyAlignment="1">
      <alignment horizontal="center"/>
    </xf>
    <xf numFmtId="167" fontId="24" fillId="0" borderId="0" xfId="0" applyNumberFormat="1" applyFont="1" applyAlignment="1">
      <alignment horizontal="center" vertical="center"/>
    </xf>
    <xf numFmtId="166" fontId="24" fillId="0" borderId="10" xfId="0" applyNumberFormat="1" applyFont="1" applyBorder="1" applyAlignment="1">
      <alignment horizontal="center"/>
    </xf>
    <xf numFmtId="166" fontId="24" fillId="0" borderId="0" xfId="0" applyNumberFormat="1" applyFont="1" applyAlignment="1">
      <alignment horizontal="center"/>
    </xf>
    <xf numFmtId="166" fontId="19" fillId="0" borderId="0" xfId="0" applyNumberFormat="1" applyFont="1"/>
    <xf numFmtId="167" fontId="15" fillId="0" borderId="0" xfId="0" applyNumberFormat="1" applyFont="1" applyAlignment="1">
      <alignment horizontal="left" vertical="center" wrapText="1"/>
    </xf>
    <xf numFmtId="167" fontId="20" fillId="0" borderId="0" xfId="0" applyNumberFormat="1" applyFont="1" applyAlignment="1">
      <alignment horizontal="left"/>
    </xf>
    <xf numFmtId="167" fontId="24" fillId="0" borderId="0" xfId="0" applyNumberFormat="1" applyFont="1" applyAlignment="1">
      <alignment horizontal="left"/>
    </xf>
    <xf numFmtId="167" fontId="14" fillId="0" borderId="0" xfId="0" applyNumberFormat="1" applyFont="1" applyAlignment="1">
      <alignment horizontal="left"/>
    </xf>
    <xf numFmtId="166" fontId="17" fillId="3" borderId="19" xfId="0" applyNumberFormat="1" applyFont="1" applyFill="1" applyBorder="1" applyAlignment="1">
      <alignment horizontal="center" vertical="center" wrapText="1"/>
    </xf>
    <xf numFmtId="166" fontId="17" fillId="3" borderId="20" xfId="0" applyNumberFormat="1" applyFont="1" applyFill="1" applyBorder="1" applyAlignment="1">
      <alignment horizontal="center" vertical="center" wrapText="1"/>
    </xf>
    <xf numFmtId="44" fontId="26" fillId="2" borderId="13" xfId="0" applyNumberFormat="1" applyFont="1" applyFill="1" applyBorder="1"/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166" fontId="0" fillId="2" borderId="3" xfId="0" applyNumberFormat="1" applyFill="1" applyBorder="1"/>
    <xf numFmtId="166" fontId="0" fillId="0" borderId="3" xfId="0" applyNumberFormat="1" applyBorder="1"/>
    <xf numFmtId="44" fontId="26" fillId="2" borderId="6" xfId="1" applyFont="1" applyFill="1" applyBorder="1"/>
    <xf numFmtId="44" fontId="26" fillId="2" borderId="7" xfId="1" applyFont="1" applyFill="1" applyBorder="1"/>
    <xf numFmtId="166" fontId="15" fillId="0" borderId="23" xfId="0" applyNumberFormat="1" applyFont="1" applyBorder="1" applyAlignment="1">
      <alignment horizontal="center" vertical="center" wrapText="1"/>
    </xf>
    <xf numFmtId="166" fontId="21" fillId="0" borderId="10" xfId="0" applyNumberFormat="1" applyFont="1" applyBorder="1" applyAlignment="1">
      <alignment horizontal="center"/>
    </xf>
    <xf numFmtId="166" fontId="21" fillId="0" borderId="23" xfId="0" applyNumberFormat="1" applyFont="1" applyBorder="1" applyAlignment="1">
      <alignment horizontal="center"/>
    </xf>
    <xf numFmtId="166" fontId="25" fillId="0" borderId="10" xfId="0" applyNumberFormat="1" applyFont="1" applyBorder="1" applyAlignment="1">
      <alignment horizontal="center"/>
    </xf>
    <xf numFmtId="166" fontId="25" fillId="0" borderId="23" xfId="0" applyNumberFormat="1" applyFont="1" applyBorder="1" applyAlignment="1">
      <alignment horizontal="center"/>
    </xf>
    <xf numFmtId="166" fontId="14" fillId="0" borderId="23" xfId="0" applyNumberFormat="1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166" fontId="19" fillId="2" borderId="6" xfId="0" applyNumberFormat="1" applyFont="1" applyFill="1" applyBorder="1" applyAlignment="1">
      <alignment horizontal="left"/>
    </xf>
    <xf numFmtId="166" fontId="19" fillId="2" borderId="7" xfId="0" applyNumberFormat="1" applyFont="1" applyFill="1" applyBorder="1" applyAlignment="1">
      <alignment horizontal="left"/>
    </xf>
    <xf numFmtId="166" fontId="19" fillId="2" borderId="3" xfId="0" applyNumberFormat="1" applyFont="1" applyFill="1" applyBorder="1" applyAlignment="1">
      <alignment horizontal="left"/>
    </xf>
    <xf numFmtId="0" fontId="0" fillId="0" borderId="0" xfId="0" applyAlignment="1">
      <alignment horizontal="left"/>
    </xf>
    <xf numFmtId="166" fontId="19" fillId="2" borderId="1" xfId="0" applyNumberFormat="1" applyFont="1" applyFill="1" applyBorder="1" applyAlignment="1">
      <alignment horizontal="left"/>
    </xf>
    <xf numFmtId="166" fontId="19" fillId="2" borderId="5" xfId="0" applyNumberFormat="1" applyFont="1" applyFill="1" applyBorder="1" applyAlignment="1">
      <alignment horizontal="left"/>
    </xf>
    <xf numFmtId="0" fontId="19" fillId="0" borderId="0" xfId="0" applyFont="1" applyAlignment="1">
      <alignment horizontal="left"/>
    </xf>
    <xf numFmtId="44" fontId="22" fillId="2" borderId="3" xfId="0" applyNumberFormat="1" applyFont="1" applyFill="1" applyBorder="1" applyAlignment="1">
      <alignment horizontal="left"/>
    </xf>
    <xf numFmtId="170" fontId="3" fillId="0" borderId="1" xfId="0" applyNumberFormat="1" applyFont="1" applyBorder="1"/>
    <xf numFmtId="170" fontId="3" fillId="0" borderId="5" xfId="0" applyNumberFormat="1" applyFont="1" applyBorder="1"/>
    <xf numFmtId="171" fontId="3" fillId="0" borderId="3" xfId="0" applyNumberFormat="1" applyFont="1" applyBorder="1" applyAlignment="1">
      <alignment horizontal="center" vertical="center"/>
    </xf>
    <xf numFmtId="166" fontId="0" fillId="0" borderId="1" xfId="0" applyNumberFormat="1" applyBorder="1"/>
    <xf numFmtId="166" fontId="0" fillId="0" borderId="5" xfId="0" applyNumberFormat="1" applyBorder="1"/>
    <xf numFmtId="166" fontId="19" fillId="0" borderId="1" xfId="0" applyNumberFormat="1" applyFont="1" applyBorder="1"/>
    <xf numFmtId="166" fontId="0" fillId="2" borderId="6" xfId="0" applyNumberFormat="1" applyFill="1" applyBorder="1"/>
    <xf numFmtId="171" fontId="1" fillId="0" borderId="8" xfId="1" applyNumberFormat="1" applyBorder="1"/>
    <xf numFmtId="166" fontId="19" fillId="0" borderId="5" xfId="0" applyNumberFormat="1" applyFont="1" applyBorder="1"/>
    <xf numFmtId="166" fontId="0" fillId="2" borderId="7" xfId="0" applyNumberFormat="1" applyFill="1" applyBorder="1"/>
    <xf numFmtId="171" fontId="1" fillId="0" borderId="5" xfId="1" applyNumberFormat="1" applyBorder="1"/>
    <xf numFmtId="171" fontId="1" fillId="0" borderId="9" xfId="1" applyNumberFormat="1" applyBorder="1"/>
    <xf numFmtId="44" fontId="22" fillId="2" borderId="13" xfId="0" applyNumberFormat="1" applyFont="1" applyFill="1" applyBorder="1" applyAlignment="1">
      <alignment horizontal="left"/>
    </xf>
    <xf numFmtId="44" fontId="19" fillId="2" borderId="12" xfId="1" applyFont="1" applyFill="1" applyBorder="1" applyAlignment="1">
      <alignment horizontal="left"/>
    </xf>
    <xf numFmtId="44" fontId="19" fillId="2" borderId="6" xfId="1" applyFont="1" applyFill="1" applyBorder="1" applyAlignment="1">
      <alignment horizontal="left"/>
    </xf>
    <xf numFmtId="44" fontId="19" fillId="2" borderId="7" xfId="1" applyFont="1" applyFill="1" applyBorder="1" applyAlignment="1">
      <alignment horizontal="left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44" fontId="0" fillId="0" borderId="0" xfId="1" applyFont="1"/>
    <xf numFmtId="0" fontId="0" fillId="0" borderId="0" xfId="1" applyNumberFormat="1" applyFont="1"/>
    <xf numFmtId="2" fontId="0" fillId="0" borderId="0" xfId="0" applyNumberFormat="1"/>
    <xf numFmtId="44" fontId="28" fillId="2" borderId="12" xfId="1" applyFont="1" applyFill="1" applyBorder="1" applyAlignment="1">
      <alignment horizontal="left"/>
    </xf>
    <xf numFmtId="44" fontId="28" fillId="2" borderId="7" xfId="1" applyFont="1" applyFill="1" applyBorder="1" applyAlignment="1">
      <alignment horizontal="left"/>
    </xf>
    <xf numFmtId="166" fontId="3" fillId="0" borderId="2" xfId="0" applyNumberFormat="1" applyFon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3" fillId="0" borderId="4" xfId="0" applyNumberFormat="1" applyFont="1" applyBorder="1" applyAlignment="1">
      <alignment horizontal="center" vertical="center"/>
    </xf>
    <xf numFmtId="44" fontId="0" fillId="0" borderId="0" xfId="0" applyNumberFormat="1"/>
    <xf numFmtId="14" fontId="0" fillId="0" borderId="0" xfId="0" applyNumberFormat="1" applyAlignment="1">
      <alignment vertical="center"/>
    </xf>
    <xf numFmtId="166" fontId="0" fillId="0" borderId="0" xfId="0" applyNumberFormat="1"/>
    <xf numFmtId="172" fontId="0" fillId="0" borderId="0" xfId="0" applyNumberFormat="1"/>
    <xf numFmtId="166" fontId="11" fillId="3" borderId="16" xfId="0" applyNumberFormat="1" applyFont="1" applyFill="1" applyBorder="1" applyAlignment="1">
      <alignment horizontal="center" vertical="center" wrapText="1"/>
    </xf>
    <xf numFmtId="166" fontId="11" fillId="3" borderId="17" xfId="0" applyNumberFormat="1" applyFont="1" applyFill="1" applyBorder="1" applyAlignment="1">
      <alignment horizontal="center" vertical="center" wrapText="1"/>
    </xf>
    <xf numFmtId="166" fontId="17" fillId="3" borderId="18" xfId="0" applyNumberFormat="1" applyFont="1" applyFill="1" applyBorder="1" applyAlignment="1">
      <alignment horizontal="center" vertical="center" wrapText="1"/>
    </xf>
    <xf numFmtId="166" fontId="0" fillId="2" borderId="1" xfId="0" applyNumberFormat="1" applyFill="1" applyBorder="1"/>
    <xf numFmtId="166" fontId="0" fillId="2" borderId="5" xfId="0" applyNumberFormat="1" applyFill="1" applyBorder="1"/>
    <xf numFmtId="167" fontId="16" fillId="0" borderId="0" xfId="0" applyNumberFormat="1" applyFont="1" applyAlignment="1">
      <alignment horizontal="left" vertical="center"/>
    </xf>
    <xf numFmtId="167" fontId="24" fillId="0" borderId="33" xfId="0" applyNumberFormat="1" applyFont="1" applyBorder="1" applyAlignment="1">
      <alignment horizontal="left"/>
    </xf>
    <xf numFmtId="167" fontId="16" fillId="0" borderId="33" xfId="0" applyNumberFormat="1" applyFont="1" applyBorder="1" applyAlignment="1">
      <alignment horizontal="left" vertical="center"/>
    </xf>
    <xf numFmtId="166" fontId="25" fillId="0" borderId="34" xfId="0" applyNumberFormat="1" applyFont="1" applyBorder="1" applyAlignment="1">
      <alignment horizontal="center"/>
    </xf>
    <xf numFmtId="166" fontId="25" fillId="0" borderId="33" xfId="0" applyNumberFormat="1" applyFont="1" applyBorder="1" applyAlignment="1">
      <alignment horizontal="center"/>
    </xf>
    <xf numFmtId="166" fontId="21" fillId="0" borderId="33" xfId="0" applyNumberFormat="1" applyFont="1" applyBorder="1" applyAlignment="1">
      <alignment horizontal="center"/>
    </xf>
    <xf numFmtId="166" fontId="25" fillId="0" borderId="35" xfId="0" applyNumberFormat="1" applyFont="1" applyBorder="1" applyAlignment="1">
      <alignment horizontal="center"/>
    </xf>
    <xf numFmtId="167" fontId="24" fillId="0" borderId="33" xfId="0" applyNumberFormat="1" applyFont="1" applyBorder="1" applyAlignment="1">
      <alignment horizontal="center"/>
    </xf>
    <xf numFmtId="167" fontId="24" fillId="0" borderId="33" xfId="0" applyNumberFormat="1" applyFont="1" applyBorder="1" applyAlignment="1">
      <alignment horizontal="center" vertical="center"/>
    </xf>
    <xf numFmtId="166" fontId="24" fillId="0" borderId="34" xfId="0" applyNumberFormat="1" applyFont="1" applyBorder="1" applyAlignment="1">
      <alignment horizontal="center"/>
    </xf>
    <xf numFmtId="166" fontId="24" fillId="0" borderId="33" xfId="0" applyNumberFormat="1" applyFont="1" applyBorder="1" applyAlignment="1">
      <alignment horizontal="center"/>
    </xf>
    <xf numFmtId="169" fontId="18" fillId="0" borderId="33" xfId="0" applyNumberFormat="1" applyFont="1" applyBorder="1" applyAlignment="1">
      <alignment horizontal="center"/>
    </xf>
    <xf numFmtId="0" fontId="18" fillId="0" borderId="33" xfId="0" applyFont="1" applyBorder="1" applyAlignment="1">
      <alignment horizontal="center"/>
    </xf>
    <xf numFmtId="166" fontId="18" fillId="0" borderId="33" xfId="0" applyNumberFormat="1" applyFont="1" applyBorder="1" applyAlignment="1">
      <alignment horizontal="center"/>
    </xf>
    <xf numFmtId="166" fontId="18" fillId="0" borderId="34" xfId="0" applyNumberFormat="1" applyFont="1" applyBorder="1" applyAlignment="1">
      <alignment horizontal="center"/>
    </xf>
    <xf numFmtId="0" fontId="14" fillId="0" borderId="33" xfId="0" applyFont="1" applyBorder="1" applyAlignment="1">
      <alignment horizontal="center"/>
    </xf>
    <xf numFmtId="0" fontId="0" fillId="0" borderId="33" xfId="0" applyBorder="1" applyAlignment="1">
      <alignment horizontal="center"/>
    </xf>
    <xf numFmtId="0" fontId="18" fillId="0" borderId="0" xfId="0" applyNumberFormat="1" applyFont="1" applyAlignment="1">
      <alignment horizontal="center"/>
    </xf>
    <xf numFmtId="0" fontId="18" fillId="0" borderId="33" xfId="0" applyNumberFormat="1" applyFont="1" applyBorder="1" applyAlignment="1">
      <alignment horizontal="center"/>
    </xf>
    <xf numFmtId="166" fontId="0" fillId="0" borderId="0" xfId="0" applyNumberFormat="1" applyAlignment="1">
      <alignment horizontal="center"/>
    </xf>
    <xf numFmtId="166" fontId="11" fillId="3" borderId="16" xfId="0" applyNumberFormat="1" applyFont="1" applyFill="1" applyBorder="1" applyAlignment="1">
      <alignment horizontal="center" vertical="center" wrapText="1"/>
    </xf>
    <xf numFmtId="166" fontId="11" fillId="3" borderId="17" xfId="0" applyNumberFormat="1" applyFont="1" applyFill="1" applyBorder="1" applyAlignment="1">
      <alignment horizontal="center" vertical="center" wrapText="1"/>
    </xf>
    <xf numFmtId="166" fontId="17" fillId="3" borderId="18" xfId="0" applyNumberFormat="1" applyFont="1" applyFill="1" applyBorder="1" applyAlignment="1">
      <alignment horizontal="center" vertical="center" wrapText="1"/>
    </xf>
    <xf numFmtId="166" fontId="17" fillId="3" borderId="16" xfId="0" applyNumberFormat="1" applyFont="1" applyFill="1" applyBorder="1" applyAlignment="1">
      <alignment horizontal="center" vertical="center" wrapText="1"/>
    </xf>
    <xf numFmtId="166" fontId="23" fillId="2" borderId="2" xfId="1" applyNumberFormat="1" applyFont="1" applyFill="1" applyBorder="1" applyAlignment="1">
      <alignment horizontal="right" vertical="center"/>
    </xf>
    <xf numFmtId="166" fontId="23" fillId="2" borderId="4" xfId="1" applyNumberFormat="1" applyFont="1" applyFill="1" applyBorder="1" applyAlignment="1">
      <alignment horizontal="right" vertical="center"/>
    </xf>
    <xf numFmtId="166" fontId="23" fillId="2" borderId="3" xfId="1" applyNumberFormat="1" applyFont="1" applyFill="1" applyBorder="1" applyAlignment="1">
      <alignment horizontal="right" vertical="center"/>
    </xf>
    <xf numFmtId="166" fontId="17" fillId="3" borderId="17" xfId="0" applyNumberFormat="1" applyFont="1" applyFill="1" applyBorder="1" applyAlignment="1">
      <alignment horizontal="center" vertical="center" wrapText="1"/>
    </xf>
    <xf numFmtId="166" fontId="23" fillId="2" borderId="21" xfId="0" applyNumberFormat="1" applyFont="1" applyFill="1" applyBorder="1" applyAlignment="1">
      <alignment horizontal="center"/>
    </xf>
    <xf numFmtId="166" fontId="23" fillId="2" borderId="22" xfId="0" applyNumberFormat="1" applyFont="1" applyFill="1" applyBorder="1" applyAlignment="1">
      <alignment horizontal="center"/>
    </xf>
    <xf numFmtId="167" fontId="24" fillId="0" borderId="0" xfId="0" applyNumberFormat="1" applyFont="1" applyBorder="1" applyAlignment="1">
      <alignment horizontal="left"/>
    </xf>
    <xf numFmtId="167" fontId="16" fillId="0" borderId="0" xfId="0" applyNumberFormat="1" applyFont="1" applyBorder="1" applyAlignment="1">
      <alignment horizontal="left" vertical="center"/>
    </xf>
    <xf numFmtId="166" fontId="25" fillId="0" borderId="0" xfId="0" applyNumberFormat="1" applyFont="1" applyBorder="1" applyAlignment="1">
      <alignment horizontal="center"/>
    </xf>
    <xf numFmtId="166" fontId="21" fillId="0" borderId="0" xfId="0" applyNumberFormat="1" applyFont="1" applyBorder="1" applyAlignment="1">
      <alignment horizontal="center"/>
    </xf>
    <xf numFmtId="167" fontId="24" fillId="0" borderId="0" xfId="0" applyNumberFormat="1" applyFont="1" applyBorder="1" applyAlignment="1">
      <alignment horizontal="center"/>
    </xf>
    <xf numFmtId="167" fontId="24" fillId="0" borderId="0" xfId="0" applyNumberFormat="1" applyFont="1" applyBorder="1" applyAlignment="1">
      <alignment horizontal="center" vertical="center"/>
    </xf>
    <xf numFmtId="166" fontId="24" fillId="0" borderId="0" xfId="0" applyNumberFormat="1" applyFont="1" applyBorder="1" applyAlignment="1">
      <alignment horizontal="center"/>
    </xf>
    <xf numFmtId="169" fontId="18" fillId="0" borderId="0" xfId="0" applyNumberFormat="1" applyFont="1" applyBorder="1" applyAlignment="1">
      <alignment horizontal="center"/>
    </xf>
    <xf numFmtId="0" fontId="18" fillId="0" borderId="0" xfId="0" applyNumberFormat="1" applyFont="1" applyBorder="1" applyAlignment="1">
      <alignment horizontal="center"/>
    </xf>
    <xf numFmtId="166" fontId="18" fillId="0" borderId="0" xfId="0" applyNumberFormat="1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166" fontId="0" fillId="0" borderId="1" xfId="0" applyNumberFormat="1" applyFont="1" applyBorder="1"/>
    <xf numFmtId="166" fontId="29" fillId="0" borderId="1" xfId="0" applyNumberFormat="1" applyFont="1" applyBorder="1"/>
  </cellXfs>
  <cellStyles count="13">
    <cellStyle name="Excel Built-in Normal" xfId="6" xr:uid="{00000000-0005-0000-0000-000000000000}"/>
    <cellStyle name="Monétaire" xfId="1" builtinId="4"/>
    <cellStyle name="Normal" xfId="0" builtinId="0"/>
    <cellStyle name="Normal 2" xfId="7" xr:uid="{00000000-0005-0000-0000-000003000000}"/>
    <cellStyle name="Normal 2 2" xfId="8" xr:uid="{00000000-0005-0000-0000-000004000000}"/>
    <cellStyle name="Normal 2 3" xfId="4" xr:uid="{00000000-0005-0000-0000-000005000000}"/>
    <cellStyle name="Normal 3" xfId="9" xr:uid="{00000000-0005-0000-0000-000006000000}"/>
    <cellStyle name="Normal 4" xfId="10" xr:uid="{00000000-0005-0000-0000-000007000000}"/>
    <cellStyle name="Normal 5" xfId="11" xr:uid="{00000000-0005-0000-0000-000008000000}"/>
    <cellStyle name="Normal 6" xfId="5" xr:uid="{00000000-0005-0000-0000-000009000000}"/>
    <cellStyle name="Normal 7" xfId="12" xr:uid="{00000000-0005-0000-0000-00000A000000}"/>
    <cellStyle name="Normal 8" xfId="2" xr:uid="{00000000-0005-0000-0000-00000B000000}"/>
    <cellStyle name="Texte explicatif 2" xfId="3" xr:uid="{00000000-0005-0000-0000-00000C000000}"/>
  </cellStyles>
  <dxfs count="39">
    <dxf>
      <fill>
        <patternFill>
          <bgColor rgb="FFFFC7CE"/>
        </patternFill>
      </fill>
    </dxf>
    <dxf>
      <font>
        <color theme="9" tint="-0.24994659260841701"/>
      </font>
      <fill>
        <patternFill patternType="solid">
          <bgColor theme="8" tint="0.59996337778862885"/>
        </patternFill>
      </fill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d\ *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d\ * hh:mm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i val="0"/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general" vertical="center" textRotation="0" wrapText="1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  <border diagonalUp="0" diagonalDown="0">
        <left style="slantDashDot">
          <color auto="1"/>
        </left>
        <right/>
        <top/>
        <bottom/>
        <vertical/>
        <horizontal/>
      </border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  <alignment horizont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9" formatCode="d\ * hh:mm"/>
      <alignment horizontal="center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9" formatCode="d\ * hh:mm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textRotation="0" indent="0" justifyLastLine="0" shrinkToFit="0" readingOrder="0"/>
      <border diagonalUp="0" diagonalDown="0" outline="0">
        <left style="slantDashDot">
          <color auto="1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7" formatCode="ddd\ dd\-mmm\-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7" formatCode="ddd\ dd\-mmm\-yyyy"/>
      <alignment horizontal="center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  <border diagonalUp="0" diagonalDown="0">
        <left/>
        <right style="slantDashDot">
          <color auto="1"/>
        </right>
        <top/>
        <bottom/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family val="2"/>
        <scheme val="minor"/>
      </font>
      <numFmt numFmtId="167" formatCode="ddd\ dd\-mmm\-yyyy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7" formatCode="ddd\ dd\-mmm\-yyyy"/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RE"/>
              <a:t>Activité</a:t>
            </a:r>
            <a:r>
              <a:rPr lang="fr-RE" baseline="0"/>
              <a:t> en caserne</a:t>
            </a:r>
            <a:endParaRPr lang="fr-R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v>Indemnités</c:v>
          </c:tx>
          <c:spPr>
            <a:solidFill>
              <a:srgbClr val="00B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700" b="1" i="0" u="none" strike="noStrike" kern="1200" cap="none" spc="0" baseline="0">
                    <a:ln w="0"/>
                    <a:solidFill>
                      <a:schemeClr val="bg1"/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5"/>
              <c:pt idx="0">
                <c:v> 1,00 € </c:v>
              </c:pt>
              <c:pt idx="1">
                <c:v> 2,00 € </c:v>
              </c:pt>
              <c:pt idx="2">
                <c:v> 3,00 € </c:v>
              </c:pt>
              <c:pt idx="3">
                <c:v> 4,00 € </c:v>
              </c:pt>
              <c:pt idx="4">
                <c:v> 5,00 € 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'Calcul indemnités mensuelles'!$S$2:$S$13</c15:sqref>
                  </c15:fullRef>
                </c:ext>
              </c:extLst>
              <c:f>'Calcul indemnités mensuelles'!$S$2:$S$6</c:f>
              <c:numCache>
                <c:formatCode>_("€"* #,##0.00_);_("€"* \(#,##0.00\);_("€"* "-"??_);_(@_)</c:formatCode>
                <c:ptCount val="5"/>
                <c:pt idx="0">
                  <c:v>810.33666666666647</c:v>
                </c:pt>
                <c:pt idx="1">
                  <c:v>678.24</c:v>
                </c:pt>
                <c:pt idx="2">
                  <c:v>733.33750000000009</c:v>
                </c:pt>
                <c:pt idx="3">
                  <c:v>794.75750000000005</c:v>
                </c:pt>
                <c:pt idx="4">
                  <c:v>601.83249999999987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8E1-432C-95A2-0E7F6A3F7B02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99"/>
        <c:axId val="575606543"/>
        <c:axId val="444581887"/>
      </c:barChart>
      <c:lineChart>
        <c:grouping val="standard"/>
        <c:varyColors val="0"/>
        <c:ser>
          <c:idx val="0"/>
          <c:order val="0"/>
          <c:tx>
            <c:v>Durée sans inter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Pt>
            <c:idx val="2"/>
            <c:marker>
              <c:symbol val="circle"/>
              <c:size val="6"/>
              <c:spPr>
                <a:gradFill rotWithShape="1">
                  <a:gsLst>
                    <a:gs pos="0">
                      <a:schemeClr val="accent1">
                        <a:satMod val="103000"/>
                        <a:lumMod val="102000"/>
                        <a:tint val="94000"/>
                      </a:schemeClr>
                    </a:gs>
                    <a:gs pos="50000">
                      <a:schemeClr val="accent1">
                        <a:satMod val="110000"/>
                        <a:lumMod val="100000"/>
                        <a:shade val="100000"/>
                      </a:schemeClr>
                    </a:gs>
                    <a:gs pos="100000">
                      <a:schemeClr val="accent1">
                        <a:lumMod val="99000"/>
                        <a:satMod val="120000"/>
                        <a:shade val="78000"/>
                      </a:schemeClr>
                    </a:gs>
                  </a:gsLst>
                  <a:lin ang="5400000" scaled="0"/>
                </a:gradFill>
                <a:ln w="9525">
                  <a:solidFill>
                    <a:schemeClr val="accent1"/>
                  </a:solidFill>
                  <a:round/>
                </a:ln>
                <a:effectLst>
                  <a:outerShdw blurRad="57150" dist="19050" dir="5400000" algn="ctr" rotWithShape="0">
                    <a:srgbClr val="000000">
                      <a:alpha val="63000"/>
                    </a:srgbClr>
                  </a:outerShdw>
                </a:effectLst>
              </c:spPr>
            </c:marker>
            <c:bubble3D val="0"/>
            <c:spPr>
              <a:ln w="34925" cap="rnd">
                <a:solidFill>
                  <a:schemeClr val="accent1"/>
                </a:solidFill>
                <a:prstDash val="sysDash"/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90D5-42D7-A794-AD1E80FDDBA8}"/>
              </c:ext>
            </c:extLst>
          </c:dPt>
          <c:dPt>
            <c:idx val="3"/>
            <c:marker>
              <c:symbol val="circle"/>
              <c:size val="6"/>
              <c:spPr>
                <a:gradFill rotWithShape="1">
                  <a:gsLst>
                    <a:gs pos="0">
                      <a:schemeClr val="accent1">
                        <a:satMod val="103000"/>
                        <a:lumMod val="102000"/>
                        <a:tint val="94000"/>
                      </a:schemeClr>
                    </a:gs>
                    <a:gs pos="50000">
                      <a:schemeClr val="accent1">
                        <a:satMod val="110000"/>
                        <a:lumMod val="100000"/>
                        <a:shade val="100000"/>
                      </a:schemeClr>
                    </a:gs>
                    <a:gs pos="100000">
                      <a:schemeClr val="accent1">
                        <a:lumMod val="99000"/>
                        <a:satMod val="120000"/>
                        <a:shade val="78000"/>
                      </a:schemeClr>
                    </a:gs>
                  </a:gsLst>
                  <a:lin ang="5400000" scaled="0"/>
                </a:gradFill>
                <a:ln w="9525">
                  <a:solidFill>
                    <a:schemeClr val="accent1"/>
                  </a:solidFill>
                  <a:round/>
                </a:ln>
                <a:effectLst>
                  <a:outerShdw blurRad="57150" dist="19050" dir="5400000" algn="ctr" rotWithShape="0">
                    <a:srgbClr val="000000">
                      <a:alpha val="63000"/>
                    </a:srgbClr>
                  </a:outerShdw>
                </a:effectLst>
              </c:spPr>
            </c:marker>
            <c:bubble3D val="0"/>
            <c:spPr>
              <a:ln w="34925" cap="rnd">
                <a:solidFill>
                  <a:schemeClr val="accent1"/>
                </a:solidFill>
                <a:prstDash val="sysDash"/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CDF8-4CE4-8D89-503B9919E1A3}"/>
              </c:ext>
            </c:extLst>
          </c:dPt>
          <c:dPt>
            <c:idx val="4"/>
            <c:marker>
              <c:symbol val="circle"/>
              <c:size val="6"/>
              <c:spPr>
                <a:gradFill rotWithShape="1">
                  <a:gsLst>
                    <a:gs pos="0">
                      <a:schemeClr val="accent1">
                        <a:satMod val="103000"/>
                        <a:lumMod val="102000"/>
                        <a:tint val="94000"/>
                      </a:schemeClr>
                    </a:gs>
                    <a:gs pos="50000">
                      <a:schemeClr val="accent1">
                        <a:satMod val="110000"/>
                        <a:lumMod val="100000"/>
                        <a:shade val="100000"/>
                      </a:schemeClr>
                    </a:gs>
                    <a:gs pos="100000">
                      <a:schemeClr val="accent1">
                        <a:lumMod val="99000"/>
                        <a:satMod val="120000"/>
                        <a:shade val="78000"/>
                      </a:schemeClr>
                    </a:gs>
                  </a:gsLst>
                  <a:lin ang="5400000" scaled="0"/>
                </a:gradFill>
                <a:ln w="9525">
                  <a:solidFill>
                    <a:schemeClr val="accent1"/>
                  </a:solidFill>
                  <a:round/>
                </a:ln>
                <a:effectLst>
                  <a:outerShdw blurRad="57150" dist="19050" dir="5400000" algn="ctr" rotWithShape="0">
                    <a:srgbClr val="000000">
                      <a:alpha val="63000"/>
                    </a:srgbClr>
                  </a:outerShdw>
                </a:effectLst>
              </c:spPr>
            </c:marker>
            <c:bubble3D val="0"/>
            <c:spPr>
              <a:ln w="34925" cap="rnd">
                <a:solidFill>
                  <a:schemeClr val="accent1"/>
                </a:solidFill>
                <a:prstDash val="sysDash"/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CDF8-4CE4-8D89-503B9919E1A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1800000" spcFirstLastPara="1" vertOverflow="ellipsis" wrap="square" anchor="ctr" anchorCtr="1"/>
              <a:lstStyle/>
              <a:p>
                <a:pPr>
                  <a:defRPr sz="900" b="1" i="0" u="none" strike="noStrike" kern="1200" cap="none" spc="0" baseline="0">
                    <a:ln w="0"/>
                    <a:solidFill>
                      <a:schemeClr val="accent5">
                        <a:lumMod val="40000"/>
                        <a:lumOff val="60000"/>
                      </a:schemeClr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'Calcul indemnités mensuelles'!$B$2:$B$13</c15:sqref>
                  </c15:fullRef>
                </c:ext>
              </c:extLst>
              <c:f>'Calcul indemnités mensuelles'!$B$2:$B$6</c:f>
              <c:numCache>
                <c:formatCode>mmm</c:formatCode>
                <c:ptCount val="5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'Calcul indemnités mensuelles'!$M$2:$M$13</c15:sqref>
                  </c15:fullRef>
                </c:ext>
              </c:extLst>
              <c:f>'Calcul indemnités mensuelles'!$M$2:$M$6</c:f>
              <c:numCache>
                <c:formatCode>[hh]:mm</c:formatCode>
                <c:ptCount val="5"/>
                <c:pt idx="0">
                  <c:v>3.5694444444444438</c:v>
                </c:pt>
                <c:pt idx="1">
                  <c:v>3.8368055555555549</c:v>
                </c:pt>
                <c:pt idx="2">
                  <c:v>4.2576388888888896</c:v>
                </c:pt>
                <c:pt idx="3">
                  <c:v>4.3902777777777775</c:v>
                </c:pt>
                <c:pt idx="4">
                  <c:v>3.6312499999999996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categoryFilterExceptions>
                <c15:categoryFilterException>
                  <c15:sqref>'Calcul indemnités mensuelles'!$M$7</c15:sqref>
                  <c15:spPr xmlns:c15="http://schemas.microsoft.com/office/drawing/2012/chart">
                    <a:ln w="34925" cap="rnd">
                      <a:solidFill>
                        <a:schemeClr val="accent1"/>
                      </a:solidFill>
                      <a:prstDash val="sysDash"/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15:spPr>
                  <c15:bubble3D val="0"/>
                  <c15:marker>
                    <c:symbol val="circle"/>
                    <c:size val="6"/>
                    <c:spPr>
                      <a:gradFill rotWithShape="1">
                        <a:gsLst>
                          <a:gs pos="0">
                            <a:schemeClr val="accent1">
                              <a:satMod val="103000"/>
                              <a:lumMod val="102000"/>
                              <a:tint val="94000"/>
                            </a:schemeClr>
                          </a:gs>
                          <a:gs pos="50000">
                            <a:schemeClr val="accent1">
                              <a:satMod val="110000"/>
                              <a:lumMod val="100000"/>
                              <a:shade val="100000"/>
                            </a:schemeClr>
                          </a:gs>
                          <a:gs pos="100000">
                            <a:schemeClr val="accent1">
                              <a:lumMod val="99000"/>
                              <a:satMod val="120000"/>
                              <a:shade val="78000"/>
                            </a:schemeClr>
                          </a:gs>
                        </a:gsLst>
                        <a:lin ang="5400000" scaled="0"/>
                      </a:gradFill>
                      <a:ln w="9525">
                        <a:solidFill>
                          <a:schemeClr val="accent1"/>
                        </a:solidFill>
                        <a:round/>
                      </a:ln>
                      <a:effectLst>
                        <a:outerShdw blurRad="57150" dist="19050" dir="5400000" algn="ctr" rotWithShape="0">
                          <a:srgbClr val="000000">
                            <a:alpha val="63000"/>
                          </a:srgbClr>
                        </a:outerShdw>
                      </a:effectLst>
                    </c:spPr>
                  </c15:marker>
                </c15:categoryFilterException>
                <c15:categoryFilterException>
                  <c15:sqref>'Calcul indemnités mensuelles'!$M$8</c15:sqref>
                  <c15:spPr xmlns:c15="http://schemas.microsoft.com/office/drawing/2012/chart">
                    <a:ln w="34925" cap="rnd">
                      <a:solidFill>
                        <a:schemeClr val="accent1"/>
                      </a:solidFill>
                      <a:prstDash val="sysDash"/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15:spPr>
                  <c15:bubble3D val="0"/>
                  <c15:marker>
                    <c:symbol val="circle"/>
                    <c:size val="6"/>
                    <c:spPr>
                      <a:gradFill rotWithShape="1">
                        <a:gsLst>
                          <a:gs pos="0">
                            <a:schemeClr val="accent1">
                              <a:satMod val="103000"/>
                              <a:lumMod val="102000"/>
                              <a:tint val="94000"/>
                            </a:schemeClr>
                          </a:gs>
                          <a:gs pos="50000">
                            <a:schemeClr val="accent1">
                              <a:satMod val="110000"/>
                              <a:lumMod val="100000"/>
                              <a:shade val="100000"/>
                            </a:schemeClr>
                          </a:gs>
                          <a:gs pos="100000">
                            <a:schemeClr val="accent1">
                              <a:lumMod val="99000"/>
                              <a:satMod val="120000"/>
                              <a:shade val="78000"/>
                            </a:schemeClr>
                          </a:gs>
                        </a:gsLst>
                        <a:lin ang="5400000" scaled="0"/>
                      </a:gradFill>
                      <a:ln w="9525">
                        <a:solidFill>
                          <a:schemeClr val="accent1"/>
                        </a:solidFill>
                        <a:round/>
                      </a:ln>
                      <a:effectLst>
                        <a:outerShdw blurRad="57150" dist="19050" dir="5400000" algn="ctr" rotWithShape="0">
                          <a:srgbClr val="000000">
                            <a:alpha val="63000"/>
                          </a:srgbClr>
                        </a:outerShdw>
                      </a:effectLst>
                    </c:spPr>
                  </c15:marker>
                </c15:categoryFilterException>
                <c15:categoryFilterException>
                  <c15:sqref>'Calcul indemnités mensuelles'!$M$9</c15:sqref>
                  <c15:spPr xmlns:c15="http://schemas.microsoft.com/office/drawing/2012/chart">
                    <a:ln w="34925" cap="rnd">
                      <a:solidFill>
                        <a:schemeClr val="accent1"/>
                      </a:solidFill>
                      <a:prstDash val="sysDash"/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15:spPr>
                  <c15:bubble3D val="0"/>
                  <c15:marker>
                    <c:symbol val="circle"/>
                    <c:size val="6"/>
                    <c:spPr>
                      <a:gradFill rotWithShape="1">
                        <a:gsLst>
                          <a:gs pos="0">
                            <a:schemeClr val="accent1">
                              <a:satMod val="103000"/>
                              <a:lumMod val="102000"/>
                              <a:tint val="94000"/>
                            </a:schemeClr>
                          </a:gs>
                          <a:gs pos="50000">
                            <a:schemeClr val="accent1">
                              <a:satMod val="110000"/>
                              <a:lumMod val="100000"/>
                              <a:shade val="100000"/>
                            </a:schemeClr>
                          </a:gs>
                          <a:gs pos="100000">
                            <a:schemeClr val="accent1">
                              <a:lumMod val="99000"/>
                              <a:satMod val="120000"/>
                              <a:shade val="78000"/>
                            </a:schemeClr>
                          </a:gs>
                        </a:gsLst>
                        <a:lin ang="5400000" scaled="0"/>
                      </a:gradFill>
                      <a:ln w="9525">
                        <a:solidFill>
                          <a:schemeClr val="accent1"/>
                        </a:solidFill>
                        <a:round/>
                      </a:ln>
                      <a:effectLst>
                        <a:outerShdw blurRad="57150" dist="19050" dir="5400000" algn="ctr" rotWithShape="0">
                          <a:srgbClr val="000000">
                            <a:alpha val="63000"/>
                          </a:srgbClr>
                        </a:outerShdw>
                      </a:effectLst>
                    </c:spPr>
                  </c15:marker>
                </c15:categoryFilterException>
                <c15:categoryFilterException>
                  <c15:sqref>'Calcul indemnités mensuelles'!$M$10</c15:sqref>
                  <c15:spPr xmlns:c15="http://schemas.microsoft.com/office/drawing/2012/chart">
                    <a:ln w="34925" cap="rnd">
                      <a:solidFill>
                        <a:schemeClr val="accent1"/>
                      </a:solidFill>
                      <a:prstDash val="sysDash"/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15:spPr>
                  <c15:bubble3D val="0"/>
                  <c15:marker>
                    <c:symbol val="circle"/>
                    <c:size val="6"/>
                    <c:spPr>
                      <a:gradFill rotWithShape="1">
                        <a:gsLst>
                          <a:gs pos="0">
                            <a:schemeClr val="accent1">
                              <a:satMod val="103000"/>
                              <a:lumMod val="102000"/>
                              <a:tint val="94000"/>
                            </a:schemeClr>
                          </a:gs>
                          <a:gs pos="50000">
                            <a:schemeClr val="accent1">
                              <a:satMod val="110000"/>
                              <a:lumMod val="100000"/>
                              <a:shade val="100000"/>
                            </a:schemeClr>
                          </a:gs>
                          <a:gs pos="100000">
                            <a:schemeClr val="accent1">
                              <a:lumMod val="99000"/>
                              <a:satMod val="120000"/>
                              <a:shade val="78000"/>
                            </a:schemeClr>
                          </a:gs>
                        </a:gsLst>
                        <a:lin ang="5400000" scaled="0"/>
                      </a:gradFill>
                      <a:ln w="9525">
                        <a:solidFill>
                          <a:schemeClr val="accent1"/>
                        </a:solidFill>
                        <a:round/>
                      </a:ln>
                      <a:effectLst>
                        <a:outerShdw blurRad="57150" dist="19050" dir="5400000" algn="ctr" rotWithShape="0">
                          <a:srgbClr val="000000">
                            <a:alpha val="63000"/>
                          </a:srgbClr>
                        </a:outerShdw>
                      </a:effectLst>
                    </c:spPr>
                  </c15:marker>
                </c15:categoryFilterException>
                <c15:categoryFilterException>
                  <c15:sqref>'Calcul indemnités mensuelles'!$M$11</c15:sqref>
                  <c15:spPr xmlns:c15="http://schemas.microsoft.com/office/drawing/2012/chart">
                    <a:ln w="34925" cap="rnd">
                      <a:solidFill>
                        <a:schemeClr val="accent1"/>
                      </a:solidFill>
                      <a:prstDash val="sysDash"/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15:spPr>
                  <c15:bubble3D val="0"/>
                  <c15:marker>
                    <c:symbol val="circle"/>
                    <c:size val="6"/>
                    <c:spPr>
                      <a:gradFill rotWithShape="1">
                        <a:gsLst>
                          <a:gs pos="0">
                            <a:schemeClr val="accent1">
                              <a:satMod val="103000"/>
                              <a:lumMod val="102000"/>
                              <a:tint val="94000"/>
                            </a:schemeClr>
                          </a:gs>
                          <a:gs pos="50000">
                            <a:schemeClr val="accent1">
                              <a:satMod val="110000"/>
                              <a:lumMod val="100000"/>
                              <a:shade val="100000"/>
                            </a:schemeClr>
                          </a:gs>
                          <a:gs pos="100000">
                            <a:schemeClr val="accent1">
                              <a:lumMod val="99000"/>
                              <a:satMod val="120000"/>
                              <a:shade val="78000"/>
                            </a:schemeClr>
                          </a:gs>
                        </a:gsLst>
                        <a:lin ang="5400000" scaled="0"/>
                      </a:gradFill>
                      <a:ln w="9525">
                        <a:solidFill>
                          <a:schemeClr val="accent1"/>
                        </a:solidFill>
                        <a:round/>
                      </a:ln>
                      <a:effectLst>
                        <a:outerShdw blurRad="57150" dist="19050" dir="5400000" algn="ctr" rotWithShape="0">
                          <a:srgbClr val="000000">
                            <a:alpha val="63000"/>
                          </a:srgbClr>
                        </a:outerShdw>
                      </a:effectLst>
                    </c:spPr>
                  </c15:marker>
                </c15:categoryFilterException>
                <c15:categoryFilterException>
                  <c15:sqref>'Calcul indemnités mensuelles'!$M$12</c15:sqref>
                  <c15:spPr xmlns:c15="http://schemas.microsoft.com/office/drawing/2012/chart">
                    <a:ln w="34925" cap="rnd">
                      <a:solidFill>
                        <a:schemeClr val="accent1"/>
                      </a:solidFill>
                      <a:prstDash val="sysDash"/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15:spPr>
                  <c15:bubble3D val="0"/>
                  <c15:marker>
                    <c:symbol val="circle"/>
                    <c:size val="6"/>
                    <c:spPr>
                      <a:gradFill rotWithShape="1">
                        <a:gsLst>
                          <a:gs pos="0">
                            <a:schemeClr val="accent1">
                              <a:satMod val="103000"/>
                              <a:lumMod val="102000"/>
                              <a:tint val="94000"/>
                            </a:schemeClr>
                          </a:gs>
                          <a:gs pos="50000">
                            <a:schemeClr val="accent1">
                              <a:satMod val="110000"/>
                              <a:lumMod val="100000"/>
                              <a:shade val="100000"/>
                            </a:schemeClr>
                          </a:gs>
                          <a:gs pos="100000">
                            <a:schemeClr val="accent1">
                              <a:lumMod val="99000"/>
                              <a:satMod val="120000"/>
                              <a:shade val="78000"/>
                            </a:schemeClr>
                          </a:gs>
                        </a:gsLst>
                        <a:lin ang="5400000" scaled="0"/>
                      </a:gradFill>
                      <a:ln w="9525">
                        <a:solidFill>
                          <a:schemeClr val="accent1"/>
                        </a:solidFill>
                        <a:round/>
                      </a:ln>
                      <a:effectLst>
                        <a:outerShdw blurRad="57150" dist="19050" dir="5400000" algn="ctr" rotWithShape="0">
                          <a:srgbClr val="000000">
                            <a:alpha val="63000"/>
                          </a:srgbClr>
                        </a:outerShdw>
                      </a:effectLst>
                    </c:spPr>
                  </c15:marker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0-08E1-432C-95A2-0E7F6A3F7B02}"/>
            </c:ext>
          </c:extLst>
        </c:ser>
        <c:ser>
          <c:idx val="1"/>
          <c:order val="1"/>
          <c:tx>
            <c:v>Durée inter</c:v>
          </c:tx>
          <c:spPr>
            <a:ln w="34925" cap="rnd">
              <a:solidFill>
                <a:srgbClr val="C0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Lbl>
              <c:idx val="1"/>
              <c:layout>
                <c:manualLayout>
                  <c:x val="-2.9409641551815396E-2"/>
                  <c:y val="-8.77239243733503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ADB1-4C27-BBFD-EB4B049C431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none" spc="0" baseline="0">
                    <a:ln w="0"/>
                    <a:solidFill>
                      <a:schemeClr val="accent6">
                        <a:lumMod val="50000"/>
                      </a:schemeClr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5"/>
              <c:pt idx="0">
                <c:v>janv</c:v>
              </c:pt>
              <c:pt idx="1">
                <c:v>févr</c:v>
              </c:pt>
              <c:pt idx="2">
                <c:v>mars</c:v>
              </c:pt>
              <c:pt idx="3">
                <c:v>avr</c:v>
              </c:pt>
              <c:pt idx="4">
                <c:v>mai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'Calcul indemnités mensuelles'!$K$2:$K$13</c15:sqref>
                  </c15:fullRef>
                </c:ext>
              </c:extLst>
              <c:f>'Calcul indemnités mensuelles'!$K$2:$K$6</c:f>
              <c:numCache>
                <c:formatCode>[hh]:mm</c:formatCode>
                <c:ptCount val="5"/>
                <c:pt idx="0">
                  <c:v>1.4562499999999998</c:v>
                </c:pt>
                <c:pt idx="1">
                  <c:v>0.57986111111111094</c:v>
                </c:pt>
                <c:pt idx="2">
                  <c:v>0.63819444444444451</c:v>
                </c:pt>
                <c:pt idx="3">
                  <c:v>0.73958333333333326</c:v>
                </c:pt>
                <c:pt idx="4">
                  <c:v>0.36875000000000008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E1-432C-95A2-0E7F6A3F7B02}"/>
            </c:ext>
          </c:extLst>
        </c:ser>
        <c:ser>
          <c:idx val="3"/>
          <c:order val="3"/>
          <c:tx>
            <c:v>H effectuées / mois</c:v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-1800000" spcFirstLastPara="1" vertOverflow="ellipsis" wrap="square" lIns="38100" tIns="19050" rIns="38100" bIns="19050" anchor="t" anchorCtr="0">
                <a:spAutoFit/>
              </a:bodyPr>
              <a:lstStyle/>
              <a:p>
                <a:pPr>
                  <a:defRPr sz="900" b="1" i="0" u="none" strike="noStrike" kern="1200" cap="none" spc="0" baseline="0">
                    <a:ln w="0"/>
                    <a:solidFill>
                      <a:srgbClr val="FFCC66"/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5"/>
              <c:pt idx="0">
                <c:v>janv</c:v>
              </c:pt>
              <c:pt idx="1">
                <c:v>févr</c:v>
              </c:pt>
              <c:pt idx="2">
                <c:v>mars</c:v>
              </c:pt>
              <c:pt idx="3">
                <c:v>avr</c:v>
              </c:pt>
              <c:pt idx="4">
                <c:v>mai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'Calcul indemnités mensuelles'!$I$2:$I$13</c15:sqref>
                  </c15:fullRef>
                </c:ext>
              </c:extLst>
              <c:f>'Calcul indemnités mensuelles'!$I$2:$I$6</c:f>
              <c:numCache>
                <c:formatCode>[hh]:mm</c:formatCode>
                <c:ptCount val="5"/>
                <c:pt idx="0">
                  <c:v>5.0256944444444445</c:v>
                </c:pt>
                <c:pt idx="1">
                  <c:v>4.4166666666666661</c:v>
                </c:pt>
                <c:pt idx="2">
                  <c:v>4.8958333333333339</c:v>
                </c:pt>
                <c:pt idx="3">
                  <c:v>5.1298611111111114</c:v>
                </c:pt>
                <c:pt idx="4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0DF-453B-A2C3-4A1160DDAA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5593743"/>
        <c:axId val="444583135"/>
      </c:lineChart>
      <c:dateAx>
        <c:axId val="5755937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mmm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4583135"/>
        <c:crosses val="autoZero"/>
        <c:auto val="1"/>
        <c:lblOffset val="100"/>
        <c:baseTimeUnit val="months"/>
      </c:dateAx>
      <c:valAx>
        <c:axId val="444583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[hh]:mm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5593743"/>
        <c:crosses val="autoZero"/>
        <c:crossBetween val="between"/>
      </c:valAx>
      <c:valAx>
        <c:axId val="444581887"/>
        <c:scaling>
          <c:orientation val="minMax"/>
        </c:scaling>
        <c:delete val="0"/>
        <c:axPos val="r"/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5606543"/>
        <c:crosses val="max"/>
        <c:crossBetween val="between"/>
      </c:valAx>
      <c:catAx>
        <c:axId val="575606543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majorTickMark val="none"/>
        <c:minorTickMark val="none"/>
        <c:tickLblPos val="nextTo"/>
        <c:crossAx val="44458188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outerShdw blurRad="50800" dist="38100" dir="18900000" algn="bl" rotWithShape="0">
        <a:prstClr val="black">
          <a:alpha val="40000"/>
        </a:prstClr>
      </a:outerShdw>
    </a:effectLst>
  </c:spPr>
  <c:txPr>
    <a:bodyPr/>
    <a:lstStyle/>
    <a:p>
      <a:pPr>
        <a:defRPr b="0" cap="none" spc="0">
          <a:ln w="0"/>
          <a:solidFill>
            <a:schemeClr val="tx1"/>
          </a:solidFill>
          <a:effectLst>
            <a:outerShdw blurRad="38100" dist="19050" dir="2700000" algn="tl" rotWithShape="0">
              <a:schemeClr val="dk1">
                <a:alpha val="40000"/>
              </a:schemeClr>
            </a:outerShdw>
          </a:effectLst>
        </a:defRPr>
      </a:pPr>
      <a:endParaRPr lang="fr-FR"/>
    </a:p>
  </c:txPr>
  <c:printSettings>
    <c:headerFooter/>
    <c:pageMargins b="0" l="0" r="0" t="0" header="0.31496062992125984" footer="0.31496062992125984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5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64851</xdr:colOff>
      <xdr:row>14</xdr:row>
      <xdr:rowOff>71336</xdr:rowOff>
    </xdr:from>
    <xdr:to>
      <xdr:col>20</xdr:col>
      <xdr:colOff>795494</xdr:colOff>
      <xdr:row>16</xdr:row>
      <xdr:rowOff>32425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3AA115C-C631-475D-87B2-0639F8054A21}"/>
            </a:ext>
          </a:extLst>
        </xdr:cNvPr>
        <xdr:cNvSpPr/>
      </xdr:nvSpPr>
      <xdr:spPr>
        <a:xfrm>
          <a:off x="64851" y="3412413"/>
          <a:ext cx="8777698" cy="329528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RE" sz="2000" b="0" cap="none" spc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CALCUL</a:t>
          </a:r>
          <a:r>
            <a:rPr lang="fr-RE" sz="2000" b="0" cap="none" spc="0" baseline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 AUTOMATIQUE - </a:t>
          </a:r>
          <a:r>
            <a:rPr lang="fr-RE" sz="2000" b="0" cap="none" spc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NE PAS MODIFIER LES</a:t>
          </a:r>
          <a:r>
            <a:rPr lang="fr-RE" sz="2000" b="0" cap="none" spc="0" baseline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 CELLULES</a:t>
          </a:r>
          <a:r>
            <a:rPr lang="fr-RE" sz="2000" b="0" cap="none" spc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 </a:t>
          </a:r>
        </a:p>
      </xdr:txBody>
    </xdr:sp>
    <xdr:clientData/>
  </xdr:twoCellAnchor>
  <xdr:twoCellAnchor>
    <xdr:from>
      <xdr:col>0</xdr:col>
      <xdr:colOff>45228</xdr:colOff>
      <xdr:row>18</xdr:row>
      <xdr:rowOff>23566</xdr:rowOff>
    </xdr:from>
    <xdr:to>
      <xdr:col>20</xdr:col>
      <xdr:colOff>801278</xdr:colOff>
      <xdr:row>47</xdr:row>
      <xdr:rowOff>47134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D97E5139-C0BF-4B22-A774-D67C4B9A387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AFIZOU Christopher" refreshedDate="43359.578732060188" createdVersion="6" refreshedVersion="6" minRefreshableVersion="3" recordCount="114" xr:uid="{593EC57D-5FD4-4748-BEE1-50147BE20B25}">
  <cacheSource type="worksheet">
    <worksheetSource ref="A1:Y281" sheet="Données"/>
  </cacheSource>
  <cacheFields count="24">
    <cacheField name="Date" numFmtId="167">
      <sharedItems containsNonDate="0" containsDate="1" containsString="0" containsBlank="1" minDate="2018-01-02T00:00:00" maxDate="2018-10-01T00:00:00"/>
    </cacheField>
    <cacheField name="Garde / Interv." numFmtId="0">
      <sharedItems containsBlank="1"/>
    </cacheField>
    <cacheField name="Hdébut garde" numFmtId="0">
      <sharedItems containsNonDate="0" containsDate="1" containsString="0" containsBlank="1" minDate="1899-12-30T08:00:00" maxDate="1899-12-30T20:00:00"/>
    </cacheField>
    <cacheField name="Hfin garde" numFmtId="166">
      <sharedItems containsNonDate="0" containsDate="1" containsString="0" containsBlank="1" minDate="1899-12-30T06:00:00" maxDate="1899-12-30T20:00:00"/>
    </cacheField>
    <cacheField name="&gt;24h" numFmtId="166">
      <sharedItems containsBlank="1"/>
    </cacheField>
    <cacheField name="Motif Départ" numFmtId="0">
      <sharedItems containsBlank="1"/>
    </cacheField>
    <cacheField name="Véhicule" numFmtId="0">
      <sharedItems containsBlank="1"/>
    </cacheField>
    <cacheField name="Hdébut interv." numFmtId="0">
      <sharedItems containsNonDate="0" containsDate="1" containsString="0" containsBlank="1" minDate="1899-12-30T00:12:00" maxDate="1899-12-30T23:43:00"/>
    </cacheField>
    <cacheField name="Hfin Interv." numFmtId="0">
      <sharedItems containsNonDate="0" containsDate="1" containsString="0" containsBlank="1" minDate="1899-12-30T00:12:00" maxDate="1899-12-30T23:44:00"/>
    </cacheField>
    <cacheField name="Hdébut corrigé" numFmtId="0">
      <sharedItems containsNonDate="0" containsDate="1" containsString="0" containsBlank="1" minDate="1899-12-30T08:00:00" maxDate="1899-12-31T07:47:00"/>
    </cacheField>
    <cacheField name="Hfin corrigée" numFmtId="0">
      <sharedItems containsNonDate="0" containsDate="1" containsString="0" containsBlank="1" minDate="1899-12-30T09:52:00" maxDate="1899-12-31T09:27:00"/>
    </cacheField>
    <cacheField name="Début Dim ou Férié" numFmtId="0">
      <sharedItems containsBlank="1"/>
    </cacheField>
    <cacheField name="JOUR1" numFmtId="166">
      <sharedItems containsNonDate="0" containsDate="1" containsString="0" containsBlank="1" minDate="1899-12-30T00:00:00" maxDate="1899-12-30T14:00:00"/>
    </cacheField>
    <cacheField name="NUIT1.1" numFmtId="0">
      <sharedItems containsNonDate="0" containsDate="1" containsString="0" containsBlank="1" minDate="1899-12-30T00:00:00" maxDate="1899-12-31T00:00:00"/>
    </cacheField>
    <cacheField name="NUIT1.2" numFmtId="0">
      <sharedItems containsNonDate="0" containsDate="1" containsString="0" containsBlank="1" minDate="1899-12-30T00:00:00" maxDate="1899-12-30T02:00:00"/>
    </cacheField>
    <cacheField name="Fin Dim ou Férié" numFmtId="0">
      <sharedItems containsBlank="1"/>
    </cacheField>
    <cacheField name="JOUR2" numFmtId="0">
      <sharedItems containsNonDate="0" containsDate="1" containsString="0" containsBlank="1" minDate="1899-12-30T00:00:00" maxDate="1899-12-30T02:27:00"/>
    </cacheField>
    <cacheField name="NUIT2.1" numFmtId="0">
      <sharedItems containsNonDate="0" containsDate="1" containsString="0" containsBlank="1" minDate="1899-12-30T00:00:00" maxDate="1899-12-30T07:00:00"/>
    </cacheField>
    <cacheField name="NUIT2.2" numFmtId="0">
      <sharedItems containsNonDate="0" containsDate="1" containsString="0" containsBlank="1" minDate="1899-12-30T00:00:00" maxDate="1899-12-31T00:00:00"/>
    </cacheField>
    <cacheField name="Interv. hors poste" numFmtId="0">
      <sharedItems containsNonDate="0" containsDate="1" containsString="0" containsBlank="1" minDate="1899-12-30T00:00:00" maxDate="1899-12-31T00:00:00"/>
    </cacheField>
    <cacheField name="Durée sans interv." numFmtId="0">
      <sharedItems containsNonDate="0" containsDate="1" containsString="0" containsBlank="1" minDate="1899-12-30T00:00:00" maxDate="1900-01-01T00:00:00"/>
    </cacheField>
    <cacheField name="Durée interv. jour" numFmtId="0">
      <sharedItems containsNonDate="0" containsDate="1" containsString="0" containsBlank="1" minDate="1899-12-30T00:00:00" maxDate="1899-12-31T00:00:00"/>
    </cacheField>
    <cacheField name="Durée interv. dim ou férié" numFmtId="0">
      <sharedItems containsNonDate="0" containsDate="1" containsString="0" containsBlank="1" minDate="1899-12-30T00:00:00" maxDate="1899-12-31T00:00:00"/>
    </cacheField>
    <cacheField name="Durée interv. nuit" numFmtId="0">
      <sharedItems containsNonDate="0" containsDate="1" containsString="0" containsBlank="1" minDate="1899-12-30T00:00:00" maxDate="1899-12-3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4">
  <r>
    <d v="2018-01-02T00:00:00"/>
    <s v="Garde"/>
    <d v="1899-12-30T08:00:00"/>
    <d v="1899-12-30T08:00:00"/>
    <m/>
    <m/>
    <m/>
    <m/>
    <m/>
    <d v="1899-12-30T08:00:00"/>
    <d v="1899-12-31T08:00:00"/>
    <s v="non"/>
    <d v="1899-12-30T14:00:00"/>
    <d v="1899-12-30T00:00:00"/>
    <d v="1899-12-30T02:00:00"/>
    <s v="non"/>
    <d v="1899-12-30T01:00:00"/>
    <d v="1899-12-30T07:00:00"/>
    <d v="1899-12-30T00:00:00"/>
    <d v="1899-12-30T00:00:00"/>
    <d v="1899-12-30T20:53:00"/>
    <d v="1899-12-30T00:00:00"/>
    <d v="1899-12-30T00:00:00"/>
    <d v="1899-12-30T00:00:00"/>
  </r>
  <r>
    <d v="2018-01-02T00:00:00"/>
    <s v="Intervention"/>
    <m/>
    <m/>
    <m/>
    <m/>
    <s v="INC"/>
    <d v="1899-12-30T14:47:00"/>
    <d v="1899-12-30T16:07:00"/>
    <d v="1899-12-30T14:47:00"/>
    <d v="1899-12-30T16:07:00"/>
    <s v="non"/>
    <d v="1899-12-30T01:20:00"/>
    <d v="1899-12-30T00:00:00"/>
    <d v="1899-12-30T00:00:00"/>
    <s v="non"/>
    <d v="1899-12-30T00:00:00"/>
    <d v="1899-12-30T00:00:00"/>
    <d v="1899-12-30T00:00:00"/>
    <d v="1899-12-30T00:00:00"/>
    <d v="1899-12-30T00:00:00"/>
    <d v="1899-12-30T01:20:00"/>
    <d v="1899-12-30T00:00:00"/>
    <d v="1899-12-30T00:00:00"/>
  </r>
  <r>
    <d v="2018-01-02T00:00:00"/>
    <s v="Intervention"/>
    <m/>
    <m/>
    <m/>
    <m/>
    <s v="VSAV"/>
    <d v="1899-12-30T18:28:00"/>
    <d v="1899-12-30T20:15:00"/>
    <d v="1899-12-30T18:28:00"/>
    <d v="1899-12-30T20:15:00"/>
    <s v="non"/>
    <d v="1899-12-30T01:47:00"/>
    <d v="1899-12-30T00:00:00"/>
    <d v="1899-12-30T00:00:00"/>
    <s v="non"/>
    <d v="1899-12-30T00:00:00"/>
    <d v="1899-12-30T00:00:00"/>
    <d v="1899-12-30T00:00:00"/>
    <d v="1899-12-30T00:00:00"/>
    <d v="1899-12-30T00:00:00"/>
    <d v="1899-12-30T01:47:00"/>
    <d v="1899-12-30T00:00:00"/>
    <d v="1899-12-30T00:00:00"/>
  </r>
  <r>
    <d v="2018-01-10T00:00:00"/>
    <s v="Garde"/>
    <d v="1899-12-30T08:00:00"/>
    <d v="1899-12-30T08:00:00"/>
    <m/>
    <m/>
    <m/>
    <m/>
    <m/>
    <d v="1899-12-30T08:00:00"/>
    <d v="1899-12-31T08:00:00"/>
    <s v="non"/>
    <d v="1899-12-30T14:00:00"/>
    <d v="1899-12-30T00:00:00"/>
    <d v="1899-12-30T02:00:00"/>
    <s v="non"/>
    <d v="1899-12-30T01:00:00"/>
    <d v="1899-12-30T07:00:00"/>
    <d v="1899-12-30T00:00:00"/>
    <d v="1899-12-30T00:00:00"/>
    <d v="1899-12-30T16:18:00"/>
    <d v="1899-12-30T00:00:00"/>
    <d v="1899-12-30T00:00:00"/>
    <d v="1899-12-30T00:00:00"/>
  </r>
  <r>
    <d v="2018-01-10T00:00:00"/>
    <s v="Intervention"/>
    <m/>
    <m/>
    <m/>
    <m/>
    <s v="VSAV"/>
    <d v="1899-12-30T08:24:00"/>
    <d v="1899-12-30T09:52:00"/>
    <d v="1899-12-30T08:24:00"/>
    <d v="1899-12-30T09:52:00"/>
    <s v="non"/>
    <d v="1899-12-30T01:28:00"/>
    <d v="1899-12-30T00:00:00"/>
    <d v="1899-12-30T00:00:00"/>
    <s v="non"/>
    <d v="1899-12-30T00:00:00"/>
    <d v="1899-12-30T00:00:00"/>
    <d v="1899-12-30T00:00:00"/>
    <d v="1899-12-30T00:00:00"/>
    <d v="1899-12-30T00:00:00"/>
    <d v="1899-12-30T01:28:00"/>
    <d v="1899-12-30T00:00:00"/>
    <d v="1899-12-30T00:00:00"/>
  </r>
  <r>
    <d v="2018-01-10T00:00:00"/>
    <s v="Intervention"/>
    <m/>
    <m/>
    <m/>
    <m/>
    <s v="VSAV"/>
    <d v="1899-12-30T10:41:00"/>
    <d v="1899-12-30T11:59:00"/>
    <d v="1899-12-30T10:41:00"/>
    <d v="1899-12-30T11:59:00"/>
    <s v="non"/>
    <d v="1899-12-30T01:18:00"/>
    <d v="1899-12-30T00:00:00"/>
    <d v="1899-12-30T00:00:00"/>
    <s v="non"/>
    <d v="1899-12-30T00:00:00"/>
    <d v="1899-12-30T00:00:00"/>
    <d v="1899-12-30T00:00:00"/>
    <d v="1899-12-30T00:00:00"/>
    <d v="1899-12-30T00:00:00"/>
    <d v="1899-12-30T01:18:00"/>
    <d v="1899-12-30T00:00:00"/>
    <d v="1899-12-30T00:00:00"/>
  </r>
  <r>
    <d v="2018-01-10T00:00:00"/>
    <s v="Intervention"/>
    <m/>
    <m/>
    <m/>
    <m/>
    <s v="VSAV"/>
    <d v="1899-12-30T11:59:00"/>
    <d v="1899-12-30T13:30:00"/>
    <d v="1899-12-30T11:59:00"/>
    <d v="1899-12-30T13:30:00"/>
    <s v="non"/>
    <d v="1899-12-30T01:31:00"/>
    <d v="1899-12-30T00:00:00"/>
    <d v="1899-12-30T00:00:00"/>
    <s v="non"/>
    <d v="1899-12-30T00:00:00"/>
    <d v="1899-12-30T00:00:00"/>
    <d v="1899-12-30T00:00:00"/>
    <d v="1899-12-30T00:00:00"/>
    <d v="1899-12-30T00:00:00"/>
    <d v="1899-12-30T01:31:00"/>
    <d v="1899-12-30T00:00:00"/>
    <d v="1899-12-30T00:00:00"/>
  </r>
  <r>
    <d v="2018-01-10T00:00:00"/>
    <s v="Intervention"/>
    <m/>
    <m/>
    <m/>
    <m/>
    <s v="VSAV"/>
    <d v="1899-12-30T15:20:00"/>
    <d v="1899-12-30T15:54:00"/>
    <d v="1899-12-30T15:20:00"/>
    <d v="1899-12-30T15:54:00"/>
    <s v="non"/>
    <d v="1899-12-30T00:34:00"/>
    <d v="1899-12-30T00:00:00"/>
    <d v="1899-12-30T00:00:00"/>
    <s v="non"/>
    <d v="1899-12-30T00:00:00"/>
    <d v="1899-12-30T00:00:00"/>
    <d v="1899-12-30T00:00:00"/>
    <d v="1899-12-30T00:00:00"/>
    <d v="1899-12-30T00:00:00"/>
    <d v="1899-12-30T00:34:00"/>
    <d v="1899-12-30T00:00:00"/>
    <d v="1899-12-30T00:00:00"/>
  </r>
  <r>
    <d v="2018-01-10T00:00:00"/>
    <s v="Intervention"/>
    <m/>
    <m/>
    <m/>
    <m/>
    <s v="VSAV"/>
    <d v="1899-12-30T17:01:00"/>
    <d v="1899-12-30T18:40:00"/>
    <d v="1899-12-30T17:01:00"/>
    <d v="1899-12-30T18:40:00"/>
    <s v="non"/>
    <d v="1899-12-30T01:39:00"/>
    <d v="1899-12-30T00:00:00"/>
    <d v="1899-12-30T00:00:00"/>
    <s v="non"/>
    <d v="1899-12-30T00:00:00"/>
    <d v="1899-12-30T00:00:00"/>
    <d v="1899-12-30T00:00:00"/>
    <d v="1899-12-30T00:00:00"/>
    <d v="1899-12-30T00:00:00"/>
    <d v="1899-12-30T01:39:00"/>
    <d v="1899-12-30T00:00:00"/>
    <d v="1899-12-30T00:00:00"/>
  </r>
  <r>
    <d v="2018-01-10T00:00:00"/>
    <s v="Intervention"/>
    <m/>
    <m/>
    <m/>
    <m/>
    <s v="VSAV"/>
    <d v="1899-12-30T18:50:00"/>
    <d v="1899-12-30T19:39:00"/>
    <d v="1899-12-30T18:50:00"/>
    <d v="1899-12-30T19:39:00"/>
    <s v="non"/>
    <d v="1899-12-30T00:49:00"/>
    <d v="1899-12-30T00:00:00"/>
    <d v="1899-12-30T00:00:00"/>
    <s v="non"/>
    <d v="1899-12-30T00:00:00"/>
    <d v="1899-12-30T00:00:00"/>
    <d v="1899-12-30T00:00:00"/>
    <d v="1899-12-30T00:00:00"/>
    <d v="1899-12-30T00:00:00"/>
    <d v="1899-12-30T00:49:00"/>
    <d v="1899-12-30T00:00:00"/>
    <d v="1899-12-30T00:00:00"/>
  </r>
  <r>
    <d v="2018-01-10T00:00:00"/>
    <s v="Intervention"/>
    <m/>
    <m/>
    <m/>
    <m/>
    <s v="VSAV"/>
    <d v="1899-12-30T22:22:00"/>
    <d v="1899-12-30T22:45:00"/>
    <d v="1899-12-30T22:22:00"/>
    <d v="1899-12-30T22:45:00"/>
    <s v="non"/>
    <d v="1899-12-30T00:00:00"/>
    <d v="1899-12-30T00:00:00"/>
    <d v="1899-12-30T00:23:00"/>
    <s v="non"/>
    <d v="1899-12-30T00:00:00"/>
    <d v="1899-12-30T00:00:00"/>
    <d v="1899-12-30T00:00:00"/>
    <d v="1899-12-30T00:00:00"/>
    <d v="1899-12-30T00:00:00"/>
    <d v="1899-12-30T00:00:00"/>
    <d v="1899-12-30T00:00:00"/>
    <d v="1899-12-30T00:23:00"/>
  </r>
  <r>
    <d v="2018-01-16T00:00:00"/>
    <s v="Garde"/>
    <d v="1899-12-30T08:00:00"/>
    <d v="1899-12-30T08:00:00"/>
    <m/>
    <m/>
    <m/>
    <m/>
    <m/>
    <d v="1899-12-30T08:00:00"/>
    <d v="1899-12-31T08:00:00"/>
    <s v="non"/>
    <d v="1899-12-30T14:00:00"/>
    <d v="1899-12-30T00:00:00"/>
    <d v="1899-12-30T02:00:00"/>
    <s v="non"/>
    <d v="1899-12-30T01:00:00"/>
    <d v="1899-12-30T07:00:00"/>
    <d v="1899-12-30T00:00:00"/>
    <d v="1899-12-30T00:00:00"/>
    <d v="1899-12-30T19:49:00"/>
    <d v="1899-12-30T00:00:00"/>
    <d v="1899-12-30T00:00:00"/>
    <d v="1899-12-30T00:00:00"/>
  </r>
  <r>
    <d v="2018-01-16T00:00:00"/>
    <s v="Intervention"/>
    <m/>
    <m/>
    <m/>
    <m/>
    <s v="VSAV"/>
    <d v="1899-12-30T16:16:00"/>
    <d v="1899-12-30T16:27:00"/>
    <d v="1899-12-30T16:16:00"/>
    <d v="1899-12-30T16:27:00"/>
    <s v="non"/>
    <d v="1899-12-30T00:11:00"/>
    <d v="1899-12-30T00:00:00"/>
    <d v="1899-12-30T00:00:00"/>
    <s v="non"/>
    <d v="1899-12-30T00:00:00"/>
    <d v="1899-12-30T00:00:00"/>
    <d v="1899-12-30T00:00:00"/>
    <d v="1899-12-30T00:00:00"/>
    <d v="1899-12-30T00:00:00"/>
    <d v="1899-12-30T00:11:00"/>
    <d v="1899-12-30T00:00:00"/>
    <d v="1899-12-30T00:00:00"/>
  </r>
  <r>
    <d v="2018-01-16T00:00:00"/>
    <s v="Intervention"/>
    <m/>
    <m/>
    <m/>
    <m/>
    <s v="VSAV"/>
    <d v="1899-12-30T16:44:00"/>
    <d v="1899-12-30T18:10:00"/>
    <d v="1899-12-30T16:44:00"/>
    <d v="1899-12-30T18:10:00"/>
    <s v="non"/>
    <d v="1899-12-30T01:26:00"/>
    <d v="1899-12-30T00:00:00"/>
    <d v="1899-12-30T00:00:00"/>
    <s v="non"/>
    <d v="1899-12-30T00:00:00"/>
    <d v="1899-12-30T00:00:00"/>
    <d v="1899-12-30T00:00:00"/>
    <d v="1899-12-30T00:00:00"/>
    <d v="1899-12-30T00:00:00"/>
    <d v="1899-12-30T01:26:00"/>
    <d v="1899-12-30T00:00:00"/>
    <d v="1899-12-30T00:00:00"/>
  </r>
  <r>
    <d v="2018-01-16T00:00:00"/>
    <s v="Intervention"/>
    <m/>
    <m/>
    <m/>
    <m/>
    <s v="VSAV"/>
    <d v="1899-12-30T20:57:00"/>
    <d v="1899-12-30T21:51:00"/>
    <d v="1899-12-30T20:57:00"/>
    <d v="1899-12-30T21:51:00"/>
    <s v="non"/>
    <d v="1899-12-30T00:54:00"/>
    <d v="1899-12-30T00:00:00"/>
    <d v="1899-12-30T00:00:00"/>
    <s v="non"/>
    <d v="1899-12-30T00:00:00"/>
    <d v="1899-12-30T00:00:00"/>
    <d v="1899-12-30T00:00:00"/>
    <d v="1899-12-30T00:00:00"/>
    <d v="1899-12-30T00:00:00"/>
    <d v="1899-12-30T00:54:00"/>
    <d v="1899-12-30T00:00:00"/>
    <d v="1899-12-30T00:00:00"/>
  </r>
  <r>
    <d v="2018-01-16T00:00:00"/>
    <s v="Intervention"/>
    <m/>
    <m/>
    <m/>
    <m/>
    <s v="VSAV"/>
    <d v="1899-12-30T22:04:00"/>
    <d v="1899-12-30T23:44:00"/>
    <d v="1899-12-30T22:04:00"/>
    <d v="1899-12-30T23:44:00"/>
    <s v="non"/>
    <d v="1899-12-30T00:00:00"/>
    <d v="1899-12-30T00:00:00"/>
    <d v="1899-12-30T01:40:00"/>
    <s v="non"/>
    <d v="1899-12-30T00:00:00"/>
    <d v="1899-12-30T00:00:00"/>
    <d v="1899-12-30T00:00:00"/>
    <d v="1899-12-30T00:00:00"/>
    <d v="1899-12-30T00:00:00"/>
    <d v="1899-12-30T00:00:00"/>
    <d v="1899-12-30T00:00:00"/>
    <d v="1899-12-30T01:40:00"/>
  </r>
  <r>
    <d v="2018-03-23T00:00:00"/>
    <s v="Garde"/>
    <d v="1899-12-30T08:00:00"/>
    <d v="1899-12-30T09:27:00"/>
    <s v="Oui "/>
    <m/>
    <m/>
    <m/>
    <m/>
    <d v="1899-12-30T08:00:00"/>
    <d v="1899-12-31T09:27:00"/>
    <s v="non"/>
    <d v="1899-12-30T14:00:00"/>
    <d v="1899-12-30T00:00:00"/>
    <d v="1899-12-30T02:00:00"/>
    <s v="non"/>
    <d v="1899-12-30T02:27:00"/>
    <d v="1899-12-30T07:00:00"/>
    <d v="1899-12-30T00:00:00"/>
    <d v="1899-12-30T00:00:00"/>
    <d v="1899-12-30T19:03:00"/>
    <d v="1899-12-30T00:00:00"/>
    <d v="1899-12-30T00:00:00"/>
    <d v="1899-12-30T00:00:00"/>
  </r>
  <r>
    <d v="2018-03-23T00:00:00"/>
    <s v="Intervention"/>
    <m/>
    <m/>
    <m/>
    <m/>
    <s v="VSAV"/>
    <d v="1899-12-30T11:30:00"/>
    <d v="1899-12-30T13:03:00"/>
    <d v="1899-12-30T11:30:00"/>
    <d v="1899-12-30T13:03:00"/>
    <s v="non"/>
    <d v="1899-12-30T01:33:00"/>
    <d v="1899-12-30T00:00:00"/>
    <d v="1899-12-30T00:00:00"/>
    <s v="non"/>
    <d v="1899-12-30T00:00:00"/>
    <d v="1899-12-30T00:00:00"/>
    <d v="1899-12-30T00:00:00"/>
    <d v="1899-12-30T00:00:00"/>
    <d v="1899-12-30T00:00:00"/>
    <d v="1899-12-30T01:33:00"/>
    <d v="1899-12-30T00:00:00"/>
    <d v="1899-12-30T00:00:00"/>
  </r>
  <r>
    <d v="2018-03-23T00:00:00"/>
    <s v="Intervention"/>
    <m/>
    <m/>
    <m/>
    <m/>
    <s v="VSAV"/>
    <d v="1899-12-30T17:48:00"/>
    <d v="1899-12-30T17:54:00"/>
    <d v="1899-12-30T17:48:00"/>
    <d v="1899-12-30T17:54:00"/>
    <s v="non"/>
    <d v="1899-12-30T00:06:00"/>
    <d v="1899-12-30T00:00:00"/>
    <d v="1899-12-30T00:00:00"/>
    <s v="non"/>
    <d v="1899-12-30T00:00:00"/>
    <d v="1899-12-30T00:00:00"/>
    <d v="1899-12-30T00:00:00"/>
    <d v="1899-12-30T00:00:00"/>
    <d v="1899-12-30T00:00:00"/>
    <d v="1899-12-30T00:06:00"/>
    <d v="1899-12-30T00:00:00"/>
    <d v="1899-12-30T00:00:00"/>
  </r>
  <r>
    <d v="2018-03-23T00:00:00"/>
    <s v="Intervention"/>
    <m/>
    <m/>
    <m/>
    <m/>
    <s v="VSAV"/>
    <d v="1899-12-30T17:55:00"/>
    <d v="1899-12-30T19:15:00"/>
    <d v="1899-12-30T17:55:00"/>
    <d v="1899-12-30T19:15:00"/>
    <s v="non"/>
    <d v="1899-12-30T01:20:00"/>
    <d v="1899-12-30T00:00:00"/>
    <d v="1899-12-30T00:00:00"/>
    <s v="non"/>
    <d v="1899-12-30T00:00:00"/>
    <d v="1899-12-30T00:00:00"/>
    <d v="1899-12-30T00:00:00"/>
    <d v="1899-12-30T00:00:00"/>
    <d v="1899-12-30T00:00:00"/>
    <d v="1899-12-30T01:20:00"/>
    <d v="1899-12-30T00:00:00"/>
    <d v="1899-12-30T00:00:00"/>
  </r>
  <r>
    <d v="2018-03-23T00:00:00"/>
    <s v="Intervention"/>
    <m/>
    <m/>
    <m/>
    <m/>
    <s v="VSAV"/>
    <d v="1899-12-30T20:17:00"/>
    <d v="1899-12-30T20:20:00"/>
    <d v="1899-12-30T20:17:00"/>
    <d v="1899-12-30T20:20:00"/>
    <s v="non"/>
    <d v="1899-12-30T00:03:00"/>
    <d v="1899-12-30T00:00:00"/>
    <d v="1899-12-30T00:00:00"/>
    <s v="non"/>
    <d v="1899-12-30T00:00:00"/>
    <d v="1899-12-30T00:00:00"/>
    <d v="1899-12-30T00:00:00"/>
    <d v="1899-12-30T00:00:00"/>
    <d v="1899-12-30T00:00:00"/>
    <d v="1899-12-30T00:03:00"/>
    <d v="1899-12-30T00:00:00"/>
    <d v="1899-12-30T00:00:00"/>
  </r>
  <r>
    <d v="2018-03-23T00:00:00"/>
    <s v="Intervention"/>
    <m/>
    <m/>
    <m/>
    <m/>
    <s v="VSAV"/>
    <d v="1899-12-30T23:43:00"/>
    <d v="1899-12-30T00:12:00"/>
    <d v="1899-12-30T23:43:00"/>
    <d v="1899-12-31T00:12:00"/>
    <s v="non"/>
    <d v="1899-12-30T00:00:00"/>
    <d v="1899-12-30T00:00:00"/>
    <d v="1899-12-30T00:17:00"/>
    <s v="non"/>
    <d v="1899-12-30T00:00:00"/>
    <d v="1899-12-30T00:12:00"/>
    <d v="1899-12-30T00:00:00"/>
    <d v="1899-12-30T00:00:00"/>
    <d v="1899-12-30T00:00:00"/>
    <d v="1899-12-30T00:00:00"/>
    <d v="1899-12-30T00:00:00"/>
    <d v="1899-12-30T00:29:00"/>
  </r>
  <r>
    <d v="2018-03-23T00:00:00"/>
    <s v="Intervention"/>
    <m/>
    <m/>
    <m/>
    <m/>
    <s v="VSAV"/>
    <d v="1899-12-30T00:12:00"/>
    <d v="1899-12-30T01:25:00"/>
    <d v="1899-12-31T00:12:00"/>
    <d v="1899-12-31T01:25:00"/>
    <s v="non"/>
    <d v="1899-12-30T00:00:00"/>
    <d v="1899-12-30T00:00:00"/>
    <d v="1899-12-30T00:00:00"/>
    <s v="non"/>
    <d v="1899-12-30T00:00:00"/>
    <d v="1899-12-30T01:13:00"/>
    <d v="1899-12-30T00:00:00"/>
    <d v="1899-12-30T00:00:00"/>
    <d v="1899-12-30T00:00:00"/>
    <d v="1899-12-30T00:00:00"/>
    <d v="1899-12-30T00:00:00"/>
    <d v="1899-12-30T01:13:00"/>
  </r>
  <r>
    <d v="2018-03-23T00:00:00"/>
    <s v="Intervention"/>
    <m/>
    <m/>
    <m/>
    <m/>
    <s v="VSAV"/>
    <d v="1899-12-30T07:47:00"/>
    <d v="1899-12-30T09:27:00"/>
    <d v="1899-12-31T07:47:00"/>
    <d v="1899-12-31T09:27:00"/>
    <s v="non"/>
    <d v="1899-12-30T00:00:00"/>
    <d v="1899-12-30T00:00:00"/>
    <d v="1899-12-30T00:00:00"/>
    <s v="non"/>
    <d v="1899-12-30T01:40:00"/>
    <d v="1899-12-30T00:00:00"/>
    <d v="1899-12-30T00:00:00"/>
    <d v="1899-12-30T00:00:00"/>
    <d v="1899-12-30T00:00:00"/>
    <d v="1899-12-30T01:40:00"/>
    <d v="1899-12-30T00:00:00"/>
    <d v="1899-12-30T00:00:00"/>
  </r>
  <r>
    <d v="2018-03-29T00:00:00"/>
    <s v="Garde"/>
    <d v="1899-12-30T10:00:00"/>
    <d v="1899-12-30T06:00:00"/>
    <m/>
    <m/>
    <m/>
    <m/>
    <m/>
    <d v="1899-12-30T10:00:00"/>
    <d v="1899-12-31T06:00:00"/>
    <s v="non"/>
    <d v="1899-12-30T12:00:00"/>
    <d v="1899-12-30T00:00:00"/>
    <d v="1899-12-30T02:00:00"/>
    <s v="non"/>
    <d v="1899-12-30T00:00:00"/>
    <d v="1899-12-30T06:00:00"/>
    <d v="1899-12-30T00:00:00"/>
    <d v="1899-12-30T00:00:00"/>
    <d v="1899-12-30T11:56:00"/>
    <d v="1899-12-30T00:00:00"/>
    <d v="1899-12-30T00:00:00"/>
    <d v="1899-12-30T00:00:00"/>
  </r>
  <r>
    <d v="2018-03-29T00:00:00"/>
    <s v="Intervention"/>
    <m/>
    <m/>
    <m/>
    <m/>
    <s v="VSAV"/>
    <d v="1899-12-30T10:24:00"/>
    <d v="1899-12-30T11:45:00"/>
    <d v="1899-12-30T10:24:00"/>
    <d v="1899-12-30T11:45:00"/>
    <s v="non"/>
    <d v="1899-12-30T01:21:00"/>
    <d v="1899-12-30T00:00:00"/>
    <d v="1899-12-30T00:00:00"/>
    <s v="non"/>
    <d v="1899-12-30T00:00:00"/>
    <d v="1899-12-30T00:00:00"/>
    <d v="1899-12-30T00:00:00"/>
    <d v="1899-12-30T00:00:00"/>
    <d v="1899-12-30T00:00:00"/>
    <d v="1899-12-30T01:21:00"/>
    <d v="1899-12-30T00:00:00"/>
    <d v="1899-12-30T00:00:00"/>
  </r>
  <r>
    <d v="2018-03-29T00:00:00"/>
    <s v="Intervention"/>
    <m/>
    <m/>
    <m/>
    <m/>
    <s v="VSAV"/>
    <d v="1899-12-30T12:21:00"/>
    <d v="1899-12-30T13:46:00"/>
    <d v="1899-12-30T12:21:00"/>
    <d v="1899-12-30T13:46:00"/>
    <s v="non"/>
    <d v="1899-12-30T01:25:00"/>
    <d v="1899-12-30T00:00:00"/>
    <d v="1899-12-30T00:00:00"/>
    <s v="non"/>
    <d v="1899-12-30T00:00:00"/>
    <d v="1899-12-30T00:00:00"/>
    <d v="1899-12-30T00:00:00"/>
    <d v="1899-12-30T00:00:00"/>
    <d v="1899-12-30T00:00:00"/>
    <d v="1899-12-30T01:25:00"/>
    <d v="1899-12-30T00:00:00"/>
    <d v="1899-12-30T00:00:00"/>
  </r>
  <r>
    <d v="2018-03-29T00:00:00"/>
    <s v="Intervention"/>
    <m/>
    <m/>
    <m/>
    <m/>
    <s v="VSAV"/>
    <d v="1899-12-30T15:02:00"/>
    <d v="1899-12-30T16:10:00"/>
    <d v="1899-12-30T15:02:00"/>
    <d v="1899-12-30T16:10:00"/>
    <s v="non"/>
    <d v="1899-12-30T01:08:00"/>
    <d v="1899-12-30T00:00:00"/>
    <d v="1899-12-30T00:00:00"/>
    <s v="non"/>
    <d v="1899-12-30T00:00:00"/>
    <d v="1899-12-30T00:00:00"/>
    <d v="1899-12-30T00:00:00"/>
    <d v="1899-12-30T00:00:00"/>
    <d v="1899-12-30T00:00:00"/>
    <d v="1899-12-30T01:08:00"/>
    <d v="1899-12-30T00:00:00"/>
    <d v="1899-12-30T00:00:00"/>
  </r>
  <r>
    <d v="2018-03-29T00:00:00"/>
    <s v="Intervention"/>
    <m/>
    <m/>
    <m/>
    <m/>
    <s v="VSAV"/>
    <d v="1899-12-30T16:10:00"/>
    <d v="1899-12-30T17:26:00"/>
    <d v="1899-12-30T16:10:00"/>
    <d v="1899-12-30T17:26:00"/>
    <s v="non"/>
    <d v="1899-12-30T01:16:00"/>
    <d v="1899-12-30T00:00:00"/>
    <d v="1899-12-30T00:00:00"/>
    <s v="non"/>
    <d v="1899-12-30T00:00:00"/>
    <d v="1899-12-30T00:00:00"/>
    <d v="1899-12-30T00:00:00"/>
    <d v="1899-12-30T00:00:00"/>
    <d v="1899-12-30T00:00:00"/>
    <d v="1899-12-30T01:16:00"/>
    <d v="1899-12-30T00:00:00"/>
    <d v="1899-12-30T00:00:00"/>
  </r>
  <r>
    <d v="2018-03-29T00:00:00"/>
    <s v="Intervention"/>
    <m/>
    <m/>
    <m/>
    <m/>
    <s v="VSAV"/>
    <d v="1899-12-30T17:55:00"/>
    <d v="1899-12-30T18:40:00"/>
    <d v="1899-12-30T17:55:00"/>
    <d v="1899-12-30T18:40:00"/>
    <s v="non"/>
    <d v="1899-12-30T00:45:00"/>
    <d v="1899-12-30T00:00:00"/>
    <d v="1899-12-30T00:00:00"/>
    <s v="non"/>
    <d v="1899-12-30T00:00:00"/>
    <d v="1899-12-30T00:00:00"/>
    <d v="1899-12-30T00:00:00"/>
    <d v="1899-12-30T00:00:00"/>
    <d v="1899-12-30T00:00:00"/>
    <d v="1899-12-30T00:45:00"/>
    <d v="1899-12-30T00:00:00"/>
    <d v="1899-12-30T00:00:00"/>
  </r>
  <r>
    <d v="2018-03-29T00:00:00"/>
    <s v="Intervention"/>
    <m/>
    <m/>
    <m/>
    <m/>
    <s v="VSAV"/>
    <d v="1899-12-30T18:50:00"/>
    <d v="1899-12-30T20:43:00"/>
    <d v="1899-12-30T18:50:00"/>
    <d v="1899-12-30T20:43:00"/>
    <s v="non"/>
    <d v="1899-12-30T01:53:00"/>
    <d v="1899-12-30T00:00:00"/>
    <d v="1899-12-30T00:00:00"/>
    <s v="non"/>
    <d v="1899-12-30T00:00:00"/>
    <d v="1899-12-30T00:00:00"/>
    <d v="1899-12-30T00:00:00"/>
    <d v="1899-12-30T00:00:00"/>
    <d v="1899-12-30T00:00:00"/>
    <d v="1899-12-30T01:53:00"/>
    <d v="1899-12-30T00:00:00"/>
    <d v="1899-12-30T00:00:00"/>
  </r>
  <r>
    <d v="2018-03-29T00:00:00"/>
    <s v="Intervention"/>
    <m/>
    <m/>
    <m/>
    <m/>
    <s v="INC"/>
    <d v="1899-12-30T21:30:00"/>
    <d v="1899-12-30T21:46:00"/>
    <d v="1899-12-30T21:30:00"/>
    <d v="1899-12-30T21:46:00"/>
    <s v="non"/>
    <d v="1899-12-30T00:16:00"/>
    <d v="1899-12-30T00:00:00"/>
    <d v="1899-12-30T00:00:00"/>
    <s v="non"/>
    <d v="1899-12-30T00:00:00"/>
    <d v="1899-12-30T00:00:00"/>
    <d v="1899-12-30T00:00:00"/>
    <d v="1899-12-30T00:00:00"/>
    <d v="1899-12-30T00:00:00"/>
    <d v="1899-12-30T00:16:00"/>
    <d v="1899-12-30T00:00:00"/>
    <d v="1899-12-30T00:00:00"/>
  </r>
  <r>
    <d v="2018-04-08T00:00:00"/>
    <s v="Garde"/>
    <d v="1899-12-30T08:00:00"/>
    <d v="1899-12-30T06:00:00"/>
    <m/>
    <m/>
    <m/>
    <m/>
    <m/>
    <d v="1899-12-30T08:00:00"/>
    <d v="1899-12-31T06:00:00"/>
    <s v="oui"/>
    <d v="1899-12-30T14:00:00"/>
    <d v="1899-12-30T00:00:00"/>
    <d v="1899-12-30T02:00:00"/>
    <s v="non"/>
    <d v="1899-12-30T00:00:00"/>
    <d v="1899-12-30T06:00:00"/>
    <d v="1899-12-30T00:00:00"/>
    <d v="1899-12-30T00:00:00"/>
    <d v="1899-12-30T17:36:00"/>
    <d v="1899-12-30T00:00:00"/>
    <d v="1899-12-30T00:00:00"/>
    <d v="1899-12-30T00:00:00"/>
  </r>
  <r>
    <d v="2018-04-08T00:00:00"/>
    <s v="Intervention"/>
    <m/>
    <m/>
    <m/>
    <m/>
    <s v="VSAV"/>
    <d v="1899-12-30T09:54:00"/>
    <d v="1899-12-30T11:47:00"/>
    <d v="1899-12-30T09:54:00"/>
    <d v="1899-12-30T11:47:00"/>
    <s v="oui"/>
    <d v="1899-12-30T01:53:00"/>
    <d v="1899-12-30T00:00:00"/>
    <d v="1899-12-30T00:00:00"/>
    <s v="oui"/>
    <d v="1899-12-30T00:00:00"/>
    <d v="1899-12-30T00:00:00"/>
    <d v="1899-12-30T00:00:00"/>
    <d v="1899-12-30T00:00:00"/>
    <d v="1899-12-30T00:00:00"/>
    <d v="1899-12-30T00:00:00"/>
    <d v="1899-12-30T01:53:00"/>
    <d v="1899-12-30T00:00:00"/>
  </r>
  <r>
    <d v="2018-04-08T00:00:00"/>
    <s v="Intervention"/>
    <m/>
    <m/>
    <m/>
    <m/>
    <s v="VSAV"/>
    <d v="1899-12-30T11:48:00"/>
    <d v="1899-12-30T13:02:00"/>
    <d v="1899-12-30T11:48:00"/>
    <d v="1899-12-30T13:02:00"/>
    <s v="oui"/>
    <d v="1899-12-30T01:14:00"/>
    <d v="1899-12-30T00:00:00"/>
    <d v="1899-12-30T00:00:00"/>
    <s v="oui"/>
    <d v="1899-12-30T00:00:00"/>
    <d v="1899-12-30T00:00:00"/>
    <d v="1899-12-30T00:00:00"/>
    <d v="1899-12-30T00:00:00"/>
    <d v="1899-12-30T00:00:00"/>
    <d v="1899-12-30T00:00:00"/>
    <d v="1899-12-30T01:14:00"/>
    <d v="1899-12-30T00:00:00"/>
  </r>
  <r>
    <d v="2018-04-08T00:00:00"/>
    <s v="Intervention"/>
    <m/>
    <m/>
    <m/>
    <m/>
    <s v="VSAV"/>
    <d v="1899-12-30T20:12:00"/>
    <d v="1899-12-30T21:29:00"/>
    <d v="1899-12-30T20:12:00"/>
    <d v="1899-12-30T21:29:00"/>
    <s v="oui"/>
    <d v="1899-12-30T01:17:00"/>
    <d v="1899-12-30T00:00:00"/>
    <d v="1899-12-30T00:00:00"/>
    <s v="oui"/>
    <d v="1899-12-30T00:00:00"/>
    <d v="1899-12-30T00:00:00"/>
    <d v="1899-12-30T00:00:00"/>
    <d v="1899-12-30T00:00:00"/>
    <d v="1899-12-30T00:00:00"/>
    <d v="1899-12-30T00:00:00"/>
    <d v="1899-12-30T01:17:00"/>
    <d v="1899-12-30T00:00:00"/>
  </r>
  <r>
    <d v="2018-05-05T00:00:00"/>
    <s v="Garde"/>
    <d v="1899-12-30T08:00:00"/>
    <d v="1899-12-30T08:00:00"/>
    <m/>
    <m/>
    <m/>
    <m/>
    <m/>
    <d v="1899-12-30T08:00:00"/>
    <d v="1899-12-31T08:00:00"/>
    <s v="non"/>
    <d v="1899-12-30T14:00:00"/>
    <d v="1899-12-30T00:00:00"/>
    <d v="1899-12-30T02:00:00"/>
    <s v="oui"/>
    <d v="1899-12-30T01:00:00"/>
    <d v="1899-12-30T07:00:00"/>
    <d v="1899-12-30T00:00:00"/>
    <d v="1899-12-30T00:00:00"/>
    <d v="1899-12-30T19:15:00"/>
    <d v="1899-12-30T00:00:00"/>
    <d v="1899-12-30T00:00:00"/>
    <d v="1899-12-30T00:00:00"/>
  </r>
  <r>
    <d v="2018-05-05T00:00:00"/>
    <s v="Intervention"/>
    <m/>
    <m/>
    <m/>
    <m/>
    <s v="VSAV"/>
    <d v="1899-12-30T14:27:00"/>
    <d v="1899-12-30T14:40:00"/>
    <d v="1899-12-30T14:27:00"/>
    <d v="1899-12-30T14:40:00"/>
    <s v="non"/>
    <d v="1899-12-30T00:13:00"/>
    <d v="1899-12-30T00:00:00"/>
    <d v="1899-12-30T00:00:00"/>
    <s v="non"/>
    <d v="1899-12-30T00:00:00"/>
    <d v="1899-12-30T00:00:00"/>
    <d v="1899-12-30T00:00:00"/>
    <d v="1899-12-30T00:00:00"/>
    <d v="1899-12-30T00:00:00"/>
    <d v="1899-12-30T00:13:00"/>
    <d v="1899-12-30T00:00:00"/>
    <d v="1899-12-30T00:00:00"/>
  </r>
  <r>
    <d v="2018-05-05T00:00:00"/>
    <s v="Intervention"/>
    <m/>
    <m/>
    <m/>
    <m/>
    <s v="VSAV"/>
    <d v="1899-12-30T15:03:00"/>
    <d v="1899-12-30T16:28:00"/>
    <d v="1899-12-30T15:03:00"/>
    <d v="1899-12-30T16:28:00"/>
    <s v="non"/>
    <d v="1899-12-30T01:25:00"/>
    <d v="1899-12-30T00:00:00"/>
    <d v="1899-12-30T00:00:00"/>
    <s v="non"/>
    <d v="1899-12-30T00:00:00"/>
    <d v="1899-12-30T00:00:00"/>
    <d v="1899-12-30T00:00:00"/>
    <d v="1899-12-30T00:00:00"/>
    <d v="1899-12-30T00:00:00"/>
    <d v="1899-12-30T01:25:00"/>
    <d v="1899-12-30T00:00:00"/>
    <d v="1899-12-30T00:00:00"/>
  </r>
  <r>
    <d v="2018-05-05T00:00:00"/>
    <s v="Intervention"/>
    <m/>
    <m/>
    <m/>
    <m/>
    <s v="VSAV"/>
    <d v="1899-12-30T20:23:00"/>
    <d v="1899-12-30T22:00:00"/>
    <d v="1899-12-30T20:23:00"/>
    <d v="1899-12-30T22:00:00"/>
    <s v="non"/>
    <d v="1899-12-30T01:37:00"/>
    <d v="1899-12-30T00:00:00"/>
    <d v="1899-12-30T00:00:00"/>
    <s v="non"/>
    <d v="1899-12-30T00:00:00"/>
    <d v="1899-12-30T00:00:00"/>
    <d v="1899-12-30T00:00:00"/>
    <d v="1899-12-30T00:00:00"/>
    <d v="1899-12-30T00:00:00"/>
    <d v="1899-12-30T01:37:00"/>
    <d v="1899-12-30T00:00:00"/>
    <d v="1899-12-30T00:00:00"/>
  </r>
  <r>
    <d v="2018-05-05T00:00:00"/>
    <s v="Intervention"/>
    <m/>
    <m/>
    <m/>
    <m/>
    <s v="VSAV"/>
    <d v="1899-12-30T22:10:00"/>
    <d v="1899-12-30T23:40:00"/>
    <d v="1899-12-30T22:10:00"/>
    <d v="1899-12-30T23:40:00"/>
    <s v="non"/>
    <d v="1899-12-30T00:00:00"/>
    <d v="1899-12-30T00:00:00"/>
    <d v="1899-12-30T01:30:00"/>
    <s v="non"/>
    <d v="1899-12-30T00:00:00"/>
    <d v="1899-12-30T00:00:00"/>
    <d v="1899-12-30T00:00:00"/>
    <d v="1899-12-30T00:00:00"/>
    <d v="1899-12-30T00:00:00"/>
    <d v="1899-12-30T00:00:00"/>
    <d v="1899-12-30T00:00:00"/>
    <d v="1899-12-30T01:30:00"/>
  </r>
  <r>
    <d v="2018-05-13T00:00:00"/>
    <s v="Garde"/>
    <d v="1899-12-30T10:00:00"/>
    <d v="1899-12-30T08:00:00"/>
    <m/>
    <m/>
    <m/>
    <m/>
    <m/>
    <d v="1899-12-30T10:00:00"/>
    <d v="1899-12-31T08:00:00"/>
    <s v="oui"/>
    <d v="1899-12-30T12:00:00"/>
    <d v="1899-12-30T00:00:00"/>
    <d v="1899-12-30T02:00:00"/>
    <s v="non"/>
    <d v="1899-12-30T01:00:00"/>
    <d v="1899-12-30T07:00:00"/>
    <d v="1899-12-30T00:00:00"/>
    <d v="1899-12-30T00:00:00"/>
    <d v="1899-12-30T20:17:00"/>
    <d v="1899-12-30T00:00:00"/>
    <d v="1899-12-30T00:00:00"/>
    <d v="1899-12-30T00:00:00"/>
  </r>
  <r>
    <d v="2018-05-13T00:00:00"/>
    <s v="Intervention"/>
    <m/>
    <m/>
    <m/>
    <m/>
    <s v="VSAV"/>
    <d v="1899-12-30T18:17:00"/>
    <d v="1899-12-30T20:00:00"/>
    <d v="1899-12-30T18:17:00"/>
    <d v="1899-12-30T20:00:00"/>
    <s v="oui"/>
    <d v="1899-12-30T01:43:00"/>
    <d v="1899-12-30T00:00:00"/>
    <d v="1899-12-30T00:00:00"/>
    <s v="oui"/>
    <d v="1899-12-30T00:00:00"/>
    <d v="1899-12-30T00:00:00"/>
    <d v="1899-12-30T00:00:00"/>
    <d v="1899-12-30T00:00:00"/>
    <d v="1899-12-30T00:00:00"/>
    <d v="1899-12-30T00:00:00"/>
    <d v="1899-12-30T01:43:00"/>
    <d v="1899-12-30T00:00:00"/>
  </r>
  <r>
    <d v="2018-05-19T00:00:00"/>
    <s v="Garde"/>
    <d v="1899-12-30T08:00:00"/>
    <d v="1899-12-30T18:00:00"/>
    <m/>
    <m/>
    <m/>
    <m/>
    <m/>
    <d v="1899-12-30T08:00:00"/>
    <d v="1899-12-30T18:00:00"/>
    <s v="non"/>
    <d v="1899-12-30T10:00:00"/>
    <d v="1899-12-30T00:00:00"/>
    <d v="1899-12-30T00:00:00"/>
    <s v="non"/>
    <d v="1899-12-30T00:00:00"/>
    <d v="1899-12-30T00:00:00"/>
    <d v="1899-12-30T00:00:00"/>
    <d v="1899-12-30T00:00:00"/>
    <d v="1899-12-30T08:20:00"/>
    <d v="1899-12-30T00:00:00"/>
    <d v="1899-12-30T00:00:00"/>
    <d v="1899-12-30T00:00:00"/>
  </r>
  <r>
    <d v="2018-05-19T00:00:00"/>
    <s v="Intervention"/>
    <m/>
    <m/>
    <m/>
    <m/>
    <s v="VSAV"/>
    <d v="1899-12-30T10:14:00"/>
    <d v="1899-12-30T11:54:00"/>
    <d v="1899-12-30T10:14:00"/>
    <d v="1899-12-30T11:54:00"/>
    <s v="non"/>
    <d v="1899-12-30T01:40:00"/>
    <d v="1899-12-30T00:00:00"/>
    <d v="1899-12-30T00:00:00"/>
    <s v="non"/>
    <d v="1899-12-30T00:00:00"/>
    <d v="1899-12-30T00:00:00"/>
    <d v="1899-12-30T00:00:00"/>
    <d v="1899-12-30T00:00:00"/>
    <d v="1899-12-30T00:00:00"/>
    <d v="1899-12-30T01:40:00"/>
    <d v="1899-12-30T00:00:00"/>
    <d v="1899-12-30T00:00:00"/>
  </r>
  <r>
    <d v="2018-05-26T00:00:00"/>
    <s v="Garde"/>
    <d v="1899-12-30T08:00:00"/>
    <d v="1899-12-30T08:00:00"/>
    <m/>
    <m/>
    <m/>
    <m/>
    <m/>
    <d v="1899-12-30T08:00:00"/>
    <d v="1899-12-31T08:00:00"/>
    <s v="non"/>
    <d v="1899-12-30T14:00:00"/>
    <d v="1899-12-30T00:00:00"/>
    <d v="1899-12-30T02:00:00"/>
    <s v="oui"/>
    <d v="1899-12-30T01:00:00"/>
    <d v="1899-12-30T07:00:00"/>
    <d v="1899-12-30T00:00:00"/>
    <d v="1899-12-30T00:00:00"/>
    <d v="1899-12-30T21:23:00"/>
    <d v="1899-12-30T00:00:00"/>
    <d v="1899-12-30T00:00:00"/>
    <d v="1899-12-30T00:00:00"/>
  </r>
  <r>
    <d v="2018-05-26T00:00:00"/>
    <s v="Intervention"/>
    <m/>
    <m/>
    <m/>
    <m/>
    <s v="VSAV"/>
    <d v="1899-12-30T10:14:00"/>
    <d v="1899-12-30T11:54:00"/>
    <d v="1899-12-30T10:14:00"/>
    <d v="1899-12-30T11:54:00"/>
    <s v="non"/>
    <d v="1899-12-30T01:40:00"/>
    <d v="1899-12-30T00:00:00"/>
    <d v="1899-12-30T00:00:00"/>
    <s v="non"/>
    <d v="1899-12-30T00:00:00"/>
    <d v="1899-12-30T00:00:00"/>
    <d v="1899-12-30T00:00:00"/>
    <d v="1899-12-30T00:00:00"/>
    <d v="1899-12-30T00:00:00"/>
    <d v="1899-12-30T01:40:00"/>
    <d v="1899-12-30T00:00:00"/>
    <d v="1899-12-30T00:00:00"/>
  </r>
  <r>
    <d v="2018-05-26T00:00:00"/>
    <s v="Intervention"/>
    <m/>
    <m/>
    <m/>
    <m/>
    <s v="VSAV"/>
    <d v="1899-12-30T15:40:00"/>
    <d v="1899-12-30T16:37:00"/>
    <d v="1899-12-30T15:40:00"/>
    <d v="1899-12-30T16:37:00"/>
    <s v="non"/>
    <d v="1899-12-30T00:57:00"/>
    <d v="1899-12-30T00:00:00"/>
    <d v="1899-12-30T00:00:00"/>
    <s v="non"/>
    <d v="1899-12-30T00:00:00"/>
    <d v="1899-12-30T00:00:00"/>
    <d v="1899-12-30T00:00:00"/>
    <d v="1899-12-30T00:00:00"/>
    <d v="1899-12-30T00:00:00"/>
    <d v="1899-12-30T00:57:00"/>
    <d v="1899-12-30T00:00:00"/>
    <d v="1899-12-30T00:00:00"/>
  </r>
  <r>
    <d v="2018-06-02T00:00:00"/>
    <s v="Garde"/>
    <d v="1899-12-30T20:00:00"/>
    <d v="1899-12-30T08:00:00"/>
    <m/>
    <m/>
    <m/>
    <m/>
    <m/>
    <d v="1899-12-30T20:00:00"/>
    <d v="1899-12-31T08:00:00"/>
    <s v="non"/>
    <d v="1899-12-30T02:00:00"/>
    <d v="1899-12-30T00:00:00"/>
    <d v="1899-12-30T02:00:00"/>
    <s v="oui"/>
    <d v="1899-12-30T01:00:00"/>
    <d v="1899-12-30T07:00:00"/>
    <d v="1899-12-30T00:00:00"/>
    <d v="1899-12-30T00:00:00"/>
    <d v="1899-12-30T12:00:00"/>
    <d v="1899-12-30T00:00:00"/>
    <d v="1899-12-30T00:00:00"/>
    <d v="1899-12-30T00:00:00"/>
  </r>
  <r>
    <d v="2018-06-02T00:00:00"/>
    <s v="Intervention"/>
    <m/>
    <m/>
    <m/>
    <m/>
    <s v="STANDARD"/>
    <m/>
    <m/>
    <d v="1899-12-31T00:00:00"/>
    <d v="1899-12-31T00:00:00"/>
    <s v="non"/>
    <d v="1899-12-30T00:00:00"/>
    <d v="1899-12-30T00:00:00"/>
    <d v="1899-12-30T00:00:00"/>
    <s v="oui"/>
    <d v="1899-12-30T00:00:00"/>
    <d v="1899-12-30T00:00:00"/>
    <d v="1899-12-30T00:00:00"/>
    <d v="1899-12-30T00:00:00"/>
    <d v="1899-12-30T00:00:00"/>
    <d v="1899-12-30T00:00:00"/>
    <d v="1899-12-30T00:00:00"/>
    <d v="1899-12-30T00:00:00"/>
  </r>
  <r>
    <d v="2018-06-07T00:00:00"/>
    <s v="Garde"/>
    <d v="1899-12-30T08:00:00"/>
    <d v="1899-12-30T08:00:00"/>
    <m/>
    <m/>
    <m/>
    <m/>
    <m/>
    <d v="1899-12-30T08:00:00"/>
    <d v="1899-12-31T08:00:00"/>
    <s v="non"/>
    <d v="1899-12-30T14:00:00"/>
    <d v="1899-12-30T00:00:00"/>
    <d v="1899-12-30T02:00:00"/>
    <s v="non"/>
    <d v="1899-12-30T01:00:00"/>
    <d v="1899-12-30T07:00:00"/>
    <d v="1899-12-30T00:00:00"/>
    <d v="1899-12-30T00:00:00"/>
    <d v="1899-12-30T19:57:00"/>
    <d v="1899-12-30T00:00:00"/>
    <d v="1899-12-30T00:00:00"/>
    <d v="1899-12-30T00:00:00"/>
  </r>
  <r>
    <d v="2018-06-07T00:00:00"/>
    <s v="Intervention"/>
    <m/>
    <m/>
    <m/>
    <s v="Malade"/>
    <s v="VSAV"/>
    <d v="1899-12-30T14:00:00"/>
    <d v="1899-12-30T15:38:00"/>
    <d v="1899-12-30T14:00:00"/>
    <d v="1899-12-30T15:38:00"/>
    <s v="non"/>
    <d v="1899-12-30T01:38:00"/>
    <d v="1899-12-30T00:00:00"/>
    <d v="1899-12-30T00:00:00"/>
    <s v="non"/>
    <d v="1899-12-30T00:00:00"/>
    <d v="1899-12-30T00:00:00"/>
    <d v="1899-12-30T00:00:00"/>
    <d v="1899-12-30T00:00:00"/>
    <d v="1899-12-30T00:00:00"/>
    <d v="1899-12-30T01:38:00"/>
    <d v="1899-12-30T00:00:00"/>
    <d v="1899-12-30T00:00:00"/>
  </r>
  <r>
    <d v="2018-06-07T00:00:00"/>
    <s v="Intervention"/>
    <m/>
    <m/>
    <m/>
    <s v="Malade"/>
    <s v="VSAV"/>
    <d v="1899-12-30T04:38:00"/>
    <d v="1899-12-30T07:03:00"/>
    <d v="1899-12-31T04:38:00"/>
    <d v="1899-12-31T07:03:00"/>
    <s v="non"/>
    <d v="1899-12-30T00:00:00"/>
    <d v="1899-12-30T00:00:00"/>
    <d v="1899-12-30T00:00:00"/>
    <s v="non"/>
    <d v="1899-12-30T00:03:00"/>
    <d v="1899-12-30T02:22:00"/>
    <d v="1899-12-30T00:00:00"/>
    <d v="1899-12-30T00:00:00"/>
    <d v="1899-12-30T00:00:00"/>
    <d v="1899-12-30T00:03:00"/>
    <d v="1899-12-30T00:00:00"/>
    <d v="1899-12-30T02:22:00"/>
  </r>
  <r>
    <d v="2018-06-14T00:00:00"/>
    <s v="Garde"/>
    <d v="1899-12-30T08:00:00"/>
    <d v="1899-12-30T08:00:00"/>
    <m/>
    <m/>
    <m/>
    <m/>
    <m/>
    <d v="1899-12-30T08:00:00"/>
    <d v="1899-12-31T08:00:00"/>
    <s v="non"/>
    <d v="1899-12-30T14:00:00"/>
    <d v="1899-12-30T00:00:00"/>
    <d v="1899-12-30T02:00:00"/>
    <s v="non"/>
    <d v="1899-12-30T01:00:00"/>
    <d v="1899-12-30T07:00:00"/>
    <d v="1899-12-30T00:00:00"/>
    <d v="1899-12-30T00:00:00"/>
    <d v="1899-12-30T21:28:00"/>
    <d v="1899-12-30T00:00:00"/>
    <d v="1899-12-30T00:00:00"/>
    <d v="1899-12-30T00:00:00"/>
  </r>
  <r>
    <d v="2018-06-14T00:00:00"/>
    <s v="Intervention"/>
    <m/>
    <m/>
    <m/>
    <s v="Malaise"/>
    <s v="VSAV"/>
    <d v="1899-12-30T11:04:00"/>
    <d v="1899-12-30T11:53:00"/>
    <d v="1899-12-30T11:04:00"/>
    <d v="1899-12-30T11:53:00"/>
    <s v="non"/>
    <d v="1899-12-30T00:49:00"/>
    <d v="1899-12-30T00:00:00"/>
    <d v="1899-12-30T00:00:00"/>
    <s v="non"/>
    <d v="1899-12-30T00:00:00"/>
    <d v="1899-12-30T00:00:00"/>
    <d v="1899-12-30T00:00:00"/>
    <d v="1899-12-30T00:00:00"/>
    <d v="1899-12-30T00:00:00"/>
    <d v="1899-12-30T00:49:00"/>
    <d v="1899-12-30T00:00:00"/>
    <d v="1899-12-30T00:00:00"/>
  </r>
  <r>
    <d v="2018-06-14T00:00:00"/>
    <s v="Intervention"/>
    <m/>
    <m/>
    <m/>
    <s v="Chute"/>
    <s v="VSAV"/>
    <d v="1899-12-30T12:30:00"/>
    <d v="1899-12-30T13:31:00"/>
    <d v="1899-12-30T12:30:00"/>
    <d v="1899-12-30T13:31:00"/>
    <s v="non"/>
    <d v="1899-12-30T01:01:00"/>
    <d v="1899-12-30T00:00:00"/>
    <d v="1899-12-30T00:00:00"/>
    <s v="non"/>
    <d v="1899-12-30T00:00:00"/>
    <d v="1899-12-30T00:00:00"/>
    <d v="1899-12-30T00:00:00"/>
    <d v="1899-12-30T00:00:00"/>
    <d v="1899-12-30T00:00:00"/>
    <d v="1899-12-30T01:01:00"/>
    <d v="1899-12-30T00:00:00"/>
    <d v="1899-12-30T00:00:00"/>
  </r>
  <r>
    <d v="2018-06-14T00:00:00"/>
    <s v="Intervention"/>
    <m/>
    <m/>
    <m/>
    <s v="Malaise"/>
    <s v="VSAV"/>
    <d v="1899-12-30T13:33:00"/>
    <d v="1899-12-30T14:15:00"/>
    <d v="1899-12-30T13:33:00"/>
    <d v="1899-12-30T14:15:00"/>
    <s v="non"/>
    <d v="1899-12-30T00:42:00"/>
    <d v="1899-12-30T00:00:00"/>
    <d v="1899-12-30T00:00:00"/>
    <s v="non"/>
    <d v="1899-12-30T00:00:00"/>
    <d v="1899-12-30T00:00:00"/>
    <d v="1899-12-30T00:00:00"/>
    <d v="1899-12-30T00:00:00"/>
    <d v="1899-12-30T00:00:00"/>
    <d v="1899-12-30T00:42:00"/>
    <d v="1899-12-30T00:00:00"/>
    <d v="1899-12-30T00:00:00"/>
  </r>
  <r>
    <d v="2018-06-21T00:00:00"/>
    <s v="Garde"/>
    <d v="1899-12-30T08:00:00"/>
    <d v="1899-12-30T08:00:00"/>
    <m/>
    <m/>
    <m/>
    <m/>
    <m/>
    <d v="1899-12-30T08:00:00"/>
    <d v="1899-12-31T08:00:00"/>
    <s v="non"/>
    <d v="1899-12-30T14:00:00"/>
    <d v="1899-12-30T00:00:00"/>
    <d v="1899-12-30T02:00:00"/>
    <s v="non"/>
    <d v="1899-12-30T01:00:00"/>
    <d v="1899-12-30T07:00:00"/>
    <d v="1899-12-30T00:00:00"/>
    <d v="1899-12-30T00:00:00"/>
    <d v="1899-12-30T19:09:00"/>
    <d v="1899-12-30T00:00:00"/>
    <d v="1899-12-30T00:00:00"/>
    <d v="1899-12-30T00:00:00"/>
  </r>
  <r>
    <d v="2018-06-21T00:00:00"/>
    <s v="Intervention"/>
    <m/>
    <m/>
    <m/>
    <m/>
    <s v="VSAV"/>
    <d v="1899-12-30T11:31:00"/>
    <d v="1899-12-30T12:08:00"/>
    <d v="1899-12-30T11:31:00"/>
    <d v="1899-12-30T12:08:00"/>
    <s v="non"/>
    <d v="1899-12-30T00:37:00"/>
    <d v="1899-12-30T00:00:00"/>
    <d v="1899-12-30T00:00:00"/>
    <s v="non"/>
    <d v="1899-12-30T00:00:00"/>
    <d v="1899-12-30T00:00:00"/>
    <d v="1899-12-30T00:00:00"/>
    <d v="1899-12-30T00:00:00"/>
    <d v="1899-12-30T00:00:00"/>
    <d v="1899-12-30T00:37:00"/>
    <d v="1899-12-30T00:00:00"/>
    <d v="1899-12-30T00:00:00"/>
  </r>
  <r>
    <d v="2018-06-21T00:00:00"/>
    <s v="Intervention"/>
    <m/>
    <m/>
    <m/>
    <m/>
    <s v="VSAV"/>
    <d v="1899-12-30T14:27:00"/>
    <d v="1899-12-30T15:06:00"/>
    <d v="1899-12-30T14:27:00"/>
    <d v="1899-12-30T15:06:00"/>
    <s v="non"/>
    <d v="1899-12-30T00:39:00"/>
    <d v="1899-12-30T00:00:00"/>
    <d v="1899-12-30T00:00:00"/>
    <s v="non"/>
    <d v="1899-12-30T00:00:00"/>
    <d v="1899-12-30T00:00:00"/>
    <d v="1899-12-30T00:00:00"/>
    <d v="1899-12-30T00:00:00"/>
    <d v="1899-12-30T00:00:00"/>
    <d v="1899-12-30T00:39:00"/>
    <d v="1899-12-30T00:00:00"/>
    <d v="1899-12-30T00:00:00"/>
  </r>
  <r>
    <d v="2018-06-21T00:00:00"/>
    <s v="Intervention"/>
    <m/>
    <m/>
    <m/>
    <m/>
    <s v="VSAV"/>
    <d v="1899-12-30T15:06:00"/>
    <d v="1899-12-30T17:08:00"/>
    <d v="1899-12-30T15:06:00"/>
    <d v="1899-12-30T17:08:00"/>
    <s v="non"/>
    <d v="1899-12-30T02:02:00"/>
    <d v="1899-12-30T00:00:00"/>
    <d v="1899-12-30T00:00:00"/>
    <s v="non"/>
    <d v="1899-12-30T00:00:00"/>
    <d v="1899-12-30T00:00:00"/>
    <d v="1899-12-30T00:00:00"/>
    <d v="1899-12-30T00:00:00"/>
    <d v="1899-12-30T00:00:00"/>
    <d v="1899-12-30T02:02:00"/>
    <d v="1899-12-30T00:00:00"/>
    <d v="1899-12-30T00:00:00"/>
  </r>
  <r>
    <d v="2018-06-21T00:00:00"/>
    <s v="Intervention"/>
    <m/>
    <m/>
    <m/>
    <m/>
    <s v="VSAV"/>
    <d v="1899-12-30T18:20:00"/>
    <d v="1899-12-30T19:24:00"/>
    <d v="1899-12-30T18:20:00"/>
    <d v="1899-12-30T19:24:00"/>
    <s v="non"/>
    <d v="1899-12-30T01:04:00"/>
    <d v="1899-12-30T00:00:00"/>
    <d v="1899-12-30T00:00:00"/>
    <s v="non"/>
    <d v="1899-12-30T00:00:00"/>
    <d v="1899-12-30T00:00:00"/>
    <d v="1899-12-30T00:00:00"/>
    <d v="1899-12-30T00:00:00"/>
    <d v="1899-12-30T00:00:00"/>
    <d v="1899-12-30T01:04:00"/>
    <d v="1899-12-30T00:00:00"/>
    <d v="1899-12-30T00:00:00"/>
  </r>
  <r>
    <d v="2018-06-21T00:00:00"/>
    <s v="Intervention"/>
    <m/>
    <m/>
    <m/>
    <m/>
    <s v="VSAV"/>
    <d v="1899-12-30T00:32:00"/>
    <d v="1899-12-30T01:01:00"/>
    <d v="1899-12-31T00:32:00"/>
    <d v="1899-12-31T01:01:00"/>
    <s v="non"/>
    <d v="1899-12-30T00:00:00"/>
    <d v="1899-12-30T00:00:00"/>
    <d v="1899-12-30T00:00:00"/>
    <s v="non"/>
    <d v="1899-12-30T00:00:00"/>
    <d v="1899-12-30T00:29:00"/>
    <d v="1899-12-30T00:00:00"/>
    <d v="1899-12-30T00:00:00"/>
    <d v="1899-12-30T00:00:00"/>
    <d v="1899-12-30T00:00:00"/>
    <d v="1899-12-30T00:00:00"/>
    <d v="1899-12-30T00:29:00"/>
  </r>
  <r>
    <d v="2018-06-28T00:00:00"/>
    <s v="Garde"/>
    <d v="1899-12-30T08:00:00"/>
    <d v="1899-12-30T06:00:00"/>
    <m/>
    <m/>
    <m/>
    <m/>
    <m/>
    <d v="1899-12-30T08:00:00"/>
    <d v="1899-12-31T06:00:00"/>
    <s v="non"/>
    <d v="1899-12-30T14:00:00"/>
    <d v="1899-12-30T00:00:00"/>
    <d v="1899-12-30T02:00:00"/>
    <s v="non"/>
    <d v="1899-12-30T00:00:00"/>
    <d v="1899-12-30T06:00:00"/>
    <d v="1899-12-30T00:00:00"/>
    <d v="1899-12-30T00:00:00"/>
    <d v="1899-12-30T22:00:00"/>
    <d v="1899-12-30T00:00:00"/>
    <d v="1899-12-30T00:00:00"/>
    <d v="1899-12-30T00:00:00"/>
  </r>
  <r>
    <d v="2018-06-28T00:00:00"/>
    <s v="Intervention"/>
    <m/>
    <m/>
    <m/>
    <m/>
    <m/>
    <m/>
    <m/>
    <d v="1899-12-31T00:00:00"/>
    <d v="1899-12-31T00:00:00"/>
    <s v="non"/>
    <d v="1899-12-30T00:00:00"/>
    <d v="1899-12-30T00:00:00"/>
    <d v="1899-12-30T00:00:00"/>
    <s v="non"/>
    <d v="1899-12-30T00:00:00"/>
    <d v="1899-12-30T00:00:00"/>
    <d v="1899-12-30T00:00:00"/>
    <d v="1899-12-30T00:00:00"/>
    <d v="1899-12-30T00:00:00"/>
    <d v="1899-12-30T00:00:00"/>
    <d v="1899-12-30T00:00:00"/>
    <d v="1899-12-30T00:00:00"/>
  </r>
  <r>
    <d v="2018-07-12T00:00:00"/>
    <s v="Garde"/>
    <d v="1899-12-30T08:00:00"/>
    <d v="1899-12-30T08:00:00"/>
    <m/>
    <m/>
    <m/>
    <m/>
    <m/>
    <d v="1899-12-30T08:00:00"/>
    <d v="1899-12-31T08:00:00"/>
    <s v="non"/>
    <d v="1899-12-30T14:00:00"/>
    <d v="1899-12-30T00:00:00"/>
    <d v="1899-12-30T02:00:00"/>
    <s v="non"/>
    <d v="1899-12-30T01:00:00"/>
    <d v="1899-12-30T07:00:00"/>
    <d v="1899-12-30T00:00:00"/>
    <d v="1899-12-30T00:00:00"/>
    <d v="1899-12-30T18:47:00"/>
    <d v="1899-12-30T00:00:00"/>
    <d v="1899-12-30T00:00:00"/>
    <d v="1899-12-30T00:00:00"/>
  </r>
  <r>
    <d v="2018-07-12T00:00:00"/>
    <s v="Intervention"/>
    <m/>
    <m/>
    <m/>
    <m/>
    <s v="VSAV"/>
    <d v="1899-12-30T11:52:00"/>
    <d v="1899-12-30T13:23:00"/>
    <d v="1899-12-30T11:52:00"/>
    <d v="1899-12-30T13:23:00"/>
    <s v="non"/>
    <d v="1899-12-30T01:31:00"/>
    <d v="1899-12-30T00:00:00"/>
    <d v="1899-12-30T00:00:00"/>
    <s v="non"/>
    <d v="1899-12-30T00:00:00"/>
    <d v="1899-12-30T00:00:00"/>
    <d v="1899-12-30T00:00:00"/>
    <d v="1899-12-30T00:00:00"/>
    <d v="1899-12-30T00:00:00"/>
    <d v="1899-12-30T01:31:00"/>
    <d v="1899-12-30T00:00:00"/>
    <d v="1899-12-30T00:00:00"/>
  </r>
  <r>
    <d v="2018-07-12T00:00:00"/>
    <s v="Intervention"/>
    <m/>
    <m/>
    <m/>
    <m/>
    <s v="VSAV"/>
    <d v="1899-12-30T20:50:00"/>
    <d v="1899-12-30T21:57:00"/>
    <d v="1899-12-30T20:50:00"/>
    <d v="1899-12-30T21:57:00"/>
    <s v="non"/>
    <d v="1899-12-30T01:07:00"/>
    <d v="1899-12-30T00:00:00"/>
    <d v="1899-12-30T00:00:00"/>
    <s v="non"/>
    <d v="1899-12-30T00:00:00"/>
    <d v="1899-12-30T00:00:00"/>
    <d v="1899-12-30T00:00:00"/>
    <d v="1899-12-30T00:00:00"/>
    <d v="1899-12-30T00:00:00"/>
    <d v="1899-12-30T01:07:00"/>
    <d v="1899-12-30T00:00:00"/>
    <d v="1899-12-30T00:00:00"/>
  </r>
  <r>
    <d v="2018-07-12T00:00:00"/>
    <s v="Intervention"/>
    <m/>
    <m/>
    <m/>
    <m/>
    <s v="VSAV"/>
    <d v="1899-12-30T02:05:00"/>
    <d v="1899-12-30T04:40:00"/>
    <d v="1899-12-31T02:05:00"/>
    <d v="1899-12-31T04:40:00"/>
    <s v="non"/>
    <d v="1899-12-30T00:00:00"/>
    <d v="1899-12-30T00:00:00"/>
    <d v="1899-12-30T00:00:00"/>
    <s v="non"/>
    <d v="1899-12-30T00:00:00"/>
    <d v="1899-12-30T02:35:00"/>
    <d v="1899-12-30T00:00:00"/>
    <d v="1899-12-30T00:00:00"/>
    <d v="1899-12-30T00:00:00"/>
    <d v="1899-12-30T00:00:00"/>
    <d v="1899-12-30T00:00:00"/>
    <d v="1899-12-30T02:35:00"/>
  </r>
  <r>
    <d v="2018-07-15T00:00:00"/>
    <s v="Garde"/>
    <d v="1899-12-30T08:00:00"/>
    <d v="1899-12-30T08:00:00"/>
    <m/>
    <m/>
    <m/>
    <m/>
    <m/>
    <d v="1899-12-30T08:00:00"/>
    <d v="1899-12-31T08:00:00"/>
    <s v="oui"/>
    <d v="1899-12-30T14:00:00"/>
    <d v="1899-12-30T00:00:00"/>
    <d v="1899-12-30T02:00:00"/>
    <s v="non"/>
    <d v="1899-12-30T01:00:00"/>
    <d v="1899-12-30T07:00:00"/>
    <d v="1899-12-30T00:00:00"/>
    <d v="1899-12-30T00:00:00"/>
    <d v="1899-12-31T00:00:00"/>
    <d v="1899-12-30T00:00:00"/>
    <d v="1899-12-30T00:00:00"/>
    <d v="1899-12-30T00:00:00"/>
  </r>
  <r>
    <d v="2018-07-20T00:00:00"/>
    <s v="Garde"/>
    <d v="1899-12-30T08:00:00"/>
    <d v="1899-12-30T08:00:00"/>
    <m/>
    <m/>
    <m/>
    <m/>
    <m/>
    <d v="1899-12-30T08:00:00"/>
    <d v="1899-12-31T08:00:00"/>
    <s v="non"/>
    <d v="1899-12-30T14:00:00"/>
    <d v="1899-12-30T00:00:00"/>
    <d v="1899-12-30T02:00:00"/>
    <s v="non"/>
    <d v="1899-12-30T01:00:00"/>
    <d v="1899-12-30T07:00:00"/>
    <d v="1899-12-30T00:00:00"/>
    <d v="1899-12-30T00:00:00"/>
    <d v="1899-12-30T20:27:00"/>
    <d v="1899-12-30T00:00:00"/>
    <d v="1899-12-30T00:00:00"/>
    <d v="1899-12-30T00:00:00"/>
  </r>
  <r>
    <d v="2018-07-20T00:00:00"/>
    <s v="Intervention"/>
    <m/>
    <m/>
    <m/>
    <m/>
    <s v="VSAV"/>
    <d v="1899-12-30T18:20:00"/>
    <d v="1899-12-30T19:57:00"/>
    <d v="1899-12-30T18:20:00"/>
    <d v="1899-12-30T19:57:00"/>
    <s v="non"/>
    <d v="1899-12-30T01:37:00"/>
    <d v="1899-12-30T00:00:00"/>
    <d v="1899-12-30T00:00:00"/>
    <s v="non"/>
    <d v="1899-12-30T00:00:00"/>
    <d v="1899-12-30T00:00:00"/>
    <d v="1899-12-30T00:00:00"/>
    <d v="1899-12-30T00:00:00"/>
    <d v="1899-12-30T00:00:00"/>
    <d v="1899-12-30T01:37:00"/>
    <d v="1899-12-30T00:00:00"/>
    <d v="1899-12-30T00:00:00"/>
  </r>
  <r>
    <d v="2018-07-20T00:00:00"/>
    <s v="Intervention"/>
    <m/>
    <m/>
    <m/>
    <m/>
    <s v="VSAV"/>
    <d v="1899-12-30T20:50:00"/>
    <d v="1899-12-30T21:14:00"/>
    <d v="1899-12-30T20:50:00"/>
    <d v="1899-12-30T21:14:00"/>
    <s v="non"/>
    <d v="1899-12-30T00:24:00"/>
    <d v="1899-12-30T00:00:00"/>
    <d v="1899-12-30T00:00:00"/>
    <s v="non"/>
    <d v="1899-12-30T00:00:00"/>
    <d v="1899-12-30T00:00:00"/>
    <d v="1899-12-30T00:00:00"/>
    <d v="1899-12-30T00:00:00"/>
    <d v="1899-12-30T00:00:00"/>
    <d v="1899-12-30T00:24:00"/>
    <d v="1899-12-30T00:00:00"/>
    <d v="1899-12-30T00:00:00"/>
  </r>
  <r>
    <d v="2018-07-20T00:00:00"/>
    <s v="Intervention"/>
    <m/>
    <m/>
    <m/>
    <m/>
    <s v="VSAV"/>
    <d v="1899-12-30T02:38:00"/>
    <d v="1899-12-30T04:10:00"/>
    <d v="1899-12-31T02:38:00"/>
    <d v="1899-12-31T04:10:00"/>
    <s v="non"/>
    <d v="1899-12-30T00:00:00"/>
    <d v="1899-12-30T00:00:00"/>
    <d v="1899-12-30T00:00:00"/>
    <s v="non"/>
    <d v="1899-12-30T00:00:00"/>
    <d v="1899-12-30T01:32:00"/>
    <d v="1899-12-30T00:00:00"/>
    <d v="1899-12-30T00:00:00"/>
    <d v="1899-12-30T00:00:00"/>
    <d v="1899-12-30T00:00:00"/>
    <d v="1899-12-30T00:00:00"/>
    <d v="1899-12-30T01:32:00"/>
  </r>
  <r>
    <d v="2018-07-24T00:00:00"/>
    <s v="Garde"/>
    <d v="1899-12-30T08:00:00"/>
    <d v="1899-12-30T08:00:00"/>
    <m/>
    <m/>
    <m/>
    <m/>
    <m/>
    <d v="1899-12-30T08:00:00"/>
    <d v="1899-12-31T08:00:00"/>
    <s v="non"/>
    <d v="1899-12-30T14:00:00"/>
    <d v="1899-12-30T00:00:00"/>
    <d v="1899-12-30T02:00:00"/>
    <s v="non"/>
    <d v="1899-12-30T01:00:00"/>
    <d v="1899-12-30T07:00:00"/>
    <d v="1899-12-30T00:00:00"/>
    <d v="1899-12-30T00:00:00"/>
    <d v="1899-12-30T22:30:00"/>
    <d v="1899-12-30T00:00:00"/>
    <d v="1899-12-30T00:00:00"/>
    <d v="1899-12-30T00:00:00"/>
  </r>
  <r>
    <d v="2018-07-24T00:00:00"/>
    <s v="Intervention"/>
    <m/>
    <m/>
    <m/>
    <m/>
    <s v="VSAV"/>
    <d v="1899-12-30T18:43:00"/>
    <d v="1899-12-30T20:05:00"/>
    <d v="1899-12-30T18:43:00"/>
    <d v="1899-12-30T20:05:00"/>
    <s v="non"/>
    <d v="1899-12-30T01:22:00"/>
    <d v="1899-12-30T00:00:00"/>
    <d v="1899-12-30T00:00:00"/>
    <s v="non"/>
    <d v="1899-12-30T00:00:00"/>
    <d v="1899-12-30T00:00:00"/>
    <d v="1899-12-30T00:00:00"/>
    <d v="1899-12-30T00:00:00"/>
    <d v="1899-12-30T00:00:00"/>
    <d v="1899-12-30T01:22:00"/>
    <d v="1899-12-30T00:00:00"/>
    <d v="1899-12-30T00:00:00"/>
  </r>
  <r>
    <d v="2018-07-24T00:00:00"/>
    <s v="Intervention"/>
    <m/>
    <m/>
    <m/>
    <m/>
    <s v="VSAV"/>
    <d v="1899-12-30T20:34:00"/>
    <d v="1899-12-30T20:42:00"/>
    <d v="1899-12-30T20:34:00"/>
    <d v="1899-12-30T20:42:00"/>
    <s v="non"/>
    <d v="1899-12-30T00:08:00"/>
    <d v="1899-12-30T00:00:00"/>
    <d v="1899-12-30T00:00:00"/>
    <s v="non"/>
    <d v="1899-12-30T00:00:00"/>
    <d v="1899-12-30T00:00:00"/>
    <d v="1899-12-30T00:00:00"/>
    <d v="1899-12-30T00:00:00"/>
    <d v="1899-12-30T00:00:00"/>
    <d v="1899-12-30T00:08:00"/>
    <d v="1899-12-30T00:00:00"/>
    <d v="1899-12-30T00:00:00"/>
  </r>
  <r>
    <d v="2018-07-27T00:00:00"/>
    <s v="Garde"/>
    <d v="1899-12-30T08:00:00"/>
    <d v="1899-12-30T08:00:00"/>
    <m/>
    <m/>
    <m/>
    <m/>
    <m/>
    <d v="1899-12-30T08:00:00"/>
    <d v="1899-12-31T08:00:00"/>
    <s v="non"/>
    <d v="1899-12-30T14:00:00"/>
    <d v="1899-12-30T00:00:00"/>
    <d v="1899-12-30T02:00:00"/>
    <s v="non"/>
    <d v="1899-12-30T01:00:00"/>
    <d v="1899-12-30T07:00:00"/>
    <d v="1899-12-30T00:00:00"/>
    <d v="1899-12-30T00:00:00"/>
    <d v="1899-12-30T20:16:00"/>
    <d v="1899-12-30T00:00:00"/>
    <d v="1899-12-30T00:00:00"/>
    <d v="1899-12-30T00:00:00"/>
  </r>
  <r>
    <d v="2018-07-27T00:00:00"/>
    <s v="Intervention"/>
    <m/>
    <m/>
    <m/>
    <m/>
    <s v="VSAV"/>
    <d v="1899-12-30T11:13:00"/>
    <d v="1899-12-30T12:24:00"/>
    <d v="1899-12-30T11:13:00"/>
    <d v="1899-12-30T12:24:00"/>
    <s v="non"/>
    <d v="1899-12-30T01:11:00"/>
    <d v="1899-12-30T00:00:00"/>
    <d v="1899-12-30T00:00:00"/>
    <s v="non"/>
    <d v="1899-12-30T00:00:00"/>
    <d v="1899-12-30T00:00:00"/>
    <d v="1899-12-30T00:00:00"/>
    <d v="1899-12-30T00:00:00"/>
    <d v="1899-12-30T00:00:00"/>
    <d v="1899-12-30T01:11:00"/>
    <d v="1899-12-30T00:00:00"/>
    <d v="1899-12-30T00:00:00"/>
  </r>
  <r>
    <d v="2018-07-27T00:00:00"/>
    <s v="Intervention"/>
    <m/>
    <m/>
    <m/>
    <m/>
    <s v="VSAV"/>
    <d v="1899-12-30T13:42:00"/>
    <d v="1899-12-30T13:50:00"/>
    <d v="1899-12-30T13:42:00"/>
    <d v="1899-12-30T13:50:00"/>
    <s v="non"/>
    <d v="1899-12-30T00:08:00"/>
    <d v="1899-12-30T00:00:00"/>
    <d v="1899-12-30T00:00:00"/>
    <s v="non"/>
    <d v="1899-12-30T00:00:00"/>
    <d v="1899-12-30T00:00:00"/>
    <d v="1899-12-30T00:00:00"/>
    <d v="1899-12-30T00:00:00"/>
    <d v="1899-12-30T00:00:00"/>
    <d v="1899-12-30T00:08:00"/>
    <d v="1899-12-30T00:00:00"/>
    <d v="1899-12-30T00:00:00"/>
  </r>
  <r>
    <d v="2018-07-27T00:00:00"/>
    <s v="Intervention"/>
    <m/>
    <m/>
    <m/>
    <m/>
    <s v="VSAV"/>
    <d v="1899-12-30T13:50:00"/>
    <d v="1899-12-30T14:35:00"/>
    <d v="1899-12-30T13:50:00"/>
    <d v="1899-12-30T14:35:00"/>
    <s v="non"/>
    <d v="1899-12-30T00:45:00"/>
    <d v="1899-12-30T00:00:00"/>
    <d v="1899-12-30T00:00:00"/>
    <s v="non"/>
    <d v="1899-12-30T00:00:00"/>
    <d v="1899-12-30T00:00:00"/>
    <d v="1899-12-30T00:00:00"/>
    <d v="1899-12-30T00:00:00"/>
    <d v="1899-12-30T00:00:00"/>
    <d v="1899-12-30T00:45:00"/>
    <d v="1899-12-30T00:00:00"/>
    <d v="1899-12-30T00:00:00"/>
  </r>
  <r>
    <d v="2018-07-27T00:00:00"/>
    <s v="Intervention"/>
    <m/>
    <m/>
    <m/>
    <m/>
    <s v="VSAV"/>
    <d v="1899-12-30T14:45:00"/>
    <d v="1899-12-30T15:05:00"/>
    <d v="1899-12-30T14:45:00"/>
    <d v="1899-12-30T15:05:00"/>
    <s v="non"/>
    <d v="1899-12-30T00:20:00"/>
    <d v="1899-12-30T00:00:00"/>
    <d v="1899-12-30T00:00:00"/>
    <s v="non"/>
    <d v="1899-12-30T00:00:00"/>
    <d v="1899-12-30T00:00:00"/>
    <d v="1899-12-30T00:00:00"/>
    <d v="1899-12-30T00:00:00"/>
    <d v="1899-12-30T00:00:00"/>
    <d v="1899-12-30T00:20:00"/>
    <d v="1899-12-30T00:00:00"/>
    <d v="1899-12-30T00:00:00"/>
  </r>
  <r>
    <d v="2018-07-27T00:00:00"/>
    <s v="Intervention"/>
    <m/>
    <m/>
    <m/>
    <m/>
    <s v="VSAV"/>
    <d v="1899-12-30T18:32:00"/>
    <d v="1899-12-30T19:52:00"/>
    <d v="1899-12-30T18:32:00"/>
    <d v="1899-12-30T19:52:00"/>
    <s v="non"/>
    <d v="1899-12-30T01:20:00"/>
    <d v="1899-12-30T00:00:00"/>
    <d v="1899-12-30T00:00:00"/>
    <s v="non"/>
    <d v="1899-12-30T00:00:00"/>
    <d v="1899-12-30T00:00:00"/>
    <d v="1899-12-30T00:00:00"/>
    <d v="1899-12-30T00:00:00"/>
    <d v="1899-12-30T00:00:00"/>
    <d v="1899-12-30T01:20:00"/>
    <d v="1899-12-30T00:00:00"/>
    <d v="1899-12-30T00:00:00"/>
  </r>
  <r>
    <d v="2018-08-01T00:00:00"/>
    <s v="Garde"/>
    <d v="1899-12-30T08:00:00"/>
    <d v="1899-12-30T08:00:00"/>
    <m/>
    <m/>
    <m/>
    <m/>
    <m/>
    <d v="1899-12-30T08:00:00"/>
    <d v="1899-12-31T08:00:00"/>
    <s v="non"/>
    <d v="1899-12-30T14:00:00"/>
    <d v="1899-12-30T00:00:00"/>
    <d v="1899-12-30T02:00:00"/>
    <s v="non"/>
    <d v="1899-12-30T01:00:00"/>
    <d v="1899-12-30T07:00:00"/>
    <d v="1899-12-30T00:00:00"/>
    <d v="1899-12-30T00:00:00"/>
    <d v="1899-12-30T21:48:00"/>
    <d v="1899-12-30T00:00:00"/>
    <d v="1899-12-30T00:00:00"/>
    <d v="1899-12-30T00:00:00"/>
  </r>
  <r>
    <d v="2018-08-01T00:00:00"/>
    <s v="Intervention"/>
    <m/>
    <m/>
    <m/>
    <m/>
    <s v="VSAV"/>
    <d v="1899-12-30T17:58:00"/>
    <d v="1899-12-30T19:34:00"/>
    <d v="1899-12-30T17:58:00"/>
    <d v="1899-12-30T19:34:00"/>
    <s v="non"/>
    <d v="1899-12-30T01:36:00"/>
    <d v="1899-12-30T00:00:00"/>
    <d v="1899-12-30T00:00:00"/>
    <s v="non"/>
    <d v="1899-12-30T00:00:00"/>
    <d v="1899-12-30T00:00:00"/>
    <d v="1899-12-30T00:00:00"/>
    <d v="1899-12-30T00:00:00"/>
    <d v="1899-12-30T00:00:00"/>
    <d v="1899-12-30T01:36:00"/>
    <d v="1899-12-30T00:00:00"/>
    <d v="1899-12-30T00:00:00"/>
  </r>
  <r>
    <d v="2018-08-01T00:00:00"/>
    <s v="Intervention"/>
    <m/>
    <m/>
    <m/>
    <m/>
    <m/>
    <d v="1899-12-30T19:34:00"/>
    <d v="1899-12-30T20:10:00"/>
    <d v="1899-12-30T19:34:00"/>
    <d v="1899-12-30T20:10:00"/>
    <s v="non"/>
    <d v="1899-12-30T00:36:00"/>
    <d v="1899-12-30T00:00:00"/>
    <d v="1899-12-30T00:00:00"/>
    <s v="non"/>
    <d v="1899-12-30T00:00:00"/>
    <d v="1899-12-30T00:00:00"/>
    <d v="1899-12-30T00:00:00"/>
    <d v="1899-12-30T00:00:00"/>
    <d v="1899-12-30T00:00:00"/>
    <d v="1899-12-30T00:36:00"/>
    <d v="1899-12-30T00:00:00"/>
    <d v="1899-12-30T00:00:00"/>
  </r>
  <r>
    <d v="2018-08-05T00:00:00"/>
    <s v="Garde"/>
    <d v="1899-12-30T08:00:00"/>
    <d v="1899-12-30T08:00:00"/>
    <m/>
    <m/>
    <m/>
    <m/>
    <m/>
    <d v="1899-12-30T08:00:00"/>
    <d v="1899-12-31T08:00:00"/>
    <s v="oui"/>
    <d v="1899-12-30T14:00:00"/>
    <d v="1899-12-30T00:00:00"/>
    <d v="1899-12-30T02:00:00"/>
    <s v="non"/>
    <d v="1899-12-30T01:00:00"/>
    <d v="1899-12-30T07:00:00"/>
    <d v="1899-12-30T00:00:00"/>
    <d v="1899-12-30T00:00:00"/>
    <d v="1899-12-30T17:28:00"/>
    <d v="1899-12-30T00:00:00"/>
    <d v="1899-12-30T00:00:00"/>
    <d v="1899-12-30T00:00:00"/>
  </r>
  <r>
    <d v="2018-08-05T00:00:00"/>
    <s v="Intervention"/>
    <m/>
    <m/>
    <m/>
    <m/>
    <s v="VSAV"/>
    <d v="1899-12-30T08:51:00"/>
    <d v="1899-12-30T10:03:00"/>
    <d v="1899-12-30T08:51:00"/>
    <d v="1899-12-30T10:03:00"/>
    <s v="oui"/>
    <d v="1899-12-30T01:12:00"/>
    <d v="1899-12-30T00:00:00"/>
    <d v="1899-12-30T00:00:00"/>
    <s v="oui"/>
    <d v="1899-12-30T00:00:00"/>
    <d v="1899-12-30T00:00:00"/>
    <d v="1899-12-30T00:00:00"/>
    <d v="1899-12-30T00:00:00"/>
    <d v="1899-12-30T00:00:00"/>
    <d v="1899-12-30T00:00:00"/>
    <d v="1899-12-30T01:12:00"/>
    <d v="1899-12-30T00:00:00"/>
  </r>
  <r>
    <d v="2018-08-05T00:00:00"/>
    <s v="Intervention"/>
    <m/>
    <m/>
    <m/>
    <s v="Brûlure"/>
    <s v="VSAV"/>
    <d v="1899-12-30T10:17:00"/>
    <d v="1899-12-30T12:09:00"/>
    <d v="1899-12-30T10:17:00"/>
    <d v="1899-12-30T12:09:00"/>
    <s v="oui"/>
    <d v="1899-12-30T01:52:00"/>
    <d v="1899-12-30T00:00:00"/>
    <d v="1899-12-30T00:00:00"/>
    <s v="oui"/>
    <d v="1899-12-30T00:00:00"/>
    <d v="1899-12-30T00:00:00"/>
    <d v="1899-12-30T00:00:00"/>
    <d v="1899-12-30T00:00:00"/>
    <d v="1899-12-30T00:00:00"/>
    <d v="1899-12-30T00:00:00"/>
    <d v="1899-12-30T01:52:00"/>
    <d v="1899-12-30T00:00:00"/>
  </r>
  <r>
    <d v="2018-08-05T00:00:00"/>
    <s v="Intervention"/>
    <m/>
    <m/>
    <m/>
    <m/>
    <s v="VSAV"/>
    <d v="1899-12-30T15:06:00"/>
    <d v="1899-12-30T16:45:00"/>
    <d v="1899-12-30T15:06:00"/>
    <d v="1899-12-30T16:45:00"/>
    <s v="oui"/>
    <d v="1899-12-30T01:39:00"/>
    <d v="1899-12-30T00:00:00"/>
    <d v="1899-12-30T00:00:00"/>
    <s v="oui"/>
    <d v="1899-12-30T00:00:00"/>
    <d v="1899-12-30T00:00:00"/>
    <d v="1899-12-30T00:00:00"/>
    <d v="1899-12-30T00:00:00"/>
    <d v="1899-12-30T00:00:00"/>
    <d v="1899-12-30T00:00:00"/>
    <d v="1899-12-30T01:39:00"/>
    <d v="1899-12-30T00:00:00"/>
  </r>
  <r>
    <d v="2018-08-05T00:00:00"/>
    <s v="Intervention"/>
    <m/>
    <m/>
    <m/>
    <m/>
    <s v="VSAV"/>
    <d v="1899-12-30T22:58:00"/>
    <d v="1899-12-30T23:34:00"/>
    <d v="1899-12-30T22:58:00"/>
    <d v="1899-12-30T23:34:00"/>
    <s v="oui"/>
    <d v="1899-12-30T00:00:00"/>
    <d v="1899-12-30T00:00:00"/>
    <d v="1899-12-30T00:36:00"/>
    <s v="oui"/>
    <d v="1899-12-30T00:00:00"/>
    <d v="1899-12-30T00:00:00"/>
    <d v="1899-12-30T00:00:00"/>
    <d v="1899-12-30T00:00:00"/>
    <d v="1899-12-30T00:00:00"/>
    <d v="1899-12-30T00:00:00"/>
    <d v="1899-12-30T00:00:00"/>
    <d v="1899-12-30T00:36:00"/>
  </r>
  <r>
    <d v="2018-08-05T00:00:00"/>
    <s v="Intervention"/>
    <m/>
    <m/>
    <m/>
    <m/>
    <s v="VSAV"/>
    <d v="1899-12-30T23:40:00"/>
    <d v="1899-12-30T00:21:00"/>
    <d v="1899-12-30T23:40:00"/>
    <d v="1899-12-31T00:21:00"/>
    <s v="oui"/>
    <d v="1899-12-30T00:00:00"/>
    <d v="1899-12-30T00:00:00"/>
    <d v="1899-12-30T00:20:00"/>
    <s v="non"/>
    <d v="1899-12-30T00:00:00"/>
    <d v="1899-12-30T00:21:00"/>
    <d v="1899-12-30T00:00:00"/>
    <d v="1899-12-30T00:00:00"/>
    <d v="1899-12-30T00:00:00"/>
    <d v="1899-12-30T00:00:00"/>
    <d v="1899-12-30T00:00:00"/>
    <d v="1899-12-30T00:41:00"/>
  </r>
  <r>
    <d v="2018-08-05T00:00:00"/>
    <s v="Intervention"/>
    <m/>
    <m/>
    <m/>
    <m/>
    <s v="VSAV"/>
    <d v="1899-12-30T06:07:00"/>
    <d v="1899-12-30T06:39:00"/>
    <d v="1899-12-31T06:07:00"/>
    <d v="1899-12-31T06:39:00"/>
    <s v="oui"/>
    <d v="1899-12-30T00:00:00"/>
    <d v="1899-12-30T00:00:00"/>
    <d v="1899-12-30T00:00:00"/>
    <s v="non"/>
    <d v="1899-12-30T00:00:00"/>
    <d v="1899-12-30T00:32:00"/>
    <d v="1899-12-30T00:00:00"/>
    <d v="1899-12-30T00:00:00"/>
    <d v="1899-12-30T00:00:00"/>
    <d v="1899-12-30T00:00:00"/>
    <d v="1899-12-30T00:00:00"/>
    <d v="1899-12-30T00:32:00"/>
  </r>
  <r>
    <d v="2018-08-09T00:00:00"/>
    <s v="Garde"/>
    <d v="1899-12-30T08:00:00"/>
    <d v="1899-12-30T06:00:00"/>
    <m/>
    <m/>
    <m/>
    <m/>
    <m/>
    <d v="1899-12-30T08:00:00"/>
    <d v="1899-12-31T06:00:00"/>
    <s v="non"/>
    <d v="1899-12-30T14:00:00"/>
    <d v="1899-12-30T00:00:00"/>
    <d v="1899-12-30T02:00:00"/>
    <s v="non"/>
    <d v="1899-12-30T00:00:00"/>
    <d v="1899-12-30T06:00:00"/>
    <d v="1899-12-30T00:00:00"/>
    <d v="1899-12-30T00:00:00"/>
    <d v="1899-12-30T19:11:00"/>
    <d v="1899-12-30T00:00:00"/>
    <d v="1899-12-30T00:00:00"/>
    <d v="1899-12-30T00:00:00"/>
  </r>
  <r>
    <d v="2018-08-09T00:00:00"/>
    <s v="Intervention"/>
    <m/>
    <m/>
    <m/>
    <m/>
    <s v="VSAV"/>
    <d v="1899-12-30T08:32:00"/>
    <d v="1899-12-30T10:40:00"/>
    <d v="1899-12-30T08:32:00"/>
    <d v="1899-12-30T10:40:00"/>
    <s v="non"/>
    <d v="1899-12-30T02:08:00"/>
    <d v="1899-12-30T00:00:00"/>
    <d v="1899-12-30T00:00:00"/>
    <s v="non"/>
    <d v="1899-12-30T00:00:00"/>
    <d v="1899-12-30T00:00:00"/>
    <d v="1899-12-30T00:00:00"/>
    <d v="1899-12-30T00:00:00"/>
    <d v="1899-12-30T00:00:00"/>
    <d v="1899-12-30T02:08:00"/>
    <d v="1899-12-30T00:00:00"/>
    <d v="1899-12-30T00:00:00"/>
  </r>
  <r>
    <d v="2018-08-09T00:00:00"/>
    <s v="Intervention"/>
    <m/>
    <m/>
    <m/>
    <m/>
    <m/>
    <d v="1899-12-30T10:41:00"/>
    <d v="1899-12-30T11:22:00"/>
    <d v="1899-12-30T10:41:00"/>
    <d v="1899-12-30T11:22:00"/>
    <s v="non"/>
    <d v="1899-12-30T00:41:00"/>
    <d v="1899-12-30T00:00:00"/>
    <d v="1899-12-30T00:00:00"/>
    <s v="non"/>
    <d v="1899-12-30T00:00:00"/>
    <d v="1899-12-30T00:00:00"/>
    <d v="1899-12-30T00:00:00"/>
    <d v="1899-12-30T00:00:00"/>
    <d v="1899-12-30T00:00:00"/>
    <d v="1899-12-30T00:41:00"/>
    <d v="1899-12-30T00:00:00"/>
    <d v="1899-12-30T00:00:00"/>
  </r>
  <r>
    <d v="2018-08-15T00:00:00"/>
    <s v="Garde"/>
    <d v="1899-12-30T08:00:00"/>
    <d v="1899-12-30T08:00:00"/>
    <m/>
    <m/>
    <m/>
    <m/>
    <m/>
    <d v="1899-12-30T08:00:00"/>
    <d v="1899-12-31T08:00:00"/>
    <s v="oui"/>
    <d v="1899-12-30T14:00:00"/>
    <d v="1899-12-30T00:00:00"/>
    <d v="1899-12-30T02:00:00"/>
    <s v="non"/>
    <d v="1899-12-30T01:00:00"/>
    <d v="1899-12-30T07:00:00"/>
    <d v="1899-12-30T00:00:00"/>
    <d v="1899-12-30T00:00:00"/>
    <d v="1899-12-30T22:06:00"/>
    <d v="1899-12-30T00:00:00"/>
    <d v="1899-12-30T00:00:00"/>
    <d v="1899-12-30T00:00:00"/>
  </r>
  <r>
    <d v="2018-08-15T00:00:00"/>
    <s v="Intervention"/>
    <m/>
    <m/>
    <m/>
    <m/>
    <m/>
    <d v="1899-12-30T11:12:00"/>
    <d v="1899-12-30T13:06:00"/>
    <d v="1899-12-30T11:12:00"/>
    <d v="1899-12-30T13:06:00"/>
    <s v="oui"/>
    <d v="1899-12-30T01:54:00"/>
    <d v="1899-12-30T00:00:00"/>
    <d v="1899-12-30T00:00:00"/>
    <s v="oui"/>
    <d v="1899-12-30T00:00:00"/>
    <d v="1899-12-30T00:00:00"/>
    <d v="1899-12-30T00:00:00"/>
    <d v="1899-12-30T00:00:00"/>
    <d v="1899-12-30T00:00:00"/>
    <d v="1899-12-30T00:00:00"/>
    <d v="1899-12-30T01:54:00"/>
    <d v="1899-12-30T00:00:00"/>
  </r>
  <r>
    <d v="2018-08-25T00:00:00"/>
    <s v="Garde"/>
    <d v="1899-12-30T08:00:00"/>
    <d v="1899-12-30T08:00:00"/>
    <m/>
    <m/>
    <m/>
    <m/>
    <m/>
    <d v="1899-12-30T08:00:00"/>
    <d v="1899-12-31T08:00:00"/>
    <s v="non"/>
    <d v="1899-12-30T14:00:00"/>
    <d v="1899-12-30T00:00:00"/>
    <d v="1899-12-30T02:00:00"/>
    <s v="oui"/>
    <d v="1899-12-30T01:00:00"/>
    <d v="1899-12-30T07:00:00"/>
    <d v="1899-12-30T00:00:00"/>
    <d v="1899-12-30T00:00:00"/>
    <d v="1899-12-30T22:51:00"/>
    <d v="1899-12-30T00:00:00"/>
    <d v="1899-12-30T00:00:00"/>
    <d v="1899-12-30T00:00:00"/>
  </r>
  <r>
    <d v="2018-08-25T00:00:00"/>
    <s v="Intervention"/>
    <m/>
    <m/>
    <m/>
    <m/>
    <s v="VSAV"/>
    <d v="1899-12-30T17:36:00"/>
    <d v="1899-12-30T18:45:00"/>
    <d v="1899-12-30T17:36:00"/>
    <d v="1899-12-30T18:45:00"/>
    <s v="non"/>
    <d v="1899-12-30T01:09:00"/>
    <d v="1899-12-30T00:00:00"/>
    <d v="1899-12-30T00:00:00"/>
    <s v="non"/>
    <d v="1899-12-30T00:00:00"/>
    <d v="1899-12-30T00:00:00"/>
    <d v="1899-12-30T00:00:00"/>
    <d v="1899-12-30T00:00:00"/>
    <d v="1899-12-30T00:00:00"/>
    <d v="1899-12-30T01:09:00"/>
    <d v="1899-12-30T00:00:00"/>
    <d v="1899-12-30T00:00:00"/>
  </r>
  <r>
    <d v="2018-09-06T00:00:00"/>
    <s v="Garde"/>
    <d v="1899-12-30T08:00:00"/>
    <d v="1899-12-30T20:00:00"/>
    <m/>
    <m/>
    <m/>
    <m/>
    <m/>
    <d v="1899-12-30T08:00:00"/>
    <d v="1899-12-30T20:00:00"/>
    <s v="non"/>
    <d v="1899-12-30T12:00:00"/>
    <d v="1899-12-30T00:00:00"/>
    <d v="1899-12-30T00:00:00"/>
    <s v="non"/>
    <d v="1899-12-30T00:00:00"/>
    <d v="1899-12-30T00:00:00"/>
    <d v="1899-12-30T00:00:00"/>
    <d v="1899-12-30T00:00:00"/>
    <d v="1899-12-30T07:15:00"/>
    <d v="1899-12-30T00:00:00"/>
    <d v="1899-12-30T00:00:00"/>
    <d v="1899-12-30T00:00:00"/>
  </r>
  <r>
    <d v="2018-09-06T00:00:00"/>
    <s v="Intervention"/>
    <m/>
    <m/>
    <m/>
    <m/>
    <s v="VSAV"/>
    <d v="1899-12-30T10:56:00"/>
    <d v="1899-12-30T12:13:00"/>
    <d v="1899-12-30T10:56:00"/>
    <d v="1899-12-30T12:13:00"/>
    <s v="non"/>
    <d v="1899-12-30T01:17:00"/>
    <d v="1899-12-30T00:00:00"/>
    <d v="1899-12-30T00:00:00"/>
    <s v="non"/>
    <d v="1899-12-30T00:00:00"/>
    <d v="1899-12-30T00:00:00"/>
    <d v="1899-12-30T00:00:00"/>
    <d v="1899-12-30T00:00:00"/>
    <d v="1899-12-30T00:00:00"/>
    <d v="1899-12-30T01:17:00"/>
    <d v="1899-12-30T00:00:00"/>
    <d v="1899-12-30T00:00:00"/>
  </r>
  <r>
    <d v="2018-09-06T00:00:00"/>
    <s v="Intervention"/>
    <m/>
    <m/>
    <m/>
    <m/>
    <s v="VSAV"/>
    <d v="1899-12-30T12:43:00"/>
    <d v="1899-12-30T12:45:00"/>
    <d v="1899-12-30T12:43:00"/>
    <d v="1899-12-30T12:45:00"/>
    <s v="non"/>
    <d v="1899-12-30T00:02:00"/>
    <d v="1899-12-30T00:00:00"/>
    <d v="1899-12-30T00:00:00"/>
    <s v="non"/>
    <d v="1899-12-30T00:00:00"/>
    <d v="1899-12-30T00:00:00"/>
    <d v="1899-12-30T00:00:00"/>
    <d v="1899-12-30T00:00:00"/>
    <d v="1899-12-30T00:00:00"/>
    <d v="1899-12-30T00:02:00"/>
    <d v="1899-12-30T00:00:00"/>
    <d v="1899-12-30T00:00:00"/>
  </r>
  <r>
    <d v="2018-09-06T00:00:00"/>
    <s v="Intervention"/>
    <m/>
    <m/>
    <m/>
    <m/>
    <s v="VSAV"/>
    <d v="1899-12-30T12:59:00"/>
    <d v="1899-12-30T13:32:00"/>
    <d v="1899-12-30T12:59:00"/>
    <d v="1899-12-30T13:32:00"/>
    <s v="non"/>
    <d v="1899-12-30T00:33:00"/>
    <d v="1899-12-30T00:00:00"/>
    <d v="1899-12-30T00:00:00"/>
    <s v="non"/>
    <d v="1899-12-30T00:00:00"/>
    <d v="1899-12-30T00:00:00"/>
    <d v="1899-12-30T00:00:00"/>
    <d v="1899-12-30T00:00:00"/>
    <d v="1899-12-30T00:00:00"/>
    <d v="1899-12-30T00:33:00"/>
    <d v="1899-12-30T00:00:00"/>
    <d v="1899-12-30T00:00:00"/>
  </r>
  <r>
    <d v="2018-09-06T00:00:00"/>
    <s v="Intervention"/>
    <m/>
    <m/>
    <m/>
    <m/>
    <s v="VSAV"/>
    <d v="1899-12-30T14:35:00"/>
    <d v="1899-12-30T15:06:00"/>
    <d v="1899-12-30T14:35:00"/>
    <d v="1899-12-30T15:06:00"/>
    <s v="non"/>
    <d v="1899-12-30T00:31:00"/>
    <d v="1899-12-30T00:00:00"/>
    <d v="1899-12-30T00:00:00"/>
    <s v="non"/>
    <d v="1899-12-30T00:00:00"/>
    <d v="1899-12-30T00:00:00"/>
    <d v="1899-12-30T00:00:00"/>
    <d v="1899-12-30T00:00:00"/>
    <d v="1899-12-30T00:00:00"/>
    <d v="1899-12-30T00:31:00"/>
    <d v="1899-12-30T00:00:00"/>
    <d v="1899-12-30T00:00:00"/>
  </r>
  <r>
    <d v="2018-09-06T00:00:00"/>
    <s v="Intervention"/>
    <m/>
    <m/>
    <m/>
    <m/>
    <s v="VSAV"/>
    <d v="1899-12-30T17:32:00"/>
    <d v="1899-12-30T18:45:00"/>
    <d v="1899-12-30T17:32:00"/>
    <d v="1899-12-30T18:45:00"/>
    <s v="non"/>
    <d v="1899-12-30T01:13:00"/>
    <d v="1899-12-30T00:00:00"/>
    <d v="1899-12-30T00:00:00"/>
    <s v="non"/>
    <d v="1899-12-30T00:00:00"/>
    <d v="1899-12-30T00:00:00"/>
    <d v="1899-12-30T00:00:00"/>
    <d v="1899-12-30T00:00:00"/>
    <d v="1899-12-30T00:00:00"/>
    <d v="1899-12-30T01:13:00"/>
    <d v="1899-12-30T00:00:00"/>
    <d v="1899-12-30T00:00:00"/>
  </r>
  <r>
    <d v="2018-09-06T00:00:00"/>
    <s v="Intervention"/>
    <m/>
    <m/>
    <m/>
    <m/>
    <s v="VSAV"/>
    <d v="1899-12-30T18:45:00"/>
    <d v="1899-12-30T19:54:00"/>
    <d v="1899-12-30T18:45:00"/>
    <d v="1899-12-30T19:54:00"/>
    <s v="non"/>
    <d v="1899-12-30T01:09:00"/>
    <d v="1899-12-30T00:00:00"/>
    <d v="1899-12-30T00:00:00"/>
    <s v="non"/>
    <d v="1899-12-30T00:00:00"/>
    <d v="1899-12-30T00:00:00"/>
    <d v="1899-12-30T00:00:00"/>
    <d v="1899-12-30T00:00:00"/>
    <d v="1899-12-30T00:00:00"/>
    <d v="1899-12-30T01:09:00"/>
    <d v="1899-12-30T00:00:00"/>
    <d v="1899-12-30T00:00:00"/>
  </r>
  <r>
    <d v="2018-09-13T00:00:00"/>
    <s v="Garde"/>
    <d v="1899-12-30T08:00:00"/>
    <d v="1899-12-30T20:00:00"/>
    <m/>
    <m/>
    <m/>
    <m/>
    <m/>
    <d v="1899-12-30T08:00:00"/>
    <d v="1899-12-30T20:00:00"/>
    <s v="non"/>
    <d v="1899-12-30T12:00:00"/>
    <d v="1899-12-30T00:00:00"/>
    <d v="1899-12-30T00:00:00"/>
    <s v="non"/>
    <d v="1899-12-30T00:00:00"/>
    <d v="1899-12-30T00:00:00"/>
    <d v="1899-12-30T00:00:00"/>
    <d v="1899-12-30T00:00:00"/>
    <d v="1899-12-30T12:00:00"/>
    <d v="1899-12-30T00:00:00"/>
    <d v="1899-12-30T00:00:00"/>
    <d v="1899-12-30T00:00:00"/>
  </r>
  <r>
    <d v="2018-09-16T00:00:00"/>
    <s v="Garde"/>
    <d v="1899-12-30T08:00:00"/>
    <d v="1899-12-30T20:00:00"/>
    <m/>
    <m/>
    <m/>
    <m/>
    <m/>
    <d v="1899-12-30T08:00:00"/>
    <d v="1899-12-30T20:00:00"/>
    <s v="oui"/>
    <d v="1899-12-30T12:00:00"/>
    <d v="1899-12-30T00:00:00"/>
    <d v="1899-12-30T00:00:00"/>
    <s v="oui"/>
    <d v="1899-12-30T00:00:00"/>
    <d v="1899-12-30T00:00:00"/>
    <d v="1899-12-30T00:00:00"/>
    <d v="1899-12-30T00:00:00"/>
    <d v="1899-12-30T12:00:00"/>
    <d v="1899-12-30T00:00:00"/>
    <d v="1899-12-30T00:00:00"/>
    <d v="1899-12-30T00:00:00"/>
  </r>
  <r>
    <d v="2018-09-20T00:00:00"/>
    <s v="Garde"/>
    <d v="1899-12-30T08:00:00"/>
    <d v="1899-12-30T08:00:00"/>
    <m/>
    <m/>
    <m/>
    <m/>
    <m/>
    <d v="1899-12-30T08:00:00"/>
    <d v="1899-12-31T08:00:00"/>
    <s v="non"/>
    <d v="1899-12-30T14:00:00"/>
    <d v="1899-12-30T00:00:00"/>
    <d v="1899-12-30T02:00:00"/>
    <s v="non"/>
    <d v="1899-12-30T01:00:00"/>
    <d v="1899-12-30T07:00:00"/>
    <d v="1899-12-30T00:00:00"/>
    <d v="1899-12-30T00:00:00"/>
    <d v="1899-12-31T00:00:00"/>
    <d v="1899-12-30T00:00:00"/>
    <d v="1899-12-30T00:00:00"/>
    <d v="1899-12-30T00:00:00"/>
  </r>
  <r>
    <d v="2018-09-23T00:00:00"/>
    <s v="Garde"/>
    <d v="1899-12-30T08:00:00"/>
    <d v="1899-12-30T20:00:00"/>
    <m/>
    <m/>
    <m/>
    <m/>
    <m/>
    <d v="1899-12-30T08:00:00"/>
    <d v="1899-12-30T20:00:00"/>
    <s v="oui"/>
    <d v="1899-12-30T12:00:00"/>
    <d v="1899-12-30T00:00:00"/>
    <d v="1899-12-30T00:00:00"/>
    <s v="oui"/>
    <d v="1899-12-30T00:00:00"/>
    <d v="1899-12-30T00:00:00"/>
    <d v="1899-12-30T00:00:00"/>
    <d v="1899-12-30T00:00:00"/>
    <d v="1899-12-30T12:00:00"/>
    <d v="1899-12-30T00:00:00"/>
    <d v="1899-12-30T00:00:00"/>
    <d v="1899-12-30T00:00:00"/>
  </r>
  <r>
    <d v="2018-09-27T00:00:00"/>
    <s v="Garde"/>
    <d v="1899-12-30T08:00:00"/>
    <d v="1899-12-30T08:00:00"/>
    <m/>
    <m/>
    <m/>
    <m/>
    <m/>
    <d v="1899-12-30T08:00:00"/>
    <d v="1899-12-31T08:00:00"/>
    <s v="non"/>
    <d v="1899-12-30T14:00:00"/>
    <d v="1899-12-30T00:00:00"/>
    <d v="1899-12-30T02:00:00"/>
    <s v="non"/>
    <d v="1899-12-30T01:00:00"/>
    <d v="1899-12-30T07:00:00"/>
    <d v="1899-12-30T00:00:00"/>
    <d v="1899-12-30T00:00:00"/>
    <d v="1899-12-31T00:00:00"/>
    <d v="1899-12-30T00:00:00"/>
    <d v="1899-12-30T00:00:00"/>
    <d v="1899-12-30T00:00:00"/>
  </r>
  <r>
    <d v="2018-09-30T00:00:00"/>
    <s v="Garde"/>
    <d v="1899-12-30T08:00:00"/>
    <d v="1899-12-30T20:00:00"/>
    <m/>
    <m/>
    <m/>
    <m/>
    <m/>
    <d v="1899-12-30T08:00:00"/>
    <d v="1899-12-30T20:00:00"/>
    <s v="oui"/>
    <d v="1899-12-30T12:00:00"/>
    <d v="1899-12-30T00:00:00"/>
    <d v="1899-12-30T00:00:00"/>
    <s v="oui"/>
    <d v="1899-12-30T00:00:00"/>
    <d v="1899-12-30T00:00:00"/>
    <d v="1899-12-30T00:00:00"/>
    <d v="1899-12-30T00:00:00"/>
    <d v="1899-12-30T12:00:00"/>
    <d v="1899-12-30T00:00:00"/>
    <d v="1899-12-30T00:00:00"/>
    <d v="1899-12-30T00:00:00"/>
  </r>
  <r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15C0DF1-106D-40D7-AB0F-B84D6E1DC784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:C18" firstHeaderRow="1" firstDataRow="1" firstDataCol="0"/>
  <pivotFields count="24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ata" displayName="data" ref="A1:Y101" totalsRowShown="0" headerRowDxfId="38" dataDxfId="37">
  <autoFilter ref="A1:Y101" xr:uid="{00000000-0009-0000-0100-000001000000}"/>
  <tableColumns count="25">
    <tableColumn id="1" xr3:uid="{00000000-0010-0000-0000-000001000000}" name="Date" dataDxfId="36"/>
    <tableColumn id="7" xr3:uid="{00000000-0010-0000-0000-000007000000}" name="Garde / Interv." dataDxfId="35">
      <calculatedColumnFormula>IF(data[[#This Row],[Hdébut garde]]&lt;&gt;"","Garde",IF(data[[#This Row],[Hdébut corrigé]]&lt;&gt;"","Intervention",""))</calculatedColumnFormula>
    </tableColumn>
    <tableColumn id="25" xr3:uid="{00000000-0010-0000-0000-000019000000}" name="Hdébut garde" dataDxfId="34"/>
    <tableColumn id="26" xr3:uid="{00000000-0010-0000-0000-00001A000000}" name="Hfin garde" dataDxfId="33"/>
    <tableColumn id="17" xr3:uid="{63A2970D-4B79-47D3-9305-32820B0897A7}" name="Garde de :" dataDxfId="32">
      <calculatedColumnFormula>MAX(0,IF(data[[#This Row],[Garde / Interv.]]="Garde",data[[#This Row],[Hfin corrigée]]-data[[#This Row],[Hdébut corrigé]],0))</calculatedColumnFormula>
    </tableColumn>
    <tableColumn id="2" xr3:uid="{00000000-0010-0000-0000-000002000000}" name="&gt;24h" dataDxfId="31"/>
    <tableColumn id="6" xr3:uid="{00000000-0010-0000-0000-000006000000}" name="Motif Départ" dataDxfId="30"/>
    <tableColumn id="5" xr3:uid="{00000000-0010-0000-0000-000005000000}" name="Véhicule" dataDxfId="29"/>
    <tableColumn id="3" xr3:uid="{00000000-0010-0000-0000-000003000000}" name="Hdébut interv." dataDxfId="28"/>
    <tableColumn id="4" xr3:uid="{00000000-0010-0000-0000-000004000000}" name="Hfin Interv." dataDxfId="27"/>
    <tableColumn id="23" xr3:uid="{00000000-0010-0000-0000-000017000000}" name="Hdébut corrigé" dataDxfId="26">
      <calculatedColumnFormula>IF(data[[#This Row],[Hdébut garde]]&lt;&gt;"",
data[[#This Row],[Hdébut garde]],
data[[#This Row],[Hdébut interv.]]+IF(data[[#This Row],[Hdébut interv.]]&lt;SUMPRODUCT((data[Date]=data[[#This Row],[Date]])*data[Hdébut garde]),1,0)
)</calculatedColumnFormula>
    </tableColumn>
    <tableColumn id="12" xr3:uid="{00000000-0010-0000-0000-00000C000000}" name="Hfin corrigée" dataDxfId="25">
      <calculatedColumnFormula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calculatedColumnFormula>
    </tableColumn>
    <tableColumn id="8" xr3:uid="{00000000-0010-0000-0000-000008000000}" name="Début Dim ou Férié" dataDxfId="24">
      <calculatedColumnFormula>IF(OR(WEEKDAY(data[[#This Row],[Date]],2)=7,COUNTIF(JF,data[[#This Row],[Date]])=1),"oui","non")</calculatedColumnFormula>
    </tableColumn>
    <tableColumn id="10" xr3:uid="{00000000-0010-0000-0000-00000A000000}" name="JOUR1" dataDxfId="23">
      <calculatedColumnFormula>MAX(0,(MIN(1,data[[#This Row],[Hfin corrigée]])-data[[#This Row],[Hdébut corrigé]])-data[[#This Row],[NUIT1.1]]-data[[#This Row],[NUIT1.2]])</calculatedColumnFormula>
    </tableColumn>
    <tableColumn id="11" xr3:uid="{00000000-0010-0000-0000-00000B000000}" name="NUIT1.1" dataDxfId="22">
      <calculatedColumnFormula>IF(data[[#This Row],[Hfin Interv.]]="",0,(
MIN(FinNuit,MIN(1,data[[#This Row],[Hfin corrigée]]))-MIN(FinNuit,data[[#This Row],[Hdébut corrigé]])
))</calculatedColumnFormula>
    </tableColumn>
    <tableColumn id="18" xr3:uid="{00000000-0010-0000-0000-000012000000}" name="NUIT1.2" dataDxfId="21">
      <calculatedColumnFormula>MAX(0,(MAX(0,(MIN(1,data[[#This Row],[Hfin corrigée]])-DebNuit))-MAX(0,(data[[#This Row],[Hdébut corrigé]]-DebNuit))))</calculatedColumnFormula>
    </tableColumn>
    <tableColumn id="9" xr3:uid="{00000000-0010-0000-0000-000009000000}" name="Fin Dim ou Férié" dataDxfId="20">
      <calculatedColumnFormula>IF(OR(WEEKDAY(data[[#This Row],[Date]]+data[[#This Row],[Hfin corrigée]],2)=7,COUNTIF(JF,INT(data[[#This Row],[Date]]+data[[#This Row],[Hfin corrigée]]))=1),"oui","non")</calculatedColumnFormula>
    </tableColumn>
    <tableColumn id="19" xr3:uid="{00000000-0010-0000-0000-000013000000}" name="JOUR2" dataDxfId="19">
      <calculatedColumnFormula>MAX(0,data[[#This Row],[Hfin corrigée]]-MAX(1,data[[#This Row],[Hdébut corrigé]]))-data[[#This Row],[NUIT2.1]]-data[[#This Row],[NUIT2.2]]</calculatedColumnFormula>
    </tableColumn>
    <tableColumn id="20" xr3:uid="{00000000-0010-0000-0000-000014000000}" name="NUIT2.1" dataDxfId="18">
      <calculatedColumnFormula>MAX(0,MIN(1+FinNuit,data[[#This Row],[Hfin corrigée]])-MAX(1,data[[#This Row],[Hdébut corrigé]]))</calculatedColumnFormula>
    </tableColumn>
    <tableColumn id="21" xr3:uid="{00000000-0010-0000-0000-000015000000}" name="NUIT2.2" dataDxfId="17">
      <calculatedColumnFormula>MAX(0,(data[[#This Row],[Hfin corrigée]]-DebNuit-1))</calculatedColumnFormula>
    </tableColumn>
    <tableColumn id="22" xr3:uid="{00000000-0010-0000-0000-000016000000}" name="Interv. hors poste" dataDxfId="16">
      <calculatedColumnFormula>IF(data[[#This Row],[Garde / Interv.]]="Intervention",MAX(0,data[[#This Row],[Hfin corrigée]]-SUMPRODUCT((data[Date]=data[[#This Row],[Date]])*(data[Garde / Interv.]="Garde")*data[Hfin corrigée])),0)</calculatedColumnFormula>
    </tableColumn>
    <tableColumn id="16" xr3:uid="{00000000-0010-0000-0000-000010000000}" name="Garde postée au CIS" dataDxfId="15">
      <calculatedColumnFormula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calculatedColumnFormula>
    </tableColumn>
    <tableColumn id="13" xr3:uid="{00000000-0010-0000-0000-00000D000000}" name="Durée interv. jour" dataDxfId="14">
      <calculatedColumnFormula>MAX(0,IF(data[[#This Row],[Garde / Interv.]]="Intervention",(data[[#This Row],[Fin Dim ou Férié]]="non")*data[[#This Row],[JOUR2]]+(data[[#This Row],[Début Dim ou Férié]]="non")*data[[#This Row],[JOUR1]],0))</calculatedColumnFormula>
    </tableColumn>
    <tableColumn id="14" xr3:uid="{00000000-0010-0000-0000-00000E000000}" name="Durée interv. dim ou férié" dataDxfId="13">
      <calculatedColumnFormula>IF(data[[#This Row],[Garde / Interv.]]="Intervention",(data[[#This Row],[Fin Dim ou Férié]]="oui")*data[[#This Row],[JOUR2]]+(data[[#This Row],[Début Dim ou Férié]]="oui")*data[[#This Row],[JOUR1]],0)</calculatedColumnFormula>
    </tableColumn>
    <tableColumn id="15" xr3:uid="{00000000-0010-0000-0000-00000F000000}" name="Durée interv. nuit" dataDxfId="12">
      <calculatedColumnFormula>MAX(0,IF(data[[#This Row],[Garde / Interv.]]="Intervention",data[[#This Row],[NUIT1.1]]+data[[#This Row],[NUIT1.2]]+data[[#This Row],[NUIT2.1]]+data[[#This Row],[NUIT2.2]],0))</calculatedColumnFormula>
    </tableColumn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est" displayName="test" ref="A1:H9" totalsRowShown="0" headerRowDxfId="11" dataDxfId="10">
  <autoFilter ref="A1:H9" xr:uid="{00000000-0009-0000-0100-000002000000}"/>
  <tableColumns count="8">
    <tableColumn id="23" xr3:uid="{00000000-0010-0000-0100-000017000000}" name="Hdébut corrigé" dataDxfId="9"/>
    <tableColumn id="12" xr3:uid="{00000000-0010-0000-0100-00000C000000}" name="Hfin corrigée" dataDxfId="8"/>
    <tableColumn id="10" xr3:uid="{00000000-0010-0000-0100-00000A000000}" name="JOUR1" dataDxfId="7">
      <calculatedColumnFormula>MAX(0,(MIN(1,test[[#This Row],[Hfin corrigée]])-test[[#This Row],[Hdébut corrigé]])-test[[#This Row],[NUIT1.1]]-test[[#This Row],[NUIT1.2]])</calculatedColumnFormula>
    </tableColumn>
    <tableColumn id="11" xr3:uid="{00000000-0010-0000-0100-00000B000000}" name="NUIT1.1" dataDxfId="6">
      <calculatedColumnFormula>MIN(FinNuit,MIN(1,test[[#This Row],[Hfin corrigée]]))-MIN(FinNuit,test[[#This Row],[Hdébut corrigé]])</calculatedColumnFormula>
    </tableColumn>
    <tableColumn id="18" xr3:uid="{00000000-0010-0000-0100-000012000000}" name="NUIT1.2" dataDxfId="5">
      <calculatedColumnFormula>MAX(0,(MAX(0,(MIN(1,test[[#This Row],[Hfin corrigée]])-DebNuit))-MAX(0,(test[[#This Row],[Hdébut corrigé]]-DebNuit))))</calculatedColumnFormula>
    </tableColumn>
    <tableColumn id="19" xr3:uid="{00000000-0010-0000-0100-000013000000}" name="JOUR2" dataDxfId="4">
      <calculatedColumnFormula>MAX(0,test[[#This Row],[Hfin corrigée]]-MAX(1,test[[#This Row],[Hdébut corrigé]]))-test[[#This Row],[NUIT2.1]]-test[[#This Row],[NUIT2.2]]</calculatedColumnFormula>
    </tableColumn>
    <tableColumn id="20" xr3:uid="{00000000-0010-0000-0100-000014000000}" name="NUIT2.1" dataDxfId="3">
      <calculatedColumnFormula>MAX(0,MIN(1+FinNuit,test[[#This Row],[Hfin corrigée]])-MAX(1,test[[#This Row],[Hdébut corrigé]]))</calculatedColumnFormula>
    </tableColumn>
    <tableColumn id="21" xr3:uid="{00000000-0010-0000-0100-000015000000}" name="NUIT2.2" dataDxfId="2">
      <calculatedColumnFormula>MAX(0,(test[[#This Row],[Hfin corrigée]]-DebNuit-1))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D101"/>
  <sheetViews>
    <sheetView showZeros="0" zoomScale="90" zoomScaleNormal="90" workbookViewId="0">
      <pane xSplit="2" ySplit="1" topLeftCell="C65" activePane="bottomRight" state="frozen"/>
      <selection pane="topRight" activeCell="C1" sqref="C1"/>
      <selection pane="bottomLeft" activeCell="A2" sqref="A2"/>
      <selection pane="bottomRight" activeCell="E73" sqref="E73"/>
    </sheetView>
  </sheetViews>
  <sheetFormatPr baseColWidth="10" defaultColWidth="11.5546875" defaultRowHeight="14.4" x14ac:dyDescent="0.3"/>
  <cols>
    <col min="1" max="1" width="17.21875" style="69" bestFit="1" customWidth="1"/>
    <col min="2" max="2" width="11.6640625" style="52" customWidth="1"/>
    <col min="3" max="3" width="8.33203125" style="50" customWidth="1"/>
    <col min="4" max="5" width="8.33203125" style="49" customWidth="1"/>
    <col min="6" max="6" width="7.44140625" style="85" customWidth="1"/>
    <col min="7" max="7" width="19.44140625" style="46" bestFit="1" customWidth="1"/>
    <col min="8" max="8" width="9.88671875" style="46" customWidth="1"/>
    <col min="9" max="9" width="11.5546875" style="50"/>
    <col min="10" max="10" width="11.5546875" style="41"/>
    <col min="11" max="11" width="11.5546875" style="41" hidden="1" customWidth="1"/>
    <col min="12" max="14" width="8.33203125" style="49" hidden="1" customWidth="1"/>
    <col min="15" max="16" width="8.33203125" style="51" hidden="1" customWidth="1"/>
    <col min="17" max="17" width="8.33203125" style="41" hidden="1" customWidth="1"/>
    <col min="18" max="18" width="8.33203125" style="48" hidden="1" customWidth="1"/>
    <col min="19" max="20" width="8.33203125" style="46" hidden="1" customWidth="1"/>
    <col min="21" max="21" width="8.33203125" style="86" customWidth="1"/>
    <col min="22" max="23" width="8.33203125" style="38" customWidth="1"/>
    <col min="24" max="26" width="8.33203125" style="46" customWidth="1"/>
    <col min="27" max="16384" width="11.5546875" style="41"/>
  </cols>
  <sheetData>
    <row r="1" spans="1:25" s="29" customFormat="1" ht="66" customHeight="1" x14ac:dyDescent="0.3">
      <c r="A1" s="66" t="s">
        <v>0</v>
      </c>
      <c r="B1" s="27" t="s">
        <v>44</v>
      </c>
      <c r="C1" s="30" t="s">
        <v>42</v>
      </c>
      <c r="D1" s="28" t="s">
        <v>43</v>
      </c>
      <c r="E1" s="28" t="s">
        <v>98</v>
      </c>
      <c r="F1" s="80" t="s">
        <v>80</v>
      </c>
      <c r="G1" s="29" t="s">
        <v>62</v>
      </c>
      <c r="H1" s="29" t="s">
        <v>1</v>
      </c>
      <c r="I1" s="30" t="s">
        <v>17</v>
      </c>
      <c r="J1" s="28" t="s">
        <v>18</v>
      </c>
      <c r="K1" s="31" t="s">
        <v>25</v>
      </c>
      <c r="L1" s="31" t="s">
        <v>13</v>
      </c>
      <c r="M1" s="27" t="s">
        <v>11</v>
      </c>
      <c r="N1" s="32" t="s">
        <v>19</v>
      </c>
      <c r="O1" s="32" t="s">
        <v>20</v>
      </c>
      <c r="P1" s="32" t="s">
        <v>21</v>
      </c>
      <c r="Q1" s="27" t="s">
        <v>12</v>
      </c>
      <c r="R1" s="32" t="s">
        <v>22</v>
      </c>
      <c r="S1" s="32" t="s">
        <v>23</v>
      </c>
      <c r="T1" s="32" t="s">
        <v>24</v>
      </c>
      <c r="U1" s="33" t="s">
        <v>33</v>
      </c>
      <c r="V1" s="32" t="s">
        <v>100</v>
      </c>
      <c r="W1" s="32" t="s">
        <v>16</v>
      </c>
      <c r="X1" s="32" t="s">
        <v>14</v>
      </c>
      <c r="Y1" s="32" t="s">
        <v>15</v>
      </c>
    </row>
    <row r="2" spans="1:25" x14ac:dyDescent="0.3">
      <c r="A2" s="67">
        <v>43467</v>
      </c>
      <c r="B2" s="137" t="str">
        <f>IF(data[[#This Row],[Hdébut garde]]&lt;&gt;"","Garde",IF(data[[#This Row],[Hdébut corrigé]]&lt;&gt;"","Intervention",""))</f>
        <v>Garde</v>
      </c>
      <c r="C2" s="81">
        <v>0.29166666666666669</v>
      </c>
      <c r="D2" s="47">
        <v>0.29166666666666669</v>
      </c>
      <c r="E2" s="39">
        <f>MAX(0,IF(data[[#This Row],[Garde / Interv.]]="Garde",data[[#This Row],[Hfin corrigée]]-data[[#This Row],[Hdébut corrigé]],0))</f>
        <v>1</v>
      </c>
      <c r="F2" s="82"/>
      <c r="G2" s="34"/>
      <c r="H2" s="21"/>
      <c r="I2" s="36"/>
      <c r="J2" s="35"/>
      <c r="K2" s="37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2" s="37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1.2916666666666667</v>
      </c>
      <c r="M2" s="38" t="str">
        <f>IF(OR(WEEKDAY(data[[#This Row],[Date]],2)=7,COUNTIF(JF,data[[#This Row],[Date]])=1),"oui","non")</f>
        <v>non</v>
      </c>
      <c r="N2" s="39">
        <f>MAX(0,(MIN(1,data[[#This Row],[Hfin corrigée]])-data[[#This Row],[Hdébut corrigé]])-data[[#This Row],[NUIT1.1]]-data[[#This Row],[NUIT1.2]])</f>
        <v>0.62499999999999989</v>
      </c>
      <c r="O2" s="39">
        <f>IF(data[[#This Row],[Hfin Interv.]]="",0,(
MIN(FinNuit,MIN(1,data[[#This Row],[Hfin corrigée]]))-MIN(FinNuit,data[[#This Row],[Hdébut corrigé]])
))</f>
        <v>0</v>
      </c>
      <c r="P2" s="39">
        <f>MAX(0,(MAX(0,(MIN(1,data[[#This Row],[Hfin corrigée]])-DebNuit))-MAX(0,(data[[#This Row],[Hdébut corrigé]]-DebNuit))))</f>
        <v>8.333333333333337E-2</v>
      </c>
      <c r="Q2" s="38" t="str">
        <f>IF(OR(WEEKDAY(data[[#This Row],[Date]]+data[[#This Row],[Hfin corrigée]],2)=7,COUNTIF(JF,INT(data[[#This Row],[Date]]+data[[#This Row],[Hfin corrigée]]))=1),"oui","non")</f>
        <v>non</v>
      </c>
      <c r="R2" s="39">
        <f>MAX(0,data[[#This Row],[Hfin corrigée]]-MAX(1,data[[#This Row],[Hdébut corrigé]]))-data[[#This Row],[NUIT2.1]]-data[[#This Row],[NUIT2.2]]</f>
        <v>0</v>
      </c>
      <c r="S2" s="39">
        <f>MAX(0,MIN(1+FinNuit,data[[#This Row],[Hfin corrigée]])-MAX(1,data[[#This Row],[Hdébut corrigé]]))</f>
        <v>0.29166666666666674</v>
      </c>
      <c r="T2" s="39">
        <f>MAX(0,(data[[#This Row],[Hfin corrigée]]-DebNuit-1))</f>
        <v>0</v>
      </c>
      <c r="U2" s="40">
        <f>IF(data[[#This Row],[Garde / Interv.]]="Intervention",MAX(0,data[[#This Row],[Hfin corrigée]]-SUMPRODUCT((data[Date]=data[[#This Row],[Date]])*(data[Garde / Interv.]="Garde")*data[Hfin corrigée])),0)</f>
        <v>0</v>
      </c>
      <c r="V2" s="39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0.57777777777777783</v>
      </c>
      <c r="W2" s="39">
        <f>MAX(0,IF(data[[#This Row],[Garde / Interv.]]="Intervention",(data[[#This Row],[Fin Dim ou Férié]]="non")*data[[#This Row],[JOUR2]]+(data[[#This Row],[Début Dim ou Férié]]="non")*data[[#This Row],[JOUR1]],0))</f>
        <v>0</v>
      </c>
      <c r="X2" s="39">
        <f>IF(data[[#This Row],[Garde / Interv.]]="Intervention",(data[[#This Row],[Fin Dim ou Férié]]="oui")*data[[#This Row],[JOUR2]]+(data[[#This Row],[Début Dim ou Férié]]="oui")*data[[#This Row],[JOUR1]],0)</f>
        <v>0</v>
      </c>
      <c r="Y2" s="39">
        <f>MAX(0,IF(data[[#This Row],[Garde / Interv.]]="Intervention",data[[#This Row],[NUIT1.1]]+data[[#This Row],[NUIT1.2]]+data[[#This Row],[NUIT2.1]]+data[[#This Row],[NUIT2.2]],0))</f>
        <v>0</v>
      </c>
    </row>
    <row r="3" spans="1:25" x14ac:dyDescent="0.3">
      <c r="A3" s="67">
        <v>43467</v>
      </c>
      <c r="B3" s="137" t="str">
        <f>IF(data[[#This Row],[Hdébut garde]]&lt;&gt;"","Garde",IF(data[[#This Row],[Hdébut corrigé]]&lt;&gt;"","Intervention",""))</f>
        <v>Intervention</v>
      </c>
      <c r="C3" s="81"/>
      <c r="D3" s="47"/>
      <c r="E3" s="39">
        <f>MAX(0,IF(data[[#This Row],[Garde / Interv.]]="Garde",data[[#This Row],[Hfin corrigée]]-data[[#This Row],[Hdébut corrigé]],0))</f>
        <v>0</v>
      </c>
      <c r="F3" s="82"/>
      <c r="G3" s="34"/>
      <c r="H3" s="21" t="s">
        <v>4</v>
      </c>
      <c r="I3" s="36">
        <v>0.30277777777777776</v>
      </c>
      <c r="J3" s="35">
        <v>0.49791666666666662</v>
      </c>
      <c r="K3" s="37">
        <f>IF(data[[#This Row],[Hdébut garde]]&lt;&gt;"",
data[[#This Row],[Hdébut garde]],
data[[#This Row],[Hdébut interv.]]+IF(data[[#This Row],[Hdébut interv.]]&lt;SUMPRODUCT((data[Date]=data[[#This Row],[Date]])*data[Hdébut garde]),1,0)
)</f>
        <v>0.30277777777777776</v>
      </c>
      <c r="L3" s="37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0.49791666666666662</v>
      </c>
      <c r="M3" s="38" t="str">
        <f>IF(OR(WEEKDAY(data[[#This Row],[Date]],2)=7,COUNTIF(JF,data[[#This Row],[Date]])=1),"oui","non")</f>
        <v>non</v>
      </c>
      <c r="N3" s="39">
        <f>MAX(0,(MIN(1,data[[#This Row],[Hfin corrigée]])-data[[#This Row],[Hdébut corrigé]])-data[[#This Row],[NUIT1.1]]-data[[#This Row],[NUIT1.2]])</f>
        <v>0.19513888888888886</v>
      </c>
      <c r="O3" s="39">
        <f>IF(data[[#This Row],[Hfin Interv.]]="",0,(
MIN(FinNuit,MIN(1,data[[#This Row],[Hfin corrigée]]))-MIN(FinNuit,data[[#This Row],[Hdébut corrigé]])
))</f>
        <v>0</v>
      </c>
      <c r="P3" s="39">
        <f>MAX(0,(MAX(0,(MIN(1,data[[#This Row],[Hfin corrigée]])-DebNuit))-MAX(0,(data[[#This Row],[Hdébut corrigé]]-DebNuit))))</f>
        <v>0</v>
      </c>
      <c r="Q3" s="38" t="str">
        <f>IF(OR(WEEKDAY(data[[#This Row],[Date]]+data[[#This Row],[Hfin corrigée]],2)=7,COUNTIF(JF,INT(data[[#This Row],[Date]]+data[[#This Row],[Hfin corrigée]]))=1),"oui","non")</f>
        <v>non</v>
      </c>
      <c r="R3" s="39">
        <f>MAX(0,data[[#This Row],[Hfin corrigée]]-MAX(1,data[[#This Row],[Hdébut corrigé]]))-data[[#This Row],[NUIT2.1]]-data[[#This Row],[NUIT2.2]]</f>
        <v>0</v>
      </c>
      <c r="S3" s="39">
        <f>MAX(0,MIN(1+FinNuit,data[[#This Row],[Hfin corrigée]])-MAX(1,data[[#This Row],[Hdébut corrigé]]))</f>
        <v>0</v>
      </c>
      <c r="T3" s="39">
        <f>MAX(0,(data[[#This Row],[Hfin corrigée]]-DebNuit-1))</f>
        <v>0</v>
      </c>
      <c r="U3" s="40">
        <f>IF(data[[#This Row],[Garde / Interv.]]="Intervention",MAX(0,data[[#This Row],[Hfin corrigée]]-SUMPRODUCT((data[Date]=data[[#This Row],[Date]])*(data[Garde / Interv.]="Garde")*data[Hfin corrigée])),0)</f>
        <v>0</v>
      </c>
      <c r="V3" s="39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3" s="39">
        <f>MAX(0,IF(data[[#This Row],[Garde / Interv.]]="Intervention",(data[[#This Row],[Fin Dim ou Férié]]="non")*data[[#This Row],[JOUR2]]+(data[[#This Row],[Début Dim ou Férié]]="non")*data[[#This Row],[JOUR1]],0))</f>
        <v>0.19513888888888886</v>
      </c>
      <c r="X3" s="39">
        <f>IF(data[[#This Row],[Garde / Interv.]]="Intervention",(data[[#This Row],[Fin Dim ou Férié]]="oui")*data[[#This Row],[JOUR2]]+(data[[#This Row],[Début Dim ou Férié]]="oui")*data[[#This Row],[JOUR1]],0)</f>
        <v>0</v>
      </c>
      <c r="Y3" s="39">
        <f>MAX(0,IF(data[[#This Row],[Garde / Interv.]]="Intervention",data[[#This Row],[NUIT1.1]]+data[[#This Row],[NUIT1.2]]+data[[#This Row],[NUIT2.1]]+data[[#This Row],[NUIT2.2]],0))</f>
        <v>0</v>
      </c>
    </row>
    <row r="4" spans="1:25" x14ac:dyDescent="0.3">
      <c r="A4" s="67">
        <v>43467</v>
      </c>
      <c r="B4" s="137" t="str">
        <f>IF(data[[#This Row],[Hdébut garde]]&lt;&gt;"","Garde",IF(data[[#This Row],[Hdébut corrigé]]&lt;&gt;"","Intervention",""))</f>
        <v>Intervention</v>
      </c>
      <c r="C4" s="81"/>
      <c r="D4" s="47"/>
      <c r="E4" s="39">
        <f>MAX(0,IF(data[[#This Row],[Garde / Interv.]]="Garde",data[[#This Row],[Hfin corrigée]]-data[[#This Row],[Hdébut corrigé]],0))</f>
        <v>0</v>
      </c>
      <c r="F4" s="82"/>
      <c r="G4" s="34"/>
      <c r="H4" s="21" t="s">
        <v>2</v>
      </c>
      <c r="I4" s="36">
        <v>0.54097222222222219</v>
      </c>
      <c r="J4" s="35">
        <v>0.61249999999999993</v>
      </c>
      <c r="K4" s="37">
        <f>IF(data[[#This Row],[Hdébut garde]]&lt;&gt;"",
data[[#This Row],[Hdébut garde]],
data[[#This Row],[Hdébut interv.]]+IF(data[[#This Row],[Hdébut interv.]]&lt;SUMPRODUCT((data[Date]=data[[#This Row],[Date]])*data[Hdébut garde]),1,0)
)</f>
        <v>0.54097222222222219</v>
      </c>
      <c r="L4" s="37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0.61249999999999993</v>
      </c>
      <c r="M4" s="38" t="str">
        <f>IF(OR(WEEKDAY(data[[#This Row],[Date]],2)=7,COUNTIF(JF,data[[#This Row],[Date]])=1),"oui","non")</f>
        <v>non</v>
      </c>
      <c r="N4" s="39">
        <f>MAX(0,(MIN(1,data[[#This Row],[Hfin corrigée]])-data[[#This Row],[Hdébut corrigé]])-data[[#This Row],[NUIT1.1]]-data[[#This Row],[NUIT1.2]])</f>
        <v>7.1527777777777746E-2</v>
      </c>
      <c r="O4" s="39">
        <f>IF(data[[#This Row],[Hfin Interv.]]="",0,(
MIN(FinNuit,MIN(1,data[[#This Row],[Hfin corrigée]]))-MIN(FinNuit,data[[#This Row],[Hdébut corrigé]])
))</f>
        <v>0</v>
      </c>
      <c r="P4" s="39">
        <f>MAX(0,(MAX(0,(MIN(1,data[[#This Row],[Hfin corrigée]])-DebNuit))-MAX(0,(data[[#This Row],[Hdébut corrigé]]-DebNuit))))</f>
        <v>0</v>
      </c>
      <c r="Q4" s="38" t="str">
        <f>IF(OR(WEEKDAY(data[[#This Row],[Date]]+data[[#This Row],[Hfin corrigée]],2)=7,COUNTIF(JF,INT(data[[#This Row],[Date]]+data[[#This Row],[Hfin corrigée]]))=1),"oui","non")</f>
        <v>non</v>
      </c>
      <c r="R4" s="39">
        <f>MAX(0,data[[#This Row],[Hfin corrigée]]-MAX(1,data[[#This Row],[Hdébut corrigé]]))-data[[#This Row],[NUIT2.1]]-data[[#This Row],[NUIT2.2]]</f>
        <v>0</v>
      </c>
      <c r="S4" s="39">
        <f>MAX(0,MIN(1+FinNuit,data[[#This Row],[Hfin corrigée]])-MAX(1,data[[#This Row],[Hdébut corrigé]]))</f>
        <v>0</v>
      </c>
      <c r="T4" s="39">
        <f>MAX(0,(data[[#This Row],[Hfin corrigée]]-DebNuit-1))</f>
        <v>0</v>
      </c>
      <c r="U4" s="40">
        <f>IF(data[[#This Row],[Garde / Interv.]]="Intervention",MAX(0,data[[#This Row],[Hfin corrigée]]-SUMPRODUCT((data[Date]=data[[#This Row],[Date]])*(data[Garde / Interv.]="Garde")*data[Hfin corrigée])),0)</f>
        <v>0</v>
      </c>
      <c r="V4" s="39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4" s="39">
        <f>MAX(0,IF(data[[#This Row],[Garde / Interv.]]="Intervention",(data[[#This Row],[Fin Dim ou Férié]]="non")*data[[#This Row],[JOUR2]]+(data[[#This Row],[Début Dim ou Férié]]="non")*data[[#This Row],[JOUR1]],0))</f>
        <v>7.1527777777777746E-2</v>
      </c>
      <c r="X4" s="39">
        <f>IF(data[[#This Row],[Garde / Interv.]]="Intervention",(data[[#This Row],[Fin Dim ou Férié]]="oui")*data[[#This Row],[JOUR2]]+(data[[#This Row],[Début Dim ou Férié]]="oui")*data[[#This Row],[JOUR1]],0)</f>
        <v>0</v>
      </c>
      <c r="Y4" s="39">
        <f>MAX(0,IF(data[[#This Row],[Garde / Interv.]]="Intervention",data[[#This Row],[NUIT1.1]]+data[[#This Row],[NUIT1.2]]+data[[#This Row],[NUIT2.1]]+data[[#This Row],[NUIT2.2]],0))</f>
        <v>0</v>
      </c>
    </row>
    <row r="5" spans="1:25" x14ac:dyDescent="0.3">
      <c r="A5" s="67">
        <v>43467</v>
      </c>
      <c r="B5" s="137" t="str">
        <f>IF(data[[#This Row],[Hdébut garde]]&lt;&gt;"","Garde",IF(data[[#This Row],[Hdébut corrigé]]&lt;&gt;"","Intervention",""))</f>
        <v>Intervention</v>
      </c>
      <c r="C5" s="83"/>
      <c r="D5" s="60"/>
      <c r="E5" s="47">
        <f>MAX(0,IF(data[[#This Row],[Garde / Interv.]]="Garde",data[[#This Row],[Hfin corrigée]]-data[[#This Row],[Hdébut corrigé]],0))</f>
        <v>0</v>
      </c>
      <c r="F5" s="84"/>
      <c r="G5" s="61"/>
      <c r="H5" s="62" t="s">
        <v>2</v>
      </c>
      <c r="I5" s="63">
        <v>0.61597222222222225</v>
      </c>
      <c r="J5" s="64">
        <v>0.67152777777777783</v>
      </c>
      <c r="K5" s="42">
        <f>IF(data[[#This Row],[Hdébut garde]]&lt;&gt;"",
data[[#This Row],[Hdébut garde]],
data[[#This Row],[Hdébut interv.]]+IF(data[[#This Row],[Hdébut interv.]]&lt;SUMPRODUCT((data[Date]=data[[#This Row],[Date]])*data[Hdébut garde]),1,0)
)</f>
        <v>0.61597222222222225</v>
      </c>
      <c r="L5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0.67152777777777783</v>
      </c>
      <c r="M5" s="43" t="str">
        <f>IF(OR(WEEKDAY(data[[#This Row],[Date]],2)=7,COUNTIF(JF,data[[#This Row],[Date]])=1),"oui","non")</f>
        <v>non</v>
      </c>
      <c r="N5" s="44">
        <f>MAX(0,(MIN(1,data[[#This Row],[Hfin corrigée]])-data[[#This Row],[Hdébut corrigé]])-data[[#This Row],[NUIT1.1]]-data[[#This Row],[NUIT1.2]])</f>
        <v>5.555555555555558E-2</v>
      </c>
      <c r="O5" s="44">
        <f>IF(data[[#This Row],[Hfin Interv.]]="",0,(
MIN(FinNuit,MIN(1,data[[#This Row],[Hfin corrigée]]))-MIN(FinNuit,data[[#This Row],[Hdébut corrigé]])
))</f>
        <v>0</v>
      </c>
      <c r="P5" s="44">
        <f>MAX(0,(MAX(0,(MIN(1,data[[#This Row],[Hfin corrigée]])-DebNuit))-MAX(0,(data[[#This Row],[Hdébut corrigé]]-DebNuit))))</f>
        <v>0</v>
      </c>
      <c r="Q5" s="43" t="str">
        <f>IF(OR(WEEKDAY(data[[#This Row],[Date]]+data[[#This Row],[Hfin corrigée]],2)=7,COUNTIF(JF,INT(data[[#This Row],[Date]]+data[[#This Row],[Hfin corrigée]]))=1),"oui","non")</f>
        <v>non</v>
      </c>
      <c r="R5" s="44">
        <f>MAX(0,data[[#This Row],[Hfin corrigée]]-MAX(1,data[[#This Row],[Hdébut corrigé]]))-data[[#This Row],[NUIT2.1]]-data[[#This Row],[NUIT2.2]]</f>
        <v>0</v>
      </c>
      <c r="S5" s="44">
        <f>MAX(0,MIN(1+FinNuit,data[[#This Row],[Hfin corrigée]])-MAX(1,data[[#This Row],[Hdébut corrigé]]))</f>
        <v>0</v>
      </c>
      <c r="T5" s="44">
        <f>MAX(0,(data[[#This Row],[Hfin corrigée]]-DebNuit-1))</f>
        <v>0</v>
      </c>
      <c r="U5" s="45">
        <f>IF(data[[#This Row],[Garde / Interv.]]="Intervention",MAX(0,data[[#This Row],[Hfin corrigée]]-SUMPRODUCT((data[Date]=data[[#This Row],[Date]])*(data[Garde / Interv.]="Garde")*data[Hfin corrigée])),0)</f>
        <v>0</v>
      </c>
      <c r="V5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5" s="44">
        <f>MAX(0,IF(data[[#This Row],[Garde / Interv.]]="Intervention",(data[[#This Row],[Fin Dim ou Férié]]="non")*data[[#This Row],[JOUR2]]+(data[[#This Row],[Début Dim ou Férié]]="non")*data[[#This Row],[JOUR1]],0))</f>
        <v>5.555555555555558E-2</v>
      </c>
      <c r="X5" s="44">
        <f>IF(data[[#This Row],[Garde / Interv.]]="Intervention",(data[[#This Row],[Fin Dim ou Férié]]="oui")*data[[#This Row],[JOUR2]]+(data[[#This Row],[Début Dim ou Férié]]="oui")*data[[#This Row],[JOUR1]],0)</f>
        <v>0</v>
      </c>
      <c r="Y5" s="44">
        <f>MAX(0,IF(data[[#This Row],[Garde / Interv.]]="Intervention",data[[#This Row],[NUIT1.1]]+data[[#This Row],[NUIT1.2]]+data[[#This Row],[NUIT2.1]]+data[[#This Row],[NUIT2.2]],0))</f>
        <v>0</v>
      </c>
    </row>
    <row r="6" spans="1:25" x14ac:dyDescent="0.3">
      <c r="A6" s="67">
        <v>43467</v>
      </c>
      <c r="B6" s="137" t="str">
        <f>IF(data[[#This Row],[Hdébut garde]]&lt;&gt;"","Garde",IF(data[[#This Row],[Hdébut corrigé]]&lt;&gt;"","Intervention",""))</f>
        <v>Intervention</v>
      </c>
      <c r="C6" s="83"/>
      <c r="D6" s="60"/>
      <c r="E6" s="47">
        <f>MAX(0,IF(data[[#This Row],[Garde / Interv.]]="Garde",data[[#This Row],[Hfin corrigée]]-data[[#This Row],[Hdébut corrigé]],0))</f>
        <v>0</v>
      </c>
      <c r="F6" s="84"/>
      <c r="G6" s="61"/>
      <c r="H6" s="62" t="s">
        <v>2</v>
      </c>
      <c r="I6" s="63">
        <v>0.79305555555555562</v>
      </c>
      <c r="J6" s="64">
        <v>0.84027777777777779</v>
      </c>
      <c r="K6" s="42">
        <f>IF(data[[#This Row],[Hdébut garde]]&lt;&gt;"",
data[[#This Row],[Hdébut garde]],
data[[#This Row],[Hdébut interv.]]+IF(data[[#This Row],[Hdébut interv.]]&lt;SUMPRODUCT((data[Date]=data[[#This Row],[Date]])*data[Hdébut garde]),1,0)
)</f>
        <v>0.79305555555555562</v>
      </c>
      <c r="L6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0.84027777777777779</v>
      </c>
      <c r="M6" s="43" t="str">
        <f>IF(OR(WEEKDAY(data[[#This Row],[Date]],2)=7,COUNTIF(JF,data[[#This Row],[Date]])=1),"oui","non")</f>
        <v>non</v>
      </c>
      <c r="N6" s="44">
        <f>MAX(0,(MIN(1,data[[#This Row],[Hfin corrigée]])-data[[#This Row],[Hdébut corrigé]])-data[[#This Row],[NUIT1.1]]-data[[#This Row],[NUIT1.2]])</f>
        <v>4.7222222222222165E-2</v>
      </c>
      <c r="O6" s="44">
        <f>IF(data[[#This Row],[Hfin Interv.]]="",0,(
MIN(FinNuit,MIN(1,data[[#This Row],[Hfin corrigée]]))-MIN(FinNuit,data[[#This Row],[Hdébut corrigé]])
))</f>
        <v>0</v>
      </c>
      <c r="P6" s="44">
        <f>MAX(0,(MAX(0,(MIN(1,data[[#This Row],[Hfin corrigée]])-DebNuit))-MAX(0,(data[[#This Row],[Hdébut corrigé]]-DebNuit))))</f>
        <v>0</v>
      </c>
      <c r="Q6" s="43" t="str">
        <f>IF(OR(WEEKDAY(data[[#This Row],[Date]]+data[[#This Row],[Hfin corrigée]],2)=7,COUNTIF(JF,INT(data[[#This Row],[Date]]+data[[#This Row],[Hfin corrigée]]))=1),"oui","non")</f>
        <v>non</v>
      </c>
      <c r="R6" s="44">
        <f>MAX(0,data[[#This Row],[Hfin corrigée]]-MAX(1,data[[#This Row],[Hdébut corrigé]]))-data[[#This Row],[NUIT2.1]]-data[[#This Row],[NUIT2.2]]</f>
        <v>0</v>
      </c>
      <c r="S6" s="44">
        <f>MAX(0,MIN(1+FinNuit,data[[#This Row],[Hfin corrigée]])-MAX(1,data[[#This Row],[Hdébut corrigé]]))</f>
        <v>0</v>
      </c>
      <c r="T6" s="44">
        <f>MAX(0,(data[[#This Row],[Hfin corrigée]]-DebNuit-1))</f>
        <v>0</v>
      </c>
      <c r="U6" s="45">
        <f>IF(data[[#This Row],[Garde / Interv.]]="Intervention",MAX(0,data[[#This Row],[Hfin corrigée]]-SUMPRODUCT((data[Date]=data[[#This Row],[Date]])*(data[Garde / Interv.]="Garde")*data[Hfin corrigée])),0)</f>
        <v>0</v>
      </c>
      <c r="V6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6" s="44">
        <f>MAX(0,IF(data[[#This Row],[Garde / Interv.]]="Intervention",(data[[#This Row],[Fin Dim ou Férié]]="non")*data[[#This Row],[JOUR2]]+(data[[#This Row],[Début Dim ou Férié]]="non")*data[[#This Row],[JOUR1]],0))</f>
        <v>4.7222222222222165E-2</v>
      </c>
      <c r="X6" s="44">
        <f>IF(data[[#This Row],[Garde / Interv.]]="Intervention",(data[[#This Row],[Fin Dim ou Férié]]="oui")*data[[#This Row],[JOUR2]]+(data[[#This Row],[Début Dim ou Férié]]="oui")*data[[#This Row],[JOUR1]],0)</f>
        <v>0</v>
      </c>
      <c r="Y6" s="44">
        <f>MAX(0,IF(data[[#This Row],[Garde / Interv.]]="Intervention",data[[#This Row],[NUIT1.1]]+data[[#This Row],[NUIT1.2]]+data[[#This Row],[NUIT2.1]]+data[[#This Row],[NUIT2.2]],0))</f>
        <v>0</v>
      </c>
    </row>
    <row r="7" spans="1:25" x14ac:dyDescent="0.3">
      <c r="A7" s="67">
        <v>43467</v>
      </c>
      <c r="B7" s="137" t="str">
        <f>IF(data[[#This Row],[Hdébut garde]]&lt;&gt;"","Garde",IF(data[[#This Row],[Hdébut corrigé]]&lt;&gt;"","Intervention",""))</f>
        <v>Intervention</v>
      </c>
      <c r="C7" s="83"/>
      <c r="D7" s="60"/>
      <c r="E7" s="47">
        <f>MAX(0,IF(data[[#This Row],[Garde / Interv.]]="Garde",data[[#This Row],[Hfin corrigée]]-data[[#This Row],[Hdébut corrigé]],0))</f>
        <v>0</v>
      </c>
      <c r="F7" s="84"/>
      <c r="G7" s="61"/>
      <c r="H7" s="62" t="s">
        <v>4</v>
      </c>
      <c r="I7" s="63">
        <v>1.6666666666666666E-2</v>
      </c>
      <c r="J7" s="64">
        <v>6.9444444444444434E-2</v>
      </c>
      <c r="K7" s="42">
        <f>IF(data[[#This Row],[Hdébut garde]]&lt;&gt;"",
data[[#This Row],[Hdébut garde]],
data[[#This Row],[Hdébut interv.]]+IF(data[[#This Row],[Hdébut interv.]]&lt;SUMPRODUCT((data[Date]=data[[#This Row],[Date]])*data[Hdébut garde]),1,0)
)</f>
        <v>1.0166666666666666</v>
      </c>
      <c r="L7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1.0694444444444444</v>
      </c>
      <c r="M7" s="43" t="str">
        <f>IF(OR(WEEKDAY(data[[#This Row],[Date]],2)=7,COUNTIF(JF,data[[#This Row],[Date]])=1),"oui","non")</f>
        <v>non</v>
      </c>
      <c r="N7" s="44">
        <f>MAX(0,(MIN(1,data[[#This Row],[Hfin corrigée]])-data[[#This Row],[Hdébut corrigé]])-data[[#This Row],[NUIT1.1]]-data[[#This Row],[NUIT1.2]])</f>
        <v>0</v>
      </c>
      <c r="O7" s="44">
        <f>IF(data[[#This Row],[Hfin Interv.]]="",0,(
MIN(FinNuit,MIN(1,data[[#This Row],[Hfin corrigée]]))-MIN(FinNuit,data[[#This Row],[Hdébut corrigé]])
))</f>
        <v>0</v>
      </c>
      <c r="P7" s="44">
        <f>MAX(0,(MAX(0,(MIN(1,data[[#This Row],[Hfin corrigée]])-DebNuit))-MAX(0,(data[[#This Row],[Hdébut corrigé]]-DebNuit))))</f>
        <v>0</v>
      </c>
      <c r="Q7" s="43" t="str">
        <f>IF(OR(WEEKDAY(data[[#This Row],[Date]]+data[[#This Row],[Hfin corrigée]],2)=7,COUNTIF(JF,INT(data[[#This Row],[Date]]+data[[#This Row],[Hfin corrigée]]))=1),"oui","non")</f>
        <v>non</v>
      </c>
      <c r="R7" s="44">
        <f>MAX(0,data[[#This Row],[Hfin corrigée]]-MAX(1,data[[#This Row],[Hdébut corrigé]]))-data[[#This Row],[NUIT2.1]]-data[[#This Row],[NUIT2.2]]</f>
        <v>0</v>
      </c>
      <c r="S7" s="44">
        <f>MAX(0,MIN(1+FinNuit,data[[#This Row],[Hfin corrigée]])-MAX(1,data[[#This Row],[Hdébut corrigé]]))</f>
        <v>5.2777777777777812E-2</v>
      </c>
      <c r="T7" s="44">
        <f>MAX(0,(data[[#This Row],[Hfin corrigée]]-DebNuit-1))</f>
        <v>0</v>
      </c>
      <c r="U7" s="45">
        <f>IF(data[[#This Row],[Garde / Interv.]]="Intervention",MAX(0,data[[#This Row],[Hfin corrigée]]-SUMPRODUCT((data[Date]=data[[#This Row],[Date]])*(data[Garde / Interv.]="Garde")*data[Hfin corrigée])),0)</f>
        <v>0</v>
      </c>
      <c r="V7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7" s="44">
        <f>MAX(0,IF(data[[#This Row],[Garde / Interv.]]="Intervention",(data[[#This Row],[Fin Dim ou Férié]]="non")*data[[#This Row],[JOUR2]]+(data[[#This Row],[Début Dim ou Férié]]="non")*data[[#This Row],[JOUR1]],0))</f>
        <v>0</v>
      </c>
      <c r="X7" s="44">
        <f>IF(data[[#This Row],[Garde / Interv.]]="Intervention",(data[[#This Row],[Fin Dim ou Férié]]="oui")*data[[#This Row],[JOUR2]]+(data[[#This Row],[Début Dim ou Férié]]="oui")*data[[#This Row],[JOUR1]],0)</f>
        <v>0</v>
      </c>
      <c r="Y7" s="44">
        <f>MAX(0,IF(data[[#This Row],[Garde / Interv.]]="Intervention",data[[#This Row],[NUIT1.1]]+data[[#This Row],[NUIT1.2]]+data[[#This Row],[NUIT2.1]]+data[[#This Row],[NUIT2.2]],0))</f>
        <v>5.2777777777777812E-2</v>
      </c>
    </row>
    <row r="8" spans="1:25" x14ac:dyDescent="0.3">
      <c r="A8" s="67">
        <v>43469</v>
      </c>
      <c r="B8" s="137" t="str">
        <f>IF(data[[#This Row],[Hdébut garde]]&lt;&gt;"","Garde",IF(data[[#This Row],[Hdébut corrigé]]&lt;&gt;"","Intervention",""))</f>
        <v>Garde</v>
      </c>
      <c r="C8" s="81">
        <v>0.29166666666666669</v>
      </c>
      <c r="D8" s="47">
        <v>0.29166666666666669</v>
      </c>
      <c r="E8" s="39">
        <f>MAX(0,IF(data[[#This Row],[Garde / Interv.]]="Garde",data[[#This Row],[Hfin corrigée]]-data[[#This Row],[Hdébut corrigé]],0))</f>
        <v>1</v>
      </c>
      <c r="F8" s="82"/>
      <c r="G8" s="34"/>
      <c r="H8" s="21"/>
      <c r="I8" s="36"/>
      <c r="J8" s="35"/>
      <c r="K8" s="37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8" s="37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1.2916666666666667</v>
      </c>
      <c r="M8" s="38" t="str">
        <f>IF(OR(WEEKDAY(data[[#This Row],[Date]],2)=7,COUNTIF(JF,data[[#This Row],[Date]])=1),"oui","non")</f>
        <v>non</v>
      </c>
      <c r="N8" s="39">
        <f>MAX(0,(MIN(1,data[[#This Row],[Hfin corrigée]])-data[[#This Row],[Hdébut corrigé]])-data[[#This Row],[NUIT1.1]]-data[[#This Row],[NUIT1.2]])</f>
        <v>0.62499999999999989</v>
      </c>
      <c r="O8" s="39">
        <f>IF(data[[#This Row],[Hfin Interv.]]="",0,(
MIN(FinNuit,MIN(1,data[[#This Row],[Hfin corrigée]]))-MIN(FinNuit,data[[#This Row],[Hdébut corrigé]])
))</f>
        <v>0</v>
      </c>
      <c r="P8" s="39">
        <f>MAX(0,(MAX(0,(MIN(1,data[[#This Row],[Hfin corrigée]])-DebNuit))-MAX(0,(data[[#This Row],[Hdébut corrigé]]-DebNuit))))</f>
        <v>8.333333333333337E-2</v>
      </c>
      <c r="Q8" s="38" t="str">
        <f>IF(OR(WEEKDAY(data[[#This Row],[Date]]+data[[#This Row],[Hfin corrigée]],2)=7,COUNTIF(JF,INT(data[[#This Row],[Date]]+data[[#This Row],[Hfin corrigée]]))=1),"oui","non")</f>
        <v>non</v>
      </c>
      <c r="R8" s="39">
        <f>MAX(0,data[[#This Row],[Hfin corrigée]]-MAX(1,data[[#This Row],[Hdébut corrigé]]))-data[[#This Row],[NUIT2.1]]-data[[#This Row],[NUIT2.2]]</f>
        <v>0</v>
      </c>
      <c r="S8" s="39">
        <f>MAX(0,MIN(1+FinNuit,data[[#This Row],[Hfin corrigée]])-MAX(1,data[[#This Row],[Hdébut corrigé]]))</f>
        <v>0.29166666666666674</v>
      </c>
      <c r="T8" s="39">
        <f>MAX(0,(data[[#This Row],[Hfin corrigée]]-DebNuit-1))</f>
        <v>0</v>
      </c>
      <c r="U8" s="40">
        <f>IF(data[[#This Row],[Garde / Interv.]]="Intervention",MAX(0,data[[#This Row],[Hfin corrigée]]-SUMPRODUCT((data[Date]=data[[#This Row],[Date]])*(data[Garde / Interv.]="Garde")*data[Hfin corrigée])),0)</f>
        <v>0</v>
      </c>
      <c r="V8" s="39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0.87222222222222223</v>
      </c>
      <c r="W8" s="39">
        <f>MAX(0,IF(data[[#This Row],[Garde / Interv.]]="Intervention",(data[[#This Row],[Fin Dim ou Férié]]="non")*data[[#This Row],[JOUR2]]+(data[[#This Row],[Début Dim ou Férié]]="non")*data[[#This Row],[JOUR1]],0))</f>
        <v>0</v>
      </c>
      <c r="X8" s="39">
        <f>IF(data[[#This Row],[Garde / Interv.]]="Intervention",(data[[#This Row],[Fin Dim ou Férié]]="oui")*data[[#This Row],[JOUR2]]+(data[[#This Row],[Début Dim ou Férié]]="oui")*data[[#This Row],[JOUR1]],0)</f>
        <v>0</v>
      </c>
      <c r="Y8" s="39">
        <f>MAX(0,IF(data[[#This Row],[Garde / Interv.]]="Intervention",data[[#This Row],[NUIT1.1]]+data[[#This Row],[NUIT1.2]]+data[[#This Row],[NUIT2.1]]+data[[#This Row],[NUIT2.2]],0))</f>
        <v>0</v>
      </c>
    </row>
    <row r="9" spans="1:25" x14ac:dyDescent="0.3">
      <c r="A9" s="67">
        <v>43469</v>
      </c>
      <c r="B9" s="137" t="str">
        <f>IF(data[[#This Row],[Hdébut garde]]&lt;&gt;"","Garde",IF(data[[#This Row],[Hdébut corrigé]]&lt;&gt;"","Intervention",""))</f>
        <v>Intervention</v>
      </c>
      <c r="C9" s="83"/>
      <c r="D9" s="60"/>
      <c r="E9" s="47">
        <f>MAX(0,IF(data[[#This Row],[Garde / Interv.]]="Garde",data[[#This Row],[Hfin corrigée]]-data[[#This Row],[Hdébut corrigé]],0))</f>
        <v>0</v>
      </c>
      <c r="F9" s="84"/>
      <c r="G9" s="61"/>
      <c r="H9" s="21" t="s">
        <v>2</v>
      </c>
      <c r="I9" s="63">
        <v>0.47361111111111115</v>
      </c>
      <c r="J9" s="64">
        <v>0.48333333333333334</v>
      </c>
      <c r="K9" s="42">
        <f>IF(data[[#This Row],[Hdébut garde]]&lt;&gt;"",
data[[#This Row],[Hdébut garde]],
data[[#This Row],[Hdébut interv.]]+IF(data[[#This Row],[Hdébut interv.]]&lt;SUMPRODUCT((data[Date]=data[[#This Row],[Date]])*data[Hdébut garde]),1,0)
)</f>
        <v>0.47361111111111115</v>
      </c>
      <c r="L9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0.48333333333333334</v>
      </c>
      <c r="M9" s="43" t="str">
        <f>IF(OR(WEEKDAY(data[[#This Row],[Date]],2)=7,COUNTIF(JF,data[[#This Row],[Date]])=1),"oui","non")</f>
        <v>non</v>
      </c>
      <c r="N9" s="44">
        <f>MAX(0,(MIN(1,data[[#This Row],[Hfin corrigée]])-data[[#This Row],[Hdébut corrigé]])-data[[#This Row],[NUIT1.1]]-data[[#This Row],[NUIT1.2]])</f>
        <v>9.7222222222221877E-3</v>
      </c>
      <c r="O9" s="44">
        <f>IF(data[[#This Row],[Hfin Interv.]]="",0,(
MIN(FinNuit,MIN(1,data[[#This Row],[Hfin corrigée]]))-MIN(FinNuit,data[[#This Row],[Hdébut corrigé]])
))</f>
        <v>0</v>
      </c>
      <c r="P9" s="44">
        <f>MAX(0,(MAX(0,(MIN(1,data[[#This Row],[Hfin corrigée]])-DebNuit))-MAX(0,(data[[#This Row],[Hdébut corrigé]]-DebNuit))))</f>
        <v>0</v>
      </c>
      <c r="Q9" s="43" t="str">
        <f>IF(OR(WEEKDAY(data[[#This Row],[Date]]+data[[#This Row],[Hfin corrigée]],2)=7,COUNTIF(JF,INT(data[[#This Row],[Date]]+data[[#This Row],[Hfin corrigée]]))=1),"oui","non")</f>
        <v>non</v>
      </c>
      <c r="R9" s="44">
        <f>MAX(0,data[[#This Row],[Hfin corrigée]]-MAX(1,data[[#This Row],[Hdébut corrigé]]))-data[[#This Row],[NUIT2.1]]-data[[#This Row],[NUIT2.2]]</f>
        <v>0</v>
      </c>
      <c r="S9" s="44">
        <f>MAX(0,MIN(1+FinNuit,data[[#This Row],[Hfin corrigée]])-MAX(1,data[[#This Row],[Hdébut corrigé]]))</f>
        <v>0</v>
      </c>
      <c r="T9" s="44">
        <f>MAX(0,(data[[#This Row],[Hfin corrigée]]-DebNuit-1))</f>
        <v>0</v>
      </c>
      <c r="U9" s="45">
        <f>IF(data[[#This Row],[Garde / Interv.]]="Intervention",MAX(0,data[[#This Row],[Hfin corrigée]]-SUMPRODUCT((data[Date]=data[[#This Row],[Date]])*(data[Garde / Interv.]="Garde")*data[Hfin corrigée])),0)</f>
        <v>0</v>
      </c>
      <c r="V9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9" s="44">
        <f>MAX(0,IF(data[[#This Row],[Garde / Interv.]]="Intervention",(data[[#This Row],[Fin Dim ou Férié]]="non")*data[[#This Row],[JOUR2]]+(data[[#This Row],[Début Dim ou Férié]]="non")*data[[#This Row],[JOUR1]],0))</f>
        <v>9.7222222222221877E-3</v>
      </c>
      <c r="X9" s="44">
        <f>IF(data[[#This Row],[Garde / Interv.]]="Intervention",(data[[#This Row],[Fin Dim ou Férié]]="oui")*data[[#This Row],[JOUR2]]+(data[[#This Row],[Début Dim ou Férié]]="oui")*data[[#This Row],[JOUR1]],0)</f>
        <v>0</v>
      </c>
      <c r="Y9" s="44">
        <f>MAX(0,IF(data[[#This Row],[Garde / Interv.]]="Intervention",data[[#This Row],[NUIT1.1]]+data[[#This Row],[NUIT1.2]]+data[[#This Row],[NUIT2.1]]+data[[#This Row],[NUIT2.2]],0))</f>
        <v>0</v>
      </c>
    </row>
    <row r="10" spans="1:25" x14ac:dyDescent="0.3">
      <c r="A10" s="67">
        <v>43469</v>
      </c>
      <c r="B10" s="137" t="str">
        <f>IF(data[[#This Row],[Hdébut garde]]&lt;&gt;"","Garde",IF(data[[#This Row],[Hdébut corrigé]]&lt;&gt;"","Intervention",""))</f>
        <v>Intervention</v>
      </c>
      <c r="C10" s="83"/>
      <c r="D10" s="60"/>
      <c r="E10" s="47">
        <f>MAX(0,IF(data[[#This Row],[Garde / Interv.]]="Garde",data[[#This Row],[Hfin corrigée]]-data[[#This Row],[Hdébut corrigé]],0))</f>
        <v>0</v>
      </c>
      <c r="F10" s="84"/>
      <c r="G10" s="61"/>
      <c r="H10" s="21" t="s">
        <v>2</v>
      </c>
      <c r="I10" s="63">
        <v>0.48819444444444443</v>
      </c>
      <c r="J10" s="64">
        <v>0.54166666666666663</v>
      </c>
      <c r="K10" s="42">
        <f>IF(data[[#This Row],[Hdébut garde]]&lt;&gt;"",
data[[#This Row],[Hdébut garde]],
data[[#This Row],[Hdébut interv.]]+IF(data[[#This Row],[Hdébut interv.]]&lt;SUMPRODUCT((data[Date]=data[[#This Row],[Date]])*data[Hdébut garde]),1,0)
)</f>
        <v>0.48819444444444443</v>
      </c>
      <c r="L10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0.54166666666666663</v>
      </c>
      <c r="M10" s="43" t="str">
        <f>IF(OR(WEEKDAY(data[[#This Row],[Date]],2)=7,COUNTIF(JF,data[[#This Row],[Date]])=1),"oui","non")</f>
        <v>non</v>
      </c>
      <c r="N10" s="44">
        <f>MAX(0,(MIN(1,data[[#This Row],[Hfin corrigée]])-data[[#This Row],[Hdébut corrigé]])-data[[#This Row],[NUIT1.1]]-data[[#This Row],[NUIT1.2]])</f>
        <v>5.3472222222222199E-2</v>
      </c>
      <c r="O10" s="44">
        <f>IF(data[[#This Row],[Hfin Interv.]]="",0,(
MIN(FinNuit,MIN(1,data[[#This Row],[Hfin corrigée]]))-MIN(FinNuit,data[[#This Row],[Hdébut corrigé]])
))</f>
        <v>0</v>
      </c>
      <c r="P10" s="44">
        <f>MAX(0,(MAX(0,(MIN(1,data[[#This Row],[Hfin corrigée]])-DebNuit))-MAX(0,(data[[#This Row],[Hdébut corrigé]]-DebNuit))))</f>
        <v>0</v>
      </c>
      <c r="Q10" s="43" t="str">
        <f>IF(OR(WEEKDAY(data[[#This Row],[Date]]+data[[#This Row],[Hfin corrigée]],2)=7,COUNTIF(JF,INT(data[[#This Row],[Date]]+data[[#This Row],[Hfin corrigée]]))=1),"oui","non")</f>
        <v>non</v>
      </c>
      <c r="R10" s="44">
        <f>MAX(0,data[[#This Row],[Hfin corrigée]]-MAX(1,data[[#This Row],[Hdébut corrigé]]))-data[[#This Row],[NUIT2.1]]-data[[#This Row],[NUIT2.2]]</f>
        <v>0</v>
      </c>
      <c r="S10" s="44">
        <f>MAX(0,MIN(1+FinNuit,data[[#This Row],[Hfin corrigée]])-MAX(1,data[[#This Row],[Hdébut corrigé]]))</f>
        <v>0</v>
      </c>
      <c r="T10" s="44">
        <f>MAX(0,(data[[#This Row],[Hfin corrigée]]-DebNuit-1))</f>
        <v>0</v>
      </c>
      <c r="U10" s="45">
        <f>IF(data[[#This Row],[Garde / Interv.]]="Intervention",MAX(0,data[[#This Row],[Hfin corrigée]]-SUMPRODUCT((data[Date]=data[[#This Row],[Date]])*(data[Garde / Interv.]="Garde")*data[Hfin corrigée])),0)</f>
        <v>0</v>
      </c>
      <c r="V10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10" s="44">
        <f>MAX(0,IF(data[[#This Row],[Garde / Interv.]]="Intervention",(data[[#This Row],[Fin Dim ou Férié]]="non")*data[[#This Row],[JOUR2]]+(data[[#This Row],[Début Dim ou Férié]]="non")*data[[#This Row],[JOUR1]],0))</f>
        <v>5.3472222222222199E-2</v>
      </c>
      <c r="X10" s="44">
        <f>IF(data[[#This Row],[Garde / Interv.]]="Intervention",(data[[#This Row],[Fin Dim ou Férié]]="oui")*data[[#This Row],[JOUR2]]+(data[[#This Row],[Début Dim ou Férié]]="oui")*data[[#This Row],[JOUR1]],0)</f>
        <v>0</v>
      </c>
      <c r="Y10" s="44">
        <f>MAX(0,IF(data[[#This Row],[Garde / Interv.]]="Intervention",data[[#This Row],[NUIT1.1]]+data[[#This Row],[NUIT1.2]]+data[[#This Row],[NUIT2.1]]+data[[#This Row],[NUIT2.2]],0))</f>
        <v>0</v>
      </c>
    </row>
    <row r="11" spans="1:25" x14ac:dyDescent="0.3">
      <c r="A11" s="67">
        <v>43469</v>
      </c>
      <c r="B11" s="137" t="str">
        <f>IF(data[[#This Row],[Hdébut garde]]&lt;&gt;"","Garde",IF(data[[#This Row],[Hdébut corrigé]]&lt;&gt;"","Intervention",""))</f>
        <v>Intervention</v>
      </c>
      <c r="C11" s="83"/>
      <c r="D11" s="60"/>
      <c r="E11" s="47">
        <f>MAX(0,IF(data[[#This Row],[Garde / Interv.]]="Garde",data[[#This Row],[Hfin corrigée]]-data[[#This Row],[Hdébut corrigé]],0))</f>
        <v>0</v>
      </c>
      <c r="F11" s="84"/>
      <c r="G11" s="61"/>
      <c r="H11" s="21" t="s">
        <v>2</v>
      </c>
      <c r="I11" s="63">
        <v>0.58819444444444446</v>
      </c>
      <c r="J11" s="64">
        <v>0.65277777777777779</v>
      </c>
      <c r="K11" s="42">
        <f>IF(data[[#This Row],[Hdébut garde]]&lt;&gt;"",
data[[#This Row],[Hdébut garde]],
data[[#This Row],[Hdébut interv.]]+IF(data[[#This Row],[Hdébut interv.]]&lt;SUMPRODUCT((data[Date]=data[[#This Row],[Date]])*data[Hdébut garde]),1,0)
)</f>
        <v>0.58819444444444446</v>
      </c>
      <c r="L11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0.65277777777777779</v>
      </c>
      <c r="M11" s="43" t="str">
        <f>IF(OR(WEEKDAY(data[[#This Row],[Date]],2)=7,COUNTIF(JF,data[[#This Row],[Date]])=1),"oui","non")</f>
        <v>non</v>
      </c>
      <c r="N11" s="44">
        <f>MAX(0,(MIN(1,data[[#This Row],[Hfin corrigée]])-data[[#This Row],[Hdébut corrigé]])-data[[#This Row],[NUIT1.1]]-data[[#This Row],[NUIT1.2]])</f>
        <v>6.4583333333333326E-2</v>
      </c>
      <c r="O11" s="44">
        <f>IF(data[[#This Row],[Hfin Interv.]]="",0,(
MIN(FinNuit,MIN(1,data[[#This Row],[Hfin corrigée]]))-MIN(FinNuit,data[[#This Row],[Hdébut corrigé]])
))</f>
        <v>0</v>
      </c>
      <c r="P11" s="44">
        <f>MAX(0,(MAX(0,(MIN(1,data[[#This Row],[Hfin corrigée]])-DebNuit))-MAX(0,(data[[#This Row],[Hdébut corrigé]]-DebNuit))))</f>
        <v>0</v>
      </c>
      <c r="Q11" s="43" t="str">
        <f>IF(OR(WEEKDAY(data[[#This Row],[Date]]+data[[#This Row],[Hfin corrigée]],2)=7,COUNTIF(JF,INT(data[[#This Row],[Date]]+data[[#This Row],[Hfin corrigée]]))=1),"oui","non")</f>
        <v>non</v>
      </c>
      <c r="R11" s="44">
        <f>MAX(0,data[[#This Row],[Hfin corrigée]]-MAX(1,data[[#This Row],[Hdébut corrigé]]))-data[[#This Row],[NUIT2.1]]-data[[#This Row],[NUIT2.2]]</f>
        <v>0</v>
      </c>
      <c r="S11" s="44">
        <f>MAX(0,MIN(1+FinNuit,data[[#This Row],[Hfin corrigée]])-MAX(1,data[[#This Row],[Hdébut corrigé]]))</f>
        <v>0</v>
      </c>
      <c r="T11" s="44">
        <f>MAX(0,(data[[#This Row],[Hfin corrigée]]-DebNuit-1))</f>
        <v>0</v>
      </c>
      <c r="U11" s="45">
        <f>IF(data[[#This Row],[Garde / Interv.]]="Intervention",MAX(0,data[[#This Row],[Hfin corrigée]]-SUMPRODUCT((data[Date]=data[[#This Row],[Date]])*(data[Garde / Interv.]="Garde")*data[Hfin corrigée])),0)</f>
        <v>0</v>
      </c>
      <c r="V11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11" s="44">
        <f>MAX(0,IF(data[[#This Row],[Garde / Interv.]]="Intervention",(data[[#This Row],[Fin Dim ou Férié]]="non")*data[[#This Row],[JOUR2]]+(data[[#This Row],[Début Dim ou Férié]]="non")*data[[#This Row],[JOUR1]],0))</f>
        <v>6.4583333333333326E-2</v>
      </c>
      <c r="X11" s="44">
        <f>IF(data[[#This Row],[Garde / Interv.]]="Intervention",(data[[#This Row],[Fin Dim ou Férié]]="oui")*data[[#This Row],[JOUR2]]+(data[[#This Row],[Début Dim ou Férié]]="oui")*data[[#This Row],[JOUR1]],0)</f>
        <v>0</v>
      </c>
      <c r="Y11" s="44">
        <f>MAX(0,IF(data[[#This Row],[Garde / Interv.]]="Intervention",data[[#This Row],[NUIT1.1]]+data[[#This Row],[NUIT1.2]]+data[[#This Row],[NUIT2.1]]+data[[#This Row],[NUIT2.2]],0))</f>
        <v>0</v>
      </c>
    </row>
    <row r="12" spans="1:25" x14ac:dyDescent="0.3">
      <c r="A12" s="67">
        <v>43476</v>
      </c>
      <c r="B12" s="137" t="str">
        <f>IF(data[[#This Row],[Hdébut garde]]&lt;&gt;"","Garde",IF(data[[#This Row],[Hdébut corrigé]]&lt;&gt;"","Intervention",""))</f>
        <v>Garde</v>
      </c>
      <c r="C12" s="81">
        <v>0.29166666666666669</v>
      </c>
      <c r="D12" s="47">
        <v>0.31736111111111115</v>
      </c>
      <c r="E12" s="39">
        <f>MAX(0,IF(data[[#This Row],[Garde / Interv.]]="Garde",data[[#This Row],[Hfin corrigée]]-data[[#This Row],[Hdébut corrigé]],0))</f>
        <v>1.0256944444444445</v>
      </c>
      <c r="F12" s="82" t="s">
        <v>81</v>
      </c>
      <c r="G12" s="34"/>
      <c r="H12" s="21"/>
      <c r="I12" s="36"/>
      <c r="J12" s="35"/>
      <c r="K12" s="37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12" s="37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1.3173611111111112</v>
      </c>
      <c r="M12" s="38" t="str">
        <f>IF(OR(WEEKDAY(data[[#This Row],[Date]],2)=7,COUNTIF(JF,data[[#This Row],[Date]])=1),"oui","non")</f>
        <v>non</v>
      </c>
      <c r="N12" s="39">
        <f>MAX(0,(MIN(1,data[[#This Row],[Hfin corrigée]])-data[[#This Row],[Hdébut corrigé]])-data[[#This Row],[NUIT1.1]]-data[[#This Row],[NUIT1.2]])</f>
        <v>0.62499999999999989</v>
      </c>
      <c r="O12" s="39">
        <f>IF(data[[#This Row],[Hfin Interv.]]="",0,(
MIN(FinNuit,MIN(1,data[[#This Row],[Hfin corrigée]]))-MIN(FinNuit,data[[#This Row],[Hdébut corrigé]])
))</f>
        <v>0</v>
      </c>
      <c r="P12" s="39">
        <f>MAX(0,(MAX(0,(MIN(1,data[[#This Row],[Hfin corrigée]])-DebNuit))-MAX(0,(data[[#This Row],[Hdébut corrigé]]-DebNuit))))</f>
        <v>8.333333333333337E-2</v>
      </c>
      <c r="Q12" s="38" t="str">
        <f>IF(OR(WEEKDAY(data[[#This Row],[Date]]+data[[#This Row],[Hfin corrigée]],2)=7,COUNTIF(JF,INT(data[[#This Row],[Date]]+data[[#This Row],[Hfin corrigée]]))=1),"oui","non")</f>
        <v>non</v>
      </c>
      <c r="R12" s="39">
        <f>MAX(0,data[[#This Row],[Hfin corrigée]]-MAX(1,data[[#This Row],[Hdébut corrigé]]))-data[[#This Row],[NUIT2.1]]-data[[#This Row],[NUIT2.2]]</f>
        <v>2.5694444444444464E-2</v>
      </c>
      <c r="S12" s="39">
        <f>MAX(0,MIN(1+FinNuit,data[[#This Row],[Hfin corrigée]])-MAX(1,data[[#This Row],[Hdébut corrigé]]))</f>
        <v>0.29166666666666674</v>
      </c>
      <c r="T12" s="39">
        <f>MAX(0,(data[[#This Row],[Hfin corrigée]]-DebNuit-1))</f>
        <v>0</v>
      </c>
      <c r="U12" s="40">
        <f>IF(data[[#This Row],[Garde / Interv.]]="Intervention",MAX(0,data[[#This Row],[Hfin corrigée]]-SUMPRODUCT((data[Date]=data[[#This Row],[Date]])*(data[Garde / Interv.]="Garde")*data[Hfin corrigée])),0)</f>
        <v>0</v>
      </c>
      <c r="V12" s="39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0.80000000000000016</v>
      </c>
      <c r="W12" s="39">
        <f>MAX(0,IF(data[[#This Row],[Garde / Interv.]]="Intervention",(data[[#This Row],[Fin Dim ou Férié]]="non")*data[[#This Row],[JOUR2]]+(data[[#This Row],[Début Dim ou Férié]]="non")*data[[#This Row],[JOUR1]],0))</f>
        <v>0</v>
      </c>
      <c r="X12" s="39">
        <f>IF(data[[#This Row],[Garde / Interv.]]="Intervention",(data[[#This Row],[Fin Dim ou Férié]]="oui")*data[[#This Row],[JOUR2]]+(data[[#This Row],[Début Dim ou Férié]]="oui")*data[[#This Row],[JOUR1]],0)</f>
        <v>0</v>
      </c>
      <c r="Y12" s="39">
        <f>MAX(0,IF(data[[#This Row],[Garde / Interv.]]="Intervention",data[[#This Row],[NUIT1.1]]+data[[#This Row],[NUIT1.2]]+data[[#This Row],[NUIT2.1]]+data[[#This Row],[NUIT2.2]],0))</f>
        <v>0</v>
      </c>
    </row>
    <row r="13" spans="1:25" x14ac:dyDescent="0.3">
      <c r="A13" s="68">
        <v>43476</v>
      </c>
      <c r="B13" s="137" t="str">
        <f>IF(data[[#This Row],[Hdébut garde]]&lt;&gt;"","Garde",IF(data[[#This Row],[Hdébut corrigé]]&lt;&gt;"","Intervention",""))</f>
        <v>Intervention</v>
      </c>
      <c r="C13" s="83"/>
      <c r="D13" s="60"/>
      <c r="E13" s="47">
        <f>MAX(0,IF(data[[#This Row],[Garde / Interv.]]="Garde",data[[#This Row],[Hfin corrigée]]-data[[#This Row],[Hdébut corrigé]],0))</f>
        <v>0</v>
      </c>
      <c r="F13" s="84"/>
      <c r="G13" s="61"/>
      <c r="H13" s="21" t="s">
        <v>2</v>
      </c>
      <c r="I13" s="63">
        <v>0.69166666666666676</v>
      </c>
      <c r="J13" s="64">
        <v>0.75555555555555554</v>
      </c>
      <c r="K13" s="42">
        <f>IF(data[[#This Row],[Hdébut garde]]&lt;&gt;"",
data[[#This Row],[Hdébut garde]],
data[[#This Row],[Hdébut interv.]]+IF(data[[#This Row],[Hdébut interv.]]&lt;SUMPRODUCT((data[Date]=data[[#This Row],[Date]])*data[Hdébut garde]),1,0)
)</f>
        <v>0.69166666666666676</v>
      </c>
      <c r="L13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0.75555555555555554</v>
      </c>
      <c r="M13" s="43" t="str">
        <f>IF(OR(WEEKDAY(data[[#This Row],[Date]],2)=7,COUNTIF(JF,data[[#This Row],[Date]])=1),"oui","non")</f>
        <v>non</v>
      </c>
      <c r="N13" s="44">
        <f>MAX(0,(MIN(1,data[[#This Row],[Hfin corrigée]])-data[[#This Row],[Hdébut corrigé]])-data[[#This Row],[NUIT1.1]]-data[[#This Row],[NUIT1.2]])</f>
        <v>6.3888888888888773E-2</v>
      </c>
      <c r="O13" s="44">
        <f>IF(data[[#This Row],[Hfin Interv.]]="",0,(
MIN(FinNuit,MIN(1,data[[#This Row],[Hfin corrigée]]))-MIN(FinNuit,data[[#This Row],[Hdébut corrigé]])
))</f>
        <v>0</v>
      </c>
      <c r="P13" s="44">
        <f>MAX(0,(MAX(0,(MIN(1,data[[#This Row],[Hfin corrigée]])-DebNuit))-MAX(0,(data[[#This Row],[Hdébut corrigé]]-DebNuit))))</f>
        <v>0</v>
      </c>
      <c r="Q13" s="43" t="str">
        <f>IF(OR(WEEKDAY(data[[#This Row],[Date]]+data[[#This Row],[Hfin corrigée]],2)=7,COUNTIF(JF,INT(data[[#This Row],[Date]]+data[[#This Row],[Hfin corrigée]]))=1),"oui","non")</f>
        <v>non</v>
      </c>
      <c r="R13" s="44">
        <f>MAX(0,data[[#This Row],[Hfin corrigée]]-MAX(1,data[[#This Row],[Hdébut corrigé]]))-data[[#This Row],[NUIT2.1]]-data[[#This Row],[NUIT2.2]]</f>
        <v>0</v>
      </c>
      <c r="S13" s="44">
        <f>MAX(0,MIN(1+FinNuit,data[[#This Row],[Hfin corrigée]])-MAX(1,data[[#This Row],[Hdébut corrigé]]))</f>
        <v>0</v>
      </c>
      <c r="T13" s="44">
        <f>MAX(0,(data[[#This Row],[Hfin corrigée]]-DebNuit-1))</f>
        <v>0</v>
      </c>
      <c r="U13" s="45">
        <f>IF(data[[#This Row],[Garde / Interv.]]="Intervention",MAX(0,data[[#This Row],[Hfin corrigée]]-SUMPRODUCT((data[Date]=data[[#This Row],[Date]])*(data[Garde / Interv.]="Garde")*data[Hfin corrigée])),0)</f>
        <v>0</v>
      </c>
      <c r="V13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13" s="44">
        <f>MAX(0,IF(data[[#This Row],[Garde / Interv.]]="Intervention",(data[[#This Row],[Fin Dim ou Férié]]="non")*data[[#This Row],[JOUR2]]+(data[[#This Row],[Début Dim ou Férié]]="non")*data[[#This Row],[JOUR1]],0))</f>
        <v>6.3888888888888773E-2</v>
      </c>
      <c r="X13" s="44">
        <f>IF(data[[#This Row],[Garde / Interv.]]="Intervention",(data[[#This Row],[Fin Dim ou Férié]]="oui")*data[[#This Row],[JOUR2]]+(data[[#This Row],[Début Dim ou Férié]]="oui")*data[[#This Row],[JOUR1]],0)</f>
        <v>0</v>
      </c>
      <c r="Y13" s="44">
        <f>MAX(0,IF(data[[#This Row],[Garde / Interv.]]="Intervention",data[[#This Row],[NUIT1.1]]+data[[#This Row],[NUIT1.2]]+data[[#This Row],[NUIT2.1]]+data[[#This Row],[NUIT2.2]],0))</f>
        <v>0</v>
      </c>
    </row>
    <row r="14" spans="1:25" x14ac:dyDescent="0.3">
      <c r="A14" s="68">
        <v>43476</v>
      </c>
      <c r="B14" s="137" t="str">
        <f>IF(data[[#This Row],[Hdébut garde]]&lt;&gt;"","Garde",IF(data[[#This Row],[Hdébut corrigé]]&lt;&gt;"","Intervention",""))</f>
        <v>Intervention</v>
      </c>
      <c r="C14" s="83"/>
      <c r="D14" s="60"/>
      <c r="E14" s="47">
        <f>MAX(0,IF(data[[#This Row],[Garde / Interv.]]="Garde",data[[#This Row],[Hfin corrigée]]-data[[#This Row],[Hdébut corrigé]],0))</f>
        <v>0</v>
      </c>
      <c r="F14" s="84"/>
      <c r="G14" s="61"/>
      <c r="H14" s="21" t="s">
        <v>2</v>
      </c>
      <c r="I14" s="63">
        <v>0.91736111111111107</v>
      </c>
      <c r="J14" s="64">
        <v>0.97083333333333333</v>
      </c>
      <c r="K14" s="42">
        <f>IF(data[[#This Row],[Hdébut garde]]&lt;&gt;"",
data[[#This Row],[Hdébut garde]],
data[[#This Row],[Hdébut interv.]]+IF(data[[#This Row],[Hdébut interv.]]&lt;SUMPRODUCT((data[Date]=data[[#This Row],[Date]])*data[Hdébut garde]),1,0)
)</f>
        <v>0.91736111111111107</v>
      </c>
      <c r="L14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0.97083333333333333</v>
      </c>
      <c r="M14" s="43" t="str">
        <f>IF(OR(WEEKDAY(data[[#This Row],[Date]],2)=7,COUNTIF(JF,data[[#This Row],[Date]])=1),"oui","non")</f>
        <v>non</v>
      </c>
      <c r="N14" s="44">
        <f>MAX(0,(MIN(1,data[[#This Row],[Hfin corrigée]])-data[[#This Row],[Hdébut corrigé]])-data[[#This Row],[NUIT1.1]]-data[[#This Row],[NUIT1.2]])</f>
        <v>0</v>
      </c>
      <c r="O14" s="44">
        <f>IF(data[[#This Row],[Hfin Interv.]]="",0,(
MIN(FinNuit,MIN(1,data[[#This Row],[Hfin corrigée]]))-MIN(FinNuit,data[[#This Row],[Hdébut corrigé]])
))</f>
        <v>0</v>
      </c>
      <c r="P14" s="44">
        <f>MAX(0,(MAX(0,(MIN(1,data[[#This Row],[Hfin corrigée]])-DebNuit))-MAX(0,(data[[#This Row],[Hdébut corrigé]]-DebNuit))))</f>
        <v>5.3472222222222254E-2</v>
      </c>
      <c r="Q14" s="43" t="str">
        <f>IF(OR(WEEKDAY(data[[#This Row],[Date]]+data[[#This Row],[Hfin corrigée]],2)=7,COUNTIF(JF,INT(data[[#This Row],[Date]]+data[[#This Row],[Hfin corrigée]]))=1),"oui","non")</f>
        <v>non</v>
      </c>
      <c r="R14" s="44">
        <f>MAX(0,data[[#This Row],[Hfin corrigée]]-MAX(1,data[[#This Row],[Hdébut corrigé]]))-data[[#This Row],[NUIT2.1]]-data[[#This Row],[NUIT2.2]]</f>
        <v>0</v>
      </c>
      <c r="S14" s="44">
        <f>MAX(0,MIN(1+FinNuit,data[[#This Row],[Hfin corrigée]])-MAX(1,data[[#This Row],[Hdébut corrigé]]))</f>
        <v>0</v>
      </c>
      <c r="T14" s="44">
        <f>MAX(0,(data[[#This Row],[Hfin corrigée]]-DebNuit-1))</f>
        <v>0</v>
      </c>
      <c r="U14" s="45">
        <f>IF(data[[#This Row],[Garde / Interv.]]="Intervention",MAX(0,data[[#This Row],[Hfin corrigée]]-SUMPRODUCT((data[Date]=data[[#This Row],[Date]])*(data[Garde / Interv.]="Garde")*data[Hfin corrigée])),0)</f>
        <v>0</v>
      </c>
      <c r="V14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14" s="44">
        <f>MAX(0,IF(data[[#This Row],[Garde / Interv.]]="Intervention",(data[[#This Row],[Fin Dim ou Férié]]="non")*data[[#This Row],[JOUR2]]+(data[[#This Row],[Début Dim ou Férié]]="non")*data[[#This Row],[JOUR1]],0))</f>
        <v>0</v>
      </c>
      <c r="X14" s="44">
        <f>IF(data[[#This Row],[Garde / Interv.]]="Intervention",(data[[#This Row],[Fin Dim ou Férié]]="oui")*data[[#This Row],[JOUR2]]+(data[[#This Row],[Début Dim ou Férié]]="oui")*data[[#This Row],[JOUR1]],0)</f>
        <v>0</v>
      </c>
      <c r="Y14" s="44">
        <f>MAX(0,IF(data[[#This Row],[Garde / Interv.]]="Intervention",data[[#This Row],[NUIT1.1]]+data[[#This Row],[NUIT1.2]]+data[[#This Row],[NUIT2.1]]+data[[#This Row],[NUIT2.2]],0))</f>
        <v>5.3472222222222254E-2</v>
      </c>
    </row>
    <row r="15" spans="1:25" x14ac:dyDescent="0.3">
      <c r="A15" s="68">
        <v>43476</v>
      </c>
      <c r="B15" s="137" t="str">
        <f>IF(data[[#This Row],[Hdébut garde]]&lt;&gt;"","Garde",IF(data[[#This Row],[Hdébut corrigé]]&lt;&gt;"","Intervention",""))</f>
        <v>Intervention</v>
      </c>
      <c r="C15" s="83"/>
      <c r="D15" s="60"/>
      <c r="E15" s="47">
        <f>MAX(0,IF(data[[#This Row],[Garde / Interv.]]="Garde",data[[#This Row],[Hfin corrigée]]-data[[#This Row],[Hdébut corrigé]],0))</f>
        <v>0</v>
      </c>
      <c r="F15" s="84"/>
      <c r="G15" s="61"/>
      <c r="H15" s="21" t="s">
        <v>2</v>
      </c>
      <c r="I15" s="63">
        <v>0.99791666666666667</v>
      </c>
      <c r="J15" s="64">
        <v>4.7916666666666663E-2</v>
      </c>
      <c r="K15" s="42">
        <f>IF(data[[#This Row],[Hdébut garde]]&lt;&gt;"",
data[[#This Row],[Hdébut garde]],
data[[#This Row],[Hdébut interv.]]+IF(data[[#This Row],[Hdébut interv.]]&lt;SUMPRODUCT((data[Date]=data[[#This Row],[Date]])*data[Hdébut garde]),1,0)
)</f>
        <v>0.99791666666666667</v>
      </c>
      <c r="L15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1.0479166666666666</v>
      </c>
      <c r="M15" s="43" t="str">
        <f>IF(OR(WEEKDAY(data[[#This Row],[Date]],2)=7,COUNTIF(JF,data[[#This Row],[Date]])=1),"oui","non")</f>
        <v>non</v>
      </c>
      <c r="N15" s="44">
        <f>MAX(0,(MIN(1,data[[#This Row],[Hfin corrigée]])-data[[#This Row],[Hdébut corrigé]])-data[[#This Row],[NUIT1.1]]-data[[#This Row],[NUIT1.2]])</f>
        <v>0</v>
      </c>
      <c r="O15" s="44">
        <f>IF(data[[#This Row],[Hfin Interv.]]="",0,(
MIN(FinNuit,MIN(1,data[[#This Row],[Hfin corrigée]]))-MIN(FinNuit,data[[#This Row],[Hdébut corrigé]])
))</f>
        <v>0</v>
      </c>
      <c r="P15" s="44">
        <f>MAX(0,(MAX(0,(MIN(1,data[[#This Row],[Hfin corrigée]])-DebNuit))-MAX(0,(data[[#This Row],[Hdébut corrigé]]-DebNuit))))</f>
        <v>2.0833333333333259E-3</v>
      </c>
      <c r="Q15" s="43" t="str">
        <f>IF(OR(WEEKDAY(data[[#This Row],[Date]]+data[[#This Row],[Hfin corrigée]],2)=7,COUNTIF(JF,INT(data[[#This Row],[Date]]+data[[#This Row],[Hfin corrigée]]))=1),"oui","non")</f>
        <v>non</v>
      </c>
      <c r="R15" s="44">
        <f>MAX(0,data[[#This Row],[Hfin corrigée]]-MAX(1,data[[#This Row],[Hdébut corrigé]]))-data[[#This Row],[NUIT2.1]]-data[[#This Row],[NUIT2.2]]</f>
        <v>0</v>
      </c>
      <c r="S15" s="44">
        <f>MAX(0,MIN(1+FinNuit,data[[#This Row],[Hfin corrigée]])-MAX(1,data[[#This Row],[Hdébut corrigé]]))</f>
        <v>4.7916666666666607E-2</v>
      </c>
      <c r="T15" s="44">
        <f>MAX(0,(data[[#This Row],[Hfin corrigée]]-DebNuit-1))</f>
        <v>0</v>
      </c>
      <c r="U15" s="45">
        <f>IF(data[[#This Row],[Garde / Interv.]]="Intervention",MAX(0,data[[#This Row],[Hfin corrigée]]-SUMPRODUCT((data[Date]=data[[#This Row],[Date]])*(data[Garde / Interv.]="Garde")*data[Hfin corrigée])),0)</f>
        <v>0</v>
      </c>
      <c r="V15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15" s="44">
        <f>MAX(0,IF(data[[#This Row],[Garde / Interv.]]="Intervention",(data[[#This Row],[Fin Dim ou Férié]]="non")*data[[#This Row],[JOUR2]]+(data[[#This Row],[Début Dim ou Férié]]="non")*data[[#This Row],[JOUR1]],0))</f>
        <v>0</v>
      </c>
      <c r="X15" s="44">
        <f>IF(data[[#This Row],[Garde / Interv.]]="Intervention",(data[[#This Row],[Fin Dim ou Férié]]="oui")*data[[#This Row],[JOUR2]]+(data[[#This Row],[Début Dim ou Férié]]="oui")*data[[#This Row],[JOUR1]],0)</f>
        <v>0</v>
      </c>
      <c r="Y15" s="44">
        <f>MAX(0,IF(data[[#This Row],[Garde / Interv.]]="Intervention",data[[#This Row],[NUIT1.1]]+data[[#This Row],[NUIT1.2]]+data[[#This Row],[NUIT2.1]]+data[[#This Row],[NUIT2.2]],0))</f>
        <v>4.9999999999999933E-2</v>
      </c>
    </row>
    <row r="16" spans="1:25" x14ac:dyDescent="0.3">
      <c r="A16" s="68">
        <v>43476</v>
      </c>
      <c r="B16" s="137" t="str">
        <f>IF(data[[#This Row],[Hdébut garde]]&lt;&gt;"","Garde",IF(data[[#This Row],[Hdébut corrigé]]&lt;&gt;"","Intervention",""))</f>
        <v>Intervention</v>
      </c>
      <c r="C16" s="83"/>
      <c r="D16" s="60"/>
      <c r="E16" s="47">
        <f>MAX(0,IF(data[[#This Row],[Garde / Interv.]]="Garde",data[[#This Row],[Hfin corrigée]]-data[[#This Row],[Hdébut corrigé]],0))</f>
        <v>0</v>
      </c>
      <c r="F16" s="84"/>
      <c r="G16" s="61"/>
      <c r="H16" s="21" t="s">
        <v>2</v>
      </c>
      <c r="I16" s="63">
        <v>0.2590277777777778</v>
      </c>
      <c r="J16" s="64">
        <v>0.31736111111111115</v>
      </c>
      <c r="K16" s="42">
        <f>IF(data[[#This Row],[Hdébut garde]]&lt;&gt;"",
data[[#This Row],[Hdébut garde]],
data[[#This Row],[Hdébut interv.]]+IF(data[[#This Row],[Hdébut interv.]]&lt;SUMPRODUCT((data[Date]=data[[#This Row],[Date]])*data[Hdébut garde]),1,0)
)</f>
        <v>1.2590277777777779</v>
      </c>
      <c r="L16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1.3173611111111112</v>
      </c>
      <c r="M16" s="43" t="str">
        <f>IF(OR(WEEKDAY(data[[#This Row],[Date]],2)=7,COUNTIF(JF,data[[#This Row],[Date]])=1),"oui","non")</f>
        <v>non</v>
      </c>
      <c r="N16" s="44">
        <f>MAX(0,(MIN(1,data[[#This Row],[Hfin corrigée]])-data[[#This Row],[Hdébut corrigé]])-data[[#This Row],[NUIT1.1]]-data[[#This Row],[NUIT1.2]])</f>
        <v>0</v>
      </c>
      <c r="O16" s="44">
        <f>IF(data[[#This Row],[Hfin Interv.]]="",0,(
MIN(FinNuit,MIN(1,data[[#This Row],[Hfin corrigée]]))-MIN(FinNuit,data[[#This Row],[Hdébut corrigé]])
))</f>
        <v>0</v>
      </c>
      <c r="P16" s="44">
        <f>MAX(0,(MAX(0,(MIN(1,data[[#This Row],[Hfin corrigée]])-DebNuit))-MAX(0,(data[[#This Row],[Hdébut corrigé]]-DebNuit))))</f>
        <v>0</v>
      </c>
      <c r="Q16" s="43" t="str">
        <f>IF(OR(WEEKDAY(data[[#This Row],[Date]]+data[[#This Row],[Hfin corrigée]],2)=7,COUNTIF(JF,INT(data[[#This Row],[Date]]+data[[#This Row],[Hfin corrigée]]))=1),"oui","non")</f>
        <v>non</v>
      </c>
      <c r="R16" s="44">
        <f>MAX(0,data[[#This Row],[Hfin corrigée]]-MAX(1,data[[#This Row],[Hdébut corrigé]]))-data[[#This Row],[NUIT2.1]]-data[[#This Row],[NUIT2.2]]</f>
        <v>2.5694444444444464E-2</v>
      </c>
      <c r="S16" s="44">
        <f>MAX(0,MIN(1+FinNuit,data[[#This Row],[Hfin corrigée]])-MAX(1,data[[#This Row],[Hdébut corrigé]]))</f>
        <v>3.2638888888888884E-2</v>
      </c>
      <c r="T16" s="44">
        <f>MAX(0,(data[[#This Row],[Hfin corrigée]]-DebNuit-1))</f>
        <v>0</v>
      </c>
      <c r="U16" s="45">
        <f>IF(data[[#This Row],[Garde / Interv.]]="Intervention",MAX(0,data[[#This Row],[Hfin corrigée]]-SUMPRODUCT((data[Date]=data[[#This Row],[Date]])*(data[Garde / Interv.]="Garde")*data[Hfin corrigée])),0)</f>
        <v>0</v>
      </c>
      <c r="V16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16" s="44">
        <f>MAX(0,IF(data[[#This Row],[Garde / Interv.]]="Intervention",(data[[#This Row],[Fin Dim ou Férié]]="non")*data[[#This Row],[JOUR2]]+(data[[#This Row],[Début Dim ou Férié]]="non")*data[[#This Row],[JOUR1]],0))</f>
        <v>2.5694444444444464E-2</v>
      </c>
      <c r="X16" s="44">
        <f>IF(data[[#This Row],[Garde / Interv.]]="Intervention",(data[[#This Row],[Fin Dim ou Férié]]="oui")*data[[#This Row],[JOUR2]]+(data[[#This Row],[Début Dim ou Férié]]="oui")*data[[#This Row],[JOUR1]],0)</f>
        <v>0</v>
      </c>
      <c r="Y16" s="44">
        <f>MAX(0,IF(data[[#This Row],[Garde / Interv.]]="Intervention",data[[#This Row],[NUIT1.1]]+data[[#This Row],[NUIT1.2]]+data[[#This Row],[NUIT2.1]]+data[[#This Row],[NUIT2.2]],0))</f>
        <v>3.2638888888888884E-2</v>
      </c>
    </row>
    <row r="17" spans="1:26" x14ac:dyDescent="0.3">
      <c r="A17" s="67">
        <v>43483</v>
      </c>
      <c r="B17" s="137" t="str">
        <f>IF(data[[#This Row],[Hdébut garde]]&lt;&gt;"","Garde",IF(data[[#This Row],[Hdébut corrigé]]&lt;&gt;"","Intervention",""))</f>
        <v>Garde</v>
      </c>
      <c r="C17" s="81">
        <v>0.29166666666666669</v>
      </c>
      <c r="D17" s="47">
        <v>0.29166666666666669</v>
      </c>
      <c r="E17" s="39">
        <f>MAX(0,IF(data[[#This Row],[Garde / Interv.]]="Garde",data[[#This Row],[Hfin corrigée]]-data[[#This Row],[Hdébut corrigé]],0))</f>
        <v>1</v>
      </c>
      <c r="F17" s="82"/>
      <c r="G17" s="34"/>
      <c r="H17" s="21"/>
      <c r="I17" s="36"/>
      <c r="J17" s="35"/>
      <c r="K17" s="37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17" s="37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1.2916666666666667</v>
      </c>
      <c r="M17" s="38" t="str">
        <f>IF(OR(WEEKDAY(data[[#This Row],[Date]],2)=7,COUNTIF(JF,data[[#This Row],[Date]])=1),"oui","non")</f>
        <v>non</v>
      </c>
      <c r="N17" s="39">
        <f>MAX(0,(MIN(1,data[[#This Row],[Hfin corrigée]])-data[[#This Row],[Hdébut corrigé]])-data[[#This Row],[NUIT1.1]]-data[[#This Row],[NUIT1.2]])</f>
        <v>0.62499999999999989</v>
      </c>
      <c r="O17" s="39">
        <f>IF(data[[#This Row],[Hfin Interv.]]="",0,(
MIN(FinNuit,MIN(1,data[[#This Row],[Hfin corrigée]]))-MIN(FinNuit,data[[#This Row],[Hdébut corrigé]])
))</f>
        <v>0</v>
      </c>
      <c r="P17" s="39">
        <f>MAX(0,(MAX(0,(MIN(1,data[[#This Row],[Hfin corrigée]])-DebNuit))-MAX(0,(data[[#This Row],[Hdébut corrigé]]-DebNuit))))</f>
        <v>8.333333333333337E-2</v>
      </c>
      <c r="Q17" s="38" t="str">
        <f>IF(OR(WEEKDAY(data[[#This Row],[Date]]+data[[#This Row],[Hfin corrigée]],2)=7,COUNTIF(JF,INT(data[[#This Row],[Date]]+data[[#This Row],[Hfin corrigée]]))=1),"oui","non")</f>
        <v>non</v>
      </c>
      <c r="R17" s="39">
        <f>MAX(0,data[[#This Row],[Hfin corrigée]]-MAX(1,data[[#This Row],[Hdébut corrigé]]))-data[[#This Row],[NUIT2.1]]-data[[#This Row],[NUIT2.2]]</f>
        <v>0</v>
      </c>
      <c r="S17" s="39">
        <f>MAX(0,MIN(1+FinNuit,data[[#This Row],[Hfin corrigée]])-MAX(1,data[[#This Row],[Hdébut corrigé]]))</f>
        <v>0.29166666666666674</v>
      </c>
      <c r="T17" s="39">
        <f>MAX(0,(data[[#This Row],[Hfin corrigée]]-DebNuit-1))</f>
        <v>0</v>
      </c>
      <c r="U17" s="40">
        <f>IF(data[[#This Row],[Garde / Interv.]]="Intervention",MAX(0,data[[#This Row],[Hfin corrigée]]-SUMPRODUCT((data[Date]=data[[#This Row],[Date]])*(data[Garde / Interv.]="Garde")*data[Hfin corrigée])),0)</f>
        <v>0</v>
      </c>
      <c r="V17" s="39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0.62986111111111109</v>
      </c>
      <c r="W17" s="39">
        <f>MAX(0,IF(data[[#This Row],[Garde / Interv.]]="Intervention",(data[[#This Row],[Fin Dim ou Férié]]="non")*data[[#This Row],[JOUR2]]+(data[[#This Row],[Début Dim ou Férié]]="non")*data[[#This Row],[JOUR1]],0))</f>
        <v>0</v>
      </c>
      <c r="X17" s="39">
        <f>IF(data[[#This Row],[Garde / Interv.]]="Intervention",(data[[#This Row],[Fin Dim ou Férié]]="oui")*data[[#This Row],[JOUR2]]+(data[[#This Row],[Début Dim ou Férié]]="oui")*data[[#This Row],[JOUR1]],0)</f>
        <v>0</v>
      </c>
      <c r="Y17" s="39">
        <f>MAX(0,IF(data[[#This Row],[Garde / Interv.]]="Intervention",data[[#This Row],[NUIT1.1]]+data[[#This Row],[NUIT1.2]]+data[[#This Row],[NUIT2.1]]+data[[#This Row],[NUIT2.2]],0))</f>
        <v>0</v>
      </c>
    </row>
    <row r="18" spans="1:26" x14ac:dyDescent="0.3">
      <c r="A18" s="68">
        <v>43483</v>
      </c>
      <c r="B18" s="137" t="str">
        <f>IF(data[[#This Row],[Hdébut garde]]&lt;&gt;"","Garde",IF(data[[#This Row],[Hdébut corrigé]]&lt;&gt;"","Intervention",""))</f>
        <v>Intervention</v>
      </c>
      <c r="C18" s="83"/>
      <c r="D18" s="60"/>
      <c r="E18" s="47">
        <f>MAX(0,IF(data[[#This Row],[Garde / Interv.]]="Garde",data[[#This Row],[Hfin corrigée]]-data[[#This Row],[Hdébut corrigé]],0))</f>
        <v>0</v>
      </c>
      <c r="F18" s="84"/>
      <c r="G18" s="61"/>
      <c r="H18" s="21" t="s">
        <v>2</v>
      </c>
      <c r="I18" s="63">
        <v>0.44444444444444442</v>
      </c>
      <c r="J18" s="64">
        <v>0.46319444444444446</v>
      </c>
      <c r="K18" s="42">
        <f>IF(data[[#This Row],[Hdébut garde]]&lt;&gt;"",
data[[#This Row],[Hdébut garde]],
data[[#This Row],[Hdébut interv.]]+IF(data[[#This Row],[Hdébut interv.]]&lt;SUMPRODUCT((data[Date]=data[[#This Row],[Date]])*data[Hdébut garde]),1,0)
)</f>
        <v>0.44444444444444442</v>
      </c>
      <c r="L18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0.46319444444444446</v>
      </c>
      <c r="M18" s="43" t="str">
        <f>IF(OR(WEEKDAY(data[[#This Row],[Date]],2)=7,COUNTIF(JF,data[[#This Row],[Date]])=1),"oui","non")</f>
        <v>non</v>
      </c>
      <c r="N18" s="44">
        <f>MAX(0,(MIN(1,data[[#This Row],[Hfin corrigée]])-data[[#This Row],[Hdébut corrigé]])-data[[#This Row],[NUIT1.1]]-data[[#This Row],[NUIT1.2]])</f>
        <v>1.8750000000000044E-2</v>
      </c>
      <c r="O18" s="44">
        <f>IF(data[[#This Row],[Hfin Interv.]]="",0,(
MIN(FinNuit,MIN(1,data[[#This Row],[Hfin corrigée]]))-MIN(FinNuit,data[[#This Row],[Hdébut corrigé]])
))</f>
        <v>0</v>
      </c>
      <c r="P18" s="44">
        <f>MAX(0,(MAX(0,(MIN(1,data[[#This Row],[Hfin corrigée]])-DebNuit))-MAX(0,(data[[#This Row],[Hdébut corrigé]]-DebNuit))))</f>
        <v>0</v>
      </c>
      <c r="Q18" s="43" t="str">
        <f>IF(OR(WEEKDAY(data[[#This Row],[Date]]+data[[#This Row],[Hfin corrigée]],2)=7,COUNTIF(JF,INT(data[[#This Row],[Date]]+data[[#This Row],[Hfin corrigée]]))=1),"oui","non")</f>
        <v>non</v>
      </c>
      <c r="R18" s="44">
        <f>MAX(0,data[[#This Row],[Hfin corrigée]]-MAX(1,data[[#This Row],[Hdébut corrigé]]))-data[[#This Row],[NUIT2.1]]-data[[#This Row],[NUIT2.2]]</f>
        <v>0</v>
      </c>
      <c r="S18" s="44">
        <f>MAX(0,MIN(1+FinNuit,data[[#This Row],[Hfin corrigée]])-MAX(1,data[[#This Row],[Hdébut corrigé]]))</f>
        <v>0</v>
      </c>
      <c r="T18" s="44">
        <f>MAX(0,(data[[#This Row],[Hfin corrigée]]-DebNuit-1))</f>
        <v>0</v>
      </c>
      <c r="U18" s="45">
        <f>IF(data[[#This Row],[Garde / Interv.]]="Intervention",MAX(0,data[[#This Row],[Hfin corrigée]]-SUMPRODUCT((data[Date]=data[[#This Row],[Date]])*(data[Garde / Interv.]="Garde")*data[Hfin corrigée])),0)</f>
        <v>0</v>
      </c>
      <c r="V18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18" s="44">
        <f>MAX(0,IF(data[[#This Row],[Garde / Interv.]]="Intervention",(data[[#This Row],[Fin Dim ou Férié]]="non")*data[[#This Row],[JOUR2]]+(data[[#This Row],[Début Dim ou Férié]]="non")*data[[#This Row],[JOUR1]],0))</f>
        <v>1.8750000000000044E-2</v>
      </c>
      <c r="X18" s="44">
        <f>IF(data[[#This Row],[Garde / Interv.]]="Intervention",(data[[#This Row],[Fin Dim ou Férié]]="oui")*data[[#This Row],[JOUR2]]+(data[[#This Row],[Début Dim ou Férié]]="oui")*data[[#This Row],[JOUR1]],0)</f>
        <v>0</v>
      </c>
      <c r="Y18" s="44">
        <f>MAX(0,IF(data[[#This Row],[Garde / Interv.]]="Intervention",data[[#This Row],[NUIT1.1]]+data[[#This Row],[NUIT1.2]]+data[[#This Row],[NUIT2.1]]+data[[#This Row],[NUIT2.2]],0))</f>
        <v>0</v>
      </c>
    </row>
    <row r="19" spans="1:26" x14ac:dyDescent="0.3">
      <c r="A19" s="68">
        <v>43483</v>
      </c>
      <c r="B19" s="137" t="str">
        <f>IF(data[[#This Row],[Hdébut garde]]&lt;&gt;"","Garde",IF(data[[#This Row],[Hdébut corrigé]]&lt;&gt;"","Intervention",""))</f>
        <v>Intervention</v>
      </c>
      <c r="C19" s="83"/>
      <c r="D19" s="60"/>
      <c r="E19" s="47">
        <f>MAX(0,IF(data[[#This Row],[Garde / Interv.]]="Garde",data[[#This Row],[Hfin corrigée]]-data[[#This Row],[Hdébut corrigé]],0))</f>
        <v>0</v>
      </c>
      <c r="F19" s="84"/>
      <c r="G19" s="61"/>
      <c r="H19" s="21" t="s">
        <v>2</v>
      </c>
      <c r="I19" s="63">
        <v>0.46319444444444446</v>
      </c>
      <c r="J19" s="64">
        <v>0.51458333333333328</v>
      </c>
      <c r="K19" s="42">
        <f>IF(data[[#This Row],[Hdébut garde]]&lt;&gt;"",
data[[#This Row],[Hdébut garde]],
data[[#This Row],[Hdébut interv.]]+IF(data[[#This Row],[Hdébut interv.]]&lt;SUMPRODUCT((data[Date]=data[[#This Row],[Date]])*data[Hdébut garde]),1,0)
)</f>
        <v>0.46319444444444446</v>
      </c>
      <c r="L19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0.51458333333333328</v>
      </c>
      <c r="M19" s="43" t="str">
        <f>IF(OR(WEEKDAY(data[[#This Row],[Date]],2)=7,COUNTIF(JF,data[[#This Row],[Date]])=1),"oui","non")</f>
        <v>non</v>
      </c>
      <c r="N19" s="44">
        <f>MAX(0,(MIN(1,data[[#This Row],[Hfin corrigée]])-data[[#This Row],[Hdébut corrigé]])-data[[#This Row],[NUIT1.1]]-data[[#This Row],[NUIT1.2]])</f>
        <v>5.1388888888888817E-2</v>
      </c>
      <c r="O19" s="44">
        <f>IF(data[[#This Row],[Hfin Interv.]]="",0,(
MIN(FinNuit,MIN(1,data[[#This Row],[Hfin corrigée]]))-MIN(FinNuit,data[[#This Row],[Hdébut corrigé]])
))</f>
        <v>0</v>
      </c>
      <c r="P19" s="44">
        <f>MAX(0,(MAX(0,(MIN(1,data[[#This Row],[Hfin corrigée]])-DebNuit))-MAX(0,(data[[#This Row],[Hdébut corrigé]]-DebNuit))))</f>
        <v>0</v>
      </c>
      <c r="Q19" s="43" t="str">
        <f>IF(OR(WEEKDAY(data[[#This Row],[Date]]+data[[#This Row],[Hfin corrigée]],2)=7,COUNTIF(JF,INT(data[[#This Row],[Date]]+data[[#This Row],[Hfin corrigée]]))=1),"oui","non")</f>
        <v>non</v>
      </c>
      <c r="R19" s="44">
        <f>MAX(0,data[[#This Row],[Hfin corrigée]]-MAX(1,data[[#This Row],[Hdébut corrigé]]))-data[[#This Row],[NUIT2.1]]-data[[#This Row],[NUIT2.2]]</f>
        <v>0</v>
      </c>
      <c r="S19" s="44">
        <f>MAX(0,MIN(1+FinNuit,data[[#This Row],[Hfin corrigée]])-MAX(1,data[[#This Row],[Hdébut corrigé]]))</f>
        <v>0</v>
      </c>
      <c r="T19" s="44">
        <f>MAX(0,(data[[#This Row],[Hfin corrigée]]-DebNuit-1))</f>
        <v>0</v>
      </c>
      <c r="U19" s="45">
        <f>IF(data[[#This Row],[Garde / Interv.]]="Intervention",MAX(0,data[[#This Row],[Hfin corrigée]]-SUMPRODUCT((data[Date]=data[[#This Row],[Date]])*(data[Garde / Interv.]="Garde")*data[Hfin corrigée])),0)</f>
        <v>0</v>
      </c>
      <c r="V19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19" s="44">
        <f>MAX(0,IF(data[[#This Row],[Garde / Interv.]]="Intervention",(data[[#This Row],[Fin Dim ou Férié]]="non")*data[[#This Row],[JOUR2]]+(data[[#This Row],[Début Dim ou Férié]]="non")*data[[#This Row],[JOUR1]],0))</f>
        <v>5.1388888888888817E-2</v>
      </c>
      <c r="X19" s="44">
        <f>IF(data[[#This Row],[Garde / Interv.]]="Intervention",(data[[#This Row],[Fin Dim ou Férié]]="oui")*data[[#This Row],[JOUR2]]+(data[[#This Row],[Début Dim ou Férié]]="oui")*data[[#This Row],[JOUR1]],0)</f>
        <v>0</v>
      </c>
      <c r="Y19" s="44">
        <f>MAX(0,IF(data[[#This Row],[Garde / Interv.]]="Intervention",data[[#This Row],[NUIT1.1]]+data[[#This Row],[NUIT1.2]]+data[[#This Row],[NUIT2.1]]+data[[#This Row],[NUIT2.2]],0))</f>
        <v>0</v>
      </c>
    </row>
    <row r="20" spans="1:26" x14ac:dyDescent="0.3">
      <c r="A20" s="68">
        <v>43483</v>
      </c>
      <c r="B20" s="137" t="str">
        <f>IF(data[[#This Row],[Hdébut garde]]&lt;&gt;"","Garde",IF(data[[#This Row],[Hdébut corrigé]]&lt;&gt;"","Intervention",""))</f>
        <v>Intervention</v>
      </c>
      <c r="C20" s="83"/>
      <c r="D20" s="60"/>
      <c r="E20" s="47">
        <f>MAX(0,IF(data[[#This Row],[Garde / Interv.]]="Garde",data[[#This Row],[Hfin corrigée]]-data[[#This Row],[Hdébut corrigé]],0))</f>
        <v>0</v>
      </c>
      <c r="F20" s="84"/>
      <c r="G20" s="61"/>
      <c r="H20" s="21" t="s">
        <v>2</v>
      </c>
      <c r="I20" s="63">
        <v>0.51458333333333328</v>
      </c>
      <c r="J20" s="64">
        <v>0.57708333333333328</v>
      </c>
      <c r="K20" s="42">
        <f>IF(data[[#This Row],[Hdébut garde]]&lt;&gt;"",
data[[#This Row],[Hdébut garde]],
data[[#This Row],[Hdébut interv.]]+IF(data[[#This Row],[Hdébut interv.]]&lt;SUMPRODUCT((data[Date]=data[[#This Row],[Date]])*data[Hdébut garde]),1,0)
)</f>
        <v>0.51458333333333328</v>
      </c>
      <c r="L20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0.57708333333333328</v>
      </c>
      <c r="M20" s="43" t="str">
        <f>IF(OR(WEEKDAY(data[[#This Row],[Date]],2)=7,COUNTIF(JF,data[[#This Row],[Date]])=1),"oui","non")</f>
        <v>non</v>
      </c>
      <c r="N20" s="44">
        <f>MAX(0,(MIN(1,data[[#This Row],[Hfin corrigée]])-data[[#This Row],[Hdébut corrigé]])-data[[#This Row],[NUIT1.1]]-data[[#This Row],[NUIT1.2]])</f>
        <v>6.25E-2</v>
      </c>
      <c r="O20" s="44">
        <f>IF(data[[#This Row],[Hfin Interv.]]="",0,(
MIN(FinNuit,MIN(1,data[[#This Row],[Hfin corrigée]]))-MIN(FinNuit,data[[#This Row],[Hdébut corrigé]])
))</f>
        <v>0</v>
      </c>
      <c r="P20" s="44">
        <f>MAX(0,(MAX(0,(MIN(1,data[[#This Row],[Hfin corrigée]])-DebNuit))-MAX(0,(data[[#This Row],[Hdébut corrigé]]-DebNuit))))</f>
        <v>0</v>
      </c>
      <c r="Q20" s="43" t="str">
        <f>IF(OR(WEEKDAY(data[[#This Row],[Date]]+data[[#This Row],[Hfin corrigée]],2)=7,COUNTIF(JF,INT(data[[#This Row],[Date]]+data[[#This Row],[Hfin corrigée]]))=1),"oui","non")</f>
        <v>non</v>
      </c>
      <c r="R20" s="44">
        <f>MAX(0,data[[#This Row],[Hfin corrigée]]-MAX(1,data[[#This Row],[Hdébut corrigé]]))-data[[#This Row],[NUIT2.1]]-data[[#This Row],[NUIT2.2]]</f>
        <v>0</v>
      </c>
      <c r="S20" s="44">
        <f>MAX(0,MIN(1+FinNuit,data[[#This Row],[Hfin corrigée]])-MAX(1,data[[#This Row],[Hdébut corrigé]]))</f>
        <v>0</v>
      </c>
      <c r="T20" s="44">
        <f>MAX(0,(data[[#This Row],[Hfin corrigée]]-DebNuit-1))</f>
        <v>0</v>
      </c>
      <c r="U20" s="45">
        <f>IF(data[[#This Row],[Garde / Interv.]]="Intervention",MAX(0,data[[#This Row],[Hfin corrigée]]-SUMPRODUCT((data[Date]=data[[#This Row],[Date]])*(data[Garde / Interv.]="Garde")*data[Hfin corrigée])),0)</f>
        <v>0</v>
      </c>
      <c r="V20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20" s="44">
        <f>MAX(0,IF(data[[#This Row],[Garde / Interv.]]="Intervention",(data[[#This Row],[Fin Dim ou Férié]]="non")*data[[#This Row],[JOUR2]]+(data[[#This Row],[Début Dim ou Férié]]="non")*data[[#This Row],[JOUR1]],0))</f>
        <v>6.25E-2</v>
      </c>
      <c r="X20" s="44">
        <f>IF(data[[#This Row],[Garde / Interv.]]="Intervention",(data[[#This Row],[Fin Dim ou Férié]]="oui")*data[[#This Row],[JOUR2]]+(data[[#This Row],[Début Dim ou Férié]]="oui")*data[[#This Row],[JOUR1]],0)</f>
        <v>0</v>
      </c>
      <c r="Y20" s="44">
        <f>MAX(0,IF(data[[#This Row],[Garde / Interv.]]="Intervention",data[[#This Row],[NUIT1.1]]+data[[#This Row],[NUIT1.2]]+data[[#This Row],[NUIT2.1]]+data[[#This Row],[NUIT2.2]],0))</f>
        <v>0</v>
      </c>
    </row>
    <row r="21" spans="1:26" x14ac:dyDescent="0.3">
      <c r="A21" s="68">
        <v>43483</v>
      </c>
      <c r="B21" s="137" t="str">
        <f>IF(data[[#This Row],[Hdébut garde]]&lt;&gt;"","Garde",IF(data[[#This Row],[Hdébut corrigé]]&lt;&gt;"","Intervention",""))</f>
        <v>Intervention</v>
      </c>
      <c r="C21" s="83"/>
      <c r="D21" s="60"/>
      <c r="E21" s="47">
        <f>MAX(0,IF(data[[#This Row],[Garde / Interv.]]="Garde",data[[#This Row],[Hfin corrigée]]-data[[#This Row],[Hdébut corrigé]],0))</f>
        <v>0</v>
      </c>
      <c r="F21" s="84"/>
      <c r="G21" s="61"/>
      <c r="H21" s="62" t="s">
        <v>3</v>
      </c>
      <c r="I21" s="63">
        <v>0.66111111111111109</v>
      </c>
      <c r="J21" s="64">
        <v>0.7993055555555556</v>
      </c>
      <c r="K21" s="42">
        <f>IF(data[[#This Row],[Hdébut garde]]&lt;&gt;"",
data[[#This Row],[Hdébut garde]],
data[[#This Row],[Hdébut interv.]]+IF(data[[#This Row],[Hdébut interv.]]&lt;SUMPRODUCT((data[Date]=data[[#This Row],[Date]])*data[Hdébut garde]),1,0)
)</f>
        <v>0.66111111111111109</v>
      </c>
      <c r="L21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0.7993055555555556</v>
      </c>
      <c r="M21" s="43" t="str">
        <f>IF(OR(WEEKDAY(data[[#This Row],[Date]],2)=7,COUNTIF(JF,data[[#This Row],[Date]])=1),"oui","non")</f>
        <v>non</v>
      </c>
      <c r="N21" s="44">
        <f>MAX(0,(MIN(1,data[[#This Row],[Hfin corrigée]])-data[[#This Row],[Hdébut corrigé]])-data[[#This Row],[NUIT1.1]]-data[[#This Row],[NUIT1.2]])</f>
        <v>0.13819444444444451</v>
      </c>
      <c r="O21" s="44">
        <f>IF(data[[#This Row],[Hfin Interv.]]="",0,(
MIN(FinNuit,MIN(1,data[[#This Row],[Hfin corrigée]]))-MIN(FinNuit,data[[#This Row],[Hdébut corrigé]])
))</f>
        <v>0</v>
      </c>
      <c r="P21" s="44">
        <f>MAX(0,(MAX(0,(MIN(1,data[[#This Row],[Hfin corrigée]])-DebNuit))-MAX(0,(data[[#This Row],[Hdébut corrigé]]-DebNuit))))</f>
        <v>0</v>
      </c>
      <c r="Q21" s="43" t="str">
        <f>IF(OR(WEEKDAY(data[[#This Row],[Date]]+data[[#This Row],[Hfin corrigée]],2)=7,COUNTIF(JF,INT(data[[#This Row],[Date]]+data[[#This Row],[Hfin corrigée]]))=1),"oui","non")</f>
        <v>non</v>
      </c>
      <c r="R21" s="44">
        <f>MAX(0,data[[#This Row],[Hfin corrigée]]-MAX(1,data[[#This Row],[Hdébut corrigé]]))-data[[#This Row],[NUIT2.1]]-data[[#This Row],[NUIT2.2]]</f>
        <v>0</v>
      </c>
      <c r="S21" s="44">
        <f>MAX(0,MIN(1+FinNuit,data[[#This Row],[Hfin corrigée]])-MAX(1,data[[#This Row],[Hdébut corrigé]]))</f>
        <v>0</v>
      </c>
      <c r="T21" s="44">
        <f>MAX(0,(data[[#This Row],[Hfin corrigée]]-DebNuit-1))</f>
        <v>0</v>
      </c>
      <c r="U21" s="45">
        <f>IF(data[[#This Row],[Garde / Interv.]]="Intervention",MAX(0,data[[#This Row],[Hfin corrigée]]-SUMPRODUCT((data[Date]=data[[#This Row],[Date]])*(data[Garde / Interv.]="Garde")*data[Hfin corrigée])),0)</f>
        <v>0</v>
      </c>
      <c r="V21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21" s="44">
        <f>MAX(0,IF(data[[#This Row],[Garde / Interv.]]="Intervention",(data[[#This Row],[Fin Dim ou Férié]]="non")*data[[#This Row],[JOUR2]]+(data[[#This Row],[Début Dim ou Férié]]="non")*data[[#This Row],[JOUR1]],0))</f>
        <v>0.13819444444444451</v>
      </c>
      <c r="X21" s="44">
        <f>IF(data[[#This Row],[Garde / Interv.]]="Intervention",(data[[#This Row],[Fin Dim ou Férié]]="oui")*data[[#This Row],[JOUR2]]+(data[[#This Row],[Début Dim ou Férié]]="oui")*data[[#This Row],[JOUR1]],0)</f>
        <v>0</v>
      </c>
      <c r="Y21" s="44">
        <f>MAX(0,IF(data[[#This Row],[Garde / Interv.]]="Intervention",data[[#This Row],[NUIT1.1]]+data[[#This Row],[NUIT1.2]]+data[[#This Row],[NUIT2.1]]+data[[#This Row],[NUIT2.2]],0))</f>
        <v>0</v>
      </c>
    </row>
    <row r="22" spans="1:26" x14ac:dyDescent="0.3">
      <c r="A22" s="68">
        <v>43483</v>
      </c>
      <c r="B22" s="137" t="str">
        <f>IF(data[[#This Row],[Hdébut garde]]&lt;&gt;"","Garde",IF(data[[#This Row],[Hdébut corrigé]]&lt;&gt;"","Intervention",""))</f>
        <v>Intervention</v>
      </c>
      <c r="C22" s="83"/>
      <c r="D22" s="60"/>
      <c r="E22" s="47">
        <f>MAX(0,IF(data[[#This Row],[Garde / Interv.]]="Garde",data[[#This Row],[Hfin corrigée]]-data[[#This Row],[Hdébut corrigé]],0))</f>
        <v>0</v>
      </c>
      <c r="F22" s="84"/>
      <c r="G22" s="61"/>
      <c r="H22" s="21" t="s">
        <v>2</v>
      </c>
      <c r="I22" s="63">
        <v>0.80347222222222225</v>
      </c>
      <c r="J22" s="64">
        <v>0.86111111111111116</v>
      </c>
      <c r="K22" s="42">
        <f>IF(data[[#This Row],[Hdébut garde]]&lt;&gt;"",
data[[#This Row],[Hdébut garde]],
data[[#This Row],[Hdébut interv.]]+IF(data[[#This Row],[Hdébut interv.]]&lt;SUMPRODUCT((data[Date]=data[[#This Row],[Date]])*data[Hdébut garde]),1,0)
)</f>
        <v>0.80347222222222225</v>
      </c>
      <c r="L22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0.86111111111111116</v>
      </c>
      <c r="M22" s="43" t="str">
        <f>IF(OR(WEEKDAY(data[[#This Row],[Date]],2)=7,COUNTIF(JF,data[[#This Row],[Date]])=1),"oui","non")</f>
        <v>non</v>
      </c>
      <c r="N22" s="44">
        <f>MAX(0,(MIN(1,data[[#This Row],[Hfin corrigée]])-data[[#This Row],[Hdébut corrigé]])-data[[#This Row],[NUIT1.1]]-data[[#This Row],[NUIT1.2]])</f>
        <v>5.7638888888888906E-2</v>
      </c>
      <c r="O22" s="44">
        <f>IF(data[[#This Row],[Hfin Interv.]]="",0,(
MIN(FinNuit,MIN(1,data[[#This Row],[Hfin corrigée]]))-MIN(FinNuit,data[[#This Row],[Hdébut corrigé]])
))</f>
        <v>0</v>
      </c>
      <c r="P22" s="44">
        <f>MAX(0,(MAX(0,(MIN(1,data[[#This Row],[Hfin corrigée]])-DebNuit))-MAX(0,(data[[#This Row],[Hdébut corrigé]]-DebNuit))))</f>
        <v>0</v>
      </c>
      <c r="Q22" s="43" t="str">
        <f>IF(OR(WEEKDAY(data[[#This Row],[Date]]+data[[#This Row],[Hfin corrigée]],2)=7,COUNTIF(JF,INT(data[[#This Row],[Date]]+data[[#This Row],[Hfin corrigée]]))=1),"oui","non")</f>
        <v>non</v>
      </c>
      <c r="R22" s="44">
        <f>MAX(0,data[[#This Row],[Hfin corrigée]]-MAX(1,data[[#This Row],[Hdébut corrigé]]))-data[[#This Row],[NUIT2.1]]-data[[#This Row],[NUIT2.2]]</f>
        <v>0</v>
      </c>
      <c r="S22" s="44">
        <f>MAX(0,MIN(1+FinNuit,data[[#This Row],[Hfin corrigée]])-MAX(1,data[[#This Row],[Hdébut corrigé]]))</f>
        <v>0</v>
      </c>
      <c r="T22" s="44">
        <f>MAX(0,(data[[#This Row],[Hfin corrigée]]-DebNuit-1))</f>
        <v>0</v>
      </c>
      <c r="U22" s="45">
        <f>IF(data[[#This Row],[Garde / Interv.]]="Intervention",MAX(0,data[[#This Row],[Hfin corrigée]]-SUMPRODUCT((data[Date]=data[[#This Row],[Date]])*(data[Garde / Interv.]="Garde")*data[Hfin corrigée])),0)</f>
        <v>0</v>
      </c>
      <c r="V22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22" s="44">
        <f>MAX(0,IF(data[[#This Row],[Garde / Interv.]]="Intervention",(data[[#This Row],[Fin Dim ou Férié]]="non")*data[[#This Row],[JOUR2]]+(data[[#This Row],[Début Dim ou Férié]]="non")*data[[#This Row],[JOUR1]],0))</f>
        <v>5.7638888888888906E-2</v>
      </c>
      <c r="X22" s="44">
        <f>IF(data[[#This Row],[Garde / Interv.]]="Intervention",(data[[#This Row],[Fin Dim ou Férié]]="oui")*data[[#This Row],[JOUR2]]+(data[[#This Row],[Début Dim ou Férié]]="oui")*data[[#This Row],[JOUR1]],0)</f>
        <v>0</v>
      </c>
      <c r="Y22" s="44">
        <f>MAX(0,IF(data[[#This Row],[Garde / Interv.]]="Intervention",data[[#This Row],[NUIT1.1]]+data[[#This Row],[NUIT1.2]]+data[[#This Row],[NUIT2.1]]+data[[#This Row],[NUIT2.2]],0))</f>
        <v>0</v>
      </c>
    </row>
    <row r="23" spans="1:26" x14ac:dyDescent="0.3">
      <c r="A23" s="68">
        <v>43483</v>
      </c>
      <c r="B23" s="137" t="str">
        <f>IF(data[[#This Row],[Hdébut garde]]&lt;&gt;"","Garde",IF(data[[#This Row],[Hdébut corrigé]]&lt;&gt;"","Intervention",""))</f>
        <v>Intervention</v>
      </c>
      <c r="C23" s="83"/>
      <c r="D23" s="60"/>
      <c r="E23" s="47">
        <f>MAX(0,IF(data[[#This Row],[Garde / Interv.]]="Garde",data[[#This Row],[Hfin corrigée]]-data[[#This Row],[Hdébut corrigé]],0))</f>
        <v>0</v>
      </c>
      <c r="F23" s="84"/>
      <c r="G23" s="61"/>
      <c r="H23" s="21" t="s">
        <v>2</v>
      </c>
      <c r="I23" s="63">
        <v>0.86111111111111116</v>
      </c>
      <c r="J23" s="64">
        <v>0.90277777777777779</v>
      </c>
      <c r="K23" s="42">
        <f>IF(data[[#This Row],[Hdébut garde]]&lt;&gt;"",
data[[#This Row],[Hdébut garde]],
data[[#This Row],[Hdébut interv.]]+IF(data[[#This Row],[Hdébut interv.]]&lt;SUMPRODUCT((data[Date]=data[[#This Row],[Date]])*data[Hdébut garde]),1,0)
)</f>
        <v>0.86111111111111116</v>
      </c>
      <c r="L23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0.90277777777777779</v>
      </c>
      <c r="M23" s="43" t="str">
        <f>IF(OR(WEEKDAY(data[[#This Row],[Date]],2)=7,COUNTIF(JF,data[[#This Row],[Date]])=1),"oui","non")</f>
        <v>non</v>
      </c>
      <c r="N23" s="44">
        <f>MAX(0,(MIN(1,data[[#This Row],[Hfin corrigée]])-data[[#This Row],[Hdébut corrigé]])-data[[#This Row],[NUIT1.1]]-data[[#This Row],[NUIT1.2]])</f>
        <v>4.166666666666663E-2</v>
      </c>
      <c r="O23" s="44">
        <f>IF(data[[#This Row],[Hfin Interv.]]="",0,(
MIN(FinNuit,MIN(1,data[[#This Row],[Hfin corrigée]]))-MIN(FinNuit,data[[#This Row],[Hdébut corrigé]])
))</f>
        <v>0</v>
      </c>
      <c r="P23" s="44">
        <f>MAX(0,(MAX(0,(MIN(1,data[[#This Row],[Hfin corrigée]])-DebNuit))-MAX(0,(data[[#This Row],[Hdébut corrigé]]-DebNuit))))</f>
        <v>0</v>
      </c>
      <c r="Q23" s="43" t="str">
        <f>IF(OR(WEEKDAY(data[[#This Row],[Date]]+data[[#This Row],[Hfin corrigée]],2)=7,COUNTIF(JF,INT(data[[#This Row],[Date]]+data[[#This Row],[Hfin corrigée]]))=1),"oui","non")</f>
        <v>non</v>
      </c>
      <c r="R23" s="44">
        <f>MAX(0,data[[#This Row],[Hfin corrigée]]-MAX(1,data[[#This Row],[Hdébut corrigé]]))-data[[#This Row],[NUIT2.1]]-data[[#This Row],[NUIT2.2]]</f>
        <v>0</v>
      </c>
      <c r="S23" s="44">
        <f>MAX(0,MIN(1+FinNuit,data[[#This Row],[Hfin corrigée]])-MAX(1,data[[#This Row],[Hdébut corrigé]]))</f>
        <v>0</v>
      </c>
      <c r="T23" s="44">
        <f>MAX(0,(data[[#This Row],[Hfin corrigée]]-DebNuit-1))</f>
        <v>0</v>
      </c>
      <c r="U23" s="45">
        <f>IF(data[[#This Row],[Garde / Interv.]]="Intervention",MAX(0,data[[#This Row],[Hfin corrigée]]-SUMPRODUCT((data[Date]=data[[#This Row],[Date]])*(data[Garde / Interv.]="Garde")*data[Hfin corrigée])),0)</f>
        <v>0</v>
      </c>
      <c r="V23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23" s="44">
        <f>MAX(0,IF(data[[#This Row],[Garde / Interv.]]="Intervention",(data[[#This Row],[Fin Dim ou Férié]]="non")*data[[#This Row],[JOUR2]]+(data[[#This Row],[Début Dim ou Férié]]="non")*data[[#This Row],[JOUR1]],0))</f>
        <v>4.166666666666663E-2</v>
      </c>
      <c r="X23" s="44">
        <f>IF(data[[#This Row],[Garde / Interv.]]="Intervention",(data[[#This Row],[Fin Dim ou Férié]]="oui")*data[[#This Row],[JOUR2]]+(data[[#This Row],[Début Dim ou Férié]]="oui")*data[[#This Row],[JOUR1]],0)</f>
        <v>0</v>
      </c>
      <c r="Y23" s="44">
        <f>MAX(0,IF(data[[#This Row],[Garde / Interv.]]="Intervention",data[[#This Row],[NUIT1.1]]+data[[#This Row],[NUIT1.2]]+data[[#This Row],[NUIT2.1]]+data[[#This Row],[NUIT2.2]],0))</f>
        <v>0</v>
      </c>
    </row>
    <row r="24" spans="1:26" x14ac:dyDescent="0.3">
      <c r="A24" s="68">
        <v>43496</v>
      </c>
      <c r="B24" s="137" t="str">
        <f>IF(data[[#This Row],[Hdébut garde]]&lt;&gt;"","Garde",IF(data[[#This Row],[Hdébut corrigé]]&lt;&gt;"","Intervention",""))</f>
        <v>Garde</v>
      </c>
      <c r="C24" s="83">
        <v>0.29166666666666669</v>
      </c>
      <c r="D24" s="60">
        <v>0.29166666666666669</v>
      </c>
      <c r="E24" s="47">
        <f>MAX(0,IF(data[[#This Row],[Garde / Interv.]]="Garde",data[[#This Row],[Hfin corrigée]]-data[[#This Row],[Hdébut corrigé]],0))</f>
        <v>1</v>
      </c>
      <c r="F24" s="84"/>
      <c r="G24" s="61"/>
      <c r="H24" s="62"/>
      <c r="I24" s="63"/>
      <c r="J24" s="64"/>
      <c r="K24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24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1.2916666666666667</v>
      </c>
      <c r="M24" s="43" t="str">
        <f>IF(OR(WEEKDAY(data[[#This Row],[Date]],2)=7,COUNTIF(JF,data[[#This Row],[Date]])=1),"oui","non")</f>
        <v>non</v>
      </c>
      <c r="N24" s="44">
        <f>MAX(0,(MIN(1,data[[#This Row],[Hfin corrigée]])-data[[#This Row],[Hdébut corrigé]])-data[[#This Row],[NUIT1.1]]-data[[#This Row],[NUIT1.2]])</f>
        <v>0.62499999999999989</v>
      </c>
      <c r="O24" s="44">
        <f>IF(data[[#This Row],[Hfin Interv.]]="",0,(
MIN(FinNuit,MIN(1,data[[#This Row],[Hfin corrigée]]))-MIN(FinNuit,data[[#This Row],[Hdébut corrigé]])
))</f>
        <v>0</v>
      </c>
      <c r="P24" s="44">
        <f>MAX(0,(MAX(0,(MIN(1,data[[#This Row],[Hfin corrigée]])-DebNuit))-MAX(0,(data[[#This Row],[Hdébut corrigé]]-DebNuit))))</f>
        <v>8.333333333333337E-2</v>
      </c>
      <c r="Q24" s="43" t="str">
        <f>IF(OR(WEEKDAY(data[[#This Row],[Date]]+data[[#This Row],[Hfin corrigée]],2)=7,COUNTIF(JF,INT(data[[#This Row],[Date]]+data[[#This Row],[Hfin corrigée]]))=1),"oui","non")</f>
        <v>non</v>
      </c>
      <c r="R24" s="44">
        <f>MAX(0,data[[#This Row],[Hfin corrigée]]-MAX(1,data[[#This Row],[Hdébut corrigé]]))-data[[#This Row],[NUIT2.1]]-data[[#This Row],[NUIT2.2]]</f>
        <v>0</v>
      </c>
      <c r="S24" s="44">
        <f>MAX(0,MIN(1+FinNuit,data[[#This Row],[Hfin corrigée]])-MAX(1,data[[#This Row],[Hdébut corrigé]]))</f>
        <v>0.29166666666666674</v>
      </c>
      <c r="T24" s="44">
        <f>MAX(0,(data[[#This Row],[Hfin corrigée]]-DebNuit-1))</f>
        <v>0</v>
      </c>
      <c r="U24" s="45">
        <f>IF(data[[#This Row],[Garde / Interv.]]="Intervention",MAX(0,data[[#This Row],[Hfin corrigée]]-SUMPRODUCT((data[Date]=data[[#This Row],[Date]])*(data[Garde / Interv.]="Garde")*data[Hfin corrigée])),0)</f>
        <v>0</v>
      </c>
      <c r="V24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0.68958333333333333</v>
      </c>
      <c r="W24" s="44">
        <f>MAX(0,IF(data[[#This Row],[Garde / Interv.]]="Intervention",(data[[#This Row],[Fin Dim ou Férié]]="non")*data[[#This Row],[JOUR2]]+(data[[#This Row],[Début Dim ou Férié]]="non")*data[[#This Row],[JOUR1]],0))</f>
        <v>0</v>
      </c>
      <c r="X24" s="44">
        <f>IF(data[[#This Row],[Garde / Interv.]]="Intervention",(data[[#This Row],[Fin Dim ou Férié]]="oui")*data[[#This Row],[JOUR2]]+(data[[#This Row],[Début Dim ou Férié]]="oui")*data[[#This Row],[JOUR1]],0)</f>
        <v>0</v>
      </c>
      <c r="Y24" s="44">
        <f>MAX(0,IF(data[[#This Row],[Garde / Interv.]]="Intervention",data[[#This Row],[NUIT1.1]]+data[[#This Row],[NUIT1.2]]+data[[#This Row],[NUIT2.1]]+data[[#This Row],[NUIT2.2]],0))</f>
        <v>0</v>
      </c>
    </row>
    <row r="25" spans="1:26" x14ac:dyDescent="0.3">
      <c r="A25" s="68">
        <v>43496</v>
      </c>
      <c r="B25" s="137" t="str">
        <f>IF(data[[#This Row],[Hdébut garde]]&lt;&gt;"","Garde",IF(data[[#This Row],[Hdébut corrigé]]&lt;&gt;"","Intervention",""))</f>
        <v>Intervention</v>
      </c>
      <c r="C25" s="83"/>
      <c r="D25" s="60"/>
      <c r="E25" s="47">
        <f>MAX(0,IF(data[[#This Row],[Garde / Interv.]]="Garde",data[[#This Row],[Hfin corrigée]]-data[[#This Row],[Hdébut corrigé]],0))</f>
        <v>0</v>
      </c>
      <c r="F25" s="84"/>
      <c r="G25" s="61"/>
      <c r="H25" s="62" t="s">
        <v>3</v>
      </c>
      <c r="I25" s="63">
        <v>0.53541666666666665</v>
      </c>
      <c r="J25" s="64">
        <v>0.79861111111111116</v>
      </c>
      <c r="K25" s="42">
        <f>IF(data[[#This Row],[Hdébut garde]]&lt;&gt;"",
data[[#This Row],[Hdébut garde]],
data[[#This Row],[Hdébut interv.]]+IF(data[[#This Row],[Hdébut interv.]]&lt;SUMPRODUCT((data[Date]=data[[#This Row],[Date]])*data[Hdébut garde]),1,0)
)</f>
        <v>0.53541666666666665</v>
      </c>
      <c r="L25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0.79861111111111116</v>
      </c>
      <c r="M25" s="43" t="str">
        <f>IF(OR(WEEKDAY(data[[#This Row],[Date]],2)=7,COUNTIF(JF,data[[#This Row],[Date]])=1),"oui","non")</f>
        <v>non</v>
      </c>
      <c r="N25" s="44">
        <f>MAX(0,(MIN(1,data[[#This Row],[Hfin corrigée]])-data[[#This Row],[Hdébut corrigé]])-data[[#This Row],[NUIT1.1]]-data[[#This Row],[NUIT1.2]])</f>
        <v>0.26319444444444451</v>
      </c>
      <c r="O25" s="44">
        <f>IF(data[[#This Row],[Hfin Interv.]]="",0,(
MIN(FinNuit,MIN(1,data[[#This Row],[Hfin corrigée]]))-MIN(FinNuit,data[[#This Row],[Hdébut corrigé]])
))</f>
        <v>0</v>
      </c>
      <c r="P25" s="44">
        <f>MAX(0,(MAX(0,(MIN(1,data[[#This Row],[Hfin corrigée]])-DebNuit))-MAX(0,(data[[#This Row],[Hdébut corrigé]]-DebNuit))))</f>
        <v>0</v>
      </c>
      <c r="Q25" s="43" t="str">
        <f>IF(OR(WEEKDAY(data[[#This Row],[Date]]+data[[#This Row],[Hfin corrigée]],2)=7,COUNTIF(JF,INT(data[[#This Row],[Date]]+data[[#This Row],[Hfin corrigée]]))=1),"oui","non")</f>
        <v>non</v>
      </c>
      <c r="R25" s="44">
        <f>MAX(0,data[[#This Row],[Hfin corrigée]]-MAX(1,data[[#This Row],[Hdébut corrigé]]))-data[[#This Row],[NUIT2.1]]-data[[#This Row],[NUIT2.2]]</f>
        <v>0</v>
      </c>
      <c r="S25" s="44">
        <f>MAX(0,MIN(1+FinNuit,data[[#This Row],[Hfin corrigée]])-MAX(1,data[[#This Row],[Hdébut corrigé]]))</f>
        <v>0</v>
      </c>
      <c r="T25" s="44">
        <f>MAX(0,(data[[#This Row],[Hfin corrigée]]-DebNuit-1))</f>
        <v>0</v>
      </c>
      <c r="U25" s="45">
        <f>IF(data[[#This Row],[Garde / Interv.]]="Intervention",MAX(0,data[[#This Row],[Hfin corrigée]]-SUMPRODUCT((data[Date]=data[[#This Row],[Date]])*(data[Garde / Interv.]="Garde")*data[Hfin corrigée])),0)</f>
        <v>0</v>
      </c>
      <c r="V25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25" s="44">
        <f>MAX(0,IF(data[[#This Row],[Garde / Interv.]]="Intervention",(data[[#This Row],[Fin Dim ou Férié]]="non")*data[[#This Row],[JOUR2]]+(data[[#This Row],[Début Dim ou Férié]]="non")*data[[#This Row],[JOUR1]],0))</f>
        <v>0.26319444444444451</v>
      </c>
      <c r="X25" s="44">
        <f>IF(data[[#This Row],[Garde / Interv.]]="Intervention",(data[[#This Row],[Fin Dim ou Férié]]="oui")*data[[#This Row],[JOUR2]]+(data[[#This Row],[Début Dim ou Férié]]="oui")*data[[#This Row],[JOUR1]],0)</f>
        <v>0</v>
      </c>
      <c r="Y25" s="44">
        <f>MAX(0,IF(data[[#This Row],[Garde / Interv.]]="Intervention",data[[#This Row],[NUIT1.1]]+data[[#This Row],[NUIT1.2]]+data[[#This Row],[NUIT2.1]]+data[[#This Row],[NUIT2.2]],0))</f>
        <v>0</v>
      </c>
    </row>
    <row r="26" spans="1:26" x14ac:dyDescent="0.3">
      <c r="A26" s="68">
        <v>43496</v>
      </c>
      <c r="B26" s="137" t="str">
        <f>IF(data[[#This Row],[Hdébut garde]]&lt;&gt;"","Garde",IF(data[[#This Row],[Hdébut corrigé]]&lt;&gt;"","Intervention",""))</f>
        <v>Intervention</v>
      </c>
      <c r="C26" s="83"/>
      <c r="D26" s="60"/>
      <c r="E26" s="47">
        <f>MAX(0,IF(data[[#This Row],[Garde / Interv.]]="Garde",data[[#This Row],[Hfin corrigée]]-data[[#This Row],[Hdébut corrigé]],0))</f>
        <v>0</v>
      </c>
      <c r="F26" s="84"/>
      <c r="G26" s="61"/>
      <c r="H26" s="62" t="s">
        <v>3</v>
      </c>
      <c r="I26" s="63">
        <v>0.86875000000000002</v>
      </c>
      <c r="J26" s="64">
        <v>0.88958333333333339</v>
      </c>
      <c r="K26" s="42">
        <f>IF(data[[#This Row],[Hdébut garde]]&lt;&gt;"",
data[[#This Row],[Hdébut garde]],
data[[#This Row],[Hdébut interv.]]+IF(data[[#This Row],[Hdébut interv.]]&lt;SUMPRODUCT((data[Date]=data[[#This Row],[Date]])*data[Hdébut garde]),1,0)
)</f>
        <v>0.86875000000000002</v>
      </c>
      <c r="L26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0.88958333333333339</v>
      </c>
      <c r="M26" s="43" t="str">
        <f>IF(OR(WEEKDAY(data[[#This Row],[Date]],2)=7,COUNTIF(JF,data[[#This Row],[Date]])=1),"oui","non")</f>
        <v>non</v>
      </c>
      <c r="N26" s="44">
        <f>MAX(0,(MIN(1,data[[#This Row],[Hfin corrigée]])-data[[#This Row],[Hdébut corrigé]])-data[[#This Row],[NUIT1.1]]-data[[#This Row],[NUIT1.2]])</f>
        <v>2.083333333333337E-2</v>
      </c>
      <c r="O26" s="44">
        <f>IF(data[[#This Row],[Hfin Interv.]]="",0,(
MIN(FinNuit,MIN(1,data[[#This Row],[Hfin corrigée]]))-MIN(FinNuit,data[[#This Row],[Hdébut corrigé]])
))</f>
        <v>0</v>
      </c>
      <c r="P26" s="44">
        <f>MAX(0,(MAX(0,(MIN(1,data[[#This Row],[Hfin corrigée]])-DebNuit))-MAX(0,(data[[#This Row],[Hdébut corrigé]]-DebNuit))))</f>
        <v>0</v>
      </c>
      <c r="Q26" s="43" t="str">
        <f>IF(OR(WEEKDAY(data[[#This Row],[Date]]+data[[#This Row],[Hfin corrigée]],2)=7,COUNTIF(JF,INT(data[[#This Row],[Date]]+data[[#This Row],[Hfin corrigée]]))=1),"oui","non")</f>
        <v>non</v>
      </c>
      <c r="R26" s="44">
        <f>MAX(0,data[[#This Row],[Hfin corrigée]]-MAX(1,data[[#This Row],[Hdébut corrigé]]))-data[[#This Row],[NUIT2.1]]-data[[#This Row],[NUIT2.2]]</f>
        <v>0</v>
      </c>
      <c r="S26" s="44">
        <f>MAX(0,MIN(1+FinNuit,data[[#This Row],[Hfin corrigée]])-MAX(1,data[[#This Row],[Hdébut corrigé]]))</f>
        <v>0</v>
      </c>
      <c r="T26" s="44">
        <f>MAX(0,(data[[#This Row],[Hfin corrigée]]-DebNuit-1))</f>
        <v>0</v>
      </c>
      <c r="U26" s="45">
        <f>IF(data[[#This Row],[Garde / Interv.]]="Intervention",MAX(0,data[[#This Row],[Hfin corrigée]]-SUMPRODUCT((data[Date]=data[[#This Row],[Date]])*(data[Garde / Interv.]="Garde")*data[Hfin corrigée])),0)</f>
        <v>0</v>
      </c>
      <c r="V26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26" s="44">
        <f>MAX(0,IF(data[[#This Row],[Garde / Interv.]]="Intervention",(data[[#This Row],[Fin Dim ou Férié]]="non")*data[[#This Row],[JOUR2]]+(data[[#This Row],[Début Dim ou Férié]]="non")*data[[#This Row],[JOUR1]],0))</f>
        <v>2.083333333333337E-2</v>
      </c>
      <c r="X26" s="44">
        <f>IF(data[[#This Row],[Garde / Interv.]]="Intervention",(data[[#This Row],[Fin Dim ou Férié]]="oui")*data[[#This Row],[JOUR2]]+(data[[#This Row],[Début Dim ou Férié]]="oui")*data[[#This Row],[JOUR1]],0)</f>
        <v>0</v>
      </c>
      <c r="Y26" s="44">
        <f>MAX(0,IF(data[[#This Row],[Garde / Interv.]]="Intervention",data[[#This Row],[NUIT1.1]]+data[[#This Row],[NUIT1.2]]+data[[#This Row],[NUIT2.1]]+data[[#This Row],[NUIT2.2]],0))</f>
        <v>0</v>
      </c>
    </row>
    <row r="27" spans="1:26" s="153" customFormat="1" ht="15" thickBot="1" x14ac:dyDescent="0.35">
      <c r="A27" s="138">
        <v>43496</v>
      </c>
      <c r="B27" s="139" t="str">
        <f>IF(data[[#This Row],[Hdébut garde]]&lt;&gt;"","Garde",IF(data[[#This Row],[Hdébut corrigé]]&lt;&gt;"","Intervention",""))</f>
        <v>Intervention</v>
      </c>
      <c r="C27" s="140"/>
      <c r="D27" s="141"/>
      <c r="E27" s="142">
        <f>MAX(0,IF(data[[#This Row],[Garde / Interv.]]="Garde",data[[#This Row],[Hfin corrigée]]-data[[#This Row],[Hdébut corrigé]],0))</f>
        <v>0</v>
      </c>
      <c r="F27" s="143"/>
      <c r="G27" s="144"/>
      <c r="H27" s="145" t="s">
        <v>3</v>
      </c>
      <c r="I27" s="146">
        <v>0.23611111111111113</v>
      </c>
      <c r="J27" s="147">
        <v>0.26250000000000001</v>
      </c>
      <c r="K27" s="148">
        <f>IF(data[[#This Row],[Hdébut garde]]&lt;&gt;"",
data[[#This Row],[Hdébut garde]],
data[[#This Row],[Hdébut interv.]]+IF(data[[#This Row],[Hdébut interv.]]&lt;SUMPRODUCT((data[Date]=data[[#This Row],[Date]])*data[Hdébut garde]),1,0)
)</f>
        <v>1.2361111111111112</v>
      </c>
      <c r="L27" s="148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1.2625</v>
      </c>
      <c r="M27" s="149" t="str">
        <f>IF(OR(WEEKDAY(data[[#This Row],[Date]],2)=7,COUNTIF(JF,data[[#This Row],[Date]])=1),"oui","non")</f>
        <v>non</v>
      </c>
      <c r="N27" s="150">
        <f>MAX(0,(MIN(1,data[[#This Row],[Hfin corrigée]])-data[[#This Row],[Hdébut corrigé]])-data[[#This Row],[NUIT1.1]]-data[[#This Row],[NUIT1.2]])</f>
        <v>0</v>
      </c>
      <c r="O27" s="150">
        <f>IF(data[[#This Row],[Hfin Interv.]]="",0,(
MIN(FinNuit,MIN(1,data[[#This Row],[Hfin corrigée]]))-MIN(FinNuit,data[[#This Row],[Hdébut corrigé]])
))</f>
        <v>0</v>
      </c>
      <c r="P27" s="150">
        <f>MAX(0,(MAX(0,(MIN(1,data[[#This Row],[Hfin corrigée]])-DebNuit))-MAX(0,(data[[#This Row],[Hdébut corrigé]]-DebNuit))))</f>
        <v>0</v>
      </c>
      <c r="Q27" s="149" t="str">
        <f>IF(OR(WEEKDAY(data[[#This Row],[Date]]+data[[#This Row],[Hfin corrigée]],2)=7,COUNTIF(JF,INT(data[[#This Row],[Date]]+data[[#This Row],[Hfin corrigée]]))=1),"oui","non")</f>
        <v>non</v>
      </c>
      <c r="R27" s="150">
        <f>MAX(0,data[[#This Row],[Hfin corrigée]]-MAX(1,data[[#This Row],[Hdébut corrigé]]))-data[[#This Row],[NUIT2.1]]-data[[#This Row],[NUIT2.2]]</f>
        <v>0</v>
      </c>
      <c r="S27" s="150">
        <f>MAX(0,MIN(1+FinNuit,data[[#This Row],[Hfin corrigée]])-MAX(1,data[[#This Row],[Hdébut corrigé]]))</f>
        <v>2.6388888888888795E-2</v>
      </c>
      <c r="T27" s="150">
        <f>MAX(0,(data[[#This Row],[Hfin corrigée]]-DebNuit-1))</f>
        <v>0</v>
      </c>
      <c r="U27" s="151">
        <f>IF(data[[#This Row],[Garde / Interv.]]="Intervention",MAX(0,data[[#This Row],[Hfin corrigée]]-SUMPRODUCT((data[Date]=data[[#This Row],[Date]])*(data[Garde / Interv.]="Garde")*data[Hfin corrigée])),0)</f>
        <v>0</v>
      </c>
      <c r="V27" s="150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27" s="150">
        <f>MAX(0,IF(data[[#This Row],[Garde / Interv.]]="Intervention",(data[[#This Row],[Fin Dim ou Férié]]="non")*data[[#This Row],[JOUR2]]+(data[[#This Row],[Début Dim ou Férié]]="non")*data[[#This Row],[JOUR1]],0))</f>
        <v>0</v>
      </c>
      <c r="X27" s="150">
        <f>IF(data[[#This Row],[Garde / Interv.]]="Intervention",(data[[#This Row],[Fin Dim ou Férié]]="oui")*data[[#This Row],[JOUR2]]+(data[[#This Row],[Début Dim ou Férié]]="oui")*data[[#This Row],[JOUR1]],0)</f>
        <v>0</v>
      </c>
      <c r="Y27" s="150">
        <f>MAX(0,IF(data[[#This Row],[Garde / Interv.]]="Intervention",data[[#This Row],[NUIT1.1]]+data[[#This Row],[NUIT1.2]]+data[[#This Row],[NUIT2.1]]+data[[#This Row],[NUIT2.2]],0))</f>
        <v>2.6388888888888795E-2</v>
      </c>
      <c r="Z27" s="152"/>
    </row>
    <row r="28" spans="1:26" ht="15" thickTop="1" x14ac:dyDescent="0.3">
      <c r="A28" s="68">
        <v>43503</v>
      </c>
      <c r="B28" s="137" t="str">
        <f>IF(data[[#This Row],[Hdébut garde]]&lt;&gt;"","Garde",IF(data[[#This Row],[Hdébut corrigé]]&lt;&gt;"","Intervention",""))</f>
        <v>Garde</v>
      </c>
      <c r="C28" s="83">
        <v>0.29166666666666669</v>
      </c>
      <c r="D28" s="60">
        <v>0.29166666666666669</v>
      </c>
      <c r="E28" s="47">
        <f>MAX(0,IF(data[[#This Row],[Garde / Interv.]]="Garde",data[[#This Row],[Hfin corrigée]]-data[[#This Row],[Hdébut corrigé]],0))</f>
        <v>1</v>
      </c>
      <c r="F28" s="84"/>
      <c r="G28" s="61"/>
      <c r="H28" s="62"/>
      <c r="I28" s="63"/>
      <c r="J28" s="64"/>
      <c r="K28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28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1.2916666666666667</v>
      </c>
      <c r="M28" s="43" t="str">
        <f>IF(OR(WEEKDAY(data[[#This Row],[Date]],2)=7,COUNTIF(JF,data[[#This Row],[Date]])=1),"oui","non")</f>
        <v>non</v>
      </c>
      <c r="N28" s="44">
        <f>MAX(0,(MIN(1,data[[#This Row],[Hfin corrigée]])-data[[#This Row],[Hdébut corrigé]])-data[[#This Row],[NUIT1.1]]-data[[#This Row],[NUIT1.2]])</f>
        <v>0.62499999999999989</v>
      </c>
      <c r="O28" s="44">
        <f>IF(data[[#This Row],[Hfin Interv.]]="",0,(
MIN(FinNuit,MIN(1,data[[#This Row],[Hfin corrigée]]))-MIN(FinNuit,data[[#This Row],[Hdébut corrigé]])
))</f>
        <v>0</v>
      </c>
      <c r="P28" s="44">
        <f>MAX(0,(MAX(0,(MIN(1,data[[#This Row],[Hfin corrigée]])-DebNuit))-MAX(0,(data[[#This Row],[Hdébut corrigé]]-DebNuit))))</f>
        <v>8.333333333333337E-2</v>
      </c>
      <c r="Q28" s="43" t="str">
        <f>IF(OR(WEEKDAY(data[[#This Row],[Date]]+data[[#This Row],[Hfin corrigée]],2)=7,COUNTIF(JF,INT(data[[#This Row],[Date]]+data[[#This Row],[Hfin corrigée]]))=1),"oui","non")</f>
        <v>non</v>
      </c>
      <c r="R28" s="44">
        <f>MAX(0,data[[#This Row],[Hfin corrigée]]-MAX(1,data[[#This Row],[Hdébut corrigé]]))-data[[#This Row],[NUIT2.1]]-data[[#This Row],[NUIT2.2]]</f>
        <v>0</v>
      </c>
      <c r="S28" s="44">
        <f>MAX(0,MIN(1+FinNuit,data[[#This Row],[Hfin corrigée]])-MAX(1,data[[#This Row],[Hdébut corrigé]]))</f>
        <v>0.29166666666666674</v>
      </c>
      <c r="T28" s="44">
        <f>MAX(0,(data[[#This Row],[Hfin corrigée]]-DebNuit-1))</f>
        <v>0</v>
      </c>
      <c r="U28" s="45">
        <f>IF(data[[#This Row],[Garde / Interv.]]="Intervention",MAX(0,data[[#This Row],[Hfin corrigée]]-SUMPRODUCT((data[Date]=data[[#This Row],[Date]])*(data[Garde / Interv.]="Garde")*data[Hfin corrigée])),0)</f>
        <v>0</v>
      </c>
      <c r="V28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0.70763888888888893</v>
      </c>
      <c r="W28" s="44">
        <f>MAX(0,IF(data[[#This Row],[Garde / Interv.]]="Intervention",(data[[#This Row],[Fin Dim ou Férié]]="non")*data[[#This Row],[JOUR2]]+(data[[#This Row],[Début Dim ou Férié]]="non")*data[[#This Row],[JOUR1]],0))</f>
        <v>0</v>
      </c>
      <c r="X28" s="44">
        <f>IF(data[[#This Row],[Garde / Interv.]]="Intervention",(data[[#This Row],[Fin Dim ou Férié]]="oui")*data[[#This Row],[JOUR2]]+(data[[#This Row],[Début Dim ou Férié]]="oui")*data[[#This Row],[JOUR1]],0)</f>
        <v>0</v>
      </c>
      <c r="Y28" s="44">
        <f>MAX(0,IF(data[[#This Row],[Garde / Interv.]]="Intervention",data[[#This Row],[NUIT1.1]]+data[[#This Row],[NUIT1.2]]+data[[#This Row],[NUIT2.1]]+data[[#This Row],[NUIT2.2]],0))</f>
        <v>0</v>
      </c>
    </row>
    <row r="29" spans="1:26" x14ac:dyDescent="0.3">
      <c r="A29" s="68">
        <v>43503</v>
      </c>
      <c r="B29" s="137" t="str">
        <f>IF(data[[#This Row],[Hdébut garde]]&lt;&gt;"","Garde",IF(data[[#This Row],[Hdébut corrigé]]&lt;&gt;"","Intervention",""))</f>
        <v>Intervention</v>
      </c>
      <c r="C29" s="83"/>
      <c r="D29" s="60"/>
      <c r="E29" s="47">
        <f>MAX(0,IF(data[[#This Row],[Garde / Interv.]]="Garde",data[[#This Row],[Hfin corrigée]]-data[[#This Row],[Hdébut corrigé]],0))</f>
        <v>0</v>
      </c>
      <c r="F29" s="84"/>
      <c r="G29" s="61"/>
      <c r="H29" s="62" t="s">
        <v>2</v>
      </c>
      <c r="I29" s="63">
        <v>0.37916666666666665</v>
      </c>
      <c r="J29" s="64">
        <v>0.45555555555555555</v>
      </c>
      <c r="K29" s="42">
        <f>IF(data[[#This Row],[Hdébut garde]]&lt;&gt;"",
data[[#This Row],[Hdébut garde]],
data[[#This Row],[Hdébut interv.]]+IF(data[[#This Row],[Hdébut interv.]]&lt;SUMPRODUCT((data[Date]=data[[#This Row],[Date]])*data[Hdébut garde]),1,0)
)</f>
        <v>0.37916666666666665</v>
      </c>
      <c r="L29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0.45555555555555555</v>
      </c>
      <c r="M29" s="43" t="str">
        <f>IF(OR(WEEKDAY(data[[#This Row],[Date]],2)=7,COUNTIF(JF,data[[#This Row],[Date]])=1),"oui","non")</f>
        <v>non</v>
      </c>
      <c r="N29" s="44">
        <f>MAX(0,(MIN(1,data[[#This Row],[Hfin corrigée]])-data[[#This Row],[Hdébut corrigé]])-data[[#This Row],[NUIT1.1]]-data[[#This Row],[NUIT1.2]])</f>
        <v>7.6388888888888895E-2</v>
      </c>
      <c r="O29" s="44">
        <f>IF(data[[#This Row],[Hfin Interv.]]="",0,(
MIN(FinNuit,MIN(1,data[[#This Row],[Hfin corrigée]]))-MIN(FinNuit,data[[#This Row],[Hdébut corrigé]])
))</f>
        <v>0</v>
      </c>
      <c r="P29" s="44">
        <f>MAX(0,(MAX(0,(MIN(1,data[[#This Row],[Hfin corrigée]])-DebNuit))-MAX(0,(data[[#This Row],[Hdébut corrigé]]-DebNuit))))</f>
        <v>0</v>
      </c>
      <c r="Q29" s="43" t="str">
        <f>IF(OR(WEEKDAY(data[[#This Row],[Date]]+data[[#This Row],[Hfin corrigée]],2)=7,COUNTIF(JF,INT(data[[#This Row],[Date]]+data[[#This Row],[Hfin corrigée]]))=1),"oui","non")</f>
        <v>non</v>
      </c>
      <c r="R29" s="44">
        <f>MAX(0,data[[#This Row],[Hfin corrigée]]-MAX(1,data[[#This Row],[Hdébut corrigé]]))-data[[#This Row],[NUIT2.1]]-data[[#This Row],[NUIT2.2]]</f>
        <v>0</v>
      </c>
      <c r="S29" s="44">
        <f>MAX(0,MIN(1+FinNuit,data[[#This Row],[Hfin corrigée]])-MAX(1,data[[#This Row],[Hdébut corrigé]]))</f>
        <v>0</v>
      </c>
      <c r="T29" s="44">
        <f>MAX(0,(data[[#This Row],[Hfin corrigée]]-DebNuit-1))</f>
        <v>0</v>
      </c>
      <c r="U29" s="45">
        <f>IF(data[[#This Row],[Garde / Interv.]]="Intervention",MAX(0,data[[#This Row],[Hfin corrigée]]-SUMPRODUCT((data[Date]=data[[#This Row],[Date]])*(data[Garde / Interv.]="Garde")*data[Hfin corrigée])),0)</f>
        <v>0</v>
      </c>
      <c r="V29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29" s="44">
        <f>MAX(0,IF(data[[#This Row],[Garde / Interv.]]="Intervention",(data[[#This Row],[Fin Dim ou Férié]]="non")*data[[#This Row],[JOUR2]]+(data[[#This Row],[Début Dim ou Férié]]="non")*data[[#This Row],[JOUR1]],0))</f>
        <v>7.6388888888888895E-2</v>
      </c>
      <c r="X29" s="44">
        <f>IF(data[[#This Row],[Garde / Interv.]]="Intervention",(data[[#This Row],[Fin Dim ou Férié]]="oui")*data[[#This Row],[JOUR2]]+(data[[#This Row],[Début Dim ou Férié]]="oui")*data[[#This Row],[JOUR1]],0)</f>
        <v>0</v>
      </c>
      <c r="Y29" s="44">
        <f>MAX(0,IF(data[[#This Row],[Garde / Interv.]]="Intervention",data[[#This Row],[NUIT1.1]]+data[[#This Row],[NUIT1.2]]+data[[#This Row],[NUIT2.1]]+data[[#This Row],[NUIT2.2]],0))</f>
        <v>0</v>
      </c>
    </row>
    <row r="30" spans="1:26" x14ac:dyDescent="0.3">
      <c r="A30" s="68">
        <v>43503</v>
      </c>
      <c r="B30" s="137" t="str">
        <f>IF(data[[#This Row],[Hdébut garde]]&lt;&gt;"","Garde",IF(data[[#This Row],[Hdébut corrigé]]&lt;&gt;"","Intervention",""))</f>
        <v>Intervention</v>
      </c>
      <c r="C30" s="83"/>
      <c r="D30" s="60"/>
      <c r="E30" s="47">
        <f>MAX(0,IF(data[[#This Row],[Garde / Interv.]]="Garde",data[[#This Row],[Hfin corrigée]]-data[[#This Row],[Hdébut corrigé]],0))</f>
        <v>0</v>
      </c>
      <c r="F30" s="84"/>
      <c r="G30" s="61"/>
      <c r="H30" s="62" t="s">
        <v>2</v>
      </c>
      <c r="I30" s="63">
        <v>0.55208333333333337</v>
      </c>
      <c r="J30" s="64">
        <v>0.60972222222222217</v>
      </c>
      <c r="K30" s="42">
        <f>IF(data[[#This Row],[Hdébut garde]]&lt;&gt;"",
data[[#This Row],[Hdébut garde]],
data[[#This Row],[Hdébut interv.]]+IF(data[[#This Row],[Hdébut interv.]]&lt;SUMPRODUCT((data[Date]=data[[#This Row],[Date]])*data[Hdébut garde]),1,0)
)</f>
        <v>0.55208333333333337</v>
      </c>
      <c r="L30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0.60972222222222217</v>
      </c>
      <c r="M30" s="43" t="str">
        <f>IF(OR(WEEKDAY(data[[#This Row],[Date]],2)=7,COUNTIF(JF,data[[#This Row],[Date]])=1),"oui","non")</f>
        <v>non</v>
      </c>
      <c r="N30" s="44">
        <f>MAX(0,(MIN(1,data[[#This Row],[Hfin corrigée]])-data[[#This Row],[Hdébut corrigé]])-data[[#This Row],[NUIT1.1]]-data[[#This Row],[NUIT1.2]])</f>
        <v>5.7638888888888795E-2</v>
      </c>
      <c r="O30" s="44">
        <f>IF(data[[#This Row],[Hfin Interv.]]="",0,(
MIN(FinNuit,MIN(1,data[[#This Row],[Hfin corrigée]]))-MIN(FinNuit,data[[#This Row],[Hdébut corrigé]])
))</f>
        <v>0</v>
      </c>
      <c r="P30" s="44">
        <f>MAX(0,(MAX(0,(MIN(1,data[[#This Row],[Hfin corrigée]])-DebNuit))-MAX(0,(data[[#This Row],[Hdébut corrigé]]-DebNuit))))</f>
        <v>0</v>
      </c>
      <c r="Q30" s="43" t="str">
        <f>IF(OR(WEEKDAY(data[[#This Row],[Date]]+data[[#This Row],[Hfin corrigée]],2)=7,COUNTIF(JF,INT(data[[#This Row],[Date]]+data[[#This Row],[Hfin corrigée]]))=1),"oui","non")</f>
        <v>non</v>
      </c>
      <c r="R30" s="44">
        <f>MAX(0,data[[#This Row],[Hfin corrigée]]-MAX(1,data[[#This Row],[Hdébut corrigé]]))-data[[#This Row],[NUIT2.1]]-data[[#This Row],[NUIT2.2]]</f>
        <v>0</v>
      </c>
      <c r="S30" s="44">
        <f>MAX(0,MIN(1+FinNuit,data[[#This Row],[Hfin corrigée]])-MAX(1,data[[#This Row],[Hdébut corrigé]]))</f>
        <v>0</v>
      </c>
      <c r="T30" s="44">
        <f>MAX(0,(data[[#This Row],[Hfin corrigée]]-DebNuit-1))</f>
        <v>0</v>
      </c>
      <c r="U30" s="45">
        <f>IF(data[[#This Row],[Garde / Interv.]]="Intervention",MAX(0,data[[#This Row],[Hfin corrigée]]-SUMPRODUCT((data[Date]=data[[#This Row],[Date]])*(data[Garde / Interv.]="Garde")*data[Hfin corrigée])),0)</f>
        <v>0</v>
      </c>
      <c r="V30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30" s="44">
        <f>MAX(0,IF(data[[#This Row],[Garde / Interv.]]="Intervention",(data[[#This Row],[Fin Dim ou Férié]]="non")*data[[#This Row],[JOUR2]]+(data[[#This Row],[Début Dim ou Férié]]="non")*data[[#This Row],[JOUR1]],0))</f>
        <v>5.7638888888888795E-2</v>
      </c>
      <c r="X30" s="44">
        <f>IF(data[[#This Row],[Garde / Interv.]]="Intervention",(data[[#This Row],[Fin Dim ou Férié]]="oui")*data[[#This Row],[JOUR2]]+(data[[#This Row],[Début Dim ou Férié]]="oui")*data[[#This Row],[JOUR1]],0)</f>
        <v>0</v>
      </c>
      <c r="Y30" s="44">
        <f>MAX(0,IF(data[[#This Row],[Garde / Interv.]]="Intervention",data[[#This Row],[NUIT1.1]]+data[[#This Row],[NUIT1.2]]+data[[#This Row],[NUIT2.1]]+data[[#This Row],[NUIT2.2]],0))</f>
        <v>0</v>
      </c>
    </row>
    <row r="31" spans="1:26" x14ac:dyDescent="0.3">
      <c r="A31" s="68">
        <v>43503</v>
      </c>
      <c r="B31" s="137" t="str">
        <f>IF(data[[#This Row],[Hdébut garde]]&lt;&gt;"","Garde",IF(data[[#This Row],[Hdébut corrigé]]&lt;&gt;"","Intervention",""))</f>
        <v>Intervention</v>
      </c>
      <c r="C31" s="83"/>
      <c r="D31" s="60"/>
      <c r="E31" s="47">
        <f>MAX(0,IF(data[[#This Row],[Garde / Interv.]]="Garde",data[[#This Row],[Hfin corrigée]]-data[[#This Row],[Hdébut corrigé]],0))</f>
        <v>0</v>
      </c>
      <c r="F31" s="84"/>
      <c r="G31" s="61"/>
      <c r="H31" s="62" t="s">
        <v>2</v>
      </c>
      <c r="I31" s="63">
        <v>0.65763888888888888</v>
      </c>
      <c r="J31" s="64">
        <v>0.73402777777777783</v>
      </c>
      <c r="K31" s="42">
        <f>IF(data[[#This Row],[Hdébut garde]]&lt;&gt;"",
data[[#This Row],[Hdébut garde]],
data[[#This Row],[Hdébut interv.]]+IF(data[[#This Row],[Hdébut interv.]]&lt;SUMPRODUCT((data[Date]=data[[#This Row],[Date]])*data[Hdébut garde]),1,0)
)</f>
        <v>0.65763888888888888</v>
      </c>
      <c r="L31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0.73402777777777783</v>
      </c>
      <c r="M31" s="43" t="str">
        <f>IF(OR(WEEKDAY(data[[#This Row],[Date]],2)=7,COUNTIF(JF,data[[#This Row],[Date]])=1),"oui","non")</f>
        <v>non</v>
      </c>
      <c r="N31" s="44">
        <f>MAX(0,(MIN(1,data[[#This Row],[Hfin corrigée]])-data[[#This Row],[Hdébut corrigé]])-data[[#This Row],[NUIT1.1]]-data[[#This Row],[NUIT1.2]])</f>
        <v>7.6388888888888951E-2</v>
      </c>
      <c r="O31" s="44">
        <f>IF(data[[#This Row],[Hfin Interv.]]="",0,(
MIN(FinNuit,MIN(1,data[[#This Row],[Hfin corrigée]]))-MIN(FinNuit,data[[#This Row],[Hdébut corrigé]])
))</f>
        <v>0</v>
      </c>
      <c r="P31" s="44">
        <f>MAX(0,(MAX(0,(MIN(1,data[[#This Row],[Hfin corrigée]])-DebNuit))-MAX(0,(data[[#This Row],[Hdébut corrigé]]-DebNuit))))</f>
        <v>0</v>
      </c>
      <c r="Q31" s="43" t="str">
        <f>IF(OR(WEEKDAY(data[[#This Row],[Date]]+data[[#This Row],[Hfin corrigée]],2)=7,COUNTIF(JF,INT(data[[#This Row],[Date]]+data[[#This Row],[Hfin corrigée]]))=1),"oui","non")</f>
        <v>non</v>
      </c>
      <c r="R31" s="44">
        <f>MAX(0,data[[#This Row],[Hfin corrigée]]-MAX(1,data[[#This Row],[Hdébut corrigé]]))-data[[#This Row],[NUIT2.1]]-data[[#This Row],[NUIT2.2]]</f>
        <v>0</v>
      </c>
      <c r="S31" s="44">
        <f>MAX(0,MIN(1+FinNuit,data[[#This Row],[Hfin corrigée]])-MAX(1,data[[#This Row],[Hdébut corrigé]]))</f>
        <v>0</v>
      </c>
      <c r="T31" s="44">
        <f>MAX(0,(data[[#This Row],[Hfin corrigée]]-DebNuit-1))</f>
        <v>0</v>
      </c>
      <c r="U31" s="45">
        <f>IF(data[[#This Row],[Garde / Interv.]]="Intervention",MAX(0,data[[#This Row],[Hfin corrigée]]-SUMPRODUCT((data[Date]=data[[#This Row],[Date]])*(data[Garde / Interv.]="Garde")*data[Hfin corrigée])),0)</f>
        <v>0</v>
      </c>
      <c r="V31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31" s="44">
        <f>MAX(0,IF(data[[#This Row],[Garde / Interv.]]="Intervention",(data[[#This Row],[Fin Dim ou Férié]]="non")*data[[#This Row],[JOUR2]]+(data[[#This Row],[Début Dim ou Férié]]="non")*data[[#This Row],[JOUR1]],0))</f>
        <v>7.6388888888888951E-2</v>
      </c>
      <c r="X31" s="44">
        <f>IF(data[[#This Row],[Garde / Interv.]]="Intervention",(data[[#This Row],[Fin Dim ou Férié]]="oui")*data[[#This Row],[JOUR2]]+(data[[#This Row],[Début Dim ou Férié]]="oui")*data[[#This Row],[JOUR1]],0)</f>
        <v>0</v>
      </c>
      <c r="Y31" s="44">
        <f>MAX(0,IF(data[[#This Row],[Garde / Interv.]]="Intervention",data[[#This Row],[NUIT1.1]]+data[[#This Row],[NUIT1.2]]+data[[#This Row],[NUIT2.1]]+data[[#This Row],[NUIT2.2]],0))</f>
        <v>0</v>
      </c>
    </row>
    <row r="32" spans="1:26" x14ac:dyDescent="0.3">
      <c r="A32" s="68">
        <v>43503</v>
      </c>
      <c r="B32" s="137" t="str">
        <f>IF(data[[#This Row],[Hdébut garde]]&lt;&gt;"","Garde",IF(data[[#This Row],[Hdébut corrigé]]&lt;&gt;"","Intervention",""))</f>
        <v>Intervention</v>
      </c>
      <c r="C32" s="83"/>
      <c r="D32" s="60"/>
      <c r="E32" s="47">
        <f>MAX(0,IF(data[[#This Row],[Garde / Interv.]]="Garde",data[[#This Row],[Hfin corrigée]]-data[[#This Row],[Hdébut corrigé]],0))</f>
        <v>0</v>
      </c>
      <c r="F32" s="84"/>
      <c r="G32" s="61"/>
      <c r="H32" s="62" t="s">
        <v>2</v>
      </c>
      <c r="I32" s="63">
        <v>0.73402777777777783</v>
      </c>
      <c r="J32" s="64">
        <v>0.74791666666666667</v>
      </c>
      <c r="K32" s="42">
        <f>IF(data[[#This Row],[Hdébut garde]]&lt;&gt;"",
data[[#This Row],[Hdébut garde]],
data[[#This Row],[Hdébut interv.]]+IF(data[[#This Row],[Hdébut interv.]]&lt;SUMPRODUCT((data[Date]=data[[#This Row],[Date]])*data[Hdébut garde]),1,0)
)</f>
        <v>0.73402777777777783</v>
      </c>
      <c r="L32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0.74791666666666667</v>
      </c>
      <c r="M32" s="43" t="str">
        <f>IF(OR(WEEKDAY(data[[#This Row],[Date]],2)=7,COUNTIF(JF,data[[#This Row],[Date]])=1),"oui","non")</f>
        <v>non</v>
      </c>
      <c r="N32" s="44">
        <f>MAX(0,(MIN(1,data[[#This Row],[Hfin corrigée]])-data[[#This Row],[Hdébut corrigé]])-data[[#This Row],[NUIT1.1]]-data[[#This Row],[NUIT1.2]])</f>
        <v>1.388888888888884E-2</v>
      </c>
      <c r="O32" s="44">
        <f>IF(data[[#This Row],[Hfin Interv.]]="",0,(
MIN(FinNuit,MIN(1,data[[#This Row],[Hfin corrigée]]))-MIN(FinNuit,data[[#This Row],[Hdébut corrigé]])
))</f>
        <v>0</v>
      </c>
      <c r="P32" s="44">
        <f>MAX(0,(MAX(0,(MIN(1,data[[#This Row],[Hfin corrigée]])-DebNuit))-MAX(0,(data[[#This Row],[Hdébut corrigé]]-DebNuit))))</f>
        <v>0</v>
      </c>
      <c r="Q32" s="43" t="str">
        <f>IF(OR(WEEKDAY(data[[#This Row],[Date]]+data[[#This Row],[Hfin corrigée]],2)=7,COUNTIF(JF,INT(data[[#This Row],[Date]]+data[[#This Row],[Hfin corrigée]]))=1),"oui","non")</f>
        <v>non</v>
      </c>
      <c r="R32" s="44">
        <f>MAX(0,data[[#This Row],[Hfin corrigée]]-MAX(1,data[[#This Row],[Hdébut corrigé]]))-data[[#This Row],[NUIT2.1]]-data[[#This Row],[NUIT2.2]]</f>
        <v>0</v>
      </c>
      <c r="S32" s="44">
        <f>MAX(0,MIN(1+FinNuit,data[[#This Row],[Hfin corrigée]])-MAX(1,data[[#This Row],[Hdébut corrigé]]))</f>
        <v>0</v>
      </c>
      <c r="T32" s="44">
        <f>MAX(0,(data[[#This Row],[Hfin corrigée]]-DebNuit-1))</f>
        <v>0</v>
      </c>
      <c r="U32" s="45">
        <f>IF(data[[#This Row],[Garde / Interv.]]="Intervention",MAX(0,data[[#This Row],[Hfin corrigée]]-SUMPRODUCT((data[Date]=data[[#This Row],[Date]])*(data[Garde / Interv.]="Garde")*data[Hfin corrigée])),0)</f>
        <v>0</v>
      </c>
      <c r="V32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32" s="44">
        <f>MAX(0,IF(data[[#This Row],[Garde / Interv.]]="Intervention",(data[[#This Row],[Fin Dim ou Férié]]="non")*data[[#This Row],[JOUR2]]+(data[[#This Row],[Début Dim ou Férié]]="non")*data[[#This Row],[JOUR1]],0))</f>
        <v>1.388888888888884E-2</v>
      </c>
      <c r="X32" s="44">
        <f>IF(data[[#This Row],[Garde / Interv.]]="Intervention",(data[[#This Row],[Fin Dim ou Férié]]="oui")*data[[#This Row],[JOUR2]]+(data[[#This Row],[Début Dim ou Férié]]="oui")*data[[#This Row],[JOUR1]],0)</f>
        <v>0</v>
      </c>
      <c r="Y32" s="44">
        <f>MAX(0,IF(data[[#This Row],[Garde / Interv.]]="Intervention",data[[#This Row],[NUIT1.1]]+data[[#This Row],[NUIT1.2]]+data[[#This Row],[NUIT2.1]]+data[[#This Row],[NUIT2.2]],0))</f>
        <v>0</v>
      </c>
    </row>
    <row r="33" spans="1:28" x14ac:dyDescent="0.3">
      <c r="A33" s="68">
        <v>43503</v>
      </c>
      <c r="B33" s="137" t="str">
        <f>IF(data[[#This Row],[Hdébut garde]]&lt;&gt;"","Garde",IF(data[[#This Row],[Hdébut corrigé]]&lt;&gt;"","Intervention",""))</f>
        <v>Intervention</v>
      </c>
      <c r="C33" s="83"/>
      <c r="D33" s="60"/>
      <c r="E33" s="47">
        <f>MAX(0,IF(data[[#This Row],[Garde / Interv.]]="Garde",data[[#This Row],[Hfin corrigée]]-data[[#This Row],[Hdébut corrigé]],0))</f>
        <v>0</v>
      </c>
      <c r="F33" s="84"/>
      <c r="G33" s="61"/>
      <c r="H33" s="62" t="s">
        <v>2</v>
      </c>
      <c r="I33" s="63">
        <v>0.87986111111111109</v>
      </c>
      <c r="J33" s="64">
        <v>0.94791666666666663</v>
      </c>
      <c r="K33" s="42">
        <f>IF(data[[#This Row],[Hdébut garde]]&lt;&gt;"",
data[[#This Row],[Hdébut garde]],
data[[#This Row],[Hdébut interv.]]+IF(data[[#This Row],[Hdébut interv.]]&lt;SUMPRODUCT((data[Date]=data[[#This Row],[Date]])*data[Hdébut garde]),1,0)
)</f>
        <v>0.87986111111111109</v>
      </c>
      <c r="L33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0.94791666666666663</v>
      </c>
      <c r="M33" s="43" t="str">
        <f>IF(OR(WEEKDAY(data[[#This Row],[Date]],2)=7,COUNTIF(JF,data[[#This Row],[Date]])=1),"oui","non")</f>
        <v>non</v>
      </c>
      <c r="N33" s="44">
        <f>MAX(0,(MIN(1,data[[#This Row],[Hfin corrigée]])-data[[#This Row],[Hdébut corrigé]])-data[[#This Row],[NUIT1.1]]-data[[#This Row],[NUIT1.2]])</f>
        <v>3.6805555555555536E-2</v>
      </c>
      <c r="O33" s="44">
        <f>IF(data[[#This Row],[Hfin Interv.]]="",0,(
MIN(FinNuit,MIN(1,data[[#This Row],[Hfin corrigée]]))-MIN(FinNuit,data[[#This Row],[Hdébut corrigé]])
))</f>
        <v>0</v>
      </c>
      <c r="P33" s="44">
        <f>MAX(0,(MAX(0,(MIN(1,data[[#This Row],[Hfin corrigée]])-DebNuit))-MAX(0,(data[[#This Row],[Hdébut corrigé]]-DebNuit))))</f>
        <v>3.125E-2</v>
      </c>
      <c r="Q33" s="43" t="str">
        <f>IF(OR(WEEKDAY(data[[#This Row],[Date]]+data[[#This Row],[Hfin corrigée]],2)=7,COUNTIF(JF,INT(data[[#This Row],[Date]]+data[[#This Row],[Hfin corrigée]]))=1),"oui","non")</f>
        <v>non</v>
      </c>
      <c r="R33" s="44">
        <f>MAX(0,data[[#This Row],[Hfin corrigée]]-MAX(1,data[[#This Row],[Hdébut corrigé]]))-data[[#This Row],[NUIT2.1]]-data[[#This Row],[NUIT2.2]]</f>
        <v>0</v>
      </c>
      <c r="S33" s="44">
        <f>MAX(0,MIN(1+FinNuit,data[[#This Row],[Hfin corrigée]])-MAX(1,data[[#This Row],[Hdébut corrigé]]))</f>
        <v>0</v>
      </c>
      <c r="T33" s="44">
        <f>MAX(0,(data[[#This Row],[Hfin corrigée]]-DebNuit-1))</f>
        <v>0</v>
      </c>
      <c r="U33" s="45">
        <f>IF(data[[#This Row],[Garde / Interv.]]="Intervention",MAX(0,data[[#This Row],[Hfin corrigée]]-SUMPRODUCT((data[Date]=data[[#This Row],[Date]])*(data[Garde / Interv.]="Garde")*data[Hfin corrigée])),0)</f>
        <v>0</v>
      </c>
      <c r="V33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33" s="44">
        <f>MAX(0,IF(data[[#This Row],[Garde / Interv.]]="Intervention",(data[[#This Row],[Fin Dim ou Férié]]="non")*data[[#This Row],[JOUR2]]+(data[[#This Row],[Début Dim ou Férié]]="non")*data[[#This Row],[JOUR1]],0))</f>
        <v>3.6805555555555536E-2</v>
      </c>
      <c r="X33" s="44">
        <f>IF(data[[#This Row],[Garde / Interv.]]="Intervention",(data[[#This Row],[Fin Dim ou Férié]]="oui")*data[[#This Row],[JOUR2]]+(data[[#This Row],[Début Dim ou Férié]]="oui")*data[[#This Row],[JOUR1]],0)</f>
        <v>0</v>
      </c>
      <c r="Y33" s="44">
        <f>MAX(0,IF(data[[#This Row],[Garde / Interv.]]="Intervention",data[[#This Row],[NUIT1.1]]+data[[#This Row],[NUIT1.2]]+data[[#This Row],[NUIT2.1]]+data[[#This Row],[NUIT2.2]],0))</f>
        <v>3.125E-2</v>
      </c>
    </row>
    <row r="34" spans="1:28" x14ac:dyDescent="0.3">
      <c r="A34" s="68">
        <v>43506</v>
      </c>
      <c r="B34" s="137" t="str">
        <f>IF(data[[#This Row],[Hdébut garde]]&lt;&gt;"","Garde",IF(data[[#This Row],[Hdébut corrigé]]&lt;&gt;"","Intervention",""))</f>
        <v>Garde</v>
      </c>
      <c r="C34" s="83">
        <v>0.29166666666666669</v>
      </c>
      <c r="D34" s="60">
        <v>0.79166666666666663</v>
      </c>
      <c r="E34" s="47">
        <f>MAX(0,IF(data[[#This Row],[Garde / Interv.]]="Garde",data[[#This Row],[Hfin corrigée]]-data[[#This Row],[Hdébut corrigé]],0))</f>
        <v>0.49999999999999994</v>
      </c>
      <c r="F34" s="84"/>
      <c r="G34" s="61"/>
      <c r="H34" s="62"/>
      <c r="I34" s="63"/>
      <c r="J34" s="64"/>
      <c r="K34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34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0.79166666666666663</v>
      </c>
      <c r="M34" s="43" t="str">
        <f>IF(OR(WEEKDAY(data[[#This Row],[Date]],2)=7,COUNTIF(JF,data[[#This Row],[Date]])=1),"oui","non")</f>
        <v>oui</v>
      </c>
      <c r="N34" s="44">
        <f>MAX(0,(MIN(1,data[[#This Row],[Hfin corrigée]])-data[[#This Row],[Hdébut corrigé]])-data[[#This Row],[NUIT1.1]]-data[[#This Row],[NUIT1.2]])</f>
        <v>0.49999999999999994</v>
      </c>
      <c r="O34" s="44">
        <f>IF(data[[#This Row],[Hfin Interv.]]="",0,(
MIN(FinNuit,MIN(1,data[[#This Row],[Hfin corrigée]]))-MIN(FinNuit,data[[#This Row],[Hdébut corrigé]])
))</f>
        <v>0</v>
      </c>
      <c r="P34" s="44">
        <f>MAX(0,(MAX(0,(MIN(1,data[[#This Row],[Hfin corrigée]])-DebNuit))-MAX(0,(data[[#This Row],[Hdébut corrigé]]-DebNuit))))</f>
        <v>0</v>
      </c>
      <c r="Q34" s="43" t="str">
        <f>IF(OR(WEEKDAY(data[[#This Row],[Date]]+data[[#This Row],[Hfin corrigée]],2)=7,COUNTIF(JF,INT(data[[#This Row],[Date]]+data[[#This Row],[Hfin corrigée]]))=1),"oui","non")</f>
        <v>oui</v>
      </c>
      <c r="R34" s="44">
        <f>MAX(0,data[[#This Row],[Hfin corrigée]]-MAX(1,data[[#This Row],[Hdébut corrigé]]))-data[[#This Row],[NUIT2.1]]-data[[#This Row],[NUIT2.2]]</f>
        <v>0</v>
      </c>
      <c r="S34" s="44">
        <f>MAX(0,MIN(1+FinNuit,data[[#This Row],[Hfin corrigée]])-MAX(1,data[[#This Row],[Hdébut corrigé]]))</f>
        <v>0</v>
      </c>
      <c r="T34" s="44">
        <f>MAX(0,(data[[#This Row],[Hfin corrigée]]-DebNuit-1))</f>
        <v>0</v>
      </c>
      <c r="U34" s="45">
        <f>IF(data[[#This Row],[Garde / Interv.]]="Intervention",MAX(0,data[[#This Row],[Hfin corrigée]]-SUMPRODUCT((data[Date]=data[[#This Row],[Date]])*(data[Garde / Interv.]="Garde")*data[Hfin corrigée])),0)</f>
        <v>0</v>
      </c>
      <c r="V34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0.40277777777777779</v>
      </c>
      <c r="W34" s="44">
        <f>MAX(0,IF(data[[#This Row],[Garde / Interv.]]="Intervention",(data[[#This Row],[Fin Dim ou Férié]]="non")*data[[#This Row],[JOUR2]]+(data[[#This Row],[Début Dim ou Férié]]="non")*data[[#This Row],[JOUR1]],0))</f>
        <v>0</v>
      </c>
      <c r="X34" s="44">
        <f>IF(data[[#This Row],[Garde / Interv.]]="Intervention",(data[[#This Row],[Fin Dim ou Férié]]="oui")*data[[#This Row],[JOUR2]]+(data[[#This Row],[Début Dim ou Férié]]="oui")*data[[#This Row],[JOUR1]],0)</f>
        <v>0</v>
      </c>
      <c r="Y34" s="44">
        <f>MAX(0,IF(data[[#This Row],[Garde / Interv.]]="Intervention",data[[#This Row],[NUIT1.1]]+data[[#This Row],[NUIT1.2]]+data[[#This Row],[NUIT2.1]]+data[[#This Row],[NUIT2.2]],0))</f>
        <v>0</v>
      </c>
    </row>
    <row r="35" spans="1:28" x14ac:dyDescent="0.3">
      <c r="A35" s="68">
        <v>43506</v>
      </c>
      <c r="B35" s="137" t="str">
        <f>IF(data[[#This Row],[Hdébut garde]]&lt;&gt;"","Garde",IF(data[[#This Row],[Hdébut corrigé]]&lt;&gt;"","Intervention",""))</f>
        <v>Intervention</v>
      </c>
      <c r="C35" s="83"/>
      <c r="D35" s="60"/>
      <c r="E35" s="47">
        <f>MAX(0,IF(data[[#This Row],[Garde / Interv.]]="Garde",data[[#This Row],[Hfin corrigée]]-data[[#This Row],[Hdébut corrigé]],0))</f>
        <v>0</v>
      </c>
      <c r="F35" s="84"/>
      <c r="G35" s="61"/>
      <c r="H35" s="21" t="s">
        <v>2</v>
      </c>
      <c r="I35" s="63">
        <v>0.37083333333333335</v>
      </c>
      <c r="J35" s="64">
        <v>0.4680555555555555</v>
      </c>
      <c r="K35" s="42">
        <f>IF(data[[#This Row],[Hdébut garde]]&lt;&gt;"",
data[[#This Row],[Hdébut garde]],
data[[#This Row],[Hdébut interv.]]+IF(data[[#This Row],[Hdébut interv.]]&lt;SUMPRODUCT((data[Date]=data[[#This Row],[Date]])*data[Hdébut garde]),1,0)
)</f>
        <v>0.37083333333333335</v>
      </c>
      <c r="L35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0.4680555555555555</v>
      </c>
      <c r="M35" s="43" t="str">
        <f>IF(OR(WEEKDAY(data[[#This Row],[Date]],2)=7,COUNTIF(JF,data[[#This Row],[Date]])=1),"oui","non")</f>
        <v>oui</v>
      </c>
      <c r="N35" s="44">
        <f>MAX(0,(MIN(1,data[[#This Row],[Hfin corrigée]])-data[[#This Row],[Hdébut corrigé]])-data[[#This Row],[NUIT1.1]]-data[[#This Row],[NUIT1.2]])</f>
        <v>9.7222222222222154E-2</v>
      </c>
      <c r="O35" s="44">
        <f>IF(data[[#This Row],[Hfin Interv.]]="",0,(
MIN(FinNuit,MIN(1,data[[#This Row],[Hfin corrigée]]))-MIN(FinNuit,data[[#This Row],[Hdébut corrigé]])
))</f>
        <v>0</v>
      </c>
      <c r="P35" s="44">
        <f>MAX(0,(MAX(0,(MIN(1,data[[#This Row],[Hfin corrigée]])-DebNuit))-MAX(0,(data[[#This Row],[Hdébut corrigé]]-DebNuit))))</f>
        <v>0</v>
      </c>
      <c r="Q35" s="43" t="str">
        <f>IF(OR(WEEKDAY(data[[#This Row],[Date]]+data[[#This Row],[Hfin corrigée]],2)=7,COUNTIF(JF,INT(data[[#This Row],[Date]]+data[[#This Row],[Hfin corrigée]]))=1),"oui","non")</f>
        <v>oui</v>
      </c>
      <c r="R35" s="44">
        <f>MAX(0,data[[#This Row],[Hfin corrigée]]-MAX(1,data[[#This Row],[Hdébut corrigé]]))-data[[#This Row],[NUIT2.1]]-data[[#This Row],[NUIT2.2]]</f>
        <v>0</v>
      </c>
      <c r="S35" s="44">
        <f>MAX(0,MIN(1+FinNuit,data[[#This Row],[Hfin corrigée]])-MAX(1,data[[#This Row],[Hdébut corrigé]]))</f>
        <v>0</v>
      </c>
      <c r="T35" s="44">
        <f>MAX(0,(data[[#This Row],[Hfin corrigée]]-DebNuit-1))</f>
        <v>0</v>
      </c>
      <c r="U35" s="45">
        <f>IF(data[[#This Row],[Garde / Interv.]]="Intervention",MAX(0,data[[#This Row],[Hfin corrigée]]-SUMPRODUCT((data[Date]=data[[#This Row],[Date]])*(data[Garde / Interv.]="Garde")*data[Hfin corrigée])),0)</f>
        <v>0</v>
      </c>
      <c r="V35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35" s="44">
        <f>MAX(0,IF(data[[#This Row],[Garde / Interv.]]="Intervention",(data[[#This Row],[Fin Dim ou Férié]]="non")*data[[#This Row],[JOUR2]]+(data[[#This Row],[Début Dim ou Férié]]="non")*data[[#This Row],[JOUR1]],0))</f>
        <v>0</v>
      </c>
      <c r="X35" s="44">
        <f>IF(data[[#This Row],[Garde / Interv.]]="Intervention",(data[[#This Row],[Fin Dim ou Férié]]="oui")*data[[#This Row],[JOUR2]]+(data[[#This Row],[Début Dim ou Férié]]="oui")*data[[#This Row],[JOUR1]],0)</f>
        <v>9.7222222222222154E-2</v>
      </c>
      <c r="Y35" s="44">
        <f>MAX(0,IF(data[[#This Row],[Garde / Interv.]]="Intervention",data[[#This Row],[NUIT1.1]]+data[[#This Row],[NUIT1.2]]+data[[#This Row],[NUIT2.1]]+data[[#This Row],[NUIT2.2]],0))</f>
        <v>0</v>
      </c>
    </row>
    <row r="36" spans="1:28" x14ac:dyDescent="0.3">
      <c r="A36" s="68">
        <v>43510</v>
      </c>
      <c r="B36" s="137" t="str">
        <f>IF(data[[#This Row],[Hdébut garde]]&lt;&gt;"","Garde",IF(data[[#This Row],[Hdébut corrigé]]&lt;&gt;"","Intervention",""))</f>
        <v>Garde</v>
      </c>
      <c r="C36" s="83">
        <v>0.29166666666666669</v>
      </c>
      <c r="D36" s="60">
        <v>0.20833333333333334</v>
      </c>
      <c r="E36" s="47">
        <f>MAX(0,IF(data[[#This Row],[Garde / Interv.]]="Garde",data[[#This Row],[Hfin corrigée]]-data[[#This Row],[Hdébut corrigé]],0))</f>
        <v>0.91666666666666652</v>
      </c>
      <c r="F36" s="84"/>
      <c r="G36" s="61"/>
      <c r="H36" s="62" t="s">
        <v>97</v>
      </c>
      <c r="I36" s="63"/>
      <c r="J36" s="64"/>
      <c r="K36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36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1.2083333333333333</v>
      </c>
      <c r="M36" s="43" t="str">
        <f>IF(OR(WEEKDAY(data[[#This Row],[Date]],2)=7,COUNTIF(JF,data[[#This Row],[Date]])=1),"oui","non")</f>
        <v>non</v>
      </c>
      <c r="N36" s="44">
        <f>MAX(0,(MIN(1,data[[#This Row],[Hfin corrigée]])-data[[#This Row],[Hdébut corrigé]])-data[[#This Row],[NUIT1.1]]-data[[#This Row],[NUIT1.2]])</f>
        <v>0.62499999999999989</v>
      </c>
      <c r="O36" s="44">
        <f>IF(data[[#This Row],[Hfin Interv.]]="",0,(
MIN(FinNuit,MIN(1,data[[#This Row],[Hfin corrigée]]))-MIN(FinNuit,data[[#This Row],[Hdébut corrigé]])
))</f>
        <v>0</v>
      </c>
      <c r="P36" s="44">
        <f>MAX(0,(MAX(0,(MIN(1,data[[#This Row],[Hfin corrigée]])-DebNuit))-MAX(0,(data[[#This Row],[Hdébut corrigé]]-DebNuit))))</f>
        <v>8.333333333333337E-2</v>
      </c>
      <c r="Q36" s="43" t="str">
        <f>IF(OR(WEEKDAY(data[[#This Row],[Date]]+data[[#This Row],[Hfin corrigée]],2)=7,COUNTIF(JF,INT(data[[#This Row],[Date]]+data[[#This Row],[Hfin corrigée]]))=1),"oui","non")</f>
        <v>non</v>
      </c>
      <c r="R36" s="44">
        <f>MAX(0,data[[#This Row],[Hfin corrigée]]-MAX(1,data[[#This Row],[Hdébut corrigé]]))-data[[#This Row],[NUIT2.1]]-data[[#This Row],[NUIT2.2]]</f>
        <v>0</v>
      </c>
      <c r="S36" s="44">
        <f>MAX(0,MIN(1+FinNuit,data[[#This Row],[Hfin corrigée]])-MAX(1,data[[#This Row],[Hdébut corrigé]]))</f>
        <v>0.20833333333333326</v>
      </c>
      <c r="T36" s="44">
        <f>MAX(0,(data[[#This Row],[Hfin corrigée]]-DebNuit-1))</f>
        <v>0</v>
      </c>
      <c r="U36" s="45">
        <f>IF(data[[#This Row],[Garde / Interv.]]="Intervention",MAX(0,data[[#This Row],[Hfin corrigée]]-SUMPRODUCT((data[Date]=data[[#This Row],[Date]])*(data[Garde / Interv.]="Garde")*data[Hfin corrigée])),0)</f>
        <v>0</v>
      </c>
      <c r="V36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0.91666666666666652</v>
      </c>
      <c r="W36" s="44">
        <f>MAX(0,IF(data[[#This Row],[Garde / Interv.]]="Intervention",(data[[#This Row],[Fin Dim ou Férié]]="non")*data[[#This Row],[JOUR2]]+(data[[#This Row],[Début Dim ou Férié]]="non")*data[[#This Row],[JOUR1]],0))</f>
        <v>0</v>
      </c>
      <c r="X36" s="44">
        <f>IF(data[[#This Row],[Garde / Interv.]]="Intervention",(data[[#This Row],[Fin Dim ou Férié]]="oui")*data[[#This Row],[JOUR2]]+(data[[#This Row],[Début Dim ou Férié]]="oui")*data[[#This Row],[JOUR1]],0)</f>
        <v>0</v>
      </c>
      <c r="Y36" s="44">
        <f>MAX(0,IF(data[[#This Row],[Garde / Interv.]]="Intervention",data[[#This Row],[NUIT1.1]]+data[[#This Row],[NUIT1.2]]+data[[#This Row],[NUIT2.1]]+data[[#This Row],[NUIT2.2]],0))</f>
        <v>0</v>
      </c>
    </row>
    <row r="37" spans="1:28" x14ac:dyDescent="0.3">
      <c r="A37" s="68">
        <v>43513</v>
      </c>
      <c r="B37" s="137" t="str">
        <f>IF(data[[#This Row],[Hdébut garde]]&lt;&gt;"","Garde",IF(data[[#This Row],[Hdébut corrigé]]&lt;&gt;"","Intervention",""))</f>
        <v>Garde</v>
      </c>
      <c r="C37" s="83">
        <v>0.29166666666666669</v>
      </c>
      <c r="D37" s="60">
        <v>0.29166666666666669</v>
      </c>
      <c r="E37" s="47">
        <f>MAX(0,IF(data[[#This Row],[Garde / Interv.]]="Garde",data[[#This Row],[Hfin corrigée]]-data[[#This Row],[Hdébut corrigé]],0))</f>
        <v>1</v>
      </c>
      <c r="F37" s="84"/>
      <c r="G37" s="61"/>
      <c r="H37" s="62"/>
      <c r="I37" s="63"/>
      <c r="J37" s="64"/>
      <c r="K37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37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1.2916666666666667</v>
      </c>
      <c r="M37" s="43" t="str">
        <f>IF(OR(WEEKDAY(data[[#This Row],[Date]],2)=7,COUNTIF(JF,data[[#This Row],[Date]])=1),"oui","non")</f>
        <v>oui</v>
      </c>
      <c r="N37" s="44">
        <f>MAX(0,(MIN(1,data[[#This Row],[Hfin corrigée]])-data[[#This Row],[Hdébut corrigé]])-data[[#This Row],[NUIT1.1]]-data[[#This Row],[NUIT1.2]])</f>
        <v>0.62499999999999989</v>
      </c>
      <c r="O37" s="44">
        <f>IF(data[[#This Row],[Hfin Interv.]]="",0,(
MIN(FinNuit,MIN(1,data[[#This Row],[Hfin corrigée]]))-MIN(FinNuit,data[[#This Row],[Hdébut corrigé]])
))</f>
        <v>0</v>
      </c>
      <c r="P37" s="44">
        <f>MAX(0,(MAX(0,(MIN(1,data[[#This Row],[Hfin corrigée]])-DebNuit))-MAX(0,(data[[#This Row],[Hdébut corrigé]]-DebNuit))))</f>
        <v>8.333333333333337E-2</v>
      </c>
      <c r="Q37" s="43" t="str">
        <f>IF(OR(WEEKDAY(data[[#This Row],[Date]]+data[[#This Row],[Hfin corrigée]],2)=7,COUNTIF(JF,INT(data[[#This Row],[Date]]+data[[#This Row],[Hfin corrigée]]))=1),"oui","non")</f>
        <v>non</v>
      </c>
      <c r="R37" s="44">
        <f>MAX(0,data[[#This Row],[Hfin corrigée]]-MAX(1,data[[#This Row],[Hdébut corrigé]]))-data[[#This Row],[NUIT2.1]]-data[[#This Row],[NUIT2.2]]</f>
        <v>0</v>
      </c>
      <c r="S37" s="44">
        <f>MAX(0,MIN(1+FinNuit,data[[#This Row],[Hfin corrigée]])-MAX(1,data[[#This Row],[Hdébut corrigé]]))</f>
        <v>0.29166666666666674</v>
      </c>
      <c r="T37" s="44">
        <f>MAX(0,(data[[#This Row],[Hfin corrigée]]-DebNuit-1))</f>
        <v>0</v>
      </c>
      <c r="U37" s="45">
        <f>IF(data[[#This Row],[Garde / Interv.]]="Intervention",MAX(0,data[[#This Row],[Hfin corrigée]]-SUMPRODUCT((data[Date]=data[[#This Row],[Date]])*(data[Garde / Interv.]="Garde")*data[Hfin corrigée])),0)</f>
        <v>0</v>
      </c>
      <c r="V37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0.80972222222222223</v>
      </c>
      <c r="W37" s="44">
        <f>MAX(0,IF(data[[#This Row],[Garde / Interv.]]="Intervention",(data[[#This Row],[Fin Dim ou Férié]]="non")*data[[#This Row],[JOUR2]]+(data[[#This Row],[Début Dim ou Férié]]="non")*data[[#This Row],[JOUR1]],0))</f>
        <v>0</v>
      </c>
      <c r="X37" s="44">
        <f>IF(data[[#This Row],[Garde / Interv.]]="Intervention",(data[[#This Row],[Fin Dim ou Férié]]="oui")*data[[#This Row],[JOUR2]]+(data[[#This Row],[Début Dim ou Férié]]="oui")*data[[#This Row],[JOUR1]],0)</f>
        <v>0</v>
      </c>
      <c r="Y37" s="44">
        <f>MAX(0,IF(data[[#This Row],[Garde / Interv.]]="Intervention",data[[#This Row],[NUIT1.1]]+data[[#This Row],[NUIT1.2]]+data[[#This Row],[NUIT2.1]]+data[[#This Row],[NUIT2.2]],0))</f>
        <v>0</v>
      </c>
    </row>
    <row r="38" spans="1:28" x14ac:dyDescent="0.3">
      <c r="A38" s="68">
        <v>43513</v>
      </c>
      <c r="B38" s="137" t="str">
        <f>IF(data[[#This Row],[Hdébut garde]]&lt;&gt;"","Garde",IF(data[[#This Row],[Hdébut corrigé]]&lt;&gt;"","Intervention",""))</f>
        <v>Intervention</v>
      </c>
      <c r="C38" s="83"/>
      <c r="D38" s="60"/>
      <c r="E38" s="47">
        <f>MAX(0,IF(data[[#This Row],[Garde / Interv.]]="Garde",data[[#This Row],[Hfin corrigée]]-data[[#This Row],[Hdébut corrigé]],0))</f>
        <v>0</v>
      </c>
      <c r="F38" s="84"/>
      <c r="G38" s="61"/>
      <c r="H38" s="62"/>
      <c r="I38" s="63">
        <v>0.35347222222222219</v>
      </c>
      <c r="J38" s="64">
        <v>0.42499999999999999</v>
      </c>
      <c r="K38" s="42">
        <f>IF(data[[#This Row],[Hdébut garde]]&lt;&gt;"",
data[[#This Row],[Hdébut garde]],
data[[#This Row],[Hdébut interv.]]+IF(data[[#This Row],[Hdébut interv.]]&lt;SUMPRODUCT((data[Date]=data[[#This Row],[Date]])*data[Hdébut garde]),1,0)
)</f>
        <v>0.35347222222222219</v>
      </c>
      <c r="L38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0.42499999999999999</v>
      </c>
      <c r="M38" s="43" t="str">
        <f>IF(OR(WEEKDAY(data[[#This Row],[Date]],2)=7,COUNTIF(JF,data[[#This Row],[Date]])=1),"oui","non")</f>
        <v>oui</v>
      </c>
      <c r="N38" s="44">
        <f>MAX(0,(MIN(1,data[[#This Row],[Hfin corrigée]])-data[[#This Row],[Hdébut corrigé]])-data[[#This Row],[NUIT1.1]]-data[[#This Row],[NUIT1.2]])</f>
        <v>7.1527777777777801E-2</v>
      </c>
      <c r="O38" s="44">
        <f>IF(data[[#This Row],[Hfin Interv.]]="",0,(
MIN(FinNuit,MIN(1,data[[#This Row],[Hfin corrigée]]))-MIN(FinNuit,data[[#This Row],[Hdébut corrigé]])
))</f>
        <v>0</v>
      </c>
      <c r="P38" s="44">
        <f>MAX(0,(MAX(0,(MIN(1,data[[#This Row],[Hfin corrigée]])-DebNuit))-MAX(0,(data[[#This Row],[Hdébut corrigé]]-DebNuit))))</f>
        <v>0</v>
      </c>
      <c r="Q38" s="43" t="str">
        <f>IF(OR(WEEKDAY(data[[#This Row],[Date]]+data[[#This Row],[Hfin corrigée]],2)=7,COUNTIF(JF,INT(data[[#This Row],[Date]]+data[[#This Row],[Hfin corrigée]]))=1),"oui","non")</f>
        <v>oui</v>
      </c>
      <c r="R38" s="44">
        <f>MAX(0,data[[#This Row],[Hfin corrigée]]-MAX(1,data[[#This Row],[Hdébut corrigé]]))-data[[#This Row],[NUIT2.1]]-data[[#This Row],[NUIT2.2]]</f>
        <v>0</v>
      </c>
      <c r="S38" s="44">
        <f>MAX(0,MIN(1+FinNuit,data[[#This Row],[Hfin corrigée]])-MAX(1,data[[#This Row],[Hdébut corrigé]]))</f>
        <v>0</v>
      </c>
      <c r="T38" s="44">
        <f>MAX(0,(data[[#This Row],[Hfin corrigée]]-DebNuit-1))</f>
        <v>0</v>
      </c>
      <c r="U38" s="45">
        <f>IF(data[[#This Row],[Garde / Interv.]]="Intervention",MAX(0,data[[#This Row],[Hfin corrigée]]-SUMPRODUCT((data[Date]=data[[#This Row],[Date]])*(data[Garde / Interv.]="Garde")*data[Hfin corrigée])),0)</f>
        <v>0</v>
      </c>
      <c r="V38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38" s="44">
        <f>MAX(0,IF(data[[#This Row],[Garde / Interv.]]="Intervention",(data[[#This Row],[Fin Dim ou Férié]]="non")*data[[#This Row],[JOUR2]]+(data[[#This Row],[Début Dim ou Férié]]="non")*data[[#This Row],[JOUR1]],0))</f>
        <v>0</v>
      </c>
      <c r="X38" s="44">
        <f>IF(data[[#This Row],[Garde / Interv.]]="Intervention",(data[[#This Row],[Fin Dim ou Férié]]="oui")*data[[#This Row],[JOUR2]]+(data[[#This Row],[Début Dim ou Férié]]="oui")*data[[#This Row],[JOUR1]],0)</f>
        <v>7.1527777777777801E-2</v>
      </c>
      <c r="Y38" s="44">
        <f>MAX(0,IF(data[[#This Row],[Garde / Interv.]]="Intervention",data[[#This Row],[NUIT1.1]]+data[[#This Row],[NUIT1.2]]+data[[#This Row],[NUIT2.1]]+data[[#This Row],[NUIT2.2]],0))</f>
        <v>0</v>
      </c>
    </row>
    <row r="39" spans="1:28" x14ac:dyDescent="0.3">
      <c r="A39" s="68">
        <v>43513</v>
      </c>
      <c r="B39" s="137" t="str">
        <f>IF(data[[#This Row],[Hdébut garde]]&lt;&gt;"","Garde",IF(data[[#This Row],[Hdébut corrigé]]&lt;&gt;"","Intervention",""))</f>
        <v>Intervention</v>
      </c>
      <c r="C39" s="83"/>
      <c r="D39" s="60"/>
      <c r="E39" s="47">
        <f>MAX(0,IF(data[[#This Row],[Garde / Interv.]]="Garde",data[[#This Row],[Hfin corrigée]]-data[[#This Row],[Hdébut corrigé]],0))</f>
        <v>0</v>
      </c>
      <c r="F39" s="84"/>
      <c r="G39" s="61"/>
      <c r="H39" s="62"/>
      <c r="I39" s="63">
        <v>0.46458333333333335</v>
      </c>
      <c r="J39" s="64">
        <v>0.52083333333333337</v>
      </c>
      <c r="K39" s="42">
        <f>IF(data[[#This Row],[Hdébut garde]]&lt;&gt;"",
data[[#This Row],[Hdébut garde]],
data[[#This Row],[Hdébut interv.]]+IF(data[[#This Row],[Hdébut interv.]]&lt;SUMPRODUCT((data[Date]=data[[#This Row],[Date]])*data[Hdébut garde]),1,0)
)</f>
        <v>0.46458333333333335</v>
      </c>
      <c r="L39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0.52083333333333337</v>
      </c>
      <c r="M39" s="43" t="str">
        <f>IF(OR(WEEKDAY(data[[#This Row],[Date]],2)=7,COUNTIF(JF,data[[#This Row],[Date]])=1),"oui","non")</f>
        <v>oui</v>
      </c>
      <c r="N39" s="44">
        <f>MAX(0,(MIN(1,data[[#This Row],[Hfin corrigée]])-data[[#This Row],[Hdébut corrigé]])-data[[#This Row],[NUIT1.1]]-data[[#This Row],[NUIT1.2]])</f>
        <v>5.6250000000000022E-2</v>
      </c>
      <c r="O39" s="44">
        <f>IF(data[[#This Row],[Hfin Interv.]]="",0,(
MIN(FinNuit,MIN(1,data[[#This Row],[Hfin corrigée]]))-MIN(FinNuit,data[[#This Row],[Hdébut corrigé]])
))</f>
        <v>0</v>
      </c>
      <c r="P39" s="44">
        <f>MAX(0,(MAX(0,(MIN(1,data[[#This Row],[Hfin corrigée]])-DebNuit))-MAX(0,(data[[#This Row],[Hdébut corrigé]]-DebNuit))))</f>
        <v>0</v>
      </c>
      <c r="Q39" s="43" t="str">
        <f>IF(OR(WEEKDAY(data[[#This Row],[Date]]+data[[#This Row],[Hfin corrigée]],2)=7,COUNTIF(JF,INT(data[[#This Row],[Date]]+data[[#This Row],[Hfin corrigée]]))=1),"oui","non")</f>
        <v>oui</v>
      </c>
      <c r="R39" s="44">
        <f>MAX(0,data[[#This Row],[Hfin corrigée]]-MAX(1,data[[#This Row],[Hdébut corrigé]]))-data[[#This Row],[NUIT2.1]]-data[[#This Row],[NUIT2.2]]</f>
        <v>0</v>
      </c>
      <c r="S39" s="44">
        <f>MAX(0,MIN(1+FinNuit,data[[#This Row],[Hfin corrigée]])-MAX(1,data[[#This Row],[Hdébut corrigé]]))</f>
        <v>0</v>
      </c>
      <c r="T39" s="44">
        <f>MAX(0,(data[[#This Row],[Hfin corrigée]]-DebNuit-1))</f>
        <v>0</v>
      </c>
      <c r="U39" s="45">
        <f>IF(data[[#This Row],[Garde / Interv.]]="Intervention",MAX(0,data[[#This Row],[Hfin corrigée]]-SUMPRODUCT((data[Date]=data[[#This Row],[Date]])*(data[Garde / Interv.]="Garde")*data[Hfin corrigée])),0)</f>
        <v>0</v>
      </c>
      <c r="V39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39" s="44">
        <f>MAX(0,IF(data[[#This Row],[Garde / Interv.]]="Intervention",(data[[#This Row],[Fin Dim ou Férié]]="non")*data[[#This Row],[JOUR2]]+(data[[#This Row],[Début Dim ou Férié]]="non")*data[[#This Row],[JOUR1]],0))</f>
        <v>0</v>
      </c>
      <c r="X39" s="44">
        <f>IF(data[[#This Row],[Garde / Interv.]]="Intervention",(data[[#This Row],[Fin Dim ou Férié]]="oui")*data[[#This Row],[JOUR2]]+(data[[#This Row],[Début Dim ou Férié]]="oui")*data[[#This Row],[JOUR1]],0)</f>
        <v>5.6250000000000022E-2</v>
      </c>
      <c r="Y39" s="44">
        <f>MAX(0,IF(data[[#This Row],[Garde / Interv.]]="Intervention",data[[#This Row],[NUIT1.1]]+data[[#This Row],[NUIT1.2]]+data[[#This Row],[NUIT2.1]]+data[[#This Row],[NUIT2.2]],0))</f>
        <v>0</v>
      </c>
    </row>
    <row r="40" spans="1:28" x14ac:dyDescent="0.3">
      <c r="A40" s="68">
        <v>43513</v>
      </c>
      <c r="B40" s="137" t="str">
        <f>IF(data[[#This Row],[Hdébut garde]]&lt;&gt;"","Garde",IF(data[[#This Row],[Hdébut corrigé]]&lt;&gt;"","Intervention",""))</f>
        <v>Intervention</v>
      </c>
      <c r="C40" s="83"/>
      <c r="D40" s="60"/>
      <c r="E40" s="47">
        <f>MAX(0,IF(data[[#This Row],[Garde / Interv.]]="Garde",data[[#This Row],[Hfin corrigée]]-data[[#This Row],[Hdébut corrigé]],0))</f>
        <v>0</v>
      </c>
      <c r="F40" s="84"/>
      <c r="G40" s="61"/>
      <c r="H40" s="62"/>
      <c r="I40" s="63">
        <v>0.59583333333333333</v>
      </c>
      <c r="J40" s="64">
        <v>0.65833333333333333</v>
      </c>
      <c r="K40" s="42">
        <f>IF(data[[#This Row],[Hdébut garde]]&lt;&gt;"",
data[[#This Row],[Hdébut garde]],
data[[#This Row],[Hdébut interv.]]+IF(data[[#This Row],[Hdébut interv.]]&lt;SUMPRODUCT((data[Date]=data[[#This Row],[Date]])*data[Hdébut garde]),1,0)
)</f>
        <v>0.59583333333333333</v>
      </c>
      <c r="L40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0.65833333333333333</v>
      </c>
      <c r="M40" s="43" t="str">
        <f>IF(OR(WEEKDAY(data[[#This Row],[Date]],2)=7,COUNTIF(JF,data[[#This Row],[Date]])=1),"oui","non")</f>
        <v>oui</v>
      </c>
      <c r="N40" s="44">
        <f>MAX(0,(MIN(1,data[[#This Row],[Hfin corrigée]])-data[[#This Row],[Hdébut corrigé]])-data[[#This Row],[NUIT1.1]]-data[[#This Row],[NUIT1.2]])</f>
        <v>6.25E-2</v>
      </c>
      <c r="O40" s="44">
        <f>IF(data[[#This Row],[Hfin Interv.]]="",0,(
MIN(FinNuit,MIN(1,data[[#This Row],[Hfin corrigée]]))-MIN(FinNuit,data[[#This Row],[Hdébut corrigé]])
))</f>
        <v>0</v>
      </c>
      <c r="P40" s="44">
        <f>MAX(0,(MAX(0,(MIN(1,data[[#This Row],[Hfin corrigée]])-DebNuit))-MAX(0,(data[[#This Row],[Hdébut corrigé]]-DebNuit))))</f>
        <v>0</v>
      </c>
      <c r="Q40" s="43" t="str">
        <f>IF(OR(WEEKDAY(data[[#This Row],[Date]]+data[[#This Row],[Hfin corrigée]],2)=7,COUNTIF(JF,INT(data[[#This Row],[Date]]+data[[#This Row],[Hfin corrigée]]))=1),"oui","non")</f>
        <v>oui</v>
      </c>
      <c r="R40" s="44">
        <f>MAX(0,data[[#This Row],[Hfin corrigée]]-MAX(1,data[[#This Row],[Hdébut corrigé]]))-data[[#This Row],[NUIT2.1]]-data[[#This Row],[NUIT2.2]]</f>
        <v>0</v>
      </c>
      <c r="S40" s="44">
        <f>MAX(0,MIN(1+FinNuit,data[[#This Row],[Hfin corrigée]])-MAX(1,data[[#This Row],[Hdébut corrigé]]))</f>
        <v>0</v>
      </c>
      <c r="T40" s="44">
        <f>MAX(0,(data[[#This Row],[Hfin corrigée]]-DebNuit-1))</f>
        <v>0</v>
      </c>
      <c r="U40" s="45">
        <f>IF(data[[#This Row],[Garde / Interv.]]="Intervention",MAX(0,data[[#This Row],[Hfin corrigée]]-SUMPRODUCT((data[Date]=data[[#This Row],[Date]])*(data[Garde / Interv.]="Garde")*data[Hfin corrigée])),0)</f>
        <v>0</v>
      </c>
      <c r="V40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40" s="44">
        <f>MAX(0,IF(data[[#This Row],[Garde / Interv.]]="Intervention",(data[[#This Row],[Fin Dim ou Férié]]="non")*data[[#This Row],[JOUR2]]+(data[[#This Row],[Début Dim ou Férié]]="non")*data[[#This Row],[JOUR1]],0))</f>
        <v>0</v>
      </c>
      <c r="X40" s="44">
        <f>IF(data[[#This Row],[Garde / Interv.]]="Intervention",(data[[#This Row],[Fin Dim ou Férié]]="oui")*data[[#This Row],[JOUR2]]+(data[[#This Row],[Début Dim ou Férié]]="oui")*data[[#This Row],[JOUR1]],0)</f>
        <v>6.25E-2</v>
      </c>
      <c r="Y40" s="44">
        <f>MAX(0,IF(data[[#This Row],[Garde / Interv.]]="Intervention",data[[#This Row],[NUIT1.1]]+data[[#This Row],[NUIT1.2]]+data[[#This Row],[NUIT2.1]]+data[[#This Row],[NUIT2.2]],0))</f>
        <v>0</v>
      </c>
    </row>
    <row r="41" spans="1:28" s="153" customFormat="1" ht="15" thickBot="1" x14ac:dyDescent="0.35">
      <c r="A41" s="138">
        <v>43517</v>
      </c>
      <c r="B41" s="139" t="str">
        <f>IF(data[[#This Row],[Hdébut garde]]&lt;&gt;"","Garde",IF(data[[#This Row],[Hdébut corrigé]]&lt;&gt;"","Intervention",""))</f>
        <v>Garde</v>
      </c>
      <c r="C41" s="140">
        <v>0.29166666666666669</v>
      </c>
      <c r="D41" s="141">
        <v>0.29166666666666669</v>
      </c>
      <c r="E41" s="142">
        <f>MAX(0,IF(data[[#This Row],[Garde / Interv.]]="Garde",data[[#This Row],[Hfin corrigée]]-data[[#This Row],[Hdébut corrigé]],0))</f>
        <v>1</v>
      </c>
      <c r="F41" s="143"/>
      <c r="G41" s="144"/>
      <c r="H41" s="145" t="s">
        <v>97</v>
      </c>
      <c r="I41" s="146"/>
      <c r="J41" s="147"/>
      <c r="K41" s="148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41" s="148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1.2916666666666667</v>
      </c>
      <c r="M41" s="149" t="str">
        <f>IF(OR(WEEKDAY(data[[#This Row],[Date]],2)=7,COUNTIF(JF,data[[#This Row],[Date]])=1),"oui","non")</f>
        <v>non</v>
      </c>
      <c r="N41" s="150">
        <f>MAX(0,(MIN(1,data[[#This Row],[Hfin corrigée]])-data[[#This Row],[Hdébut corrigé]])-data[[#This Row],[NUIT1.1]]-data[[#This Row],[NUIT1.2]])</f>
        <v>0.62499999999999989</v>
      </c>
      <c r="O41" s="150">
        <f>IF(data[[#This Row],[Hfin Interv.]]="",0,(
MIN(FinNuit,MIN(1,data[[#This Row],[Hfin corrigée]]))-MIN(FinNuit,data[[#This Row],[Hdébut corrigé]])
))</f>
        <v>0</v>
      </c>
      <c r="P41" s="150">
        <f>MAX(0,(MAX(0,(MIN(1,data[[#This Row],[Hfin corrigée]])-DebNuit))-MAX(0,(data[[#This Row],[Hdébut corrigé]]-DebNuit))))</f>
        <v>8.333333333333337E-2</v>
      </c>
      <c r="Q41" s="149" t="str">
        <f>IF(OR(WEEKDAY(data[[#This Row],[Date]]+data[[#This Row],[Hfin corrigée]],2)=7,COUNTIF(JF,INT(data[[#This Row],[Date]]+data[[#This Row],[Hfin corrigée]]))=1),"oui","non")</f>
        <v>non</v>
      </c>
      <c r="R41" s="150">
        <f>MAX(0,data[[#This Row],[Hfin corrigée]]-MAX(1,data[[#This Row],[Hdébut corrigé]]))-data[[#This Row],[NUIT2.1]]-data[[#This Row],[NUIT2.2]]</f>
        <v>0</v>
      </c>
      <c r="S41" s="150">
        <f>MAX(0,MIN(1+FinNuit,data[[#This Row],[Hfin corrigée]])-MAX(1,data[[#This Row],[Hdébut corrigé]]))</f>
        <v>0.29166666666666674</v>
      </c>
      <c r="T41" s="150">
        <f>MAX(0,(data[[#This Row],[Hfin corrigée]]-DebNuit-1))</f>
        <v>0</v>
      </c>
      <c r="U41" s="151">
        <f>IF(data[[#This Row],[Garde / Interv.]]="Intervention",MAX(0,data[[#This Row],[Hfin corrigée]]-SUMPRODUCT((data[Date]=data[[#This Row],[Date]])*(data[Garde / Interv.]="Garde")*data[Hfin corrigée])),0)</f>
        <v>0</v>
      </c>
      <c r="V41" s="150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1</v>
      </c>
      <c r="W41" s="150">
        <f>MAX(0,IF(data[[#This Row],[Garde / Interv.]]="Intervention",(data[[#This Row],[Fin Dim ou Férié]]="non")*data[[#This Row],[JOUR2]]+(data[[#This Row],[Début Dim ou Férié]]="non")*data[[#This Row],[JOUR1]],0))</f>
        <v>0</v>
      </c>
      <c r="X41" s="150">
        <f>IF(data[[#This Row],[Garde / Interv.]]="Intervention",(data[[#This Row],[Fin Dim ou Férié]]="oui")*data[[#This Row],[JOUR2]]+(data[[#This Row],[Début Dim ou Férié]]="oui")*data[[#This Row],[JOUR1]],0)</f>
        <v>0</v>
      </c>
      <c r="Y41" s="150">
        <f>MAX(0,IF(data[[#This Row],[Garde / Interv.]]="Intervention",data[[#This Row],[NUIT1.1]]+data[[#This Row],[NUIT1.2]]+data[[#This Row],[NUIT2.1]]+data[[#This Row],[NUIT2.2]],0))</f>
        <v>0</v>
      </c>
      <c r="Z41" s="152"/>
    </row>
    <row r="42" spans="1:28" ht="15" thickTop="1" x14ac:dyDescent="0.3">
      <c r="A42" s="68">
        <v>43532</v>
      </c>
      <c r="B42" s="137" t="str">
        <f>IF(data[[#This Row],[Hdébut garde]]&lt;&gt;"","Garde",IF(data[[#This Row],[Hdébut corrigé]]&lt;&gt;"","Intervention",""))</f>
        <v>Garde</v>
      </c>
      <c r="C42" s="83">
        <v>0.45833333333333331</v>
      </c>
      <c r="D42" s="60">
        <v>0.29166666666666669</v>
      </c>
      <c r="E42" s="47">
        <f>MAX(0,IF(data[[#This Row],[Garde / Interv.]]="Garde",data[[#This Row],[Hfin corrigée]]-data[[#This Row],[Hdébut corrigé]],0))</f>
        <v>0.83333333333333348</v>
      </c>
      <c r="F42" s="84"/>
      <c r="G42" s="61"/>
      <c r="H42" s="62"/>
      <c r="I42" s="63"/>
      <c r="J42" s="64"/>
      <c r="K42" s="42">
        <f>IF(data[[#This Row],[Hdébut garde]]&lt;&gt;"",
data[[#This Row],[Hdébut garde]],
data[[#This Row],[Hdébut interv.]]+IF(data[[#This Row],[Hdébut interv.]]&lt;SUMPRODUCT((data[Date]=data[[#This Row],[Date]])*data[Hdébut garde]),1,0)
)</f>
        <v>0.45833333333333331</v>
      </c>
      <c r="L42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1.2916666666666667</v>
      </c>
      <c r="M42" s="43" t="str">
        <f>IF(OR(WEEKDAY(data[[#This Row],[Date]],2)=7,COUNTIF(JF,data[[#This Row],[Date]])=1),"oui","non")</f>
        <v>non</v>
      </c>
      <c r="N42" s="44">
        <f>MAX(0,(MIN(1,data[[#This Row],[Hfin corrigée]])-data[[#This Row],[Hdébut corrigé]])-data[[#This Row],[NUIT1.1]]-data[[#This Row],[NUIT1.2]])</f>
        <v>0.45833333333333337</v>
      </c>
      <c r="O42" s="44">
        <f>IF(data[[#This Row],[Hfin Interv.]]="",0,(
MIN(FinNuit,MIN(1,data[[#This Row],[Hfin corrigée]]))-MIN(FinNuit,data[[#This Row],[Hdébut corrigé]])
))</f>
        <v>0</v>
      </c>
      <c r="P42" s="44">
        <f>MAX(0,(MAX(0,(MIN(1,data[[#This Row],[Hfin corrigée]])-DebNuit))-MAX(0,(data[[#This Row],[Hdébut corrigé]]-DebNuit))))</f>
        <v>8.333333333333337E-2</v>
      </c>
      <c r="Q42" s="43" t="str">
        <f>IF(OR(WEEKDAY(data[[#This Row],[Date]]+data[[#This Row],[Hfin corrigée]],2)=7,COUNTIF(JF,INT(data[[#This Row],[Date]]+data[[#This Row],[Hfin corrigée]]))=1),"oui","non")</f>
        <v>non</v>
      </c>
      <c r="R42" s="44">
        <f>MAX(0,data[[#This Row],[Hfin corrigée]]-MAX(1,data[[#This Row],[Hdébut corrigé]]))-data[[#This Row],[NUIT2.1]]-data[[#This Row],[NUIT2.2]]</f>
        <v>0</v>
      </c>
      <c r="S42" s="44">
        <f>MAX(0,MIN(1+FinNuit,data[[#This Row],[Hfin corrigée]])-MAX(1,data[[#This Row],[Hdébut corrigé]]))</f>
        <v>0.29166666666666674</v>
      </c>
      <c r="T42" s="44">
        <f>MAX(0,(data[[#This Row],[Hfin corrigée]]-DebNuit-1))</f>
        <v>0</v>
      </c>
      <c r="U42" s="45">
        <f>IF(data[[#This Row],[Garde / Interv.]]="Intervention",MAX(0,data[[#This Row],[Hfin corrigée]]-SUMPRODUCT((data[Date]=data[[#This Row],[Date]])*(data[Garde / Interv.]="Garde")*data[Hfin corrigée])),0)</f>
        <v>0</v>
      </c>
      <c r="V42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0.67638888888888893</v>
      </c>
      <c r="W42" s="44">
        <f>MAX(0,IF(data[[#This Row],[Garde / Interv.]]="Intervention",(data[[#This Row],[Fin Dim ou Férié]]="non")*data[[#This Row],[JOUR2]]+(data[[#This Row],[Début Dim ou Férié]]="non")*data[[#This Row],[JOUR1]],0))</f>
        <v>0</v>
      </c>
      <c r="X42" s="44">
        <f>IF(data[[#This Row],[Garde / Interv.]]="Intervention",(data[[#This Row],[Fin Dim ou Férié]]="oui")*data[[#This Row],[JOUR2]]+(data[[#This Row],[Début Dim ou Férié]]="oui")*data[[#This Row],[JOUR1]],0)</f>
        <v>0</v>
      </c>
      <c r="Y42" s="44">
        <f>MAX(0,IF(data[[#This Row],[Garde / Interv.]]="Intervention",data[[#This Row],[NUIT1.1]]+data[[#This Row],[NUIT1.2]]+data[[#This Row],[NUIT2.1]]+data[[#This Row],[NUIT2.2]],0))</f>
        <v>0</v>
      </c>
    </row>
    <row r="43" spans="1:28" x14ac:dyDescent="0.3">
      <c r="A43" s="68">
        <v>43532</v>
      </c>
      <c r="B43" s="137" t="str">
        <f>IF(data[[#This Row],[Hdébut garde]]&lt;&gt;"","Garde",IF(data[[#This Row],[Hdébut corrigé]]&lt;&gt;"","Intervention",""))</f>
        <v>Intervention</v>
      </c>
      <c r="C43" s="83"/>
      <c r="D43" s="60"/>
      <c r="E43" s="47">
        <f>MAX(0,IF(data[[#This Row],[Garde / Interv.]]="Garde",data[[#This Row],[Hfin corrigée]]-data[[#This Row],[Hdébut corrigé]],0))</f>
        <v>0</v>
      </c>
      <c r="F43" s="84"/>
      <c r="G43" s="61"/>
      <c r="H43" s="62" t="s">
        <v>2</v>
      </c>
      <c r="I43" s="63">
        <v>0.48194444444444445</v>
      </c>
      <c r="J43" s="64">
        <v>0.51527777777777783</v>
      </c>
      <c r="K43" s="42">
        <f>IF(data[[#This Row],[Hdébut garde]]&lt;&gt;"",
data[[#This Row],[Hdébut garde]],
data[[#This Row],[Hdébut interv.]]+IF(data[[#This Row],[Hdébut interv.]]&lt;SUMPRODUCT((data[Date]=data[[#This Row],[Date]])*data[Hdébut garde]),1,0)
)</f>
        <v>0.48194444444444445</v>
      </c>
      <c r="L43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0.51527777777777783</v>
      </c>
      <c r="M43" s="43" t="str">
        <f>IF(OR(WEEKDAY(data[[#This Row],[Date]],2)=7,COUNTIF(JF,data[[#This Row],[Date]])=1),"oui","non")</f>
        <v>non</v>
      </c>
      <c r="N43" s="44">
        <f>MAX(0,(MIN(1,data[[#This Row],[Hfin corrigée]])-data[[#This Row],[Hdébut corrigé]])-data[[#This Row],[NUIT1.1]]-data[[#This Row],[NUIT1.2]])</f>
        <v>3.3333333333333381E-2</v>
      </c>
      <c r="O43" s="44">
        <f>IF(data[[#This Row],[Hfin Interv.]]="",0,(
MIN(FinNuit,MIN(1,data[[#This Row],[Hfin corrigée]]))-MIN(FinNuit,data[[#This Row],[Hdébut corrigé]])
))</f>
        <v>0</v>
      </c>
      <c r="P43" s="44">
        <f>MAX(0,(MAX(0,(MIN(1,data[[#This Row],[Hfin corrigée]])-DebNuit))-MAX(0,(data[[#This Row],[Hdébut corrigé]]-DebNuit))))</f>
        <v>0</v>
      </c>
      <c r="Q43" s="43" t="str">
        <f>IF(OR(WEEKDAY(data[[#This Row],[Date]]+data[[#This Row],[Hfin corrigée]],2)=7,COUNTIF(JF,INT(data[[#This Row],[Date]]+data[[#This Row],[Hfin corrigée]]))=1),"oui","non")</f>
        <v>non</v>
      </c>
      <c r="R43" s="44">
        <f>MAX(0,data[[#This Row],[Hfin corrigée]]-MAX(1,data[[#This Row],[Hdébut corrigé]]))-data[[#This Row],[NUIT2.1]]-data[[#This Row],[NUIT2.2]]</f>
        <v>0</v>
      </c>
      <c r="S43" s="44">
        <f>MAX(0,MIN(1+FinNuit,data[[#This Row],[Hfin corrigée]])-MAX(1,data[[#This Row],[Hdébut corrigé]]))</f>
        <v>0</v>
      </c>
      <c r="T43" s="44">
        <f>MAX(0,(data[[#This Row],[Hfin corrigée]]-DebNuit-1))</f>
        <v>0</v>
      </c>
      <c r="U43" s="45">
        <f>IF(data[[#This Row],[Garde / Interv.]]="Intervention",MAX(0,data[[#This Row],[Hfin corrigée]]-SUMPRODUCT((data[Date]=data[[#This Row],[Date]])*(data[Garde / Interv.]="Garde")*data[Hfin corrigée])),0)</f>
        <v>0</v>
      </c>
      <c r="V43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43" s="44">
        <f>MAX(0,IF(data[[#This Row],[Garde / Interv.]]="Intervention",(data[[#This Row],[Fin Dim ou Férié]]="non")*data[[#This Row],[JOUR2]]+(data[[#This Row],[Début Dim ou Férié]]="non")*data[[#This Row],[JOUR1]],0))</f>
        <v>3.3333333333333381E-2</v>
      </c>
      <c r="X43" s="44">
        <f>IF(data[[#This Row],[Garde / Interv.]]="Intervention",(data[[#This Row],[Fin Dim ou Férié]]="oui")*data[[#This Row],[JOUR2]]+(data[[#This Row],[Début Dim ou Férié]]="oui")*data[[#This Row],[JOUR1]],0)</f>
        <v>0</v>
      </c>
      <c r="Y43" s="44">
        <f>MAX(0,IF(data[[#This Row],[Garde / Interv.]]="Intervention",data[[#This Row],[NUIT1.1]]+data[[#This Row],[NUIT1.2]]+data[[#This Row],[NUIT2.1]]+data[[#This Row],[NUIT2.2]],0))</f>
        <v>0</v>
      </c>
    </row>
    <row r="44" spans="1:28" x14ac:dyDescent="0.3">
      <c r="A44" s="68">
        <v>43532</v>
      </c>
      <c r="B44" s="137" t="str">
        <f>IF(data[[#This Row],[Hdébut garde]]&lt;&gt;"","Garde",IF(data[[#This Row],[Hdébut corrigé]]&lt;&gt;"","Intervention",""))</f>
        <v>Intervention</v>
      </c>
      <c r="C44" s="83"/>
      <c r="D44" s="60"/>
      <c r="E44" s="47">
        <f>MAX(0,IF(data[[#This Row],[Garde / Interv.]]="Garde",data[[#This Row],[Hfin corrigée]]-data[[#This Row],[Hdébut corrigé]],0))</f>
        <v>0</v>
      </c>
      <c r="F44" s="84"/>
      <c r="G44" s="61"/>
      <c r="H44" s="62" t="s">
        <v>2</v>
      </c>
      <c r="I44" s="63">
        <v>0.52847222222222223</v>
      </c>
      <c r="J44" s="64">
        <v>0.54513888888888895</v>
      </c>
      <c r="K44" s="42">
        <f>IF(data[[#This Row],[Hdébut garde]]&lt;&gt;"",
data[[#This Row],[Hdébut garde]],
data[[#This Row],[Hdébut interv.]]+IF(data[[#This Row],[Hdébut interv.]]&lt;SUMPRODUCT((data[Date]=data[[#This Row],[Date]])*data[Hdébut garde]),1,0)
)</f>
        <v>0.52847222222222223</v>
      </c>
      <c r="L44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0.54513888888888895</v>
      </c>
      <c r="M44" s="43" t="str">
        <f>IF(OR(WEEKDAY(data[[#This Row],[Date]],2)=7,COUNTIF(JF,data[[#This Row],[Date]])=1),"oui","non")</f>
        <v>non</v>
      </c>
      <c r="N44" s="44">
        <f>MAX(0,(MIN(1,data[[#This Row],[Hfin corrigée]])-data[[#This Row],[Hdébut corrigé]])-data[[#This Row],[NUIT1.1]]-data[[#This Row],[NUIT1.2]])</f>
        <v>1.6666666666666718E-2</v>
      </c>
      <c r="O44" s="44">
        <f>IF(data[[#This Row],[Hfin Interv.]]="",0,(
MIN(FinNuit,MIN(1,data[[#This Row],[Hfin corrigée]]))-MIN(FinNuit,data[[#This Row],[Hdébut corrigé]])
))</f>
        <v>0</v>
      </c>
      <c r="P44" s="44">
        <f>MAX(0,(MAX(0,(MIN(1,data[[#This Row],[Hfin corrigée]])-DebNuit))-MAX(0,(data[[#This Row],[Hdébut corrigé]]-DebNuit))))</f>
        <v>0</v>
      </c>
      <c r="Q44" s="43" t="str">
        <f>IF(OR(WEEKDAY(data[[#This Row],[Date]]+data[[#This Row],[Hfin corrigée]],2)=7,COUNTIF(JF,INT(data[[#This Row],[Date]]+data[[#This Row],[Hfin corrigée]]))=1),"oui","non")</f>
        <v>non</v>
      </c>
      <c r="R44" s="44">
        <f>MAX(0,data[[#This Row],[Hfin corrigée]]-MAX(1,data[[#This Row],[Hdébut corrigé]]))-data[[#This Row],[NUIT2.1]]-data[[#This Row],[NUIT2.2]]</f>
        <v>0</v>
      </c>
      <c r="S44" s="44">
        <f>MAX(0,MIN(1+FinNuit,data[[#This Row],[Hfin corrigée]])-MAX(1,data[[#This Row],[Hdébut corrigé]]))</f>
        <v>0</v>
      </c>
      <c r="T44" s="44">
        <f>MAX(0,(data[[#This Row],[Hfin corrigée]]-DebNuit-1))</f>
        <v>0</v>
      </c>
      <c r="U44" s="45">
        <f>IF(data[[#This Row],[Garde / Interv.]]="Intervention",MAX(0,data[[#This Row],[Hfin corrigée]]-SUMPRODUCT((data[Date]=data[[#This Row],[Date]])*(data[Garde / Interv.]="Garde")*data[Hfin corrigée])),0)</f>
        <v>0</v>
      </c>
      <c r="V44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44" s="44">
        <f>MAX(0,IF(data[[#This Row],[Garde / Interv.]]="Intervention",(data[[#This Row],[Fin Dim ou Férié]]="non")*data[[#This Row],[JOUR2]]+(data[[#This Row],[Début Dim ou Férié]]="non")*data[[#This Row],[JOUR1]],0))</f>
        <v>1.6666666666666718E-2</v>
      </c>
      <c r="X44" s="44">
        <f>IF(data[[#This Row],[Garde / Interv.]]="Intervention",(data[[#This Row],[Fin Dim ou Férié]]="oui")*data[[#This Row],[JOUR2]]+(data[[#This Row],[Début Dim ou Férié]]="oui")*data[[#This Row],[JOUR1]],0)</f>
        <v>0</v>
      </c>
      <c r="Y44" s="44">
        <f>MAX(0,IF(data[[#This Row],[Garde / Interv.]]="Intervention",data[[#This Row],[NUIT1.1]]+data[[#This Row],[NUIT1.2]]+data[[#This Row],[NUIT2.1]]+data[[#This Row],[NUIT2.2]],0))</f>
        <v>0</v>
      </c>
    </row>
    <row r="45" spans="1:28" x14ac:dyDescent="0.3">
      <c r="A45" s="68">
        <v>43532</v>
      </c>
      <c r="B45" s="137" t="str">
        <f>IF(data[[#This Row],[Hdébut garde]]&lt;&gt;"","Garde",IF(data[[#This Row],[Hdébut corrigé]]&lt;&gt;"","Intervention",""))</f>
        <v>Intervention</v>
      </c>
      <c r="C45" s="83"/>
      <c r="D45" s="60"/>
      <c r="E45" s="47">
        <f>MAX(0,IF(data[[#This Row],[Garde / Interv.]]="Garde",data[[#This Row],[Hfin corrigée]]-data[[#This Row],[Hdébut corrigé]],0))</f>
        <v>0</v>
      </c>
      <c r="F45" s="84"/>
      <c r="G45" s="61"/>
      <c r="H45" s="62" t="s">
        <v>2</v>
      </c>
      <c r="I45" s="63">
        <v>0.55208333333333337</v>
      </c>
      <c r="J45" s="64">
        <v>0.58680555555555558</v>
      </c>
      <c r="K45" s="42">
        <f>IF(data[[#This Row],[Hdébut garde]]&lt;&gt;"",
data[[#This Row],[Hdébut garde]],
data[[#This Row],[Hdébut interv.]]+IF(data[[#This Row],[Hdébut interv.]]&lt;SUMPRODUCT((data[Date]=data[[#This Row],[Date]])*data[Hdébut garde]),1,0)
)</f>
        <v>0.55208333333333337</v>
      </c>
      <c r="L45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0.58680555555555558</v>
      </c>
      <c r="M45" s="43" t="str">
        <f>IF(OR(WEEKDAY(data[[#This Row],[Date]],2)=7,COUNTIF(JF,data[[#This Row],[Date]])=1),"oui","non")</f>
        <v>non</v>
      </c>
      <c r="N45" s="44">
        <f>MAX(0,(MIN(1,data[[#This Row],[Hfin corrigée]])-data[[#This Row],[Hdébut corrigé]])-data[[#This Row],[NUIT1.1]]-data[[#This Row],[NUIT1.2]])</f>
        <v>3.472222222222221E-2</v>
      </c>
      <c r="O45" s="44">
        <f>IF(data[[#This Row],[Hfin Interv.]]="",0,(
MIN(FinNuit,MIN(1,data[[#This Row],[Hfin corrigée]]))-MIN(FinNuit,data[[#This Row],[Hdébut corrigé]])
))</f>
        <v>0</v>
      </c>
      <c r="P45" s="44">
        <f>MAX(0,(MAX(0,(MIN(1,data[[#This Row],[Hfin corrigée]])-DebNuit))-MAX(0,(data[[#This Row],[Hdébut corrigé]]-DebNuit))))</f>
        <v>0</v>
      </c>
      <c r="Q45" s="43" t="str">
        <f>IF(OR(WEEKDAY(data[[#This Row],[Date]]+data[[#This Row],[Hfin corrigée]],2)=7,COUNTIF(JF,INT(data[[#This Row],[Date]]+data[[#This Row],[Hfin corrigée]]))=1),"oui","non")</f>
        <v>non</v>
      </c>
      <c r="R45" s="44">
        <f>MAX(0,data[[#This Row],[Hfin corrigée]]-MAX(1,data[[#This Row],[Hdébut corrigé]]))-data[[#This Row],[NUIT2.1]]-data[[#This Row],[NUIT2.2]]</f>
        <v>0</v>
      </c>
      <c r="S45" s="44">
        <f>MAX(0,MIN(1+FinNuit,data[[#This Row],[Hfin corrigée]])-MAX(1,data[[#This Row],[Hdébut corrigé]]))</f>
        <v>0</v>
      </c>
      <c r="T45" s="44">
        <f>MAX(0,(data[[#This Row],[Hfin corrigée]]-DebNuit-1))</f>
        <v>0</v>
      </c>
      <c r="U45" s="45">
        <f>IF(data[[#This Row],[Garde / Interv.]]="Intervention",MAX(0,data[[#This Row],[Hfin corrigée]]-SUMPRODUCT((data[Date]=data[[#This Row],[Date]])*(data[Garde / Interv.]="Garde")*data[Hfin corrigée])),0)</f>
        <v>0</v>
      </c>
      <c r="V45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45" s="44">
        <f>MAX(0,IF(data[[#This Row],[Garde / Interv.]]="Intervention",(data[[#This Row],[Fin Dim ou Férié]]="non")*data[[#This Row],[JOUR2]]+(data[[#This Row],[Début Dim ou Férié]]="non")*data[[#This Row],[JOUR1]],0))</f>
        <v>3.472222222222221E-2</v>
      </c>
      <c r="X45" s="44">
        <f>IF(data[[#This Row],[Garde / Interv.]]="Intervention",(data[[#This Row],[Fin Dim ou Férié]]="oui")*data[[#This Row],[JOUR2]]+(data[[#This Row],[Début Dim ou Férié]]="oui")*data[[#This Row],[JOUR1]],0)</f>
        <v>0</v>
      </c>
      <c r="Y45" s="44">
        <f>MAX(0,IF(data[[#This Row],[Garde / Interv.]]="Intervention",data[[#This Row],[NUIT1.1]]+data[[#This Row],[NUIT1.2]]+data[[#This Row],[NUIT2.1]]+data[[#This Row],[NUIT2.2]],0))</f>
        <v>0</v>
      </c>
    </row>
    <row r="46" spans="1:28" x14ac:dyDescent="0.3">
      <c r="A46" s="68">
        <v>43532</v>
      </c>
      <c r="B46" s="137" t="str">
        <f>IF(data[[#This Row],[Hdébut garde]]&lt;&gt;"","Garde",IF(data[[#This Row],[Hdébut corrigé]]&lt;&gt;"","Intervention",""))</f>
        <v>Intervention</v>
      </c>
      <c r="C46" s="83"/>
      <c r="D46" s="60"/>
      <c r="E46" s="47">
        <f>MAX(0,IF(data[[#This Row],[Garde / Interv.]]="Garde",data[[#This Row],[Hfin corrigée]]-data[[#This Row],[Hdébut corrigé]],0))</f>
        <v>0</v>
      </c>
      <c r="F46" s="84"/>
      <c r="G46" s="61"/>
      <c r="H46" s="62" t="s">
        <v>2</v>
      </c>
      <c r="I46" s="63">
        <v>0.65486111111111112</v>
      </c>
      <c r="J46" s="64">
        <v>0.7270833333333333</v>
      </c>
      <c r="K46" s="42">
        <f>IF(data[[#This Row],[Hdébut garde]]&lt;&gt;"",
data[[#This Row],[Hdébut garde]],
data[[#This Row],[Hdébut interv.]]+IF(data[[#This Row],[Hdébut interv.]]&lt;SUMPRODUCT((data[Date]=data[[#This Row],[Date]])*data[Hdébut garde]),1,0)
)</f>
        <v>0.65486111111111112</v>
      </c>
      <c r="L46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0.7270833333333333</v>
      </c>
      <c r="M46" s="43" t="str">
        <f>IF(OR(WEEKDAY(data[[#This Row],[Date]],2)=7,COUNTIF(JF,data[[#This Row],[Date]])=1),"oui","non")</f>
        <v>non</v>
      </c>
      <c r="N46" s="44">
        <f>MAX(0,(MIN(1,data[[#This Row],[Hfin corrigée]])-data[[#This Row],[Hdébut corrigé]])-data[[#This Row],[NUIT1.1]]-data[[#This Row],[NUIT1.2]])</f>
        <v>7.2222222222222188E-2</v>
      </c>
      <c r="O46" s="44">
        <f>IF(data[[#This Row],[Hfin Interv.]]="",0,(
MIN(FinNuit,MIN(1,data[[#This Row],[Hfin corrigée]]))-MIN(FinNuit,data[[#This Row],[Hdébut corrigé]])
))</f>
        <v>0</v>
      </c>
      <c r="P46" s="44">
        <f>MAX(0,(MAX(0,(MIN(1,data[[#This Row],[Hfin corrigée]])-DebNuit))-MAX(0,(data[[#This Row],[Hdébut corrigé]]-DebNuit))))</f>
        <v>0</v>
      </c>
      <c r="Q46" s="43" t="str">
        <f>IF(OR(WEEKDAY(data[[#This Row],[Date]]+data[[#This Row],[Hfin corrigée]],2)=7,COUNTIF(JF,INT(data[[#This Row],[Date]]+data[[#This Row],[Hfin corrigée]]))=1),"oui","non")</f>
        <v>non</v>
      </c>
      <c r="R46" s="44">
        <f>MAX(0,data[[#This Row],[Hfin corrigée]]-MAX(1,data[[#This Row],[Hdébut corrigé]]))-data[[#This Row],[NUIT2.1]]-data[[#This Row],[NUIT2.2]]</f>
        <v>0</v>
      </c>
      <c r="S46" s="44">
        <f>MAX(0,MIN(1+FinNuit,data[[#This Row],[Hfin corrigée]])-MAX(1,data[[#This Row],[Hdébut corrigé]]))</f>
        <v>0</v>
      </c>
      <c r="T46" s="44">
        <f>MAX(0,(data[[#This Row],[Hfin corrigée]]-DebNuit-1))</f>
        <v>0</v>
      </c>
      <c r="U46" s="45">
        <f>IF(data[[#This Row],[Garde / Interv.]]="Intervention",MAX(0,data[[#This Row],[Hfin corrigée]]-SUMPRODUCT((data[Date]=data[[#This Row],[Date]])*(data[Garde / Interv.]="Garde")*data[Hfin corrigée])),0)</f>
        <v>0</v>
      </c>
      <c r="V46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46" s="44">
        <f>MAX(0,IF(data[[#This Row],[Garde / Interv.]]="Intervention",(data[[#This Row],[Fin Dim ou Férié]]="non")*data[[#This Row],[JOUR2]]+(data[[#This Row],[Début Dim ou Férié]]="non")*data[[#This Row],[JOUR1]],0))</f>
        <v>7.2222222222222188E-2</v>
      </c>
      <c r="X46" s="44">
        <f>IF(data[[#This Row],[Garde / Interv.]]="Intervention",(data[[#This Row],[Fin Dim ou Férié]]="oui")*data[[#This Row],[JOUR2]]+(data[[#This Row],[Début Dim ou Férié]]="oui")*data[[#This Row],[JOUR1]],0)</f>
        <v>0</v>
      </c>
      <c r="Y46" s="44">
        <f>MAX(0,IF(data[[#This Row],[Garde / Interv.]]="Intervention",data[[#This Row],[NUIT1.1]]+data[[#This Row],[NUIT1.2]]+data[[#This Row],[NUIT2.1]]+data[[#This Row],[NUIT2.2]],0))</f>
        <v>0</v>
      </c>
    </row>
    <row r="47" spans="1:28" x14ac:dyDescent="0.3">
      <c r="A47" s="68">
        <v>43534</v>
      </c>
      <c r="B47" s="137" t="str">
        <f>IF(data[[#This Row],[Hdébut garde]]&lt;&gt;"","Garde",IF(data[[#This Row],[Hdébut corrigé]]&lt;&gt;"","Intervention",""))</f>
        <v>Garde</v>
      </c>
      <c r="C47" s="83">
        <v>0.29166666666666669</v>
      </c>
      <c r="D47" s="60">
        <v>0.29166666666666669</v>
      </c>
      <c r="E47" s="47">
        <f>MAX(0,IF(data[[#This Row],[Garde / Interv.]]="Garde",data[[#This Row],[Hfin corrigée]]-data[[#This Row],[Hdébut corrigé]],0))</f>
        <v>1</v>
      </c>
      <c r="F47" s="84"/>
      <c r="G47" s="61"/>
      <c r="H47" s="62"/>
      <c r="I47" s="63"/>
      <c r="J47" s="64"/>
      <c r="K47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47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1.2916666666666667</v>
      </c>
      <c r="M47" s="43" t="str">
        <f>IF(OR(WEEKDAY(data[[#This Row],[Date]],2)=7,COUNTIF(JF,data[[#This Row],[Date]])=1),"oui","non")</f>
        <v>oui</v>
      </c>
      <c r="N47" s="44">
        <f>MAX(0,(MIN(1,data[[#This Row],[Hfin corrigée]])-data[[#This Row],[Hdébut corrigé]])-data[[#This Row],[NUIT1.1]]-data[[#This Row],[NUIT1.2]])</f>
        <v>0.62499999999999989</v>
      </c>
      <c r="O47" s="44">
        <f>IF(data[[#This Row],[Hfin Interv.]]="",0,(
MIN(FinNuit,MIN(1,data[[#This Row],[Hfin corrigée]]))-MIN(FinNuit,data[[#This Row],[Hdébut corrigé]])
))</f>
        <v>0</v>
      </c>
      <c r="P47" s="44">
        <f>MAX(0,(MAX(0,(MIN(1,data[[#This Row],[Hfin corrigée]])-DebNuit))-MAX(0,(data[[#This Row],[Hdébut corrigé]]-DebNuit))))</f>
        <v>8.333333333333337E-2</v>
      </c>
      <c r="Q47" s="43" t="str">
        <f>IF(OR(WEEKDAY(data[[#This Row],[Date]]+data[[#This Row],[Hfin corrigée]],2)=7,COUNTIF(JF,INT(data[[#This Row],[Date]]+data[[#This Row],[Hfin corrigée]]))=1),"oui","non")</f>
        <v>non</v>
      </c>
      <c r="R47" s="44">
        <f>MAX(0,data[[#This Row],[Hfin corrigée]]-MAX(1,data[[#This Row],[Hdébut corrigé]]))-data[[#This Row],[NUIT2.1]]-data[[#This Row],[NUIT2.2]]</f>
        <v>0</v>
      </c>
      <c r="S47" s="44">
        <f>MAX(0,MIN(1+FinNuit,data[[#This Row],[Hfin corrigée]])-MAX(1,data[[#This Row],[Hdébut corrigé]]))</f>
        <v>0.29166666666666674</v>
      </c>
      <c r="T47" s="44">
        <f>MAX(0,(data[[#This Row],[Hfin corrigée]]-DebNuit-1))</f>
        <v>0</v>
      </c>
      <c r="U47" s="45">
        <f>IF(data[[#This Row],[Garde / Interv.]]="Intervention",MAX(0,data[[#This Row],[Hfin corrigée]]-SUMPRODUCT((data[Date]=data[[#This Row],[Date]])*(data[Garde / Interv.]="Garde")*data[Hfin corrigée])),0)</f>
        <v>0</v>
      </c>
      <c r="V47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0.92777777777777792</v>
      </c>
      <c r="W47" s="44">
        <f>MAX(0,IF(data[[#This Row],[Garde / Interv.]]="Intervention",(data[[#This Row],[Fin Dim ou Férié]]="non")*data[[#This Row],[JOUR2]]+(data[[#This Row],[Début Dim ou Férié]]="non")*data[[#This Row],[JOUR1]],0))</f>
        <v>0</v>
      </c>
      <c r="X47" s="44">
        <f>IF(data[[#This Row],[Garde / Interv.]]="Intervention",(data[[#This Row],[Fin Dim ou Férié]]="oui")*data[[#This Row],[JOUR2]]+(data[[#This Row],[Début Dim ou Férié]]="oui")*data[[#This Row],[JOUR1]],0)</f>
        <v>0</v>
      </c>
      <c r="Y47" s="44">
        <f>MAX(0,IF(data[[#This Row],[Garde / Interv.]]="Intervention",data[[#This Row],[NUIT1.1]]+data[[#This Row],[NUIT1.2]]+data[[#This Row],[NUIT2.1]]+data[[#This Row],[NUIT2.2]],0))</f>
        <v>0</v>
      </c>
      <c r="AB47" s="156"/>
    </row>
    <row r="48" spans="1:28" x14ac:dyDescent="0.3">
      <c r="A48" s="68">
        <v>43534</v>
      </c>
      <c r="B48" s="137" t="str">
        <f>IF(data[[#This Row],[Hdébut garde]]&lt;&gt;"","Garde",IF(data[[#This Row],[Hdébut corrigé]]&lt;&gt;"","Intervention",""))</f>
        <v>Intervention</v>
      </c>
      <c r="C48" s="83"/>
      <c r="D48" s="60"/>
      <c r="E48" s="47">
        <f>MAX(0,IF(data[[#This Row],[Garde / Interv.]]="Garde",data[[#This Row],[Hfin corrigée]]-data[[#This Row],[Hdébut corrigé]],0))</f>
        <v>0</v>
      </c>
      <c r="F48" s="84"/>
      <c r="G48" s="61"/>
      <c r="H48" s="62" t="s">
        <v>2</v>
      </c>
      <c r="I48" s="63">
        <v>0.57638888888888895</v>
      </c>
      <c r="J48" s="64">
        <v>0.62638888888888888</v>
      </c>
      <c r="K48" s="42">
        <f>IF(data[[#This Row],[Hdébut garde]]&lt;&gt;"",
data[[#This Row],[Hdébut garde]],
data[[#This Row],[Hdébut interv.]]+IF(data[[#This Row],[Hdébut interv.]]&lt;SUMPRODUCT((data[Date]=data[[#This Row],[Date]])*data[Hdébut garde]),1,0)
)</f>
        <v>0.57638888888888895</v>
      </c>
      <c r="L48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0.62638888888888888</v>
      </c>
      <c r="M48" s="43" t="str">
        <f>IF(OR(WEEKDAY(data[[#This Row],[Date]],2)=7,COUNTIF(JF,data[[#This Row],[Date]])=1),"oui","non")</f>
        <v>oui</v>
      </c>
      <c r="N48" s="44">
        <f>MAX(0,(MIN(1,data[[#This Row],[Hfin corrigée]])-data[[#This Row],[Hdébut corrigé]])-data[[#This Row],[NUIT1.1]]-data[[#This Row],[NUIT1.2]])</f>
        <v>4.9999999999999933E-2</v>
      </c>
      <c r="O48" s="44">
        <f>IF(data[[#This Row],[Hfin Interv.]]="",0,(
MIN(FinNuit,MIN(1,data[[#This Row],[Hfin corrigée]]))-MIN(FinNuit,data[[#This Row],[Hdébut corrigé]])
))</f>
        <v>0</v>
      </c>
      <c r="P48" s="44">
        <f>MAX(0,(MAX(0,(MIN(1,data[[#This Row],[Hfin corrigée]])-DebNuit))-MAX(0,(data[[#This Row],[Hdébut corrigé]]-DebNuit))))</f>
        <v>0</v>
      </c>
      <c r="Q48" s="43" t="str">
        <f>IF(OR(WEEKDAY(data[[#This Row],[Date]]+data[[#This Row],[Hfin corrigée]],2)=7,COUNTIF(JF,INT(data[[#This Row],[Date]]+data[[#This Row],[Hfin corrigée]]))=1),"oui","non")</f>
        <v>oui</v>
      </c>
      <c r="R48" s="44">
        <f>MAX(0,data[[#This Row],[Hfin corrigée]]-MAX(1,data[[#This Row],[Hdébut corrigé]]))-data[[#This Row],[NUIT2.1]]-data[[#This Row],[NUIT2.2]]</f>
        <v>0</v>
      </c>
      <c r="S48" s="44">
        <f>MAX(0,MIN(1+FinNuit,data[[#This Row],[Hfin corrigée]])-MAX(1,data[[#This Row],[Hdébut corrigé]]))</f>
        <v>0</v>
      </c>
      <c r="T48" s="44">
        <f>MAX(0,(data[[#This Row],[Hfin corrigée]]-DebNuit-1))</f>
        <v>0</v>
      </c>
      <c r="U48" s="45">
        <f>IF(data[[#This Row],[Garde / Interv.]]="Intervention",MAX(0,data[[#This Row],[Hfin corrigée]]-SUMPRODUCT((data[Date]=data[[#This Row],[Date]])*(data[Garde / Interv.]="Garde")*data[Hfin corrigée])),0)</f>
        <v>0</v>
      </c>
      <c r="V48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48" s="44">
        <f>MAX(0,IF(data[[#This Row],[Garde / Interv.]]="Intervention",(data[[#This Row],[Fin Dim ou Férié]]="non")*data[[#This Row],[JOUR2]]+(data[[#This Row],[Début Dim ou Férié]]="non")*data[[#This Row],[JOUR1]],0))</f>
        <v>0</v>
      </c>
      <c r="X48" s="44">
        <f>IF(data[[#This Row],[Garde / Interv.]]="Intervention",(data[[#This Row],[Fin Dim ou Férié]]="oui")*data[[#This Row],[JOUR2]]+(data[[#This Row],[Début Dim ou Férié]]="oui")*data[[#This Row],[JOUR1]],0)</f>
        <v>4.9999999999999933E-2</v>
      </c>
      <c r="Y48" s="44">
        <f>MAX(0,IF(data[[#This Row],[Garde / Interv.]]="Intervention",data[[#This Row],[NUIT1.1]]+data[[#This Row],[NUIT1.2]]+data[[#This Row],[NUIT2.1]]+data[[#This Row],[NUIT2.2]],0))</f>
        <v>0</v>
      </c>
    </row>
    <row r="49" spans="1:30" x14ac:dyDescent="0.3">
      <c r="A49" s="68">
        <v>43534</v>
      </c>
      <c r="B49" s="137" t="str">
        <f>IF(data[[#This Row],[Hdébut garde]]&lt;&gt;"","Garde",IF(data[[#This Row],[Hdébut corrigé]]&lt;&gt;"","Intervention",""))</f>
        <v>Intervention</v>
      </c>
      <c r="C49" s="83"/>
      <c r="D49" s="60"/>
      <c r="E49" s="47">
        <f>MAX(0,IF(data[[#This Row],[Garde / Interv.]]="Garde",data[[#This Row],[Hfin corrigée]]-data[[#This Row],[Hdébut corrigé]],0))</f>
        <v>0</v>
      </c>
      <c r="F49" s="84"/>
      <c r="G49" s="61"/>
      <c r="H49" s="62" t="s">
        <v>2</v>
      </c>
      <c r="I49" s="63">
        <v>0.73055555555555562</v>
      </c>
      <c r="J49" s="64">
        <v>0.75277777777777777</v>
      </c>
      <c r="K49" s="42">
        <f>IF(data[[#This Row],[Hdébut garde]]&lt;&gt;"",
data[[#This Row],[Hdébut garde]],
data[[#This Row],[Hdébut interv.]]+IF(data[[#This Row],[Hdébut interv.]]&lt;SUMPRODUCT((data[Date]=data[[#This Row],[Date]])*data[Hdébut garde]),1,0)
)</f>
        <v>0.73055555555555562</v>
      </c>
      <c r="L49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0.75277777777777777</v>
      </c>
      <c r="M49" s="43" t="str">
        <f>IF(OR(WEEKDAY(data[[#This Row],[Date]],2)=7,COUNTIF(JF,data[[#This Row],[Date]])=1),"oui","non")</f>
        <v>oui</v>
      </c>
      <c r="N49" s="44">
        <f>MAX(0,(MIN(1,data[[#This Row],[Hfin corrigée]])-data[[#This Row],[Hdébut corrigé]])-data[[#This Row],[NUIT1.1]]-data[[#This Row],[NUIT1.2]])</f>
        <v>2.2222222222222143E-2</v>
      </c>
      <c r="O49" s="44">
        <f>IF(data[[#This Row],[Hfin Interv.]]="",0,(
MIN(FinNuit,MIN(1,data[[#This Row],[Hfin corrigée]]))-MIN(FinNuit,data[[#This Row],[Hdébut corrigé]])
))</f>
        <v>0</v>
      </c>
      <c r="P49" s="44">
        <f>MAX(0,(MAX(0,(MIN(1,data[[#This Row],[Hfin corrigée]])-DebNuit))-MAX(0,(data[[#This Row],[Hdébut corrigé]]-DebNuit))))</f>
        <v>0</v>
      </c>
      <c r="Q49" s="43" t="str">
        <f>IF(OR(WEEKDAY(data[[#This Row],[Date]]+data[[#This Row],[Hfin corrigée]],2)=7,COUNTIF(JF,INT(data[[#This Row],[Date]]+data[[#This Row],[Hfin corrigée]]))=1),"oui","non")</f>
        <v>oui</v>
      </c>
      <c r="R49" s="44">
        <f>MAX(0,data[[#This Row],[Hfin corrigée]]-MAX(1,data[[#This Row],[Hdébut corrigé]]))-data[[#This Row],[NUIT2.1]]-data[[#This Row],[NUIT2.2]]</f>
        <v>0</v>
      </c>
      <c r="S49" s="44">
        <f>MAX(0,MIN(1+FinNuit,data[[#This Row],[Hfin corrigée]])-MAX(1,data[[#This Row],[Hdébut corrigé]]))</f>
        <v>0</v>
      </c>
      <c r="T49" s="44">
        <f>MAX(0,(data[[#This Row],[Hfin corrigée]]-DebNuit-1))</f>
        <v>0</v>
      </c>
      <c r="U49" s="45">
        <f>IF(data[[#This Row],[Garde / Interv.]]="Intervention",MAX(0,data[[#This Row],[Hfin corrigée]]-SUMPRODUCT((data[Date]=data[[#This Row],[Date]])*(data[Garde / Interv.]="Garde")*data[Hfin corrigée])),0)</f>
        <v>0</v>
      </c>
      <c r="V49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49" s="44">
        <f>MAX(0,IF(data[[#This Row],[Garde / Interv.]]="Intervention",(data[[#This Row],[Fin Dim ou Férié]]="non")*data[[#This Row],[JOUR2]]+(data[[#This Row],[Début Dim ou Férié]]="non")*data[[#This Row],[JOUR1]],0))</f>
        <v>0</v>
      </c>
      <c r="X49" s="44">
        <f>IF(data[[#This Row],[Garde / Interv.]]="Intervention",(data[[#This Row],[Fin Dim ou Férié]]="oui")*data[[#This Row],[JOUR2]]+(data[[#This Row],[Début Dim ou Férié]]="oui")*data[[#This Row],[JOUR1]],0)</f>
        <v>2.2222222222222143E-2</v>
      </c>
      <c r="Y49" s="44">
        <f>MAX(0,IF(data[[#This Row],[Garde / Interv.]]="Intervention",data[[#This Row],[NUIT1.1]]+data[[#This Row],[NUIT1.2]]+data[[#This Row],[NUIT2.1]]+data[[#This Row],[NUIT2.2]],0))</f>
        <v>0</v>
      </c>
    </row>
    <row r="50" spans="1:30" x14ac:dyDescent="0.3">
      <c r="A50" s="68">
        <v>43537</v>
      </c>
      <c r="B50" s="137" t="str">
        <f>IF(data[[#This Row],[Hdébut garde]]&lt;&gt;"","Garde",IF(data[[#This Row],[Hdébut corrigé]]&lt;&gt;"","Intervention",""))</f>
        <v>Garde</v>
      </c>
      <c r="C50" s="83">
        <v>0.29166666666666669</v>
      </c>
      <c r="D50" s="60">
        <v>0.29166666666666669</v>
      </c>
      <c r="E50" s="47">
        <f>MAX(0,IF(data[[#This Row],[Garde / Interv.]]="Garde",data[[#This Row],[Hfin corrigée]]-data[[#This Row],[Hdébut corrigé]],0))</f>
        <v>1</v>
      </c>
      <c r="F50" s="84"/>
      <c r="G50" s="61"/>
      <c r="H50" s="62"/>
      <c r="I50" s="63"/>
      <c r="J50" s="64"/>
      <c r="K50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50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1.2916666666666667</v>
      </c>
      <c r="M50" s="43" t="str">
        <f>IF(OR(WEEKDAY(data[[#This Row],[Date]],2)=7,COUNTIF(JF,data[[#This Row],[Date]])=1),"oui","non")</f>
        <v>non</v>
      </c>
      <c r="N50" s="44">
        <f>MAX(0,(MIN(1,data[[#This Row],[Hfin corrigée]])-data[[#This Row],[Hdébut corrigé]])-data[[#This Row],[NUIT1.1]]-data[[#This Row],[NUIT1.2]])</f>
        <v>0.62499999999999989</v>
      </c>
      <c r="O50" s="44">
        <f>IF(data[[#This Row],[Hfin Interv.]]="",0,(
MIN(FinNuit,MIN(1,data[[#This Row],[Hfin corrigée]]))-MIN(FinNuit,data[[#This Row],[Hdébut corrigé]])
))</f>
        <v>0</v>
      </c>
      <c r="P50" s="44">
        <f>MAX(0,(MAX(0,(MIN(1,data[[#This Row],[Hfin corrigée]])-DebNuit))-MAX(0,(data[[#This Row],[Hdébut corrigé]]-DebNuit))))</f>
        <v>8.333333333333337E-2</v>
      </c>
      <c r="Q50" s="43" t="str">
        <f>IF(OR(WEEKDAY(data[[#This Row],[Date]]+data[[#This Row],[Hfin corrigée]],2)=7,COUNTIF(JF,INT(data[[#This Row],[Date]]+data[[#This Row],[Hfin corrigée]]))=1),"oui","non")</f>
        <v>non</v>
      </c>
      <c r="R50" s="44">
        <f>MAX(0,data[[#This Row],[Hfin corrigée]]-MAX(1,data[[#This Row],[Hdébut corrigé]]))-data[[#This Row],[NUIT2.1]]-data[[#This Row],[NUIT2.2]]</f>
        <v>0</v>
      </c>
      <c r="S50" s="44">
        <f>MAX(0,MIN(1+FinNuit,data[[#This Row],[Hfin corrigée]])-MAX(1,data[[#This Row],[Hdébut corrigé]]))</f>
        <v>0.29166666666666674</v>
      </c>
      <c r="T50" s="44">
        <f>MAX(0,(data[[#This Row],[Hfin corrigée]]-DebNuit-1))</f>
        <v>0</v>
      </c>
      <c r="U50" s="45">
        <f>IF(data[[#This Row],[Garde / Interv.]]="Intervention",MAX(0,data[[#This Row],[Hfin corrigée]]-SUMPRODUCT((data[Date]=data[[#This Row],[Date]])*(data[Garde / Interv.]="Garde")*data[Hfin corrigée])),0)</f>
        <v>0</v>
      </c>
      <c r="V50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0.93888888888888877</v>
      </c>
      <c r="W50" s="44">
        <f>MAX(0,IF(data[[#This Row],[Garde / Interv.]]="Intervention",(data[[#This Row],[Fin Dim ou Férié]]="non")*data[[#This Row],[JOUR2]]+(data[[#This Row],[Début Dim ou Férié]]="non")*data[[#This Row],[JOUR1]],0))</f>
        <v>0</v>
      </c>
      <c r="X50" s="44">
        <f>IF(data[[#This Row],[Garde / Interv.]]="Intervention",(data[[#This Row],[Fin Dim ou Férié]]="oui")*data[[#This Row],[JOUR2]]+(data[[#This Row],[Début Dim ou Férié]]="oui")*data[[#This Row],[JOUR1]],0)</f>
        <v>0</v>
      </c>
      <c r="Y50" s="44">
        <f>MAX(0,IF(data[[#This Row],[Garde / Interv.]]="Intervention",data[[#This Row],[NUIT1.1]]+data[[#This Row],[NUIT1.2]]+data[[#This Row],[NUIT2.1]]+data[[#This Row],[NUIT2.2]],0))</f>
        <v>0</v>
      </c>
    </row>
    <row r="51" spans="1:30" x14ac:dyDescent="0.3">
      <c r="A51" s="68">
        <v>43537</v>
      </c>
      <c r="B51" s="137" t="str">
        <f>IF(data[[#This Row],[Hdébut garde]]&lt;&gt;"","Garde",IF(data[[#This Row],[Hdébut corrigé]]&lt;&gt;"","Intervention",""))</f>
        <v>Intervention</v>
      </c>
      <c r="C51" s="83"/>
      <c r="D51" s="60"/>
      <c r="E51" s="47">
        <f>MAX(0,IF(data[[#This Row],[Garde / Interv.]]="Garde",data[[#This Row],[Hfin corrigée]]-data[[#This Row],[Hdébut corrigé]],0))</f>
        <v>0</v>
      </c>
      <c r="F51" s="84"/>
      <c r="G51" s="61"/>
      <c r="H51" s="62" t="s">
        <v>2</v>
      </c>
      <c r="I51" s="63">
        <v>0.73263888888888884</v>
      </c>
      <c r="J51" s="64">
        <v>0.79375000000000007</v>
      </c>
      <c r="K51" s="42">
        <f>IF(data[[#This Row],[Hdébut garde]]&lt;&gt;"",
data[[#This Row],[Hdébut garde]],
data[[#This Row],[Hdébut interv.]]+IF(data[[#This Row],[Hdébut interv.]]&lt;SUMPRODUCT((data[Date]=data[[#This Row],[Date]])*data[Hdébut garde]),1,0)
)</f>
        <v>0.73263888888888884</v>
      </c>
      <c r="L51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0.79375000000000007</v>
      </c>
      <c r="M51" s="43" t="str">
        <f>IF(OR(WEEKDAY(data[[#This Row],[Date]],2)=7,COUNTIF(JF,data[[#This Row],[Date]])=1),"oui","non")</f>
        <v>non</v>
      </c>
      <c r="N51" s="44">
        <f>MAX(0,(MIN(1,data[[#This Row],[Hfin corrigée]])-data[[#This Row],[Hdébut corrigé]])-data[[#This Row],[NUIT1.1]]-data[[#This Row],[NUIT1.2]])</f>
        <v>6.1111111111111227E-2</v>
      </c>
      <c r="O51" s="44">
        <f>IF(data[[#This Row],[Hfin Interv.]]="",0,(
MIN(FinNuit,MIN(1,data[[#This Row],[Hfin corrigée]]))-MIN(FinNuit,data[[#This Row],[Hdébut corrigé]])
))</f>
        <v>0</v>
      </c>
      <c r="P51" s="44">
        <f>MAX(0,(MAX(0,(MIN(1,data[[#This Row],[Hfin corrigée]])-DebNuit))-MAX(0,(data[[#This Row],[Hdébut corrigé]]-DebNuit))))</f>
        <v>0</v>
      </c>
      <c r="Q51" s="43" t="str">
        <f>IF(OR(WEEKDAY(data[[#This Row],[Date]]+data[[#This Row],[Hfin corrigée]],2)=7,COUNTIF(JF,INT(data[[#This Row],[Date]]+data[[#This Row],[Hfin corrigée]]))=1),"oui","non")</f>
        <v>non</v>
      </c>
      <c r="R51" s="44">
        <f>MAX(0,data[[#This Row],[Hfin corrigée]]-MAX(1,data[[#This Row],[Hdébut corrigé]]))-data[[#This Row],[NUIT2.1]]-data[[#This Row],[NUIT2.2]]</f>
        <v>0</v>
      </c>
      <c r="S51" s="44">
        <f>MAX(0,MIN(1+FinNuit,data[[#This Row],[Hfin corrigée]])-MAX(1,data[[#This Row],[Hdébut corrigé]]))</f>
        <v>0</v>
      </c>
      <c r="T51" s="44">
        <f>MAX(0,(data[[#This Row],[Hfin corrigée]]-DebNuit-1))</f>
        <v>0</v>
      </c>
      <c r="U51" s="45">
        <f>IF(data[[#This Row],[Garde / Interv.]]="Intervention",MAX(0,data[[#This Row],[Hfin corrigée]]-SUMPRODUCT((data[Date]=data[[#This Row],[Date]])*(data[Garde / Interv.]="Garde")*data[Hfin corrigée])),0)</f>
        <v>0</v>
      </c>
      <c r="V51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51" s="44">
        <f>MAX(0,IF(data[[#This Row],[Garde / Interv.]]="Intervention",(data[[#This Row],[Fin Dim ou Férié]]="non")*data[[#This Row],[JOUR2]]+(data[[#This Row],[Début Dim ou Férié]]="non")*data[[#This Row],[JOUR1]],0))</f>
        <v>6.1111111111111227E-2</v>
      </c>
      <c r="X51" s="44">
        <f>IF(data[[#This Row],[Garde / Interv.]]="Intervention",(data[[#This Row],[Fin Dim ou Férié]]="oui")*data[[#This Row],[JOUR2]]+(data[[#This Row],[Début Dim ou Férié]]="oui")*data[[#This Row],[JOUR1]],0)</f>
        <v>0</v>
      </c>
      <c r="Y51" s="44">
        <f>MAX(0,IF(data[[#This Row],[Garde / Interv.]]="Intervention",data[[#This Row],[NUIT1.1]]+data[[#This Row],[NUIT1.2]]+data[[#This Row],[NUIT2.1]]+data[[#This Row],[NUIT2.2]],0))</f>
        <v>0</v>
      </c>
    </row>
    <row r="52" spans="1:30" x14ac:dyDescent="0.3">
      <c r="A52" s="68">
        <v>43539</v>
      </c>
      <c r="B52" s="137" t="str">
        <f>IF(data[[#This Row],[Hdébut garde]]&lt;&gt;"","Garde",IF(data[[#This Row],[Hdébut corrigé]]&lt;&gt;"","Intervention",""))</f>
        <v>Garde</v>
      </c>
      <c r="C52" s="83">
        <v>0.29166666666666669</v>
      </c>
      <c r="D52" s="60">
        <v>0.29166666666666669</v>
      </c>
      <c r="E52" s="47">
        <f>MAX(0,IF(data[[#This Row],[Garde / Interv.]]="Garde",data[[#This Row],[Hfin corrigée]]-data[[#This Row],[Hdébut corrigé]],0))</f>
        <v>1</v>
      </c>
      <c r="F52" s="84"/>
      <c r="G52" s="61"/>
      <c r="H52" s="62"/>
      <c r="I52" s="63"/>
      <c r="J52" s="64"/>
      <c r="K52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52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1.2916666666666667</v>
      </c>
      <c r="M52" s="43" t="str">
        <f>IF(OR(WEEKDAY(data[[#This Row],[Date]],2)=7,COUNTIF(JF,data[[#This Row],[Date]])=1),"oui","non")</f>
        <v>non</v>
      </c>
      <c r="N52" s="44">
        <f>MAX(0,(MIN(1,data[[#This Row],[Hfin corrigée]])-data[[#This Row],[Hdébut corrigé]])-data[[#This Row],[NUIT1.1]]-data[[#This Row],[NUIT1.2]])</f>
        <v>0.62499999999999989</v>
      </c>
      <c r="O52" s="44">
        <f>IF(data[[#This Row],[Hfin Interv.]]="",0,(
MIN(FinNuit,MIN(1,data[[#This Row],[Hfin corrigée]]))-MIN(FinNuit,data[[#This Row],[Hdébut corrigé]])
))</f>
        <v>0</v>
      </c>
      <c r="P52" s="44">
        <f>MAX(0,(MAX(0,(MIN(1,data[[#This Row],[Hfin corrigée]])-DebNuit))-MAX(0,(data[[#This Row],[Hdébut corrigé]]-DebNuit))))</f>
        <v>8.333333333333337E-2</v>
      </c>
      <c r="Q52" s="43" t="str">
        <f>IF(OR(WEEKDAY(data[[#This Row],[Date]]+data[[#This Row],[Hfin corrigée]],2)=7,COUNTIF(JF,INT(data[[#This Row],[Date]]+data[[#This Row],[Hfin corrigée]]))=1),"oui","non")</f>
        <v>non</v>
      </c>
      <c r="R52" s="44">
        <f>MAX(0,data[[#This Row],[Hfin corrigée]]-MAX(1,data[[#This Row],[Hdébut corrigé]]))-data[[#This Row],[NUIT2.1]]-data[[#This Row],[NUIT2.2]]</f>
        <v>0</v>
      </c>
      <c r="S52" s="44">
        <f>MAX(0,MIN(1+FinNuit,data[[#This Row],[Hfin corrigée]])-MAX(1,data[[#This Row],[Hdébut corrigé]]))</f>
        <v>0.29166666666666674</v>
      </c>
      <c r="T52" s="44">
        <f>MAX(0,(data[[#This Row],[Hfin corrigée]]-DebNuit-1))</f>
        <v>0</v>
      </c>
      <c r="U52" s="45">
        <f>IF(data[[#This Row],[Garde / Interv.]]="Intervention",MAX(0,data[[#This Row],[Hfin corrigée]]-SUMPRODUCT((data[Date]=data[[#This Row],[Date]])*(data[Garde / Interv.]="Garde")*data[Hfin corrigée])),0)</f>
        <v>0</v>
      </c>
      <c r="V52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0.88888888888888884</v>
      </c>
      <c r="W52" s="44">
        <f>MAX(0,IF(data[[#This Row],[Garde / Interv.]]="Intervention",(data[[#This Row],[Fin Dim ou Férié]]="non")*data[[#This Row],[JOUR2]]+(data[[#This Row],[Début Dim ou Férié]]="non")*data[[#This Row],[JOUR1]],0))</f>
        <v>0</v>
      </c>
      <c r="X52" s="44">
        <f>IF(data[[#This Row],[Garde / Interv.]]="Intervention",(data[[#This Row],[Fin Dim ou Férié]]="oui")*data[[#This Row],[JOUR2]]+(data[[#This Row],[Début Dim ou Férié]]="oui")*data[[#This Row],[JOUR1]],0)</f>
        <v>0</v>
      </c>
      <c r="Y52" s="44">
        <f>MAX(0,IF(data[[#This Row],[Garde / Interv.]]="Intervention",data[[#This Row],[NUIT1.1]]+data[[#This Row],[NUIT1.2]]+data[[#This Row],[NUIT2.1]]+data[[#This Row],[NUIT2.2]],0))</f>
        <v>0</v>
      </c>
    </row>
    <row r="53" spans="1:30" x14ac:dyDescent="0.3">
      <c r="A53" s="68">
        <v>43539</v>
      </c>
      <c r="B53" s="137" t="str">
        <f>IF(data[[#This Row],[Hdébut garde]]&lt;&gt;"","Garde",IF(data[[#This Row],[Hdébut corrigé]]&lt;&gt;"","Intervention",""))</f>
        <v>Intervention</v>
      </c>
      <c r="C53" s="83"/>
      <c r="D53" s="60"/>
      <c r="E53" s="47">
        <f>MAX(0,IF(data[[#This Row],[Garde / Interv.]]="Garde",data[[#This Row],[Hfin corrigée]]-data[[#This Row],[Hdébut corrigé]],0))</f>
        <v>0</v>
      </c>
      <c r="F53" s="84"/>
      <c r="G53" s="61"/>
      <c r="H53" s="62" t="s">
        <v>2</v>
      </c>
      <c r="I53" s="63">
        <v>0.53263888888888888</v>
      </c>
      <c r="J53" s="64">
        <v>0.5805555555555556</v>
      </c>
      <c r="K53" s="42">
        <f>IF(data[[#This Row],[Hdébut garde]]&lt;&gt;"",
data[[#This Row],[Hdébut garde]],
data[[#This Row],[Hdébut interv.]]+IF(data[[#This Row],[Hdébut interv.]]&lt;SUMPRODUCT((data[Date]=data[[#This Row],[Date]])*data[Hdébut garde]),1,0)
)</f>
        <v>0.53263888888888888</v>
      </c>
      <c r="L53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0.5805555555555556</v>
      </c>
      <c r="M53" s="43" t="str">
        <f>IF(OR(WEEKDAY(data[[#This Row],[Date]],2)=7,COUNTIF(JF,data[[#This Row],[Date]])=1),"oui","non")</f>
        <v>non</v>
      </c>
      <c r="N53" s="44">
        <f>MAX(0,(MIN(1,data[[#This Row],[Hfin corrigée]])-data[[#This Row],[Hdébut corrigé]])-data[[#This Row],[NUIT1.1]]-data[[#This Row],[NUIT1.2]])</f>
        <v>4.7916666666666718E-2</v>
      </c>
      <c r="O53" s="44">
        <f>IF(data[[#This Row],[Hfin Interv.]]="",0,(
MIN(FinNuit,MIN(1,data[[#This Row],[Hfin corrigée]]))-MIN(FinNuit,data[[#This Row],[Hdébut corrigé]])
))</f>
        <v>0</v>
      </c>
      <c r="P53" s="44">
        <f>MAX(0,(MAX(0,(MIN(1,data[[#This Row],[Hfin corrigée]])-DebNuit))-MAX(0,(data[[#This Row],[Hdébut corrigé]]-DebNuit))))</f>
        <v>0</v>
      </c>
      <c r="Q53" s="43" t="str">
        <f>IF(OR(WEEKDAY(data[[#This Row],[Date]]+data[[#This Row],[Hfin corrigée]],2)=7,COUNTIF(JF,INT(data[[#This Row],[Date]]+data[[#This Row],[Hfin corrigée]]))=1),"oui","non")</f>
        <v>non</v>
      </c>
      <c r="R53" s="44">
        <f>MAX(0,data[[#This Row],[Hfin corrigée]]-MAX(1,data[[#This Row],[Hdébut corrigé]]))-data[[#This Row],[NUIT2.1]]-data[[#This Row],[NUIT2.2]]</f>
        <v>0</v>
      </c>
      <c r="S53" s="44">
        <f>MAX(0,MIN(1+FinNuit,data[[#This Row],[Hfin corrigée]])-MAX(1,data[[#This Row],[Hdébut corrigé]]))</f>
        <v>0</v>
      </c>
      <c r="T53" s="44">
        <f>MAX(0,(data[[#This Row],[Hfin corrigée]]-DebNuit-1))</f>
        <v>0</v>
      </c>
      <c r="U53" s="45">
        <f>IF(data[[#This Row],[Garde / Interv.]]="Intervention",MAX(0,data[[#This Row],[Hfin corrigée]]-SUMPRODUCT((data[Date]=data[[#This Row],[Date]])*(data[Garde / Interv.]="Garde")*data[Hfin corrigée])),0)</f>
        <v>0</v>
      </c>
      <c r="V53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53" s="44">
        <f>MAX(0,IF(data[[#This Row],[Garde / Interv.]]="Intervention",(data[[#This Row],[Fin Dim ou Férié]]="non")*data[[#This Row],[JOUR2]]+(data[[#This Row],[Début Dim ou Férié]]="non")*data[[#This Row],[JOUR1]],0))</f>
        <v>4.7916666666666718E-2</v>
      </c>
      <c r="X53" s="44">
        <f>IF(data[[#This Row],[Garde / Interv.]]="Intervention",(data[[#This Row],[Fin Dim ou Férié]]="oui")*data[[#This Row],[JOUR2]]+(data[[#This Row],[Début Dim ou Férié]]="oui")*data[[#This Row],[JOUR1]],0)</f>
        <v>0</v>
      </c>
      <c r="Y53" s="44">
        <f>MAX(0,IF(data[[#This Row],[Garde / Interv.]]="Intervention",data[[#This Row],[NUIT1.1]]+data[[#This Row],[NUIT1.2]]+data[[#This Row],[NUIT2.1]]+data[[#This Row],[NUIT2.2]],0))</f>
        <v>0</v>
      </c>
    </row>
    <row r="54" spans="1:30" x14ac:dyDescent="0.3">
      <c r="A54" s="68">
        <v>43539</v>
      </c>
      <c r="B54" s="137" t="str">
        <f>IF(data[[#This Row],[Hdébut garde]]&lt;&gt;"","Garde",IF(data[[#This Row],[Hdébut corrigé]]&lt;&gt;"","Intervention",""))</f>
        <v>Intervention</v>
      </c>
      <c r="C54" s="83"/>
      <c r="D54" s="60"/>
      <c r="E54" s="47">
        <f>MAX(0,IF(data[[#This Row],[Garde / Interv.]]="Garde",data[[#This Row],[Hfin corrigée]]-data[[#This Row],[Hdébut corrigé]],0))</f>
        <v>0</v>
      </c>
      <c r="F54" s="84"/>
      <c r="G54" s="61"/>
      <c r="H54" s="62" t="s">
        <v>2</v>
      </c>
      <c r="I54" s="63">
        <v>0.76180555555555562</v>
      </c>
      <c r="J54" s="64">
        <v>0.77847222222222223</v>
      </c>
      <c r="K54" s="42">
        <f>IF(data[[#This Row],[Hdébut garde]]&lt;&gt;"",
data[[#This Row],[Hdébut garde]],
data[[#This Row],[Hdébut interv.]]+IF(data[[#This Row],[Hdébut interv.]]&lt;SUMPRODUCT((data[Date]=data[[#This Row],[Date]])*data[Hdébut garde]),1,0)
)</f>
        <v>0.76180555555555562</v>
      </c>
      <c r="L54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0.77847222222222223</v>
      </c>
      <c r="M54" s="43" t="str">
        <f>IF(OR(WEEKDAY(data[[#This Row],[Date]],2)=7,COUNTIF(JF,data[[#This Row],[Date]])=1),"oui","non")</f>
        <v>non</v>
      </c>
      <c r="N54" s="44">
        <f>MAX(0,(MIN(1,data[[#This Row],[Hfin corrigée]])-data[[#This Row],[Hdébut corrigé]])-data[[#This Row],[NUIT1.1]]-data[[#This Row],[NUIT1.2]])</f>
        <v>1.6666666666666607E-2</v>
      </c>
      <c r="O54" s="44">
        <f>IF(data[[#This Row],[Hfin Interv.]]="",0,(
MIN(FinNuit,MIN(1,data[[#This Row],[Hfin corrigée]]))-MIN(FinNuit,data[[#This Row],[Hdébut corrigé]])
))</f>
        <v>0</v>
      </c>
      <c r="P54" s="44">
        <f>MAX(0,(MAX(0,(MIN(1,data[[#This Row],[Hfin corrigée]])-DebNuit))-MAX(0,(data[[#This Row],[Hdébut corrigé]]-DebNuit))))</f>
        <v>0</v>
      </c>
      <c r="Q54" s="43" t="str">
        <f>IF(OR(WEEKDAY(data[[#This Row],[Date]]+data[[#This Row],[Hfin corrigée]],2)=7,COUNTIF(JF,INT(data[[#This Row],[Date]]+data[[#This Row],[Hfin corrigée]]))=1),"oui","non")</f>
        <v>non</v>
      </c>
      <c r="R54" s="44">
        <f>MAX(0,data[[#This Row],[Hfin corrigée]]-MAX(1,data[[#This Row],[Hdébut corrigé]]))-data[[#This Row],[NUIT2.1]]-data[[#This Row],[NUIT2.2]]</f>
        <v>0</v>
      </c>
      <c r="S54" s="44">
        <f>MAX(0,MIN(1+FinNuit,data[[#This Row],[Hfin corrigée]])-MAX(1,data[[#This Row],[Hdébut corrigé]]))</f>
        <v>0</v>
      </c>
      <c r="T54" s="44">
        <f>MAX(0,(data[[#This Row],[Hfin corrigée]]-DebNuit-1))</f>
        <v>0</v>
      </c>
      <c r="U54" s="45">
        <f>IF(data[[#This Row],[Garde / Interv.]]="Intervention",MAX(0,data[[#This Row],[Hfin corrigée]]-SUMPRODUCT((data[Date]=data[[#This Row],[Date]])*(data[Garde / Interv.]="Garde")*data[Hfin corrigée])),0)</f>
        <v>0</v>
      </c>
      <c r="V54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54" s="44">
        <f>MAX(0,IF(data[[#This Row],[Garde / Interv.]]="Intervention",(data[[#This Row],[Fin Dim ou Férié]]="non")*data[[#This Row],[JOUR2]]+(data[[#This Row],[Début Dim ou Férié]]="non")*data[[#This Row],[JOUR1]],0))</f>
        <v>1.6666666666666607E-2</v>
      </c>
      <c r="X54" s="44">
        <f>IF(data[[#This Row],[Garde / Interv.]]="Intervention",(data[[#This Row],[Fin Dim ou Férié]]="oui")*data[[#This Row],[JOUR2]]+(data[[#This Row],[Début Dim ou Férié]]="oui")*data[[#This Row],[JOUR1]],0)</f>
        <v>0</v>
      </c>
      <c r="Y54" s="44">
        <f>MAX(0,IF(data[[#This Row],[Garde / Interv.]]="Intervention",data[[#This Row],[NUIT1.1]]+data[[#This Row],[NUIT1.2]]+data[[#This Row],[NUIT2.1]]+data[[#This Row],[NUIT2.2]],0))</f>
        <v>0</v>
      </c>
    </row>
    <row r="55" spans="1:30" x14ac:dyDescent="0.3">
      <c r="A55" s="68">
        <v>43539</v>
      </c>
      <c r="B55" s="137" t="str">
        <f>IF(data[[#This Row],[Hdébut garde]]&lt;&gt;"","Garde",IF(data[[#This Row],[Hdébut corrigé]]&lt;&gt;"","Intervention",""))</f>
        <v>Intervention</v>
      </c>
      <c r="C55" s="83"/>
      <c r="D55" s="60"/>
      <c r="E55" s="47">
        <f>MAX(0,IF(data[[#This Row],[Garde / Interv.]]="Garde",data[[#This Row],[Hfin corrigée]]-data[[#This Row],[Hdébut corrigé]],0))</f>
        <v>0</v>
      </c>
      <c r="F55" s="84"/>
      <c r="G55" s="61"/>
      <c r="H55" s="62" t="s">
        <v>2</v>
      </c>
      <c r="I55" s="63">
        <v>0.94305555555555554</v>
      </c>
      <c r="J55" s="64">
        <v>0.98958333333333337</v>
      </c>
      <c r="K55" s="42">
        <f>IF(data[[#This Row],[Hdébut garde]]&lt;&gt;"",
data[[#This Row],[Hdébut garde]],
data[[#This Row],[Hdébut interv.]]+IF(data[[#This Row],[Hdébut interv.]]&lt;SUMPRODUCT((data[Date]=data[[#This Row],[Date]])*data[Hdébut garde]),1,0)
)</f>
        <v>0.94305555555555554</v>
      </c>
      <c r="L55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0.98958333333333337</v>
      </c>
      <c r="M55" s="43" t="str">
        <f>IF(OR(WEEKDAY(data[[#This Row],[Date]],2)=7,COUNTIF(JF,data[[#This Row],[Date]])=1),"oui","non")</f>
        <v>non</v>
      </c>
      <c r="N55" s="44">
        <f>MAX(0,(MIN(1,data[[#This Row],[Hfin corrigée]])-data[[#This Row],[Hdébut corrigé]])-data[[#This Row],[NUIT1.1]]-data[[#This Row],[NUIT1.2]])</f>
        <v>0</v>
      </c>
      <c r="O55" s="44">
        <f>IF(data[[#This Row],[Hfin Interv.]]="",0,(
MIN(FinNuit,MIN(1,data[[#This Row],[Hfin corrigée]]))-MIN(FinNuit,data[[#This Row],[Hdébut corrigé]])
))</f>
        <v>0</v>
      </c>
      <c r="P55" s="44">
        <f>MAX(0,(MAX(0,(MIN(1,data[[#This Row],[Hfin corrigée]])-DebNuit))-MAX(0,(data[[#This Row],[Hdébut corrigé]]-DebNuit))))</f>
        <v>4.6527777777777835E-2</v>
      </c>
      <c r="Q55" s="43" t="str">
        <f>IF(OR(WEEKDAY(data[[#This Row],[Date]]+data[[#This Row],[Hfin corrigée]],2)=7,COUNTIF(JF,INT(data[[#This Row],[Date]]+data[[#This Row],[Hfin corrigée]]))=1),"oui","non")</f>
        <v>non</v>
      </c>
      <c r="R55" s="44">
        <f>MAX(0,data[[#This Row],[Hfin corrigée]]-MAX(1,data[[#This Row],[Hdébut corrigé]]))-data[[#This Row],[NUIT2.1]]-data[[#This Row],[NUIT2.2]]</f>
        <v>0</v>
      </c>
      <c r="S55" s="44">
        <f>MAX(0,MIN(1+FinNuit,data[[#This Row],[Hfin corrigée]])-MAX(1,data[[#This Row],[Hdébut corrigé]]))</f>
        <v>0</v>
      </c>
      <c r="T55" s="44">
        <f>MAX(0,(data[[#This Row],[Hfin corrigée]]-DebNuit-1))</f>
        <v>0</v>
      </c>
      <c r="U55" s="45">
        <f>IF(data[[#This Row],[Garde / Interv.]]="Intervention",MAX(0,data[[#This Row],[Hfin corrigée]]-SUMPRODUCT((data[Date]=data[[#This Row],[Date]])*(data[Garde / Interv.]="Garde")*data[Hfin corrigée])),0)</f>
        <v>0</v>
      </c>
      <c r="V55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55" s="44">
        <f>MAX(0,IF(data[[#This Row],[Garde / Interv.]]="Intervention",(data[[#This Row],[Fin Dim ou Férié]]="non")*data[[#This Row],[JOUR2]]+(data[[#This Row],[Début Dim ou Férié]]="non")*data[[#This Row],[JOUR1]],0))</f>
        <v>0</v>
      </c>
      <c r="X55" s="44">
        <f>IF(data[[#This Row],[Garde / Interv.]]="Intervention",(data[[#This Row],[Fin Dim ou Férié]]="oui")*data[[#This Row],[JOUR2]]+(data[[#This Row],[Début Dim ou Férié]]="oui")*data[[#This Row],[JOUR1]],0)</f>
        <v>0</v>
      </c>
      <c r="Y55" s="44">
        <f>MAX(0,IF(data[[#This Row],[Garde / Interv.]]="Intervention",data[[#This Row],[NUIT1.1]]+data[[#This Row],[NUIT1.2]]+data[[#This Row],[NUIT2.1]]+data[[#This Row],[NUIT2.2]],0))</f>
        <v>4.6527777777777835E-2</v>
      </c>
    </row>
    <row r="56" spans="1:30" x14ac:dyDescent="0.3">
      <c r="A56" s="68">
        <v>43545</v>
      </c>
      <c r="B56" s="137" t="str">
        <f>IF(data[[#This Row],[Hdébut garde]]&lt;&gt;"","Garde",IF(data[[#This Row],[Hdébut corrigé]]&lt;&gt;"","Intervention",""))</f>
        <v>Garde</v>
      </c>
      <c r="C56" s="83">
        <v>0.29166666666666669</v>
      </c>
      <c r="D56" s="60">
        <v>0.35416666666666669</v>
      </c>
      <c r="E56" s="47">
        <f>MAX(0,IF(data[[#This Row],[Garde / Interv.]]="Garde",data[[#This Row],[Hfin corrigée]]-data[[#This Row],[Hdébut corrigé]],0))</f>
        <v>1.0625</v>
      </c>
      <c r="F56" s="84" t="s">
        <v>81</v>
      </c>
      <c r="G56" s="61"/>
      <c r="H56" s="62"/>
      <c r="I56" s="63"/>
      <c r="J56" s="64"/>
      <c r="K56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56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1.3541666666666667</v>
      </c>
      <c r="M56" s="43" t="str">
        <f>IF(OR(WEEKDAY(data[[#This Row],[Date]],2)=7,COUNTIF(JF,data[[#This Row],[Date]])=1),"oui","non")</f>
        <v>non</v>
      </c>
      <c r="N56" s="44">
        <f>MAX(0,(MIN(1,data[[#This Row],[Hfin corrigée]])-data[[#This Row],[Hdébut corrigé]])-data[[#This Row],[NUIT1.1]]-data[[#This Row],[NUIT1.2]])</f>
        <v>0.62499999999999989</v>
      </c>
      <c r="O56" s="44">
        <f>IF(data[[#This Row],[Hfin Interv.]]="",0,(
MIN(FinNuit,MIN(1,data[[#This Row],[Hfin corrigée]]))-MIN(FinNuit,data[[#This Row],[Hdébut corrigé]])
))</f>
        <v>0</v>
      </c>
      <c r="P56" s="44">
        <f>MAX(0,(MAX(0,(MIN(1,data[[#This Row],[Hfin corrigée]])-DebNuit))-MAX(0,(data[[#This Row],[Hdébut corrigé]]-DebNuit))))</f>
        <v>8.333333333333337E-2</v>
      </c>
      <c r="Q56" s="43" t="str">
        <f>IF(OR(WEEKDAY(data[[#This Row],[Date]]+data[[#This Row],[Hfin corrigée]],2)=7,COUNTIF(JF,INT(data[[#This Row],[Date]]+data[[#This Row],[Hfin corrigée]]))=1),"oui","non")</f>
        <v>non</v>
      </c>
      <c r="R56" s="44">
        <f>MAX(0,data[[#This Row],[Hfin corrigée]]-MAX(1,data[[#This Row],[Hdébut corrigé]]))-data[[#This Row],[NUIT2.1]]-data[[#This Row],[NUIT2.2]]</f>
        <v>6.25E-2</v>
      </c>
      <c r="S56" s="44">
        <f>MAX(0,MIN(1+FinNuit,data[[#This Row],[Hfin corrigée]])-MAX(1,data[[#This Row],[Hdébut corrigé]]))</f>
        <v>0.29166666666666674</v>
      </c>
      <c r="T56" s="44">
        <f>MAX(0,(data[[#This Row],[Hfin corrigée]]-DebNuit-1))</f>
        <v>0</v>
      </c>
      <c r="U56" s="45">
        <f>IF(data[[#This Row],[Garde / Interv.]]="Intervention",MAX(0,data[[#This Row],[Hfin corrigée]]-SUMPRODUCT((data[Date]=data[[#This Row],[Date]])*(data[Garde / Interv.]="Garde")*data[Hfin corrigée])),0)</f>
        <v>0</v>
      </c>
      <c r="V56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0.8256944444444444</v>
      </c>
      <c r="W56" s="44">
        <f>MAX(0,IF(data[[#This Row],[Garde / Interv.]]="Intervention",(data[[#This Row],[Fin Dim ou Férié]]="non")*data[[#This Row],[JOUR2]]+(data[[#This Row],[Début Dim ou Férié]]="non")*data[[#This Row],[JOUR1]],0))</f>
        <v>0</v>
      </c>
      <c r="X56" s="44">
        <f>IF(data[[#This Row],[Garde / Interv.]]="Intervention",(data[[#This Row],[Fin Dim ou Férié]]="oui")*data[[#This Row],[JOUR2]]+(data[[#This Row],[Début Dim ou Férié]]="oui")*data[[#This Row],[JOUR1]],0)</f>
        <v>0</v>
      </c>
      <c r="Y56" s="44">
        <f>MAX(0,IF(data[[#This Row],[Garde / Interv.]]="Intervention",data[[#This Row],[NUIT1.1]]+data[[#This Row],[NUIT1.2]]+data[[#This Row],[NUIT2.1]]+data[[#This Row],[NUIT2.2]],0))</f>
        <v>0</v>
      </c>
      <c r="AB56" s="156"/>
    </row>
    <row r="57" spans="1:30" x14ac:dyDescent="0.3">
      <c r="A57" s="68">
        <v>43545</v>
      </c>
      <c r="B57" s="137" t="str">
        <f>IF(data[[#This Row],[Hdébut garde]]&lt;&gt;"","Garde",IF(data[[#This Row],[Hdébut corrigé]]&lt;&gt;"","Intervention",""))</f>
        <v>Intervention</v>
      </c>
      <c r="C57" s="83"/>
      <c r="D57" s="60"/>
      <c r="E57" s="47">
        <f>MAX(0,IF(data[[#This Row],[Garde / Interv.]]="Garde",data[[#This Row],[Hfin corrigée]]-data[[#This Row],[Hdébut corrigé]],0))</f>
        <v>0</v>
      </c>
      <c r="F57" s="84"/>
      <c r="G57" s="61"/>
      <c r="H57" s="62" t="s">
        <v>4</v>
      </c>
      <c r="I57" s="63">
        <v>0.59027777777777779</v>
      </c>
      <c r="J57" s="64">
        <v>0.64236111111111105</v>
      </c>
      <c r="K57" s="42">
        <f>IF(data[[#This Row],[Hdébut garde]]&lt;&gt;"",
data[[#This Row],[Hdébut garde]],
data[[#This Row],[Hdébut interv.]]+IF(data[[#This Row],[Hdébut interv.]]&lt;SUMPRODUCT((data[Date]=data[[#This Row],[Date]])*data[Hdébut garde]),1,0)
)</f>
        <v>0.59027777777777779</v>
      </c>
      <c r="L57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0.64236111111111105</v>
      </c>
      <c r="M57" s="43" t="str">
        <f>IF(OR(WEEKDAY(data[[#This Row],[Date]],2)=7,COUNTIF(JF,data[[#This Row],[Date]])=1),"oui","non")</f>
        <v>non</v>
      </c>
      <c r="N57" s="44">
        <f>MAX(0,(MIN(1,data[[#This Row],[Hfin corrigée]])-data[[#This Row],[Hdébut corrigé]])-data[[#This Row],[NUIT1.1]]-data[[#This Row],[NUIT1.2]])</f>
        <v>5.2083333333333259E-2</v>
      </c>
      <c r="O57" s="44">
        <f>IF(data[[#This Row],[Hfin Interv.]]="",0,(
MIN(FinNuit,MIN(1,data[[#This Row],[Hfin corrigée]]))-MIN(FinNuit,data[[#This Row],[Hdébut corrigé]])
))</f>
        <v>0</v>
      </c>
      <c r="P57" s="44">
        <f>MAX(0,(MAX(0,(MIN(1,data[[#This Row],[Hfin corrigée]])-DebNuit))-MAX(0,(data[[#This Row],[Hdébut corrigé]]-DebNuit))))</f>
        <v>0</v>
      </c>
      <c r="Q57" s="43" t="str">
        <f>IF(OR(WEEKDAY(data[[#This Row],[Date]]+data[[#This Row],[Hfin corrigée]],2)=7,COUNTIF(JF,INT(data[[#This Row],[Date]]+data[[#This Row],[Hfin corrigée]]))=1),"oui","non")</f>
        <v>non</v>
      </c>
      <c r="R57" s="44">
        <f>MAX(0,data[[#This Row],[Hfin corrigée]]-MAX(1,data[[#This Row],[Hdébut corrigé]]))-data[[#This Row],[NUIT2.1]]-data[[#This Row],[NUIT2.2]]</f>
        <v>0</v>
      </c>
      <c r="S57" s="44">
        <f>MAX(0,MIN(1+FinNuit,data[[#This Row],[Hfin corrigée]])-MAX(1,data[[#This Row],[Hdébut corrigé]]))</f>
        <v>0</v>
      </c>
      <c r="T57" s="44">
        <f>MAX(0,(data[[#This Row],[Hfin corrigée]]-DebNuit-1))</f>
        <v>0</v>
      </c>
      <c r="U57" s="45">
        <f>IF(data[[#This Row],[Garde / Interv.]]="Intervention",MAX(0,data[[#This Row],[Hfin corrigée]]-SUMPRODUCT((data[Date]=data[[#This Row],[Date]])*(data[Garde / Interv.]="Garde")*data[Hfin corrigée])),0)</f>
        <v>0</v>
      </c>
      <c r="V57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57" s="44">
        <f>MAX(0,IF(data[[#This Row],[Garde / Interv.]]="Intervention",(data[[#This Row],[Fin Dim ou Férié]]="non")*data[[#This Row],[JOUR2]]+(data[[#This Row],[Début Dim ou Férié]]="non")*data[[#This Row],[JOUR1]],0))</f>
        <v>5.2083333333333259E-2</v>
      </c>
      <c r="X57" s="44">
        <f>IF(data[[#This Row],[Garde / Interv.]]="Intervention",(data[[#This Row],[Fin Dim ou Férié]]="oui")*data[[#This Row],[JOUR2]]+(data[[#This Row],[Début Dim ou Férié]]="oui")*data[[#This Row],[JOUR1]],0)</f>
        <v>0</v>
      </c>
      <c r="Y57" s="44">
        <f>MAX(0,IF(data[[#This Row],[Garde / Interv.]]="Intervention",data[[#This Row],[NUIT1.1]]+data[[#This Row],[NUIT1.2]]+data[[#This Row],[NUIT2.1]]+data[[#This Row],[NUIT2.2]],0))</f>
        <v>0</v>
      </c>
      <c r="AB57" s="156"/>
      <c r="AD57" s="156"/>
    </row>
    <row r="58" spans="1:30" x14ac:dyDescent="0.3">
      <c r="A58" s="68">
        <v>43545</v>
      </c>
      <c r="B58" s="137" t="str">
        <f>IF(data[[#This Row],[Hdébut garde]]&lt;&gt;"","Garde",IF(data[[#This Row],[Hdébut corrigé]]&lt;&gt;"","Intervention",""))</f>
        <v>Intervention</v>
      </c>
      <c r="C58" s="83"/>
      <c r="D58" s="60"/>
      <c r="E58" s="47">
        <f>MAX(0,IF(data[[#This Row],[Garde / Interv.]]="Garde",data[[#This Row],[Hfin corrigée]]-data[[#This Row],[Hdébut corrigé]],0))</f>
        <v>0</v>
      </c>
      <c r="F58" s="84"/>
      <c r="G58" s="61"/>
      <c r="H58" s="62" t="s">
        <v>2</v>
      </c>
      <c r="I58" s="63">
        <v>0.66111111111111109</v>
      </c>
      <c r="J58" s="64">
        <v>0.72499999999999998</v>
      </c>
      <c r="K58" s="42">
        <f>IF(data[[#This Row],[Hdébut garde]]&lt;&gt;"",
data[[#This Row],[Hdébut garde]],
data[[#This Row],[Hdébut interv.]]+IF(data[[#This Row],[Hdébut interv.]]&lt;SUMPRODUCT((data[Date]=data[[#This Row],[Date]])*data[Hdébut garde]),1,0)
)</f>
        <v>0.66111111111111109</v>
      </c>
      <c r="L58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0.72499999999999998</v>
      </c>
      <c r="M58" s="43" t="str">
        <f>IF(OR(WEEKDAY(data[[#This Row],[Date]],2)=7,COUNTIF(JF,data[[#This Row],[Date]])=1),"oui","non")</f>
        <v>non</v>
      </c>
      <c r="N58" s="44">
        <f>MAX(0,(MIN(1,data[[#This Row],[Hfin corrigée]])-data[[#This Row],[Hdébut corrigé]])-data[[#This Row],[NUIT1.1]]-data[[#This Row],[NUIT1.2]])</f>
        <v>6.3888888888888884E-2</v>
      </c>
      <c r="O58" s="44">
        <f>IF(data[[#This Row],[Hfin Interv.]]="",0,(
MIN(FinNuit,MIN(1,data[[#This Row],[Hfin corrigée]]))-MIN(FinNuit,data[[#This Row],[Hdébut corrigé]])
))</f>
        <v>0</v>
      </c>
      <c r="P58" s="44">
        <f>MAX(0,(MAX(0,(MIN(1,data[[#This Row],[Hfin corrigée]])-DebNuit))-MAX(0,(data[[#This Row],[Hdébut corrigé]]-DebNuit))))</f>
        <v>0</v>
      </c>
      <c r="Q58" s="43" t="str">
        <f>IF(OR(WEEKDAY(data[[#This Row],[Date]]+data[[#This Row],[Hfin corrigée]],2)=7,COUNTIF(JF,INT(data[[#This Row],[Date]]+data[[#This Row],[Hfin corrigée]]))=1),"oui","non")</f>
        <v>non</v>
      </c>
      <c r="R58" s="44">
        <f>MAX(0,data[[#This Row],[Hfin corrigée]]-MAX(1,data[[#This Row],[Hdébut corrigé]]))-data[[#This Row],[NUIT2.1]]-data[[#This Row],[NUIT2.2]]</f>
        <v>0</v>
      </c>
      <c r="S58" s="44">
        <f>MAX(0,MIN(1+FinNuit,data[[#This Row],[Hfin corrigée]])-MAX(1,data[[#This Row],[Hdébut corrigé]]))</f>
        <v>0</v>
      </c>
      <c r="T58" s="44">
        <f>MAX(0,(data[[#This Row],[Hfin corrigée]]-DebNuit-1))</f>
        <v>0</v>
      </c>
      <c r="U58" s="45">
        <f>IF(data[[#This Row],[Garde / Interv.]]="Intervention",MAX(0,data[[#This Row],[Hfin corrigée]]-SUMPRODUCT((data[Date]=data[[#This Row],[Date]])*(data[Garde / Interv.]="Garde")*data[Hfin corrigée])),0)</f>
        <v>0</v>
      </c>
      <c r="V58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58" s="44">
        <f>MAX(0,IF(data[[#This Row],[Garde / Interv.]]="Intervention",(data[[#This Row],[Fin Dim ou Férié]]="non")*data[[#This Row],[JOUR2]]+(data[[#This Row],[Début Dim ou Férié]]="non")*data[[#This Row],[JOUR1]],0))</f>
        <v>6.3888888888888884E-2</v>
      </c>
      <c r="X58" s="44">
        <f>IF(data[[#This Row],[Garde / Interv.]]="Intervention",(data[[#This Row],[Fin Dim ou Férié]]="oui")*data[[#This Row],[JOUR2]]+(data[[#This Row],[Début Dim ou Férié]]="oui")*data[[#This Row],[JOUR1]],0)</f>
        <v>0</v>
      </c>
      <c r="Y58" s="44">
        <f>MAX(0,IF(data[[#This Row],[Garde / Interv.]]="Intervention",data[[#This Row],[NUIT1.1]]+data[[#This Row],[NUIT1.2]]+data[[#This Row],[NUIT2.1]]+data[[#This Row],[NUIT2.2]],0))</f>
        <v>0</v>
      </c>
    </row>
    <row r="59" spans="1:30" x14ac:dyDescent="0.3">
      <c r="A59" s="68">
        <v>43545</v>
      </c>
      <c r="B59" s="137" t="str">
        <f>IF(data[[#This Row],[Hdébut garde]]&lt;&gt;"","Garde",IF(data[[#This Row],[Hdébut corrigé]]&lt;&gt;"","Intervention",""))</f>
        <v>Intervention</v>
      </c>
      <c r="C59" s="83"/>
      <c r="D59" s="60"/>
      <c r="E59" s="47">
        <f>MAX(0,IF(data[[#This Row],[Garde / Interv.]]="Garde",data[[#This Row],[Hfin corrigée]]-data[[#This Row],[Hdébut corrigé]],0))</f>
        <v>0</v>
      </c>
      <c r="F59" s="84"/>
      <c r="G59" s="61"/>
      <c r="H59" s="62" t="s">
        <v>2</v>
      </c>
      <c r="I59" s="63">
        <v>0.7416666666666667</v>
      </c>
      <c r="J59" s="64">
        <v>0.79166666666666663</v>
      </c>
      <c r="K59" s="42">
        <f>IF(data[[#This Row],[Hdébut garde]]&lt;&gt;"",
data[[#This Row],[Hdébut garde]],
data[[#This Row],[Hdébut interv.]]+IF(data[[#This Row],[Hdébut interv.]]&lt;SUMPRODUCT((data[Date]=data[[#This Row],[Date]])*data[Hdébut garde]),1,0)
)</f>
        <v>0.7416666666666667</v>
      </c>
      <c r="L59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0.79166666666666663</v>
      </c>
      <c r="M59" s="43" t="str">
        <f>IF(OR(WEEKDAY(data[[#This Row],[Date]],2)=7,COUNTIF(JF,data[[#This Row],[Date]])=1),"oui","non")</f>
        <v>non</v>
      </c>
      <c r="N59" s="44">
        <f>MAX(0,(MIN(1,data[[#This Row],[Hfin corrigée]])-data[[#This Row],[Hdébut corrigé]])-data[[#This Row],[NUIT1.1]]-data[[#This Row],[NUIT1.2]])</f>
        <v>4.9999999999999933E-2</v>
      </c>
      <c r="O59" s="44">
        <f>IF(data[[#This Row],[Hfin Interv.]]="",0,(
MIN(FinNuit,MIN(1,data[[#This Row],[Hfin corrigée]]))-MIN(FinNuit,data[[#This Row],[Hdébut corrigé]])
))</f>
        <v>0</v>
      </c>
      <c r="P59" s="44">
        <f>MAX(0,(MAX(0,(MIN(1,data[[#This Row],[Hfin corrigée]])-DebNuit))-MAX(0,(data[[#This Row],[Hdébut corrigé]]-DebNuit))))</f>
        <v>0</v>
      </c>
      <c r="Q59" s="43" t="str">
        <f>IF(OR(WEEKDAY(data[[#This Row],[Date]]+data[[#This Row],[Hfin corrigée]],2)=7,COUNTIF(JF,INT(data[[#This Row],[Date]]+data[[#This Row],[Hfin corrigée]]))=1),"oui","non")</f>
        <v>non</v>
      </c>
      <c r="R59" s="44">
        <f>MAX(0,data[[#This Row],[Hfin corrigée]]-MAX(1,data[[#This Row],[Hdébut corrigé]]))-data[[#This Row],[NUIT2.1]]-data[[#This Row],[NUIT2.2]]</f>
        <v>0</v>
      </c>
      <c r="S59" s="44">
        <f>MAX(0,MIN(1+FinNuit,data[[#This Row],[Hfin corrigée]])-MAX(1,data[[#This Row],[Hdébut corrigé]]))</f>
        <v>0</v>
      </c>
      <c r="T59" s="44">
        <f>MAX(0,(data[[#This Row],[Hfin corrigée]]-DebNuit-1))</f>
        <v>0</v>
      </c>
      <c r="U59" s="45">
        <f>IF(data[[#This Row],[Garde / Interv.]]="Intervention",MAX(0,data[[#This Row],[Hfin corrigée]]-SUMPRODUCT((data[Date]=data[[#This Row],[Date]])*(data[Garde / Interv.]="Garde")*data[Hfin corrigée])),0)</f>
        <v>0</v>
      </c>
      <c r="V59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59" s="44">
        <f>MAX(0,IF(data[[#This Row],[Garde / Interv.]]="Intervention",(data[[#This Row],[Fin Dim ou Férié]]="non")*data[[#This Row],[JOUR2]]+(data[[#This Row],[Début Dim ou Férié]]="non")*data[[#This Row],[JOUR1]],0))</f>
        <v>4.9999999999999933E-2</v>
      </c>
      <c r="X59" s="44">
        <f>IF(data[[#This Row],[Garde / Interv.]]="Intervention",(data[[#This Row],[Fin Dim ou Férié]]="oui")*data[[#This Row],[JOUR2]]+(data[[#This Row],[Début Dim ou Férié]]="oui")*data[[#This Row],[JOUR1]],0)</f>
        <v>0</v>
      </c>
      <c r="Y59" s="44">
        <f>MAX(0,IF(data[[#This Row],[Garde / Interv.]]="Intervention",data[[#This Row],[NUIT1.1]]+data[[#This Row],[NUIT1.2]]+data[[#This Row],[NUIT2.1]]+data[[#This Row],[NUIT2.2]],0))</f>
        <v>0</v>
      </c>
    </row>
    <row r="60" spans="1:30" s="153" customFormat="1" ht="15" thickBot="1" x14ac:dyDescent="0.35">
      <c r="A60" s="138">
        <v>43545</v>
      </c>
      <c r="B60" s="139" t="str">
        <f>IF(data[[#This Row],[Hdébut garde]]&lt;&gt;"","Garde",IF(data[[#This Row],[Hdébut corrigé]]&lt;&gt;"","Intervention",""))</f>
        <v>Intervention</v>
      </c>
      <c r="C60" s="140"/>
      <c r="D60" s="141"/>
      <c r="E60" s="142">
        <f>MAX(0,IF(data[[#This Row],[Garde / Interv.]]="Garde",data[[#This Row],[Hfin corrigée]]-data[[#This Row],[Hdébut corrigé]],0))</f>
        <v>0</v>
      </c>
      <c r="F60" s="143"/>
      <c r="G60" s="144"/>
      <c r="H60" s="145" t="s">
        <v>2</v>
      </c>
      <c r="I60" s="146">
        <v>0.28333333333333333</v>
      </c>
      <c r="J60" s="147">
        <v>0.35416666666666669</v>
      </c>
      <c r="K60" s="148">
        <f>IF(data[[#This Row],[Hdébut garde]]&lt;&gt;"",
data[[#This Row],[Hdébut garde]],
data[[#This Row],[Hdébut interv.]]+IF(data[[#This Row],[Hdébut interv.]]&lt;SUMPRODUCT((data[Date]=data[[#This Row],[Date]])*data[Hdébut garde]),1,0)
)</f>
        <v>1.2833333333333332</v>
      </c>
      <c r="L60" s="148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1.3541666666666667</v>
      </c>
      <c r="M60" s="149" t="str">
        <f>IF(OR(WEEKDAY(data[[#This Row],[Date]],2)=7,COUNTIF(JF,data[[#This Row],[Date]])=1),"oui","non")</f>
        <v>non</v>
      </c>
      <c r="N60" s="150">
        <f>MAX(0,(MIN(1,data[[#This Row],[Hfin corrigée]])-data[[#This Row],[Hdébut corrigé]])-data[[#This Row],[NUIT1.1]]-data[[#This Row],[NUIT1.2]])</f>
        <v>0</v>
      </c>
      <c r="O60" s="150">
        <f>IF(data[[#This Row],[Hfin Interv.]]="",0,(
MIN(FinNuit,MIN(1,data[[#This Row],[Hfin corrigée]]))-MIN(FinNuit,data[[#This Row],[Hdébut corrigé]])
))</f>
        <v>0</v>
      </c>
      <c r="P60" s="150">
        <f>MAX(0,(MAX(0,(MIN(1,data[[#This Row],[Hfin corrigée]])-DebNuit))-MAX(0,(data[[#This Row],[Hdébut corrigé]]-DebNuit))))</f>
        <v>0</v>
      </c>
      <c r="Q60" s="149" t="str">
        <f>IF(OR(WEEKDAY(data[[#This Row],[Date]]+data[[#This Row],[Hfin corrigée]],2)=7,COUNTIF(JF,INT(data[[#This Row],[Date]]+data[[#This Row],[Hfin corrigée]]))=1),"oui","non")</f>
        <v>non</v>
      </c>
      <c r="R60" s="150">
        <f>MAX(0,data[[#This Row],[Hfin corrigée]]-MAX(1,data[[#This Row],[Hdébut corrigé]]))-data[[#This Row],[NUIT2.1]]-data[[#This Row],[NUIT2.2]]</f>
        <v>6.25E-2</v>
      </c>
      <c r="S60" s="150">
        <f>MAX(0,MIN(1+FinNuit,data[[#This Row],[Hfin corrigée]])-MAX(1,data[[#This Row],[Hdébut corrigé]]))</f>
        <v>8.3333333333335258E-3</v>
      </c>
      <c r="T60" s="150">
        <f>MAX(0,(data[[#This Row],[Hfin corrigée]]-DebNuit-1))</f>
        <v>0</v>
      </c>
      <c r="U60" s="151">
        <f>IF(data[[#This Row],[Garde / Interv.]]="Intervention",MAX(0,data[[#This Row],[Hfin corrigée]]-SUMPRODUCT((data[Date]=data[[#This Row],[Date]])*(data[Garde / Interv.]="Garde")*data[Hfin corrigée])),0)</f>
        <v>0</v>
      </c>
      <c r="V60" s="150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60" s="150">
        <f>MAX(0,IF(data[[#This Row],[Garde / Interv.]]="Intervention",(data[[#This Row],[Fin Dim ou Férié]]="non")*data[[#This Row],[JOUR2]]+(data[[#This Row],[Début Dim ou Férié]]="non")*data[[#This Row],[JOUR1]],0))</f>
        <v>6.25E-2</v>
      </c>
      <c r="X60" s="150">
        <f>IF(data[[#This Row],[Garde / Interv.]]="Intervention",(data[[#This Row],[Fin Dim ou Férié]]="oui")*data[[#This Row],[JOUR2]]+(data[[#This Row],[Début Dim ou Férié]]="oui")*data[[#This Row],[JOUR1]],0)</f>
        <v>0</v>
      </c>
      <c r="Y60" s="150">
        <f>MAX(0,IF(data[[#This Row],[Garde / Interv.]]="Intervention",data[[#This Row],[NUIT1.1]]+data[[#This Row],[NUIT1.2]]+data[[#This Row],[NUIT2.1]]+data[[#This Row],[NUIT2.2]],0))</f>
        <v>8.3333333333335258E-3</v>
      </c>
      <c r="Z60" s="152"/>
    </row>
    <row r="61" spans="1:30" ht="15" thickTop="1" x14ac:dyDescent="0.3">
      <c r="A61" s="68">
        <v>43559</v>
      </c>
      <c r="B61" s="137" t="str">
        <f>IF(data[[#This Row],[Hdébut garde]]&lt;&gt;"","Garde",IF(data[[#This Row],[Hdébut corrigé]]&lt;&gt;"","Intervention",""))</f>
        <v>Garde</v>
      </c>
      <c r="C61" s="83">
        <v>0.29166666666666669</v>
      </c>
      <c r="D61" s="60">
        <v>0.32430555555555557</v>
      </c>
      <c r="E61" s="47">
        <f>MAX(0,IF(data[[#This Row],[Garde / Interv.]]="Garde",data[[#This Row],[Hfin corrigée]]-data[[#This Row],[Hdébut corrigé]],0))</f>
        <v>1.0326388888888889</v>
      </c>
      <c r="F61" s="84" t="s">
        <v>81</v>
      </c>
      <c r="G61" s="61"/>
      <c r="H61" s="62"/>
      <c r="I61" s="63"/>
      <c r="J61" s="64"/>
      <c r="K61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61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1.3243055555555556</v>
      </c>
      <c r="M61" s="43" t="str">
        <f>IF(OR(WEEKDAY(data[[#This Row],[Date]],2)=7,COUNTIF(JF,data[[#This Row],[Date]])=1),"oui","non")</f>
        <v>non</v>
      </c>
      <c r="N61" s="44">
        <f>MAX(0,(MIN(1,data[[#This Row],[Hfin corrigée]])-data[[#This Row],[Hdébut corrigé]])-data[[#This Row],[NUIT1.1]]-data[[#This Row],[NUIT1.2]])</f>
        <v>0.62499999999999989</v>
      </c>
      <c r="O61" s="44">
        <f>IF(data[[#This Row],[Hfin Interv.]]="",0,(
MIN(FinNuit,MIN(1,data[[#This Row],[Hfin corrigée]]))-MIN(FinNuit,data[[#This Row],[Hdébut corrigé]])
))</f>
        <v>0</v>
      </c>
      <c r="P61" s="44">
        <f>MAX(0,(MAX(0,(MIN(1,data[[#This Row],[Hfin corrigée]])-DebNuit))-MAX(0,(data[[#This Row],[Hdébut corrigé]]-DebNuit))))</f>
        <v>8.333333333333337E-2</v>
      </c>
      <c r="Q61" s="43" t="str">
        <f>IF(OR(WEEKDAY(data[[#This Row],[Date]]+data[[#This Row],[Hfin corrigée]],2)=7,COUNTIF(JF,INT(data[[#This Row],[Date]]+data[[#This Row],[Hfin corrigée]]))=1),"oui","non")</f>
        <v>non</v>
      </c>
      <c r="R61" s="44">
        <f>MAX(0,data[[#This Row],[Hfin corrigée]]-MAX(1,data[[#This Row],[Hdébut corrigé]]))-data[[#This Row],[NUIT2.1]]-data[[#This Row],[NUIT2.2]]</f>
        <v>3.2638888888888884E-2</v>
      </c>
      <c r="S61" s="44">
        <f>MAX(0,MIN(1+FinNuit,data[[#This Row],[Hfin corrigée]])-MAX(1,data[[#This Row],[Hdébut corrigé]]))</f>
        <v>0.29166666666666674</v>
      </c>
      <c r="T61" s="44">
        <f>MAX(0,(data[[#This Row],[Hfin corrigée]]-DebNuit-1))</f>
        <v>0</v>
      </c>
      <c r="U61" s="45">
        <f>IF(data[[#This Row],[Garde / Interv.]]="Intervention",MAX(0,data[[#This Row],[Hfin corrigée]]-SUMPRODUCT((data[Date]=data[[#This Row],[Date]])*(data[Garde / Interv.]="Garde")*data[Hfin corrigée])),0)</f>
        <v>0</v>
      </c>
      <c r="V61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0.96597222222222223</v>
      </c>
      <c r="W61" s="44">
        <f>MAX(0,IF(data[[#This Row],[Garde / Interv.]]="Intervention",(data[[#This Row],[Fin Dim ou Férié]]="non")*data[[#This Row],[JOUR2]]+(data[[#This Row],[Début Dim ou Férié]]="non")*data[[#This Row],[JOUR1]],0))</f>
        <v>0</v>
      </c>
      <c r="X61" s="44">
        <f>IF(data[[#This Row],[Garde / Interv.]]="Intervention",(data[[#This Row],[Fin Dim ou Férié]]="oui")*data[[#This Row],[JOUR2]]+(data[[#This Row],[Début Dim ou Férié]]="oui")*data[[#This Row],[JOUR1]],0)</f>
        <v>0</v>
      </c>
      <c r="Y61" s="44">
        <f>MAX(0,IF(data[[#This Row],[Garde / Interv.]]="Intervention",data[[#This Row],[NUIT1.1]]+data[[#This Row],[NUIT1.2]]+data[[#This Row],[NUIT2.1]]+data[[#This Row],[NUIT2.2]],0))</f>
        <v>0</v>
      </c>
    </row>
    <row r="62" spans="1:30" x14ac:dyDescent="0.3">
      <c r="A62" s="68">
        <v>43559</v>
      </c>
      <c r="B62" s="137" t="str">
        <f>IF(data[[#This Row],[Hdébut garde]]&lt;&gt;"","Garde",IF(data[[#This Row],[Hdébut corrigé]]&lt;&gt;"","Intervention",""))</f>
        <v>Intervention</v>
      </c>
      <c r="C62" s="83"/>
      <c r="D62" s="60"/>
      <c r="E62" s="47">
        <f>MAX(0,IF(data[[#This Row],[Garde / Interv.]]="Garde",data[[#This Row],[Hfin corrigée]]-data[[#This Row],[Hdébut corrigé]],0))</f>
        <v>0</v>
      </c>
      <c r="F62" s="84"/>
      <c r="G62" s="61"/>
      <c r="H62" s="62"/>
      <c r="I62" s="63">
        <v>0.47222222222222227</v>
      </c>
      <c r="J62" s="64">
        <v>0.48333333333333334</v>
      </c>
      <c r="K62" s="42">
        <f>IF(data[[#This Row],[Hdébut garde]]&lt;&gt;"",
data[[#This Row],[Hdébut garde]],
data[[#This Row],[Hdébut interv.]]+IF(data[[#This Row],[Hdébut interv.]]&lt;SUMPRODUCT((data[Date]=data[[#This Row],[Date]])*data[Hdébut garde]),1,0)
)</f>
        <v>0.47222222222222227</v>
      </c>
      <c r="L62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0.48333333333333334</v>
      </c>
      <c r="M62" s="43" t="str">
        <f>IF(OR(WEEKDAY(data[[#This Row],[Date]],2)=7,COUNTIF(JF,data[[#This Row],[Date]])=1),"oui","non")</f>
        <v>non</v>
      </c>
      <c r="N62" s="44">
        <f>MAX(0,(MIN(1,data[[#This Row],[Hfin corrigée]])-data[[#This Row],[Hdébut corrigé]])-data[[#This Row],[NUIT1.1]]-data[[#This Row],[NUIT1.2]])</f>
        <v>1.1111111111111072E-2</v>
      </c>
      <c r="O62" s="44">
        <f>IF(data[[#This Row],[Hfin Interv.]]="",0,(
MIN(FinNuit,MIN(1,data[[#This Row],[Hfin corrigée]]))-MIN(FinNuit,data[[#This Row],[Hdébut corrigé]])
))</f>
        <v>0</v>
      </c>
      <c r="P62" s="44">
        <f>MAX(0,(MAX(0,(MIN(1,data[[#This Row],[Hfin corrigée]])-DebNuit))-MAX(0,(data[[#This Row],[Hdébut corrigé]]-DebNuit))))</f>
        <v>0</v>
      </c>
      <c r="Q62" s="43" t="str">
        <f>IF(OR(WEEKDAY(data[[#This Row],[Date]]+data[[#This Row],[Hfin corrigée]],2)=7,COUNTIF(JF,INT(data[[#This Row],[Date]]+data[[#This Row],[Hfin corrigée]]))=1),"oui","non")</f>
        <v>non</v>
      </c>
      <c r="R62" s="44">
        <f>MAX(0,data[[#This Row],[Hfin corrigée]]-MAX(1,data[[#This Row],[Hdébut corrigé]]))-data[[#This Row],[NUIT2.1]]-data[[#This Row],[NUIT2.2]]</f>
        <v>0</v>
      </c>
      <c r="S62" s="44">
        <f>MAX(0,MIN(1+FinNuit,data[[#This Row],[Hfin corrigée]])-MAX(1,data[[#This Row],[Hdébut corrigé]]))</f>
        <v>0</v>
      </c>
      <c r="T62" s="44">
        <f>MAX(0,(data[[#This Row],[Hfin corrigée]]-DebNuit-1))</f>
        <v>0</v>
      </c>
      <c r="U62" s="45">
        <f>IF(data[[#This Row],[Garde / Interv.]]="Intervention",MAX(0,data[[#This Row],[Hfin corrigée]]-SUMPRODUCT((data[Date]=data[[#This Row],[Date]])*(data[Garde / Interv.]="Garde")*data[Hfin corrigée])),0)</f>
        <v>0</v>
      </c>
      <c r="V62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62" s="44">
        <f>MAX(0,IF(data[[#This Row],[Garde / Interv.]]="Intervention",(data[[#This Row],[Fin Dim ou Férié]]="non")*data[[#This Row],[JOUR2]]+(data[[#This Row],[Début Dim ou Férié]]="non")*data[[#This Row],[JOUR1]],0))</f>
        <v>1.1111111111111072E-2</v>
      </c>
      <c r="X62" s="44">
        <f>IF(data[[#This Row],[Garde / Interv.]]="Intervention",(data[[#This Row],[Fin Dim ou Férié]]="oui")*data[[#This Row],[JOUR2]]+(data[[#This Row],[Début Dim ou Férié]]="oui")*data[[#This Row],[JOUR1]],0)</f>
        <v>0</v>
      </c>
      <c r="Y62" s="44">
        <f>MAX(0,IF(data[[#This Row],[Garde / Interv.]]="Intervention",data[[#This Row],[NUIT1.1]]+data[[#This Row],[NUIT1.2]]+data[[#This Row],[NUIT2.1]]+data[[#This Row],[NUIT2.2]],0))</f>
        <v>0</v>
      </c>
    </row>
    <row r="63" spans="1:30" x14ac:dyDescent="0.3">
      <c r="A63" s="68">
        <v>43559</v>
      </c>
      <c r="B63" s="137" t="str">
        <f>IF(data[[#This Row],[Hdébut garde]]&lt;&gt;"","Garde",IF(data[[#This Row],[Hdébut corrigé]]&lt;&gt;"","Intervention",""))</f>
        <v>Intervention</v>
      </c>
      <c r="C63" s="83"/>
      <c r="D63" s="60"/>
      <c r="E63" s="47">
        <f>MAX(0,IF(data[[#This Row],[Garde / Interv.]]="Garde",data[[#This Row],[Hfin corrigée]]-data[[#This Row],[Hdébut corrigé]],0))</f>
        <v>0</v>
      </c>
      <c r="F63" s="84"/>
      <c r="G63" s="61"/>
      <c r="H63" s="62"/>
      <c r="I63" s="63">
        <v>0.26874999999999999</v>
      </c>
      <c r="J63" s="64">
        <v>0.32430555555555557</v>
      </c>
      <c r="K63" s="42">
        <f>IF(data[[#This Row],[Hdébut garde]]&lt;&gt;"",
data[[#This Row],[Hdébut garde]],
data[[#This Row],[Hdébut interv.]]+IF(data[[#This Row],[Hdébut interv.]]&lt;SUMPRODUCT((data[Date]=data[[#This Row],[Date]])*data[Hdébut garde]),1,0)
)</f>
        <v>1.26875</v>
      </c>
      <c r="L63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1.3243055555555556</v>
      </c>
      <c r="M63" s="154" t="str">
        <f>IF(OR(WEEKDAY(data[[#This Row],[Date]],2)=7,COUNTIF(JF,data[[#This Row],[Date]])=1),"oui","non")</f>
        <v>non</v>
      </c>
      <c r="N63" s="44">
        <f>MAX(0,(MIN(1,data[[#This Row],[Hfin corrigée]])-data[[#This Row],[Hdébut corrigé]])-data[[#This Row],[NUIT1.1]]-data[[#This Row],[NUIT1.2]])</f>
        <v>0</v>
      </c>
      <c r="O63" s="44">
        <f>IF(data[[#This Row],[Hfin Interv.]]="",0,(
MIN(FinNuit,MIN(1,data[[#This Row],[Hfin corrigée]]))-MIN(FinNuit,data[[#This Row],[Hdébut corrigé]])
))</f>
        <v>0</v>
      </c>
      <c r="P63" s="44">
        <f>MAX(0,(MAX(0,(MIN(1,data[[#This Row],[Hfin corrigée]])-DebNuit))-MAX(0,(data[[#This Row],[Hdébut corrigé]]-DebNuit))))</f>
        <v>0</v>
      </c>
      <c r="Q63" s="154" t="str">
        <f>IF(OR(WEEKDAY(data[[#This Row],[Date]]+data[[#This Row],[Hfin corrigée]],2)=7,COUNTIF(JF,INT(data[[#This Row],[Date]]+data[[#This Row],[Hfin corrigée]]))=1),"oui","non")</f>
        <v>non</v>
      </c>
      <c r="R63" s="44">
        <f>MAX(0,data[[#This Row],[Hfin corrigée]]-MAX(1,data[[#This Row],[Hdébut corrigé]]))-data[[#This Row],[NUIT2.1]]-data[[#This Row],[NUIT2.2]]</f>
        <v>3.2638888888888884E-2</v>
      </c>
      <c r="S63" s="44">
        <f>MAX(0,MIN(1+FinNuit,data[[#This Row],[Hfin corrigée]])-MAX(1,data[[#This Row],[Hdébut corrigé]]))</f>
        <v>2.2916666666666696E-2</v>
      </c>
      <c r="T63" s="44">
        <f>MAX(0,(data[[#This Row],[Hfin corrigée]]-DebNuit-1))</f>
        <v>0</v>
      </c>
      <c r="U63" s="45">
        <f>IF(data[[#This Row],[Garde / Interv.]]="Intervention",MAX(0,data[[#This Row],[Hfin corrigée]]-SUMPRODUCT((data[Date]=data[[#This Row],[Date]])*(data[Garde / Interv.]="Garde")*data[Hfin corrigée])),0)</f>
        <v>0</v>
      </c>
      <c r="V63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63" s="44">
        <f>MAX(0,IF(data[[#This Row],[Garde / Interv.]]="Intervention",(data[[#This Row],[Fin Dim ou Férié]]="non")*data[[#This Row],[JOUR2]]+(data[[#This Row],[Début Dim ou Férié]]="non")*data[[#This Row],[JOUR1]],0))</f>
        <v>3.2638888888888884E-2</v>
      </c>
      <c r="X63" s="44">
        <f>IF(data[[#This Row],[Garde / Interv.]]="Intervention",(data[[#This Row],[Fin Dim ou Férié]]="oui")*data[[#This Row],[JOUR2]]+(data[[#This Row],[Début Dim ou Férié]]="oui")*data[[#This Row],[JOUR1]],0)</f>
        <v>0</v>
      </c>
      <c r="Y63" s="44">
        <f>MAX(0,IF(data[[#This Row],[Garde / Interv.]]="Intervention",data[[#This Row],[NUIT1.1]]+data[[#This Row],[NUIT1.2]]+data[[#This Row],[NUIT2.1]]+data[[#This Row],[NUIT2.2]],0))</f>
        <v>2.2916666666666696E-2</v>
      </c>
    </row>
    <row r="64" spans="1:30" x14ac:dyDescent="0.3">
      <c r="A64" s="68">
        <v>43562</v>
      </c>
      <c r="B64" s="137" t="str">
        <f>IF(data[[#This Row],[Hdébut garde]]&lt;&gt;"","Garde",IF(data[[#This Row],[Hdébut corrigé]]&lt;&gt;"","Intervention",""))</f>
        <v>Garde</v>
      </c>
      <c r="C64" s="83">
        <v>0.29166666666666669</v>
      </c>
      <c r="D64" s="60">
        <v>0.79166666666666663</v>
      </c>
      <c r="E64" s="47">
        <f>MAX(0,IF(data[[#This Row],[Garde / Interv.]]="Garde",data[[#This Row],[Hfin corrigée]]-data[[#This Row],[Hdébut corrigé]],0))</f>
        <v>0.49999999999999994</v>
      </c>
      <c r="F64" s="84"/>
      <c r="G64" s="61"/>
      <c r="H64" s="62"/>
      <c r="I64" s="63"/>
      <c r="J64" s="64"/>
      <c r="K64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64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0.79166666666666663</v>
      </c>
      <c r="M64" s="154" t="str">
        <f>IF(OR(WEEKDAY(data[[#This Row],[Date]],2)=7,COUNTIF(JF,data[[#This Row],[Date]])=1),"oui","non")</f>
        <v>oui</v>
      </c>
      <c r="N64" s="44">
        <f>MAX(0,(MIN(1,data[[#This Row],[Hfin corrigée]])-data[[#This Row],[Hdébut corrigé]])-data[[#This Row],[NUIT1.1]]-data[[#This Row],[NUIT1.2]])</f>
        <v>0.49999999999999994</v>
      </c>
      <c r="O64" s="44">
        <f>IF(data[[#This Row],[Hfin Interv.]]="",0,(
MIN(FinNuit,MIN(1,data[[#This Row],[Hfin corrigée]]))-MIN(FinNuit,data[[#This Row],[Hdébut corrigé]])
))</f>
        <v>0</v>
      </c>
      <c r="P64" s="44">
        <f>MAX(0,(MAX(0,(MIN(1,data[[#This Row],[Hfin corrigée]])-DebNuit))-MAX(0,(data[[#This Row],[Hdébut corrigé]]-DebNuit))))</f>
        <v>0</v>
      </c>
      <c r="Q64" s="154" t="str">
        <f>IF(OR(WEEKDAY(data[[#This Row],[Date]]+data[[#This Row],[Hfin corrigée]],2)=7,COUNTIF(JF,INT(data[[#This Row],[Date]]+data[[#This Row],[Hfin corrigée]]))=1),"oui","non")</f>
        <v>oui</v>
      </c>
      <c r="R64" s="44">
        <f>MAX(0,data[[#This Row],[Hfin corrigée]]-MAX(1,data[[#This Row],[Hdébut corrigé]]))-data[[#This Row],[NUIT2.1]]-data[[#This Row],[NUIT2.2]]</f>
        <v>0</v>
      </c>
      <c r="S64" s="44">
        <f>MAX(0,MIN(1+FinNuit,data[[#This Row],[Hfin corrigée]])-MAX(1,data[[#This Row],[Hdébut corrigé]]))</f>
        <v>0</v>
      </c>
      <c r="T64" s="44">
        <f>MAX(0,(data[[#This Row],[Hfin corrigée]]-DebNuit-1))</f>
        <v>0</v>
      </c>
      <c r="U64" s="45">
        <f>IF(data[[#This Row],[Garde / Interv.]]="Intervention",MAX(0,data[[#This Row],[Hfin corrigée]]-SUMPRODUCT((data[Date]=data[[#This Row],[Date]])*(data[Garde / Interv.]="Garde")*data[Hfin corrigée])),0)</f>
        <v>0</v>
      </c>
      <c r="V64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0.49999999999999994</v>
      </c>
      <c r="W64" s="44">
        <f>MAX(0,IF(data[[#This Row],[Garde / Interv.]]="Intervention",(data[[#This Row],[Fin Dim ou Férié]]="non")*data[[#This Row],[JOUR2]]+(data[[#This Row],[Début Dim ou Férié]]="non")*data[[#This Row],[JOUR1]],0))</f>
        <v>0</v>
      </c>
      <c r="X64" s="44">
        <f>IF(data[[#This Row],[Garde / Interv.]]="Intervention",(data[[#This Row],[Fin Dim ou Férié]]="oui")*data[[#This Row],[JOUR2]]+(data[[#This Row],[Début Dim ou Férié]]="oui")*data[[#This Row],[JOUR1]],0)</f>
        <v>0</v>
      </c>
      <c r="Y64" s="44">
        <f>MAX(0,IF(data[[#This Row],[Garde / Interv.]]="Intervention",data[[#This Row],[NUIT1.1]]+data[[#This Row],[NUIT1.2]]+data[[#This Row],[NUIT2.1]]+data[[#This Row],[NUIT2.2]],0))</f>
        <v>0</v>
      </c>
    </row>
    <row r="65" spans="1:25" x14ac:dyDescent="0.3">
      <c r="A65" s="68">
        <v>43566</v>
      </c>
      <c r="B65" s="137" t="str">
        <f>IF(data[[#This Row],[Hdébut garde]]&lt;&gt;"","Garde",IF(data[[#This Row],[Hdébut corrigé]]&lt;&gt;"","Intervention",""))</f>
        <v>Garde</v>
      </c>
      <c r="C65" s="83">
        <v>0.29166666666666669</v>
      </c>
      <c r="D65" s="60">
        <v>0.29166666666666669</v>
      </c>
      <c r="E65" s="47">
        <f>MAX(0,IF(data[[#This Row],[Garde / Interv.]]="Garde",data[[#This Row],[Hfin corrigée]]-data[[#This Row],[Hdébut corrigé]],0))</f>
        <v>1</v>
      </c>
      <c r="F65" s="84"/>
      <c r="G65" s="61"/>
      <c r="H65" s="62"/>
      <c r="I65" s="63"/>
      <c r="J65" s="64"/>
      <c r="K65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65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1.2916666666666667</v>
      </c>
      <c r="M65" s="154" t="str">
        <f>IF(OR(WEEKDAY(data[[#This Row],[Date]],2)=7,COUNTIF(JF,data[[#This Row],[Date]])=1),"oui","non")</f>
        <v>non</v>
      </c>
      <c r="N65" s="44">
        <f>MAX(0,(MIN(1,data[[#This Row],[Hfin corrigée]])-data[[#This Row],[Hdébut corrigé]])-data[[#This Row],[NUIT1.1]]-data[[#This Row],[NUIT1.2]])</f>
        <v>0.62499999999999989</v>
      </c>
      <c r="O65" s="44">
        <f>IF(data[[#This Row],[Hfin Interv.]]="",0,(
MIN(FinNuit,MIN(1,data[[#This Row],[Hfin corrigée]]))-MIN(FinNuit,data[[#This Row],[Hdébut corrigé]])
))</f>
        <v>0</v>
      </c>
      <c r="P65" s="44">
        <f>MAX(0,(MAX(0,(MIN(1,data[[#This Row],[Hfin corrigée]])-DebNuit))-MAX(0,(data[[#This Row],[Hdébut corrigé]]-DebNuit))))</f>
        <v>8.333333333333337E-2</v>
      </c>
      <c r="Q65" s="154" t="str">
        <f>IF(OR(WEEKDAY(data[[#This Row],[Date]]+data[[#This Row],[Hfin corrigée]],2)=7,COUNTIF(JF,INT(data[[#This Row],[Date]]+data[[#This Row],[Hfin corrigée]]))=1),"oui","non")</f>
        <v>non</v>
      </c>
      <c r="R65" s="44">
        <f>MAX(0,data[[#This Row],[Hfin corrigée]]-MAX(1,data[[#This Row],[Hdébut corrigé]]))-data[[#This Row],[NUIT2.1]]-data[[#This Row],[NUIT2.2]]</f>
        <v>0</v>
      </c>
      <c r="S65" s="44">
        <f>MAX(0,MIN(1+FinNuit,data[[#This Row],[Hfin corrigée]])-MAX(1,data[[#This Row],[Hdébut corrigé]]))</f>
        <v>0.29166666666666674</v>
      </c>
      <c r="T65" s="44">
        <f>MAX(0,(data[[#This Row],[Hfin corrigée]]-DebNuit-1))</f>
        <v>0</v>
      </c>
      <c r="U65" s="45">
        <f>IF(data[[#This Row],[Garde / Interv.]]="Intervention",MAX(0,data[[#This Row],[Hfin corrigée]]-SUMPRODUCT((data[Date]=data[[#This Row],[Date]])*(data[Garde / Interv.]="Garde")*data[Hfin corrigée])),0)</f>
        <v>0</v>
      </c>
      <c r="V65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0.74583333333333324</v>
      </c>
      <c r="W65" s="44">
        <f>MAX(0,IF(data[[#This Row],[Garde / Interv.]]="Intervention",(data[[#This Row],[Fin Dim ou Férié]]="non")*data[[#This Row],[JOUR2]]+(data[[#This Row],[Début Dim ou Férié]]="non")*data[[#This Row],[JOUR1]],0))</f>
        <v>0</v>
      </c>
      <c r="X65" s="44">
        <f>IF(data[[#This Row],[Garde / Interv.]]="Intervention",(data[[#This Row],[Fin Dim ou Férié]]="oui")*data[[#This Row],[JOUR2]]+(data[[#This Row],[Début Dim ou Férié]]="oui")*data[[#This Row],[JOUR1]],0)</f>
        <v>0</v>
      </c>
      <c r="Y65" s="44">
        <f>MAX(0,IF(data[[#This Row],[Garde / Interv.]]="Intervention",data[[#This Row],[NUIT1.1]]+data[[#This Row],[NUIT1.2]]+data[[#This Row],[NUIT2.1]]+data[[#This Row],[NUIT2.2]],0))</f>
        <v>0</v>
      </c>
    </row>
    <row r="66" spans="1:25" x14ac:dyDescent="0.3">
      <c r="A66" s="68">
        <v>43566</v>
      </c>
      <c r="B66" s="137" t="str">
        <f>IF(data[[#This Row],[Hdébut garde]]&lt;&gt;"","Garde",IF(data[[#This Row],[Hdébut corrigé]]&lt;&gt;"","Intervention",""))</f>
        <v>Intervention</v>
      </c>
      <c r="C66" s="83"/>
      <c r="D66" s="60"/>
      <c r="E66" s="47">
        <f>MAX(0,IF(data[[#This Row],[Garde / Interv.]]="Garde",data[[#This Row],[Hfin corrigée]]-data[[#This Row],[Hdébut corrigé]],0))</f>
        <v>0</v>
      </c>
      <c r="F66" s="84"/>
      <c r="G66" s="61"/>
      <c r="H66" s="62"/>
      <c r="I66" s="63">
        <v>0.44305555555555554</v>
      </c>
      <c r="J66" s="64">
        <v>0.44513888888888892</v>
      </c>
      <c r="K66" s="42">
        <f>IF(data[[#This Row],[Hdébut garde]]&lt;&gt;"",
data[[#This Row],[Hdébut garde]],
data[[#This Row],[Hdébut interv.]]+IF(data[[#This Row],[Hdébut interv.]]&lt;SUMPRODUCT((data[Date]=data[[#This Row],[Date]])*data[Hdébut garde]),1,0)
)</f>
        <v>0.44305555555555554</v>
      </c>
      <c r="L66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0.44513888888888892</v>
      </c>
      <c r="M66" s="154" t="str">
        <f>IF(OR(WEEKDAY(data[[#This Row],[Date]],2)=7,COUNTIF(JF,data[[#This Row],[Date]])=1),"oui","non")</f>
        <v>non</v>
      </c>
      <c r="N66" s="44">
        <f>MAX(0,(MIN(1,data[[#This Row],[Hfin corrigée]])-data[[#This Row],[Hdébut corrigé]])-data[[#This Row],[NUIT1.1]]-data[[#This Row],[NUIT1.2]])</f>
        <v>2.0833333333333814E-3</v>
      </c>
      <c r="O66" s="44">
        <f>IF(data[[#This Row],[Hfin Interv.]]="",0,(
MIN(FinNuit,MIN(1,data[[#This Row],[Hfin corrigée]]))-MIN(FinNuit,data[[#This Row],[Hdébut corrigé]])
))</f>
        <v>0</v>
      </c>
      <c r="P66" s="44">
        <f>MAX(0,(MAX(0,(MIN(1,data[[#This Row],[Hfin corrigée]])-DebNuit))-MAX(0,(data[[#This Row],[Hdébut corrigé]]-DebNuit))))</f>
        <v>0</v>
      </c>
      <c r="Q66" s="154" t="str">
        <f>IF(OR(WEEKDAY(data[[#This Row],[Date]]+data[[#This Row],[Hfin corrigée]],2)=7,COUNTIF(JF,INT(data[[#This Row],[Date]]+data[[#This Row],[Hfin corrigée]]))=1),"oui","non")</f>
        <v>non</v>
      </c>
      <c r="R66" s="44">
        <f>MAX(0,data[[#This Row],[Hfin corrigée]]-MAX(1,data[[#This Row],[Hdébut corrigé]]))-data[[#This Row],[NUIT2.1]]-data[[#This Row],[NUIT2.2]]</f>
        <v>0</v>
      </c>
      <c r="S66" s="44">
        <f>MAX(0,MIN(1+FinNuit,data[[#This Row],[Hfin corrigée]])-MAX(1,data[[#This Row],[Hdébut corrigé]]))</f>
        <v>0</v>
      </c>
      <c r="T66" s="44">
        <f>MAX(0,(data[[#This Row],[Hfin corrigée]]-DebNuit-1))</f>
        <v>0</v>
      </c>
      <c r="U66" s="45">
        <f>IF(data[[#This Row],[Garde / Interv.]]="Intervention",MAX(0,data[[#This Row],[Hfin corrigée]]-SUMPRODUCT((data[Date]=data[[#This Row],[Date]])*(data[Garde / Interv.]="Garde")*data[Hfin corrigée])),0)</f>
        <v>0</v>
      </c>
      <c r="V66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66" s="44">
        <f>MAX(0,IF(data[[#This Row],[Garde / Interv.]]="Intervention",(data[[#This Row],[Fin Dim ou Férié]]="non")*data[[#This Row],[JOUR2]]+(data[[#This Row],[Début Dim ou Férié]]="non")*data[[#This Row],[JOUR1]],0))</f>
        <v>2.0833333333333814E-3</v>
      </c>
      <c r="X66" s="44">
        <f>IF(data[[#This Row],[Garde / Interv.]]="Intervention",(data[[#This Row],[Fin Dim ou Férié]]="oui")*data[[#This Row],[JOUR2]]+(data[[#This Row],[Début Dim ou Férié]]="oui")*data[[#This Row],[JOUR1]],0)</f>
        <v>0</v>
      </c>
      <c r="Y66" s="44">
        <f>MAX(0,IF(data[[#This Row],[Garde / Interv.]]="Intervention",data[[#This Row],[NUIT1.1]]+data[[#This Row],[NUIT1.2]]+data[[#This Row],[NUIT2.1]]+data[[#This Row],[NUIT2.2]],0))</f>
        <v>0</v>
      </c>
    </row>
    <row r="67" spans="1:25" x14ac:dyDescent="0.3">
      <c r="A67" s="68">
        <v>43566</v>
      </c>
      <c r="B67" s="137" t="str">
        <f>IF(data[[#This Row],[Hdébut garde]]&lt;&gt;"","Garde",IF(data[[#This Row],[Hdébut corrigé]]&lt;&gt;"","Intervention",""))</f>
        <v>Intervention</v>
      </c>
      <c r="C67" s="83"/>
      <c r="D67" s="60"/>
      <c r="E67" s="47">
        <f>MAX(0,IF(data[[#This Row],[Garde / Interv.]]="Garde",data[[#This Row],[Hfin corrigée]]-data[[#This Row],[Hdébut corrigé]],0))</f>
        <v>0</v>
      </c>
      <c r="F67" s="84"/>
      <c r="G67" s="61"/>
      <c r="H67" s="62"/>
      <c r="I67" s="63">
        <v>0.44861111111111113</v>
      </c>
      <c r="J67" s="64">
        <v>0.4916666666666667</v>
      </c>
      <c r="K67" s="42">
        <f>IF(data[[#This Row],[Hdébut garde]]&lt;&gt;"",
data[[#This Row],[Hdébut garde]],
data[[#This Row],[Hdébut interv.]]+IF(data[[#This Row],[Hdébut interv.]]&lt;SUMPRODUCT((data[Date]=data[[#This Row],[Date]])*data[Hdébut garde]),1,0)
)</f>
        <v>0.44861111111111113</v>
      </c>
      <c r="L67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0.4916666666666667</v>
      </c>
      <c r="M67" s="154" t="str">
        <f>IF(OR(WEEKDAY(data[[#This Row],[Date]],2)=7,COUNTIF(JF,data[[#This Row],[Date]])=1),"oui","non")</f>
        <v>non</v>
      </c>
      <c r="N67" s="44">
        <f>MAX(0,(MIN(1,data[[#This Row],[Hfin corrigée]])-data[[#This Row],[Hdébut corrigé]])-data[[#This Row],[NUIT1.1]]-data[[#This Row],[NUIT1.2]])</f>
        <v>4.3055555555555569E-2</v>
      </c>
      <c r="O67" s="44">
        <f>IF(data[[#This Row],[Hfin Interv.]]="",0,(
MIN(FinNuit,MIN(1,data[[#This Row],[Hfin corrigée]]))-MIN(FinNuit,data[[#This Row],[Hdébut corrigé]])
))</f>
        <v>0</v>
      </c>
      <c r="P67" s="44">
        <f>MAX(0,(MAX(0,(MIN(1,data[[#This Row],[Hfin corrigée]])-DebNuit))-MAX(0,(data[[#This Row],[Hdébut corrigé]]-DebNuit))))</f>
        <v>0</v>
      </c>
      <c r="Q67" s="154" t="str">
        <f>IF(OR(WEEKDAY(data[[#This Row],[Date]]+data[[#This Row],[Hfin corrigée]],2)=7,COUNTIF(JF,INT(data[[#This Row],[Date]]+data[[#This Row],[Hfin corrigée]]))=1),"oui","non")</f>
        <v>non</v>
      </c>
      <c r="R67" s="44">
        <f>MAX(0,data[[#This Row],[Hfin corrigée]]-MAX(1,data[[#This Row],[Hdébut corrigé]]))-data[[#This Row],[NUIT2.1]]-data[[#This Row],[NUIT2.2]]</f>
        <v>0</v>
      </c>
      <c r="S67" s="44">
        <f>MAX(0,MIN(1+FinNuit,data[[#This Row],[Hfin corrigée]])-MAX(1,data[[#This Row],[Hdébut corrigé]]))</f>
        <v>0</v>
      </c>
      <c r="T67" s="44">
        <f>MAX(0,(data[[#This Row],[Hfin corrigée]]-DebNuit-1))</f>
        <v>0</v>
      </c>
      <c r="U67" s="45">
        <f>IF(data[[#This Row],[Garde / Interv.]]="Intervention",MAX(0,data[[#This Row],[Hfin corrigée]]-SUMPRODUCT((data[Date]=data[[#This Row],[Date]])*(data[Garde / Interv.]="Garde")*data[Hfin corrigée])),0)</f>
        <v>0</v>
      </c>
      <c r="V67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67" s="44">
        <f>MAX(0,IF(data[[#This Row],[Garde / Interv.]]="Intervention",(data[[#This Row],[Fin Dim ou Férié]]="non")*data[[#This Row],[JOUR2]]+(data[[#This Row],[Début Dim ou Férié]]="non")*data[[#This Row],[JOUR1]],0))</f>
        <v>4.3055555555555569E-2</v>
      </c>
      <c r="X67" s="44">
        <f>IF(data[[#This Row],[Garde / Interv.]]="Intervention",(data[[#This Row],[Fin Dim ou Férié]]="oui")*data[[#This Row],[JOUR2]]+(data[[#This Row],[Début Dim ou Férié]]="oui")*data[[#This Row],[JOUR1]],0)</f>
        <v>0</v>
      </c>
      <c r="Y67" s="44">
        <f>MAX(0,IF(data[[#This Row],[Garde / Interv.]]="Intervention",data[[#This Row],[NUIT1.1]]+data[[#This Row],[NUIT1.2]]+data[[#This Row],[NUIT2.1]]+data[[#This Row],[NUIT2.2]],0))</f>
        <v>0</v>
      </c>
    </row>
    <row r="68" spans="1:25" x14ac:dyDescent="0.3">
      <c r="A68" s="68">
        <v>43566</v>
      </c>
      <c r="B68" s="137" t="str">
        <f>IF(data[[#This Row],[Hdébut garde]]&lt;&gt;"","Garde",IF(data[[#This Row],[Hdébut corrigé]]&lt;&gt;"","Intervention",""))</f>
        <v>Intervention</v>
      </c>
      <c r="C68" s="83"/>
      <c r="D68" s="60"/>
      <c r="E68" s="47">
        <f>MAX(0,IF(data[[#This Row],[Garde / Interv.]]="Garde",data[[#This Row],[Hfin corrigée]]-data[[#This Row],[Hdébut corrigé]],0))</f>
        <v>0</v>
      </c>
      <c r="F68" s="84"/>
      <c r="G68" s="61"/>
      <c r="H68" s="62"/>
      <c r="I68" s="63">
        <v>0.4916666666666667</v>
      </c>
      <c r="J68" s="64">
        <v>0.55902777777777779</v>
      </c>
      <c r="K68" s="42">
        <f>IF(data[[#This Row],[Hdébut garde]]&lt;&gt;"",
data[[#This Row],[Hdébut garde]],
data[[#This Row],[Hdébut interv.]]+IF(data[[#This Row],[Hdébut interv.]]&lt;SUMPRODUCT((data[Date]=data[[#This Row],[Date]])*data[Hdébut garde]),1,0)
)</f>
        <v>0.4916666666666667</v>
      </c>
      <c r="L68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0.55902777777777779</v>
      </c>
      <c r="M68" s="154" t="str">
        <f>IF(OR(WEEKDAY(data[[#This Row],[Date]],2)=7,COUNTIF(JF,data[[#This Row],[Date]])=1),"oui","non")</f>
        <v>non</v>
      </c>
      <c r="N68" s="44">
        <f>MAX(0,(MIN(1,data[[#This Row],[Hfin corrigée]])-data[[#This Row],[Hdébut corrigé]])-data[[#This Row],[NUIT1.1]]-data[[#This Row],[NUIT1.2]])</f>
        <v>6.7361111111111094E-2</v>
      </c>
      <c r="O68" s="44">
        <f>IF(data[[#This Row],[Hfin Interv.]]="",0,(
MIN(FinNuit,MIN(1,data[[#This Row],[Hfin corrigée]]))-MIN(FinNuit,data[[#This Row],[Hdébut corrigé]])
))</f>
        <v>0</v>
      </c>
      <c r="P68" s="44">
        <f>MAX(0,(MAX(0,(MIN(1,data[[#This Row],[Hfin corrigée]])-DebNuit))-MAX(0,(data[[#This Row],[Hdébut corrigé]]-DebNuit))))</f>
        <v>0</v>
      </c>
      <c r="Q68" s="154" t="str">
        <f>IF(OR(WEEKDAY(data[[#This Row],[Date]]+data[[#This Row],[Hfin corrigée]],2)=7,COUNTIF(JF,INT(data[[#This Row],[Date]]+data[[#This Row],[Hfin corrigée]]))=1),"oui","non")</f>
        <v>non</v>
      </c>
      <c r="R68" s="44">
        <f>MAX(0,data[[#This Row],[Hfin corrigée]]-MAX(1,data[[#This Row],[Hdébut corrigé]]))-data[[#This Row],[NUIT2.1]]-data[[#This Row],[NUIT2.2]]</f>
        <v>0</v>
      </c>
      <c r="S68" s="44">
        <f>MAX(0,MIN(1+FinNuit,data[[#This Row],[Hfin corrigée]])-MAX(1,data[[#This Row],[Hdébut corrigé]]))</f>
        <v>0</v>
      </c>
      <c r="T68" s="44">
        <f>MAX(0,(data[[#This Row],[Hfin corrigée]]-DebNuit-1))</f>
        <v>0</v>
      </c>
      <c r="U68" s="45">
        <f>IF(data[[#This Row],[Garde / Interv.]]="Intervention",MAX(0,data[[#This Row],[Hfin corrigée]]-SUMPRODUCT((data[Date]=data[[#This Row],[Date]])*(data[Garde / Interv.]="Garde")*data[Hfin corrigée])),0)</f>
        <v>0</v>
      </c>
      <c r="V68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68" s="44">
        <f>MAX(0,IF(data[[#This Row],[Garde / Interv.]]="Intervention",(data[[#This Row],[Fin Dim ou Férié]]="non")*data[[#This Row],[JOUR2]]+(data[[#This Row],[Début Dim ou Férié]]="non")*data[[#This Row],[JOUR1]],0))</f>
        <v>6.7361111111111094E-2</v>
      </c>
      <c r="X68" s="44">
        <f>IF(data[[#This Row],[Garde / Interv.]]="Intervention",(data[[#This Row],[Fin Dim ou Férié]]="oui")*data[[#This Row],[JOUR2]]+(data[[#This Row],[Début Dim ou Férié]]="oui")*data[[#This Row],[JOUR1]],0)</f>
        <v>0</v>
      </c>
      <c r="Y68" s="44">
        <f>MAX(0,IF(data[[#This Row],[Garde / Interv.]]="Intervention",data[[#This Row],[NUIT1.1]]+data[[#This Row],[NUIT1.2]]+data[[#This Row],[NUIT2.1]]+data[[#This Row],[NUIT2.2]],0))</f>
        <v>0</v>
      </c>
    </row>
    <row r="69" spans="1:25" x14ac:dyDescent="0.3">
      <c r="A69" s="68">
        <v>43566</v>
      </c>
      <c r="B69" s="137" t="str">
        <f>IF(data[[#This Row],[Hdébut garde]]&lt;&gt;"","Garde",IF(data[[#This Row],[Hdébut corrigé]]&lt;&gt;"","Intervention",""))</f>
        <v>Intervention</v>
      </c>
      <c r="C69" s="83"/>
      <c r="D69" s="60"/>
      <c r="E69" s="47">
        <f>MAX(0,IF(data[[#This Row],[Garde / Interv.]]="Garde",data[[#This Row],[Hfin corrigée]]-data[[#This Row],[Hdébut corrigé]],0))</f>
        <v>0</v>
      </c>
      <c r="F69" s="84"/>
      <c r="G69" s="61"/>
      <c r="H69" s="62"/>
      <c r="I69" s="63">
        <v>0.55972222222222223</v>
      </c>
      <c r="J69" s="64">
        <v>0.58680555555555558</v>
      </c>
      <c r="K69" s="42">
        <f>IF(data[[#This Row],[Hdébut garde]]&lt;&gt;"",
data[[#This Row],[Hdébut garde]],
data[[#This Row],[Hdébut interv.]]+IF(data[[#This Row],[Hdébut interv.]]&lt;SUMPRODUCT((data[Date]=data[[#This Row],[Date]])*data[Hdébut garde]),1,0)
)</f>
        <v>0.55972222222222223</v>
      </c>
      <c r="L69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0.58680555555555558</v>
      </c>
      <c r="M69" s="154" t="str">
        <f>IF(OR(WEEKDAY(data[[#This Row],[Date]],2)=7,COUNTIF(JF,data[[#This Row],[Date]])=1),"oui","non")</f>
        <v>non</v>
      </c>
      <c r="N69" s="44">
        <f>MAX(0,(MIN(1,data[[#This Row],[Hfin corrigée]])-data[[#This Row],[Hdébut corrigé]])-data[[#This Row],[NUIT1.1]]-data[[#This Row],[NUIT1.2]])</f>
        <v>2.7083333333333348E-2</v>
      </c>
      <c r="O69" s="44">
        <f>IF(data[[#This Row],[Hfin Interv.]]="",0,(
MIN(FinNuit,MIN(1,data[[#This Row],[Hfin corrigée]]))-MIN(FinNuit,data[[#This Row],[Hdébut corrigé]])
))</f>
        <v>0</v>
      </c>
      <c r="P69" s="44">
        <f>MAX(0,(MAX(0,(MIN(1,data[[#This Row],[Hfin corrigée]])-DebNuit))-MAX(0,(data[[#This Row],[Hdébut corrigé]]-DebNuit))))</f>
        <v>0</v>
      </c>
      <c r="Q69" s="154" t="str">
        <f>IF(OR(WEEKDAY(data[[#This Row],[Date]]+data[[#This Row],[Hfin corrigée]],2)=7,COUNTIF(JF,INT(data[[#This Row],[Date]]+data[[#This Row],[Hfin corrigée]]))=1),"oui","non")</f>
        <v>non</v>
      </c>
      <c r="R69" s="44">
        <f>MAX(0,data[[#This Row],[Hfin corrigée]]-MAX(1,data[[#This Row],[Hdébut corrigé]]))-data[[#This Row],[NUIT2.1]]-data[[#This Row],[NUIT2.2]]</f>
        <v>0</v>
      </c>
      <c r="S69" s="44">
        <f>MAX(0,MIN(1+FinNuit,data[[#This Row],[Hfin corrigée]])-MAX(1,data[[#This Row],[Hdébut corrigé]]))</f>
        <v>0</v>
      </c>
      <c r="T69" s="44">
        <f>MAX(0,(data[[#This Row],[Hfin corrigée]]-DebNuit-1))</f>
        <v>0</v>
      </c>
      <c r="U69" s="45">
        <f>IF(data[[#This Row],[Garde / Interv.]]="Intervention",MAX(0,data[[#This Row],[Hfin corrigée]]-SUMPRODUCT((data[Date]=data[[#This Row],[Date]])*(data[Garde / Interv.]="Garde")*data[Hfin corrigée])),0)</f>
        <v>0</v>
      </c>
      <c r="V69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69" s="44">
        <f>MAX(0,IF(data[[#This Row],[Garde / Interv.]]="Intervention",(data[[#This Row],[Fin Dim ou Férié]]="non")*data[[#This Row],[JOUR2]]+(data[[#This Row],[Début Dim ou Férié]]="non")*data[[#This Row],[JOUR1]],0))</f>
        <v>2.7083333333333348E-2</v>
      </c>
      <c r="X69" s="44">
        <f>IF(data[[#This Row],[Garde / Interv.]]="Intervention",(data[[#This Row],[Fin Dim ou Férié]]="oui")*data[[#This Row],[JOUR2]]+(data[[#This Row],[Début Dim ou Férié]]="oui")*data[[#This Row],[JOUR1]],0)</f>
        <v>0</v>
      </c>
      <c r="Y69" s="44">
        <f>MAX(0,IF(data[[#This Row],[Garde / Interv.]]="Intervention",data[[#This Row],[NUIT1.1]]+data[[#This Row],[NUIT1.2]]+data[[#This Row],[NUIT2.1]]+data[[#This Row],[NUIT2.2]],0))</f>
        <v>0</v>
      </c>
    </row>
    <row r="70" spans="1:25" x14ac:dyDescent="0.3">
      <c r="A70" s="68">
        <v>43566</v>
      </c>
      <c r="B70" s="137" t="str">
        <f>IF(data[[#This Row],[Hdébut garde]]&lt;&gt;"","Garde",IF(data[[#This Row],[Hdébut corrigé]]&lt;&gt;"","Intervention",""))</f>
        <v>Intervention</v>
      </c>
      <c r="C70" s="83"/>
      <c r="D70" s="60"/>
      <c r="E70" s="47">
        <f>MAX(0,IF(data[[#This Row],[Garde / Interv.]]="Garde",data[[#This Row],[Hfin corrigée]]-data[[#This Row],[Hdébut corrigé]],0))</f>
        <v>0</v>
      </c>
      <c r="F70" s="84"/>
      <c r="G70" s="61"/>
      <c r="H70" s="62"/>
      <c r="I70" s="63">
        <v>0.61736111111111114</v>
      </c>
      <c r="J70" s="64">
        <v>0.70763888888888893</v>
      </c>
      <c r="K70" s="42">
        <f>IF(data[[#This Row],[Hdébut garde]]&lt;&gt;"",
data[[#This Row],[Hdébut garde]],
data[[#This Row],[Hdébut interv.]]+IF(data[[#This Row],[Hdébut interv.]]&lt;SUMPRODUCT((data[Date]=data[[#This Row],[Date]])*data[Hdébut garde]),1,0)
)</f>
        <v>0.61736111111111114</v>
      </c>
      <c r="L70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0.70763888888888893</v>
      </c>
      <c r="M70" s="154" t="str">
        <f>IF(OR(WEEKDAY(data[[#This Row],[Date]],2)=7,COUNTIF(JF,data[[#This Row],[Date]])=1),"oui","non")</f>
        <v>non</v>
      </c>
      <c r="N70" s="44">
        <f>MAX(0,(MIN(1,data[[#This Row],[Hfin corrigée]])-data[[#This Row],[Hdébut corrigé]])-data[[#This Row],[NUIT1.1]]-data[[#This Row],[NUIT1.2]])</f>
        <v>9.027777777777779E-2</v>
      </c>
      <c r="O70" s="44">
        <f>IF(data[[#This Row],[Hfin Interv.]]="",0,(
MIN(FinNuit,MIN(1,data[[#This Row],[Hfin corrigée]]))-MIN(FinNuit,data[[#This Row],[Hdébut corrigé]])
))</f>
        <v>0</v>
      </c>
      <c r="P70" s="44">
        <f>MAX(0,(MAX(0,(MIN(1,data[[#This Row],[Hfin corrigée]])-DebNuit))-MAX(0,(data[[#This Row],[Hdébut corrigé]]-DebNuit))))</f>
        <v>0</v>
      </c>
      <c r="Q70" s="154" t="str">
        <f>IF(OR(WEEKDAY(data[[#This Row],[Date]]+data[[#This Row],[Hfin corrigée]],2)=7,COUNTIF(JF,INT(data[[#This Row],[Date]]+data[[#This Row],[Hfin corrigée]]))=1),"oui","non")</f>
        <v>non</v>
      </c>
      <c r="R70" s="44">
        <f>MAX(0,data[[#This Row],[Hfin corrigée]]-MAX(1,data[[#This Row],[Hdébut corrigé]]))-data[[#This Row],[NUIT2.1]]-data[[#This Row],[NUIT2.2]]</f>
        <v>0</v>
      </c>
      <c r="S70" s="44">
        <f>MAX(0,MIN(1+FinNuit,data[[#This Row],[Hfin corrigée]])-MAX(1,data[[#This Row],[Hdébut corrigé]]))</f>
        <v>0</v>
      </c>
      <c r="T70" s="44">
        <f>MAX(0,(data[[#This Row],[Hfin corrigée]]-DebNuit-1))</f>
        <v>0</v>
      </c>
      <c r="U70" s="45">
        <f>IF(data[[#This Row],[Garde / Interv.]]="Intervention",MAX(0,data[[#This Row],[Hfin corrigée]]-SUMPRODUCT((data[Date]=data[[#This Row],[Date]])*(data[Garde / Interv.]="Garde")*data[Hfin corrigée])),0)</f>
        <v>0</v>
      </c>
      <c r="V70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70" s="44">
        <f>MAX(0,IF(data[[#This Row],[Garde / Interv.]]="Intervention",(data[[#This Row],[Fin Dim ou Férié]]="non")*data[[#This Row],[JOUR2]]+(data[[#This Row],[Début Dim ou Férié]]="non")*data[[#This Row],[JOUR1]],0))</f>
        <v>9.027777777777779E-2</v>
      </c>
      <c r="X70" s="44">
        <f>IF(data[[#This Row],[Garde / Interv.]]="Intervention",(data[[#This Row],[Fin Dim ou Férié]]="oui")*data[[#This Row],[JOUR2]]+(data[[#This Row],[Début Dim ou Férié]]="oui")*data[[#This Row],[JOUR1]],0)</f>
        <v>0</v>
      </c>
      <c r="Y70" s="44">
        <f>MAX(0,IF(data[[#This Row],[Garde / Interv.]]="Intervention",data[[#This Row],[NUIT1.1]]+data[[#This Row],[NUIT1.2]]+data[[#This Row],[NUIT2.1]]+data[[#This Row],[NUIT2.2]],0))</f>
        <v>0</v>
      </c>
    </row>
    <row r="71" spans="1:25" x14ac:dyDescent="0.3">
      <c r="A71" s="68">
        <v>43566</v>
      </c>
      <c r="B71" s="137" t="str">
        <f>IF(data[[#This Row],[Hdébut garde]]&lt;&gt;"","Garde",IF(data[[#This Row],[Hdébut corrigé]]&lt;&gt;"","Intervention",""))</f>
        <v>Intervention</v>
      </c>
      <c r="C71" s="83"/>
      <c r="D71" s="60"/>
      <c r="E71" s="47">
        <f>MAX(0,IF(data[[#This Row],[Garde / Interv.]]="Garde",data[[#This Row],[Hfin corrigée]]-data[[#This Row],[Hdébut corrigé]],0))</f>
        <v>0</v>
      </c>
      <c r="F71" s="84"/>
      <c r="G71" s="61"/>
      <c r="H71" s="62"/>
      <c r="I71" s="63">
        <v>0.16805555555555554</v>
      </c>
      <c r="J71" s="64">
        <v>0.19236111111111112</v>
      </c>
      <c r="K71" s="42">
        <f>IF(data[[#This Row],[Hdébut garde]]&lt;&gt;"",
data[[#This Row],[Hdébut garde]],
data[[#This Row],[Hdébut interv.]]+IF(data[[#This Row],[Hdébut interv.]]&lt;SUMPRODUCT((data[Date]=data[[#This Row],[Date]])*data[Hdébut garde]),1,0)
)</f>
        <v>1.1680555555555556</v>
      </c>
      <c r="L71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1.1923611111111112</v>
      </c>
      <c r="M71" s="154" t="str">
        <f>IF(OR(WEEKDAY(data[[#This Row],[Date]],2)=7,COUNTIF(JF,data[[#This Row],[Date]])=1),"oui","non")</f>
        <v>non</v>
      </c>
      <c r="N71" s="44">
        <f>MAX(0,(MIN(1,data[[#This Row],[Hfin corrigée]])-data[[#This Row],[Hdébut corrigé]])-data[[#This Row],[NUIT1.1]]-data[[#This Row],[NUIT1.2]])</f>
        <v>0</v>
      </c>
      <c r="O71" s="44">
        <f>IF(data[[#This Row],[Hfin Interv.]]="",0,(
MIN(FinNuit,MIN(1,data[[#This Row],[Hfin corrigée]]))-MIN(FinNuit,data[[#This Row],[Hdébut corrigé]])
))</f>
        <v>0</v>
      </c>
      <c r="P71" s="44">
        <f>MAX(0,(MAX(0,(MIN(1,data[[#This Row],[Hfin corrigée]])-DebNuit))-MAX(0,(data[[#This Row],[Hdébut corrigé]]-DebNuit))))</f>
        <v>0</v>
      </c>
      <c r="Q71" s="154" t="str">
        <f>IF(OR(WEEKDAY(data[[#This Row],[Date]]+data[[#This Row],[Hfin corrigée]],2)=7,COUNTIF(JF,INT(data[[#This Row],[Date]]+data[[#This Row],[Hfin corrigée]]))=1),"oui","non")</f>
        <v>non</v>
      </c>
      <c r="R71" s="44">
        <f>MAX(0,data[[#This Row],[Hfin corrigée]]-MAX(1,data[[#This Row],[Hdébut corrigé]]))-data[[#This Row],[NUIT2.1]]-data[[#This Row],[NUIT2.2]]</f>
        <v>0</v>
      </c>
      <c r="S71" s="44">
        <f>MAX(0,MIN(1+FinNuit,data[[#This Row],[Hfin corrigée]])-MAX(1,data[[#This Row],[Hdébut corrigé]]))</f>
        <v>2.430555555555558E-2</v>
      </c>
      <c r="T71" s="44">
        <f>MAX(0,(data[[#This Row],[Hfin corrigée]]-DebNuit-1))</f>
        <v>0</v>
      </c>
      <c r="U71" s="45">
        <f>IF(data[[#This Row],[Garde / Interv.]]="Intervention",MAX(0,data[[#This Row],[Hfin corrigée]]-SUMPRODUCT((data[Date]=data[[#This Row],[Date]])*(data[Garde / Interv.]="Garde")*data[Hfin corrigée])),0)</f>
        <v>0</v>
      </c>
      <c r="V71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71" s="44">
        <f>MAX(0,IF(data[[#This Row],[Garde / Interv.]]="Intervention",(data[[#This Row],[Fin Dim ou Férié]]="non")*data[[#This Row],[JOUR2]]+(data[[#This Row],[Début Dim ou Férié]]="non")*data[[#This Row],[JOUR1]],0))</f>
        <v>0</v>
      </c>
      <c r="X71" s="44">
        <f>IF(data[[#This Row],[Garde / Interv.]]="Intervention",(data[[#This Row],[Fin Dim ou Férié]]="oui")*data[[#This Row],[JOUR2]]+(data[[#This Row],[Début Dim ou Férié]]="oui")*data[[#This Row],[JOUR1]],0)</f>
        <v>0</v>
      </c>
      <c r="Y71" s="44">
        <f>MAX(0,IF(data[[#This Row],[Garde / Interv.]]="Intervention",data[[#This Row],[NUIT1.1]]+data[[#This Row],[NUIT1.2]]+data[[#This Row],[NUIT2.1]]+data[[#This Row],[NUIT2.2]],0))</f>
        <v>2.430555555555558E-2</v>
      </c>
    </row>
    <row r="72" spans="1:25" x14ac:dyDescent="0.3">
      <c r="A72" s="68">
        <v>43569</v>
      </c>
      <c r="B72" s="137" t="str">
        <f>IF(data[[#This Row],[Hdébut garde]]&lt;&gt;"","Garde",IF(data[[#This Row],[Hdébut corrigé]]&lt;&gt;"","Intervention",""))</f>
        <v>Garde</v>
      </c>
      <c r="C72" s="83">
        <v>0.29166666666666669</v>
      </c>
      <c r="D72" s="60">
        <v>0.79166666666666663</v>
      </c>
      <c r="E72" s="47">
        <f>MAX(0,IF(data[[#This Row],[Garde / Interv.]]="Garde",data[[#This Row],[Hfin corrigée]]-data[[#This Row],[Hdébut corrigé]],0))</f>
        <v>0.49999999999999994</v>
      </c>
      <c r="F72" s="84"/>
      <c r="G72" s="61"/>
      <c r="H72" s="62"/>
      <c r="I72" s="63"/>
      <c r="J72" s="64"/>
      <c r="K72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72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0.79166666666666663</v>
      </c>
      <c r="M72" s="154" t="str">
        <f>IF(OR(WEEKDAY(data[[#This Row],[Date]],2)=7,COUNTIF(JF,data[[#This Row],[Date]])=1),"oui","non")</f>
        <v>oui</v>
      </c>
      <c r="N72" s="44">
        <f>MAX(0,(MIN(1,data[[#This Row],[Hfin corrigée]])-data[[#This Row],[Hdébut corrigé]])-data[[#This Row],[NUIT1.1]]-data[[#This Row],[NUIT1.2]])</f>
        <v>0.49999999999999994</v>
      </c>
      <c r="O72" s="44">
        <f>IF(data[[#This Row],[Hfin Interv.]]="",0,(
MIN(FinNuit,MIN(1,data[[#This Row],[Hfin corrigée]]))-MIN(FinNuit,data[[#This Row],[Hdébut corrigé]])
))</f>
        <v>0</v>
      </c>
      <c r="P72" s="44">
        <f>MAX(0,(MAX(0,(MIN(1,data[[#This Row],[Hfin corrigée]])-DebNuit))-MAX(0,(data[[#This Row],[Hdébut corrigé]]-DebNuit))))</f>
        <v>0</v>
      </c>
      <c r="Q72" s="154" t="str">
        <f>IF(OR(WEEKDAY(data[[#This Row],[Date]]+data[[#This Row],[Hfin corrigée]],2)=7,COUNTIF(JF,INT(data[[#This Row],[Date]]+data[[#This Row],[Hfin corrigée]]))=1),"oui","non")</f>
        <v>oui</v>
      </c>
      <c r="R72" s="44">
        <f>MAX(0,data[[#This Row],[Hfin corrigée]]-MAX(1,data[[#This Row],[Hdébut corrigé]]))-data[[#This Row],[NUIT2.1]]-data[[#This Row],[NUIT2.2]]</f>
        <v>0</v>
      </c>
      <c r="S72" s="44">
        <f>MAX(0,MIN(1+FinNuit,data[[#This Row],[Hfin corrigée]])-MAX(1,data[[#This Row],[Hdébut corrigé]]))</f>
        <v>0</v>
      </c>
      <c r="T72" s="44">
        <f>MAX(0,(data[[#This Row],[Hfin corrigée]]-DebNuit-1))</f>
        <v>0</v>
      </c>
      <c r="U72" s="45">
        <f>IF(data[[#This Row],[Garde / Interv.]]="Intervention",MAX(0,data[[#This Row],[Hfin corrigée]]-SUMPRODUCT((data[Date]=data[[#This Row],[Date]])*(data[Garde / Interv.]="Garde")*data[Hfin corrigée])),0)</f>
        <v>0</v>
      </c>
      <c r="V72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0.3930555555555556</v>
      </c>
      <c r="W72" s="44">
        <f>MAX(0,IF(data[[#This Row],[Garde / Interv.]]="Intervention",(data[[#This Row],[Fin Dim ou Férié]]="non")*data[[#This Row],[JOUR2]]+(data[[#This Row],[Début Dim ou Férié]]="non")*data[[#This Row],[JOUR1]],0))</f>
        <v>0</v>
      </c>
      <c r="X72" s="44">
        <f>IF(data[[#This Row],[Garde / Interv.]]="Intervention",(data[[#This Row],[Fin Dim ou Férié]]="oui")*data[[#This Row],[JOUR2]]+(data[[#This Row],[Début Dim ou Férié]]="oui")*data[[#This Row],[JOUR1]],0)</f>
        <v>0</v>
      </c>
      <c r="Y72" s="44">
        <f>MAX(0,IF(data[[#This Row],[Garde / Interv.]]="Intervention",data[[#This Row],[NUIT1.1]]+data[[#This Row],[NUIT1.2]]+data[[#This Row],[NUIT2.1]]+data[[#This Row],[NUIT2.2]],0))</f>
        <v>0</v>
      </c>
    </row>
    <row r="73" spans="1:25" x14ac:dyDescent="0.3">
      <c r="A73" s="68">
        <v>43569</v>
      </c>
      <c r="B73" s="137" t="str">
        <f>IF(data[[#This Row],[Hdébut garde]]&lt;&gt;"","Garde",IF(data[[#This Row],[Hdébut corrigé]]&lt;&gt;"","Intervention",""))</f>
        <v>Intervention</v>
      </c>
      <c r="C73" s="83"/>
      <c r="D73" s="60"/>
      <c r="E73" s="47">
        <f>MAX(0,IF(data[[#This Row],[Garde / Interv.]]="Garde",data[[#This Row],[Hfin corrigée]]-data[[#This Row],[Hdébut corrigé]],0))</f>
        <v>0</v>
      </c>
      <c r="F73" s="84"/>
      <c r="G73" s="61"/>
      <c r="H73" s="62"/>
      <c r="I73" s="63">
        <v>0.44166666666666665</v>
      </c>
      <c r="J73" s="64">
        <v>0.49513888888888885</v>
      </c>
      <c r="K73" s="42">
        <f>IF(data[[#This Row],[Hdébut garde]]&lt;&gt;"",
data[[#This Row],[Hdébut garde]],
data[[#This Row],[Hdébut interv.]]+IF(data[[#This Row],[Hdébut interv.]]&lt;SUMPRODUCT((data[Date]=data[[#This Row],[Date]])*data[Hdébut garde]),1,0)
)</f>
        <v>0.44166666666666665</v>
      </c>
      <c r="L73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0.49513888888888885</v>
      </c>
      <c r="M73" s="154" t="str">
        <f>IF(OR(WEEKDAY(data[[#This Row],[Date]],2)=7,COUNTIF(JF,data[[#This Row],[Date]])=1),"oui","non")</f>
        <v>oui</v>
      </c>
      <c r="N73" s="44">
        <f>MAX(0,(MIN(1,data[[#This Row],[Hfin corrigée]])-data[[#This Row],[Hdébut corrigé]])-data[[#This Row],[NUIT1.1]]-data[[#This Row],[NUIT1.2]])</f>
        <v>5.3472222222222199E-2</v>
      </c>
      <c r="O73" s="44">
        <f>IF(data[[#This Row],[Hfin Interv.]]="",0,(
MIN(FinNuit,MIN(1,data[[#This Row],[Hfin corrigée]]))-MIN(FinNuit,data[[#This Row],[Hdébut corrigé]])
))</f>
        <v>0</v>
      </c>
      <c r="P73" s="44">
        <f>MAX(0,(MAX(0,(MIN(1,data[[#This Row],[Hfin corrigée]])-DebNuit))-MAX(0,(data[[#This Row],[Hdébut corrigé]]-DebNuit))))</f>
        <v>0</v>
      </c>
      <c r="Q73" s="154" t="str">
        <f>IF(OR(WEEKDAY(data[[#This Row],[Date]]+data[[#This Row],[Hfin corrigée]],2)=7,COUNTIF(JF,INT(data[[#This Row],[Date]]+data[[#This Row],[Hfin corrigée]]))=1),"oui","non")</f>
        <v>oui</v>
      </c>
      <c r="R73" s="44">
        <f>MAX(0,data[[#This Row],[Hfin corrigée]]-MAX(1,data[[#This Row],[Hdébut corrigé]]))-data[[#This Row],[NUIT2.1]]-data[[#This Row],[NUIT2.2]]</f>
        <v>0</v>
      </c>
      <c r="S73" s="44">
        <f>MAX(0,MIN(1+FinNuit,data[[#This Row],[Hfin corrigée]])-MAX(1,data[[#This Row],[Hdébut corrigé]]))</f>
        <v>0</v>
      </c>
      <c r="T73" s="44">
        <f>MAX(0,(data[[#This Row],[Hfin corrigée]]-DebNuit-1))</f>
        <v>0</v>
      </c>
      <c r="U73" s="45">
        <f>IF(data[[#This Row],[Garde / Interv.]]="Intervention",MAX(0,data[[#This Row],[Hfin corrigée]]-SUMPRODUCT((data[Date]=data[[#This Row],[Date]])*(data[Garde / Interv.]="Garde")*data[Hfin corrigée])),0)</f>
        <v>0</v>
      </c>
      <c r="V73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73" s="44">
        <f>MAX(0,IF(data[[#This Row],[Garde / Interv.]]="Intervention",(data[[#This Row],[Fin Dim ou Férié]]="non")*data[[#This Row],[JOUR2]]+(data[[#This Row],[Début Dim ou Férié]]="non")*data[[#This Row],[JOUR1]],0))</f>
        <v>0</v>
      </c>
      <c r="X73" s="44">
        <f>IF(data[[#This Row],[Garde / Interv.]]="Intervention",(data[[#This Row],[Fin Dim ou Férié]]="oui")*data[[#This Row],[JOUR2]]+(data[[#This Row],[Début Dim ou Férié]]="oui")*data[[#This Row],[JOUR1]],0)</f>
        <v>5.3472222222222199E-2</v>
      </c>
      <c r="Y73" s="44">
        <f>MAX(0,IF(data[[#This Row],[Garde / Interv.]]="Intervention",data[[#This Row],[NUIT1.1]]+data[[#This Row],[NUIT1.2]]+data[[#This Row],[NUIT2.1]]+data[[#This Row],[NUIT2.2]],0))</f>
        <v>0</v>
      </c>
    </row>
    <row r="74" spans="1:25" x14ac:dyDescent="0.3">
      <c r="A74" s="68">
        <v>43569</v>
      </c>
      <c r="B74" s="137" t="str">
        <f>IF(data[[#This Row],[Hdébut garde]]&lt;&gt;"","Garde",IF(data[[#This Row],[Hdébut corrigé]]&lt;&gt;"","Intervention",""))</f>
        <v>Intervention</v>
      </c>
      <c r="C74" s="83"/>
      <c r="D74" s="60"/>
      <c r="E74" s="47">
        <f>MAX(0,IF(data[[#This Row],[Garde / Interv.]]="Garde",data[[#This Row],[Hfin corrigée]]-data[[#This Row],[Hdébut corrigé]],0))</f>
        <v>0</v>
      </c>
      <c r="F74" s="84"/>
      <c r="G74" s="61"/>
      <c r="H74" s="62"/>
      <c r="I74" s="63">
        <v>0.55902777777777779</v>
      </c>
      <c r="J74" s="64">
        <v>0.61249999999999993</v>
      </c>
      <c r="K74" s="42">
        <f>IF(data[[#This Row],[Hdébut garde]]&lt;&gt;"",
data[[#This Row],[Hdébut garde]],
data[[#This Row],[Hdébut interv.]]+IF(data[[#This Row],[Hdébut interv.]]&lt;SUMPRODUCT((data[Date]=data[[#This Row],[Date]])*data[Hdébut garde]),1,0)
)</f>
        <v>0.55902777777777779</v>
      </c>
      <c r="L74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0.61249999999999993</v>
      </c>
      <c r="M74" s="154" t="str">
        <f>IF(OR(WEEKDAY(data[[#This Row],[Date]],2)=7,COUNTIF(JF,data[[#This Row],[Date]])=1),"oui","non")</f>
        <v>oui</v>
      </c>
      <c r="N74" s="44">
        <f>MAX(0,(MIN(1,data[[#This Row],[Hfin corrigée]])-data[[#This Row],[Hdébut corrigé]])-data[[#This Row],[NUIT1.1]]-data[[#This Row],[NUIT1.2]])</f>
        <v>5.3472222222222143E-2</v>
      </c>
      <c r="O74" s="44">
        <f>IF(data[[#This Row],[Hfin Interv.]]="",0,(
MIN(FinNuit,MIN(1,data[[#This Row],[Hfin corrigée]]))-MIN(FinNuit,data[[#This Row],[Hdébut corrigé]])
))</f>
        <v>0</v>
      </c>
      <c r="P74" s="44">
        <f>MAX(0,(MAX(0,(MIN(1,data[[#This Row],[Hfin corrigée]])-DebNuit))-MAX(0,(data[[#This Row],[Hdébut corrigé]]-DebNuit))))</f>
        <v>0</v>
      </c>
      <c r="Q74" s="154" t="str">
        <f>IF(OR(WEEKDAY(data[[#This Row],[Date]]+data[[#This Row],[Hfin corrigée]],2)=7,COUNTIF(JF,INT(data[[#This Row],[Date]]+data[[#This Row],[Hfin corrigée]]))=1),"oui","non")</f>
        <v>oui</v>
      </c>
      <c r="R74" s="44">
        <f>MAX(0,data[[#This Row],[Hfin corrigée]]-MAX(1,data[[#This Row],[Hdébut corrigé]]))-data[[#This Row],[NUIT2.1]]-data[[#This Row],[NUIT2.2]]</f>
        <v>0</v>
      </c>
      <c r="S74" s="44">
        <f>MAX(0,MIN(1+FinNuit,data[[#This Row],[Hfin corrigée]])-MAX(1,data[[#This Row],[Hdébut corrigé]]))</f>
        <v>0</v>
      </c>
      <c r="T74" s="44">
        <f>MAX(0,(data[[#This Row],[Hfin corrigée]]-DebNuit-1))</f>
        <v>0</v>
      </c>
      <c r="U74" s="45">
        <f>IF(data[[#This Row],[Garde / Interv.]]="Intervention",MAX(0,data[[#This Row],[Hfin corrigée]]-SUMPRODUCT((data[Date]=data[[#This Row],[Date]])*(data[Garde / Interv.]="Garde")*data[Hfin corrigée])),0)</f>
        <v>0</v>
      </c>
      <c r="V74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74" s="44">
        <f>MAX(0,IF(data[[#This Row],[Garde / Interv.]]="Intervention",(data[[#This Row],[Fin Dim ou Férié]]="non")*data[[#This Row],[JOUR2]]+(data[[#This Row],[Début Dim ou Férié]]="non")*data[[#This Row],[JOUR1]],0))</f>
        <v>0</v>
      </c>
      <c r="X74" s="44">
        <f>IF(data[[#This Row],[Garde / Interv.]]="Intervention",(data[[#This Row],[Fin Dim ou Férié]]="oui")*data[[#This Row],[JOUR2]]+(data[[#This Row],[Début Dim ou Férié]]="oui")*data[[#This Row],[JOUR1]],0)</f>
        <v>5.3472222222222143E-2</v>
      </c>
      <c r="Y74" s="44">
        <f>MAX(0,IF(data[[#This Row],[Garde / Interv.]]="Intervention",data[[#This Row],[NUIT1.1]]+data[[#This Row],[NUIT1.2]]+data[[#This Row],[NUIT2.1]]+data[[#This Row],[NUIT2.2]],0))</f>
        <v>0</v>
      </c>
    </row>
    <row r="75" spans="1:25" x14ac:dyDescent="0.3">
      <c r="A75" s="68">
        <v>43576</v>
      </c>
      <c r="B75" s="137" t="str">
        <f>IF(data[[#This Row],[Hdébut garde]]&lt;&gt;"","Garde",IF(data[[#This Row],[Hdébut corrigé]]&lt;&gt;"","Intervention",""))</f>
        <v>Garde</v>
      </c>
      <c r="C75" s="83">
        <v>0.29166666666666669</v>
      </c>
      <c r="D75" s="60">
        <v>0.3888888888888889</v>
      </c>
      <c r="E75" s="47">
        <f>MAX(0,IF(data[[#This Row],[Garde / Interv.]]="Garde",data[[#This Row],[Hfin corrigée]]-data[[#This Row],[Hdébut corrigé]],0))</f>
        <v>1.0972222222222221</v>
      </c>
      <c r="F75" s="84" t="s">
        <v>81</v>
      </c>
      <c r="G75" s="61"/>
      <c r="H75" s="62"/>
      <c r="I75" s="63"/>
      <c r="J75" s="64"/>
      <c r="K75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75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1.3888888888888888</v>
      </c>
      <c r="M75" s="154" t="str">
        <f>IF(OR(WEEKDAY(data[[#This Row],[Date]],2)=7,COUNTIF(JF,data[[#This Row],[Date]])=1),"oui","non")</f>
        <v>oui</v>
      </c>
      <c r="N75" s="44">
        <f>MAX(0,(MIN(1,data[[#This Row],[Hfin corrigée]])-data[[#This Row],[Hdébut corrigé]])-data[[#This Row],[NUIT1.1]]-data[[#This Row],[NUIT1.2]])</f>
        <v>0.62499999999999989</v>
      </c>
      <c r="O75" s="44">
        <f>IF(data[[#This Row],[Hfin Interv.]]="",0,(
MIN(FinNuit,MIN(1,data[[#This Row],[Hfin corrigée]]))-MIN(FinNuit,data[[#This Row],[Hdébut corrigé]])
))</f>
        <v>0</v>
      </c>
      <c r="P75" s="44">
        <f>MAX(0,(MAX(0,(MIN(1,data[[#This Row],[Hfin corrigée]])-DebNuit))-MAX(0,(data[[#This Row],[Hdébut corrigé]]-DebNuit))))</f>
        <v>8.333333333333337E-2</v>
      </c>
      <c r="Q75" s="154" t="str">
        <f>IF(OR(WEEKDAY(data[[#This Row],[Date]]+data[[#This Row],[Hfin corrigée]],2)=7,COUNTIF(JF,INT(data[[#This Row],[Date]]+data[[#This Row],[Hfin corrigée]]))=1),"oui","non")</f>
        <v>oui</v>
      </c>
      <c r="R75" s="44">
        <f>MAX(0,data[[#This Row],[Hfin corrigée]]-MAX(1,data[[#This Row],[Hdébut corrigé]]))-data[[#This Row],[NUIT2.1]]-data[[#This Row],[NUIT2.2]]</f>
        <v>9.7222222222222099E-2</v>
      </c>
      <c r="S75" s="44">
        <f>MAX(0,MIN(1+FinNuit,data[[#This Row],[Hfin corrigée]])-MAX(1,data[[#This Row],[Hdébut corrigé]]))</f>
        <v>0.29166666666666674</v>
      </c>
      <c r="T75" s="44">
        <f>MAX(0,(data[[#This Row],[Hfin corrigée]]-DebNuit-1))</f>
        <v>0</v>
      </c>
      <c r="U75" s="45">
        <f>IF(data[[#This Row],[Garde / Interv.]]="Intervention",MAX(0,data[[#This Row],[Hfin corrigée]]-SUMPRODUCT((data[Date]=data[[#This Row],[Date]])*(data[Garde / Interv.]="Garde")*data[Hfin corrigée])),0)</f>
        <v>0</v>
      </c>
      <c r="V75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0.86597222222222237</v>
      </c>
      <c r="W75" s="44">
        <f>MAX(0,IF(data[[#This Row],[Garde / Interv.]]="Intervention",(data[[#This Row],[Fin Dim ou Férié]]="non")*data[[#This Row],[JOUR2]]+(data[[#This Row],[Début Dim ou Férié]]="non")*data[[#This Row],[JOUR1]],0))</f>
        <v>0</v>
      </c>
      <c r="X75" s="44">
        <f>IF(data[[#This Row],[Garde / Interv.]]="Intervention",(data[[#This Row],[Fin Dim ou Férié]]="oui")*data[[#This Row],[JOUR2]]+(data[[#This Row],[Début Dim ou Férié]]="oui")*data[[#This Row],[JOUR1]],0)</f>
        <v>0</v>
      </c>
      <c r="Y75" s="44">
        <f>MAX(0,IF(data[[#This Row],[Garde / Interv.]]="Intervention",data[[#This Row],[NUIT1.1]]+data[[#This Row],[NUIT1.2]]+data[[#This Row],[NUIT2.1]]+data[[#This Row],[NUIT2.2]],0))</f>
        <v>0</v>
      </c>
    </row>
    <row r="76" spans="1:25" x14ac:dyDescent="0.3">
      <c r="A76" s="68">
        <v>43576</v>
      </c>
      <c r="B76" s="137" t="str">
        <f>IF(data[[#This Row],[Hdébut garde]]&lt;&gt;"","Garde",IF(data[[#This Row],[Hdébut corrigé]]&lt;&gt;"","Intervention",""))</f>
        <v>Intervention</v>
      </c>
      <c r="C76" s="83"/>
      <c r="D76" s="60"/>
      <c r="E76" s="47">
        <f>MAX(0,IF(data[[#This Row],[Garde / Interv.]]="Garde",data[[#This Row],[Hfin corrigée]]-data[[#This Row],[Hdébut corrigé]],0))</f>
        <v>0</v>
      </c>
      <c r="F76" s="84"/>
      <c r="G76" s="61"/>
      <c r="H76" s="62"/>
      <c r="I76" s="63">
        <v>0.30694444444444441</v>
      </c>
      <c r="J76" s="64">
        <v>0.32222222222222224</v>
      </c>
      <c r="K76" s="42">
        <f>IF(data[[#This Row],[Hdébut garde]]&lt;&gt;"",
data[[#This Row],[Hdébut garde]],
data[[#This Row],[Hdébut interv.]]+IF(data[[#This Row],[Hdébut interv.]]&lt;SUMPRODUCT((data[Date]=data[[#This Row],[Date]])*data[Hdébut garde]),1,0)
)</f>
        <v>0.30694444444444441</v>
      </c>
      <c r="L76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0.32222222222222224</v>
      </c>
      <c r="M76" s="154" t="str">
        <f>IF(OR(WEEKDAY(data[[#This Row],[Date]],2)=7,COUNTIF(JF,data[[#This Row],[Date]])=1),"oui","non")</f>
        <v>oui</v>
      </c>
      <c r="N76" s="44">
        <f>MAX(0,(MIN(1,data[[#This Row],[Hfin corrigée]])-data[[#This Row],[Hdébut corrigé]])-data[[#This Row],[NUIT1.1]]-data[[#This Row],[NUIT1.2]])</f>
        <v>1.5277777777777835E-2</v>
      </c>
      <c r="O76" s="44">
        <f>IF(data[[#This Row],[Hfin Interv.]]="",0,(
MIN(FinNuit,MIN(1,data[[#This Row],[Hfin corrigée]]))-MIN(FinNuit,data[[#This Row],[Hdébut corrigé]])
))</f>
        <v>0</v>
      </c>
      <c r="P76" s="44">
        <f>MAX(0,(MAX(0,(MIN(1,data[[#This Row],[Hfin corrigée]])-DebNuit))-MAX(0,(data[[#This Row],[Hdébut corrigé]]-DebNuit))))</f>
        <v>0</v>
      </c>
      <c r="Q76" s="154" t="str">
        <f>IF(OR(WEEKDAY(data[[#This Row],[Date]]+data[[#This Row],[Hfin corrigée]],2)=7,COUNTIF(JF,INT(data[[#This Row],[Date]]+data[[#This Row],[Hfin corrigée]]))=1),"oui","non")</f>
        <v>oui</v>
      </c>
      <c r="R76" s="44">
        <f>MAX(0,data[[#This Row],[Hfin corrigée]]-MAX(1,data[[#This Row],[Hdébut corrigé]]))-data[[#This Row],[NUIT2.1]]-data[[#This Row],[NUIT2.2]]</f>
        <v>0</v>
      </c>
      <c r="S76" s="44">
        <f>MAX(0,MIN(1+FinNuit,data[[#This Row],[Hfin corrigée]])-MAX(1,data[[#This Row],[Hdébut corrigé]]))</f>
        <v>0</v>
      </c>
      <c r="T76" s="44">
        <f>MAX(0,(data[[#This Row],[Hfin corrigée]]-DebNuit-1))</f>
        <v>0</v>
      </c>
      <c r="U76" s="45">
        <f>IF(data[[#This Row],[Garde / Interv.]]="Intervention",MAX(0,data[[#This Row],[Hfin corrigée]]-SUMPRODUCT((data[Date]=data[[#This Row],[Date]])*(data[Garde / Interv.]="Garde")*data[Hfin corrigée])),0)</f>
        <v>0</v>
      </c>
      <c r="V76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76" s="44">
        <f>MAX(0,IF(data[[#This Row],[Garde / Interv.]]="Intervention",(data[[#This Row],[Fin Dim ou Férié]]="non")*data[[#This Row],[JOUR2]]+(data[[#This Row],[Début Dim ou Férié]]="non")*data[[#This Row],[JOUR1]],0))</f>
        <v>0</v>
      </c>
      <c r="X76" s="44">
        <f>IF(data[[#This Row],[Garde / Interv.]]="Intervention",(data[[#This Row],[Fin Dim ou Férié]]="oui")*data[[#This Row],[JOUR2]]+(data[[#This Row],[Début Dim ou Férié]]="oui")*data[[#This Row],[JOUR1]],0)</f>
        <v>1.5277777777777835E-2</v>
      </c>
      <c r="Y76" s="44">
        <f>MAX(0,IF(data[[#This Row],[Garde / Interv.]]="Intervention",data[[#This Row],[NUIT1.1]]+data[[#This Row],[NUIT1.2]]+data[[#This Row],[NUIT2.1]]+data[[#This Row],[NUIT2.2]],0))</f>
        <v>0</v>
      </c>
    </row>
    <row r="77" spans="1:25" x14ac:dyDescent="0.3">
      <c r="A77" s="68">
        <v>43576</v>
      </c>
      <c r="B77" s="137" t="str">
        <f>IF(data[[#This Row],[Hdébut garde]]&lt;&gt;"","Garde",IF(data[[#This Row],[Hdébut corrigé]]&lt;&gt;"","Intervention",""))</f>
        <v>Intervention</v>
      </c>
      <c r="C77" s="83"/>
      <c r="D77" s="60"/>
      <c r="E77" s="47">
        <f>MAX(0,IF(data[[#This Row],[Garde / Interv.]]="Garde",data[[#This Row],[Hfin corrigée]]-data[[#This Row],[Hdébut corrigé]],0))</f>
        <v>0</v>
      </c>
      <c r="F77" s="84"/>
      <c r="G77" s="61"/>
      <c r="H77" s="62"/>
      <c r="I77" s="63">
        <v>0.40833333333333338</v>
      </c>
      <c r="J77" s="64">
        <v>0.49444444444444446</v>
      </c>
      <c r="K77" s="42">
        <f>IF(data[[#This Row],[Hdébut garde]]&lt;&gt;"",
data[[#This Row],[Hdébut garde]],
data[[#This Row],[Hdébut interv.]]+IF(data[[#This Row],[Hdébut interv.]]&lt;SUMPRODUCT((data[Date]=data[[#This Row],[Date]])*data[Hdébut garde]),1,0)
)</f>
        <v>0.40833333333333338</v>
      </c>
      <c r="L77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0.49444444444444446</v>
      </c>
      <c r="M77" s="154" t="str">
        <f>IF(OR(WEEKDAY(data[[#This Row],[Date]],2)=7,COUNTIF(JF,data[[#This Row],[Date]])=1),"oui","non")</f>
        <v>oui</v>
      </c>
      <c r="N77" s="44">
        <f>MAX(0,(MIN(1,data[[#This Row],[Hfin corrigée]])-data[[#This Row],[Hdébut corrigé]])-data[[#This Row],[NUIT1.1]]-data[[#This Row],[NUIT1.2]])</f>
        <v>8.6111111111111083E-2</v>
      </c>
      <c r="O77" s="44">
        <f>IF(data[[#This Row],[Hfin Interv.]]="",0,(
MIN(FinNuit,MIN(1,data[[#This Row],[Hfin corrigée]]))-MIN(FinNuit,data[[#This Row],[Hdébut corrigé]])
))</f>
        <v>0</v>
      </c>
      <c r="P77" s="44">
        <f>MAX(0,(MAX(0,(MIN(1,data[[#This Row],[Hfin corrigée]])-DebNuit))-MAX(0,(data[[#This Row],[Hdébut corrigé]]-DebNuit))))</f>
        <v>0</v>
      </c>
      <c r="Q77" s="154" t="str">
        <f>IF(OR(WEEKDAY(data[[#This Row],[Date]]+data[[#This Row],[Hfin corrigée]],2)=7,COUNTIF(JF,INT(data[[#This Row],[Date]]+data[[#This Row],[Hfin corrigée]]))=1),"oui","non")</f>
        <v>oui</v>
      </c>
      <c r="R77" s="44">
        <f>MAX(0,data[[#This Row],[Hfin corrigée]]-MAX(1,data[[#This Row],[Hdébut corrigé]]))-data[[#This Row],[NUIT2.1]]-data[[#This Row],[NUIT2.2]]</f>
        <v>0</v>
      </c>
      <c r="S77" s="44">
        <f>MAX(0,MIN(1+FinNuit,data[[#This Row],[Hfin corrigée]])-MAX(1,data[[#This Row],[Hdébut corrigé]]))</f>
        <v>0</v>
      </c>
      <c r="T77" s="44">
        <f>MAX(0,(data[[#This Row],[Hfin corrigée]]-DebNuit-1))</f>
        <v>0</v>
      </c>
      <c r="U77" s="45">
        <f>IF(data[[#This Row],[Garde / Interv.]]="Intervention",MAX(0,data[[#This Row],[Hfin corrigée]]-SUMPRODUCT((data[Date]=data[[#This Row],[Date]])*(data[Garde / Interv.]="Garde")*data[Hfin corrigée])),0)</f>
        <v>0</v>
      </c>
      <c r="V77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77" s="44">
        <f>MAX(0,IF(data[[#This Row],[Garde / Interv.]]="Intervention",(data[[#This Row],[Fin Dim ou Férié]]="non")*data[[#This Row],[JOUR2]]+(data[[#This Row],[Début Dim ou Férié]]="non")*data[[#This Row],[JOUR1]],0))</f>
        <v>0</v>
      </c>
      <c r="X77" s="44">
        <f>IF(data[[#This Row],[Garde / Interv.]]="Intervention",(data[[#This Row],[Fin Dim ou Férié]]="oui")*data[[#This Row],[JOUR2]]+(data[[#This Row],[Début Dim ou Férié]]="oui")*data[[#This Row],[JOUR1]],0)</f>
        <v>8.6111111111111083E-2</v>
      </c>
      <c r="Y77" s="44">
        <f>MAX(0,IF(data[[#This Row],[Garde / Interv.]]="Intervention",data[[#This Row],[NUIT1.1]]+data[[#This Row],[NUIT1.2]]+data[[#This Row],[NUIT2.1]]+data[[#This Row],[NUIT2.2]],0))</f>
        <v>0</v>
      </c>
    </row>
    <row r="78" spans="1:25" x14ac:dyDescent="0.3">
      <c r="A78" s="68">
        <v>43576</v>
      </c>
      <c r="B78" s="137" t="str">
        <f>IF(data[[#This Row],[Hdébut garde]]&lt;&gt;"","Garde",IF(data[[#This Row],[Hdébut corrigé]]&lt;&gt;"","Intervention",""))</f>
        <v>Intervention</v>
      </c>
      <c r="C78" s="83"/>
      <c r="D78" s="60"/>
      <c r="E78" s="47">
        <f>MAX(0,IF(data[[#This Row],[Garde / Interv.]]="Garde",data[[#This Row],[Hfin corrigée]]-data[[#This Row],[Hdébut corrigé]],0))</f>
        <v>0</v>
      </c>
      <c r="F78" s="84"/>
      <c r="G78" s="61"/>
      <c r="H78" s="62"/>
      <c r="I78" s="63">
        <v>0.52361111111111114</v>
      </c>
      <c r="J78" s="64">
        <v>0.53680555555555554</v>
      </c>
      <c r="K78" s="42">
        <f>IF(data[[#This Row],[Hdébut garde]]&lt;&gt;"",
data[[#This Row],[Hdébut garde]],
data[[#This Row],[Hdébut interv.]]+IF(data[[#This Row],[Hdébut interv.]]&lt;SUMPRODUCT((data[Date]=data[[#This Row],[Date]])*data[Hdébut garde]),1,0)
)</f>
        <v>0.52361111111111114</v>
      </c>
      <c r="L78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0.53680555555555554</v>
      </c>
      <c r="M78" s="154" t="str">
        <f>IF(OR(WEEKDAY(data[[#This Row],[Date]],2)=7,COUNTIF(JF,data[[#This Row],[Date]])=1),"oui","non")</f>
        <v>oui</v>
      </c>
      <c r="N78" s="44">
        <f>MAX(0,(MIN(1,data[[#This Row],[Hfin corrigée]])-data[[#This Row],[Hdébut corrigé]])-data[[#This Row],[NUIT1.1]]-data[[#This Row],[NUIT1.2]])</f>
        <v>1.3194444444444398E-2</v>
      </c>
      <c r="O78" s="44">
        <f>IF(data[[#This Row],[Hfin Interv.]]="",0,(
MIN(FinNuit,MIN(1,data[[#This Row],[Hfin corrigée]]))-MIN(FinNuit,data[[#This Row],[Hdébut corrigé]])
))</f>
        <v>0</v>
      </c>
      <c r="P78" s="44">
        <f>MAX(0,(MAX(0,(MIN(1,data[[#This Row],[Hfin corrigée]])-DebNuit))-MAX(0,(data[[#This Row],[Hdébut corrigé]]-DebNuit))))</f>
        <v>0</v>
      </c>
      <c r="Q78" s="154" t="str">
        <f>IF(OR(WEEKDAY(data[[#This Row],[Date]]+data[[#This Row],[Hfin corrigée]],2)=7,COUNTIF(JF,INT(data[[#This Row],[Date]]+data[[#This Row],[Hfin corrigée]]))=1),"oui","non")</f>
        <v>oui</v>
      </c>
      <c r="R78" s="44">
        <f>MAX(0,data[[#This Row],[Hfin corrigée]]-MAX(1,data[[#This Row],[Hdébut corrigé]]))-data[[#This Row],[NUIT2.1]]-data[[#This Row],[NUIT2.2]]</f>
        <v>0</v>
      </c>
      <c r="S78" s="44">
        <f>MAX(0,MIN(1+FinNuit,data[[#This Row],[Hfin corrigée]])-MAX(1,data[[#This Row],[Hdébut corrigé]]))</f>
        <v>0</v>
      </c>
      <c r="T78" s="44">
        <f>MAX(0,(data[[#This Row],[Hfin corrigée]]-DebNuit-1))</f>
        <v>0</v>
      </c>
      <c r="U78" s="45">
        <f>IF(data[[#This Row],[Garde / Interv.]]="Intervention",MAX(0,data[[#This Row],[Hfin corrigée]]-SUMPRODUCT((data[Date]=data[[#This Row],[Date]])*(data[Garde / Interv.]="Garde")*data[Hfin corrigée])),0)</f>
        <v>0</v>
      </c>
      <c r="V78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78" s="44">
        <f>MAX(0,IF(data[[#This Row],[Garde / Interv.]]="Intervention",(data[[#This Row],[Fin Dim ou Férié]]="non")*data[[#This Row],[JOUR2]]+(data[[#This Row],[Début Dim ou Férié]]="non")*data[[#This Row],[JOUR1]],0))</f>
        <v>0</v>
      </c>
      <c r="X78" s="44">
        <f>IF(data[[#This Row],[Garde / Interv.]]="Intervention",(data[[#This Row],[Fin Dim ou Férié]]="oui")*data[[#This Row],[JOUR2]]+(data[[#This Row],[Début Dim ou Férié]]="oui")*data[[#This Row],[JOUR1]],0)</f>
        <v>1.3194444444444398E-2</v>
      </c>
      <c r="Y78" s="44">
        <f>MAX(0,IF(data[[#This Row],[Garde / Interv.]]="Intervention",data[[#This Row],[NUIT1.1]]+data[[#This Row],[NUIT1.2]]+data[[#This Row],[NUIT2.1]]+data[[#This Row],[NUIT2.2]],0))</f>
        <v>0</v>
      </c>
    </row>
    <row r="79" spans="1:25" x14ac:dyDescent="0.3">
      <c r="A79" s="68">
        <v>43576</v>
      </c>
      <c r="B79" s="137" t="str">
        <f>IF(data[[#This Row],[Hdébut garde]]&lt;&gt;"","Garde",IF(data[[#This Row],[Hdébut corrigé]]&lt;&gt;"","Intervention",""))</f>
        <v>Intervention</v>
      </c>
      <c r="C79" s="83"/>
      <c r="D79" s="60"/>
      <c r="E79" s="47">
        <f>MAX(0,IF(data[[#This Row],[Garde / Interv.]]="Garde",data[[#This Row],[Hfin corrigée]]-data[[#This Row],[Hdébut corrigé]],0))</f>
        <v>0</v>
      </c>
      <c r="F79" s="84"/>
      <c r="G79" s="61"/>
      <c r="H79" s="62"/>
      <c r="I79" s="63">
        <v>2.0833333333333333E-3</v>
      </c>
      <c r="J79" s="64">
        <v>1.9444444444444445E-2</v>
      </c>
      <c r="K79" s="42">
        <f>IF(data[[#This Row],[Hdébut garde]]&lt;&gt;"",
data[[#This Row],[Hdébut garde]],
data[[#This Row],[Hdébut interv.]]+IF(data[[#This Row],[Hdébut interv.]]&lt;SUMPRODUCT((data[Date]=data[[#This Row],[Date]])*data[Hdébut garde]),1,0)
)</f>
        <v>1.0020833333333334</v>
      </c>
      <c r="L79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1.0194444444444444</v>
      </c>
      <c r="M79" s="154" t="str">
        <f>IF(OR(WEEKDAY(data[[#This Row],[Date]],2)=7,COUNTIF(JF,data[[#This Row],[Date]])=1),"oui","non")</f>
        <v>oui</v>
      </c>
      <c r="N79" s="44">
        <f>MAX(0,(MIN(1,data[[#This Row],[Hfin corrigée]])-data[[#This Row],[Hdébut corrigé]])-data[[#This Row],[NUIT1.1]]-data[[#This Row],[NUIT1.2]])</f>
        <v>0</v>
      </c>
      <c r="O79" s="44">
        <f>IF(data[[#This Row],[Hfin Interv.]]="",0,(
MIN(FinNuit,MIN(1,data[[#This Row],[Hfin corrigée]]))-MIN(FinNuit,data[[#This Row],[Hdébut corrigé]])
))</f>
        <v>0</v>
      </c>
      <c r="P79" s="44">
        <f>MAX(0,(MAX(0,(MIN(1,data[[#This Row],[Hfin corrigée]])-DebNuit))-MAX(0,(data[[#This Row],[Hdébut corrigé]]-DebNuit))))</f>
        <v>0</v>
      </c>
      <c r="Q79" s="154" t="str">
        <f>IF(OR(WEEKDAY(data[[#This Row],[Date]]+data[[#This Row],[Hfin corrigée]],2)=7,COUNTIF(JF,INT(data[[#This Row],[Date]]+data[[#This Row],[Hfin corrigée]]))=1),"oui","non")</f>
        <v>oui</v>
      </c>
      <c r="R79" s="44">
        <f>MAX(0,data[[#This Row],[Hfin corrigée]]-MAX(1,data[[#This Row],[Hdébut corrigé]]))-data[[#This Row],[NUIT2.1]]-data[[#This Row],[NUIT2.2]]</f>
        <v>0</v>
      </c>
      <c r="S79" s="44">
        <f>MAX(0,MIN(1+FinNuit,data[[#This Row],[Hfin corrigée]])-MAX(1,data[[#This Row],[Hdébut corrigé]]))</f>
        <v>1.7361111111110938E-2</v>
      </c>
      <c r="T79" s="44">
        <f>MAX(0,(data[[#This Row],[Hfin corrigée]]-DebNuit-1))</f>
        <v>0</v>
      </c>
      <c r="U79" s="45">
        <f>IF(data[[#This Row],[Garde / Interv.]]="Intervention",MAX(0,data[[#This Row],[Hfin corrigée]]-SUMPRODUCT((data[Date]=data[[#This Row],[Date]])*(data[Garde / Interv.]="Garde")*data[Hfin corrigée])),0)</f>
        <v>0</v>
      </c>
      <c r="V79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79" s="44">
        <f>MAX(0,IF(data[[#This Row],[Garde / Interv.]]="Intervention",(data[[#This Row],[Fin Dim ou Férié]]="non")*data[[#This Row],[JOUR2]]+(data[[#This Row],[Début Dim ou Férié]]="non")*data[[#This Row],[JOUR1]],0))</f>
        <v>0</v>
      </c>
      <c r="X79" s="44">
        <f>IF(data[[#This Row],[Garde / Interv.]]="Intervention",(data[[#This Row],[Fin Dim ou Férié]]="oui")*data[[#This Row],[JOUR2]]+(data[[#This Row],[Début Dim ou Férié]]="oui")*data[[#This Row],[JOUR1]],0)</f>
        <v>0</v>
      </c>
      <c r="Y79" s="44">
        <f>MAX(0,IF(data[[#This Row],[Garde / Interv.]]="Intervention",data[[#This Row],[NUIT1.1]]+data[[#This Row],[NUIT1.2]]+data[[#This Row],[NUIT2.1]]+data[[#This Row],[NUIT2.2]],0))</f>
        <v>1.7361111111110938E-2</v>
      </c>
    </row>
    <row r="80" spans="1:25" x14ac:dyDescent="0.3">
      <c r="A80" s="68">
        <v>43576</v>
      </c>
      <c r="B80" s="137" t="str">
        <f>IF(data[[#This Row],[Hdébut garde]]&lt;&gt;"","Garde",IF(data[[#This Row],[Hdébut corrigé]]&lt;&gt;"","Intervention",""))</f>
        <v>Intervention</v>
      </c>
      <c r="C80" s="83"/>
      <c r="D80" s="60"/>
      <c r="E80" s="47">
        <f>MAX(0,IF(data[[#This Row],[Garde / Interv.]]="Garde",data[[#This Row],[Hfin corrigée]]-data[[#This Row],[Hdébut corrigé]],0))</f>
        <v>0</v>
      </c>
      <c r="F80" s="84"/>
      <c r="G80" s="61"/>
      <c r="H80" s="62"/>
      <c r="I80" s="63">
        <v>0.28958333333333336</v>
      </c>
      <c r="J80" s="64">
        <v>0.3888888888888889</v>
      </c>
      <c r="K80" s="42">
        <f>IF(data[[#This Row],[Hdébut garde]]&lt;&gt;"",
data[[#This Row],[Hdébut garde]],
data[[#This Row],[Hdébut interv.]]+IF(data[[#This Row],[Hdébut interv.]]&lt;SUMPRODUCT((data[Date]=data[[#This Row],[Date]])*data[Hdébut garde]),1,0)
)</f>
        <v>1.2895833333333333</v>
      </c>
      <c r="L80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1.3888888888888888</v>
      </c>
      <c r="M80" s="154" t="str">
        <f>IF(OR(WEEKDAY(data[[#This Row],[Date]],2)=7,COUNTIF(JF,data[[#This Row],[Date]])=1),"oui","non")</f>
        <v>oui</v>
      </c>
      <c r="N80" s="44">
        <f>MAX(0,(MIN(1,data[[#This Row],[Hfin corrigée]])-data[[#This Row],[Hdébut corrigé]])-data[[#This Row],[NUIT1.1]]-data[[#This Row],[NUIT1.2]])</f>
        <v>0</v>
      </c>
      <c r="O80" s="44">
        <f>IF(data[[#This Row],[Hfin Interv.]]="",0,(
MIN(FinNuit,MIN(1,data[[#This Row],[Hfin corrigée]]))-MIN(FinNuit,data[[#This Row],[Hdébut corrigé]])
))</f>
        <v>0</v>
      </c>
      <c r="P80" s="44">
        <f>MAX(0,(MAX(0,(MIN(1,data[[#This Row],[Hfin corrigée]])-DebNuit))-MAX(0,(data[[#This Row],[Hdébut corrigé]]-DebNuit))))</f>
        <v>0</v>
      </c>
      <c r="Q80" s="154" t="str">
        <f>IF(OR(WEEKDAY(data[[#This Row],[Date]]+data[[#This Row],[Hfin corrigée]],2)=7,COUNTIF(JF,INT(data[[#This Row],[Date]]+data[[#This Row],[Hfin corrigée]]))=1),"oui","non")</f>
        <v>oui</v>
      </c>
      <c r="R80" s="44">
        <f>MAX(0,data[[#This Row],[Hfin corrigée]]-MAX(1,data[[#This Row],[Hdébut corrigé]]))-data[[#This Row],[NUIT2.1]]-data[[#This Row],[NUIT2.2]]</f>
        <v>9.7222222222222099E-2</v>
      </c>
      <c r="S80" s="44">
        <f>MAX(0,MIN(1+FinNuit,data[[#This Row],[Hfin corrigée]])-MAX(1,data[[#This Row],[Hdébut corrigé]]))</f>
        <v>2.083333333333437E-3</v>
      </c>
      <c r="T80" s="44">
        <f>MAX(0,(data[[#This Row],[Hfin corrigée]]-DebNuit-1))</f>
        <v>0</v>
      </c>
      <c r="U80" s="45">
        <f>IF(data[[#This Row],[Garde / Interv.]]="Intervention",MAX(0,data[[#This Row],[Hfin corrigée]]-SUMPRODUCT((data[Date]=data[[#This Row],[Date]])*(data[Garde / Interv.]="Garde")*data[Hfin corrigée])),0)</f>
        <v>0</v>
      </c>
      <c r="V80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80" s="44">
        <f>MAX(0,IF(data[[#This Row],[Garde / Interv.]]="Intervention",(data[[#This Row],[Fin Dim ou Férié]]="non")*data[[#This Row],[JOUR2]]+(data[[#This Row],[Début Dim ou Férié]]="non")*data[[#This Row],[JOUR1]],0))</f>
        <v>0</v>
      </c>
      <c r="X80" s="44">
        <f>IF(data[[#This Row],[Garde / Interv.]]="Intervention",(data[[#This Row],[Fin Dim ou Férié]]="oui")*data[[#This Row],[JOUR2]]+(data[[#This Row],[Début Dim ou Férié]]="oui")*data[[#This Row],[JOUR1]],0)</f>
        <v>9.7222222222222099E-2</v>
      </c>
      <c r="Y80" s="44">
        <f>MAX(0,IF(data[[#This Row],[Garde / Interv.]]="Intervention",data[[#This Row],[NUIT1.1]]+data[[#This Row],[NUIT1.2]]+data[[#This Row],[NUIT2.1]]+data[[#This Row],[NUIT2.2]],0))</f>
        <v>2.083333333333437E-3</v>
      </c>
    </row>
    <row r="81" spans="1:26" x14ac:dyDescent="0.3">
      <c r="A81" s="68">
        <v>43580</v>
      </c>
      <c r="B81" s="137" t="str">
        <f>IF(data[[#This Row],[Hdébut garde]]&lt;&gt;"","Garde",IF(data[[#This Row],[Hdébut corrigé]]&lt;&gt;"","Intervention",""))</f>
        <v>Garde</v>
      </c>
      <c r="C81" s="83">
        <v>0.29166666666666669</v>
      </c>
      <c r="D81" s="60">
        <v>0.29166666666666669</v>
      </c>
      <c r="E81" s="47">
        <f>MAX(0,IF(data[[#This Row],[Garde / Interv.]]="Garde",data[[#This Row],[Hfin corrigée]]-data[[#This Row],[Hdébut corrigé]],0))</f>
        <v>1</v>
      </c>
      <c r="F81" s="84"/>
      <c r="G81" s="61"/>
      <c r="H81" s="62"/>
      <c r="I81" s="63"/>
      <c r="J81" s="64"/>
      <c r="K81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81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1.2916666666666667</v>
      </c>
      <c r="M81" s="154" t="str">
        <f>IF(OR(WEEKDAY(data[[#This Row],[Date]],2)=7,COUNTIF(JF,data[[#This Row],[Date]])=1),"oui","non")</f>
        <v>non</v>
      </c>
      <c r="N81" s="44">
        <f>MAX(0,(MIN(1,data[[#This Row],[Hfin corrigée]])-data[[#This Row],[Hdébut corrigé]])-data[[#This Row],[NUIT1.1]]-data[[#This Row],[NUIT1.2]])</f>
        <v>0.62499999999999989</v>
      </c>
      <c r="O81" s="44">
        <f>IF(data[[#This Row],[Hfin Interv.]]="",0,(
MIN(FinNuit,MIN(1,data[[#This Row],[Hfin corrigée]]))-MIN(FinNuit,data[[#This Row],[Hdébut corrigé]])
))</f>
        <v>0</v>
      </c>
      <c r="P81" s="44">
        <f>MAX(0,(MAX(0,(MIN(1,data[[#This Row],[Hfin corrigée]])-DebNuit))-MAX(0,(data[[#This Row],[Hdébut corrigé]]-DebNuit))))</f>
        <v>8.333333333333337E-2</v>
      </c>
      <c r="Q81" s="154" t="str">
        <f>IF(OR(WEEKDAY(data[[#This Row],[Date]]+data[[#This Row],[Hfin corrigée]],2)=7,COUNTIF(JF,INT(data[[#This Row],[Date]]+data[[#This Row],[Hfin corrigée]]))=1),"oui","non")</f>
        <v>non</v>
      </c>
      <c r="R81" s="44">
        <f>MAX(0,data[[#This Row],[Hfin corrigée]]-MAX(1,data[[#This Row],[Hdébut corrigé]]))-data[[#This Row],[NUIT2.1]]-data[[#This Row],[NUIT2.2]]</f>
        <v>0</v>
      </c>
      <c r="S81" s="44">
        <f>MAX(0,MIN(1+FinNuit,data[[#This Row],[Hfin corrigée]])-MAX(1,data[[#This Row],[Hdébut corrigé]]))</f>
        <v>0.29166666666666674</v>
      </c>
      <c r="T81" s="44">
        <f>MAX(0,(data[[#This Row],[Hfin corrigée]]-DebNuit-1))</f>
        <v>0</v>
      </c>
      <c r="U81" s="45">
        <f>IF(data[[#This Row],[Garde / Interv.]]="Intervention",MAX(0,data[[#This Row],[Hfin corrigée]]-SUMPRODUCT((data[Date]=data[[#This Row],[Date]])*(data[Garde / Interv.]="Garde")*data[Hfin corrigée])),0)</f>
        <v>0</v>
      </c>
      <c r="V81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0.91944444444444429</v>
      </c>
      <c r="W81" s="44">
        <f>MAX(0,IF(data[[#This Row],[Garde / Interv.]]="Intervention",(data[[#This Row],[Fin Dim ou Férié]]="non")*data[[#This Row],[JOUR2]]+(data[[#This Row],[Début Dim ou Férié]]="non")*data[[#This Row],[JOUR1]],0))</f>
        <v>0</v>
      </c>
      <c r="X81" s="44">
        <f>IF(data[[#This Row],[Garde / Interv.]]="Intervention",(data[[#This Row],[Fin Dim ou Férié]]="oui")*data[[#This Row],[JOUR2]]+(data[[#This Row],[Début Dim ou Férié]]="oui")*data[[#This Row],[JOUR1]],0)</f>
        <v>0</v>
      </c>
      <c r="Y81" s="44">
        <f>MAX(0,IF(data[[#This Row],[Garde / Interv.]]="Intervention",data[[#This Row],[NUIT1.1]]+data[[#This Row],[NUIT1.2]]+data[[#This Row],[NUIT2.1]]+data[[#This Row],[NUIT2.2]],0))</f>
        <v>0</v>
      </c>
    </row>
    <row r="82" spans="1:26" x14ac:dyDescent="0.3">
      <c r="A82" s="68">
        <v>43580</v>
      </c>
      <c r="B82" s="137" t="str">
        <f>IF(data[[#This Row],[Hdébut garde]]&lt;&gt;"","Garde",IF(data[[#This Row],[Hdébut corrigé]]&lt;&gt;"","Intervention",""))</f>
        <v>Intervention</v>
      </c>
      <c r="C82" s="83"/>
      <c r="D82" s="60"/>
      <c r="E82" s="47">
        <f>MAX(0,IF(data[[#This Row],[Garde / Interv.]]="Garde",data[[#This Row],[Hfin corrigée]]-data[[#This Row],[Hdébut corrigé]],0))</f>
        <v>0</v>
      </c>
      <c r="F82" s="84"/>
      <c r="G82" s="61"/>
      <c r="H82" s="62"/>
      <c r="I82" s="63">
        <v>0.37986111111111115</v>
      </c>
      <c r="J82" s="64">
        <v>0.40902777777777777</v>
      </c>
      <c r="K82" s="42">
        <f>IF(data[[#This Row],[Hdébut garde]]&lt;&gt;"",
data[[#This Row],[Hdébut garde]],
data[[#This Row],[Hdébut interv.]]+IF(data[[#This Row],[Hdébut interv.]]&lt;SUMPRODUCT((data[Date]=data[[#This Row],[Date]])*data[Hdébut garde]),1,0)
)</f>
        <v>0.37986111111111115</v>
      </c>
      <c r="L82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0.40902777777777777</v>
      </c>
      <c r="M82" s="154" t="str">
        <f>IF(OR(WEEKDAY(data[[#This Row],[Date]],2)=7,COUNTIF(JF,data[[#This Row],[Date]])=1),"oui","non")</f>
        <v>non</v>
      </c>
      <c r="N82" s="44">
        <f>MAX(0,(MIN(1,data[[#This Row],[Hfin corrigée]])-data[[#This Row],[Hdébut corrigé]])-data[[#This Row],[NUIT1.1]]-data[[#This Row],[NUIT1.2]])</f>
        <v>2.9166666666666619E-2</v>
      </c>
      <c r="O82" s="44">
        <f>IF(data[[#This Row],[Hfin Interv.]]="",0,(
MIN(FinNuit,MIN(1,data[[#This Row],[Hfin corrigée]]))-MIN(FinNuit,data[[#This Row],[Hdébut corrigé]])
))</f>
        <v>0</v>
      </c>
      <c r="P82" s="44">
        <f>MAX(0,(MAX(0,(MIN(1,data[[#This Row],[Hfin corrigée]])-DebNuit))-MAX(0,(data[[#This Row],[Hdébut corrigé]]-DebNuit))))</f>
        <v>0</v>
      </c>
      <c r="Q82" s="154" t="str">
        <f>IF(OR(WEEKDAY(data[[#This Row],[Date]]+data[[#This Row],[Hfin corrigée]],2)=7,COUNTIF(JF,INT(data[[#This Row],[Date]]+data[[#This Row],[Hfin corrigée]]))=1),"oui","non")</f>
        <v>non</v>
      </c>
      <c r="R82" s="44">
        <f>MAX(0,data[[#This Row],[Hfin corrigée]]-MAX(1,data[[#This Row],[Hdébut corrigé]]))-data[[#This Row],[NUIT2.1]]-data[[#This Row],[NUIT2.2]]</f>
        <v>0</v>
      </c>
      <c r="S82" s="44">
        <f>MAX(0,MIN(1+FinNuit,data[[#This Row],[Hfin corrigée]])-MAX(1,data[[#This Row],[Hdébut corrigé]]))</f>
        <v>0</v>
      </c>
      <c r="T82" s="44">
        <f>MAX(0,(data[[#This Row],[Hfin corrigée]]-DebNuit-1))</f>
        <v>0</v>
      </c>
      <c r="U82" s="45">
        <f>IF(data[[#This Row],[Garde / Interv.]]="Intervention",MAX(0,data[[#This Row],[Hfin corrigée]]-SUMPRODUCT((data[Date]=data[[#This Row],[Date]])*(data[Garde / Interv.]="Garde")*data[Hfin corrigée])),0)</f>
        <v>0</v>
      </c>
      <c r="V82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82" s="44">
        <f>MAX(0,IF(data[[#This Row],[Garde / Interv.]]="Intervention",(data[[#This Row],[Fin Dim ou Férié]]="non")*data[[#This Row],[JOUR2]]+(data[[#This Row],[Début Dim ou Férié]]="non")*data[[#This Row],[JOUR1]],0))</f>
        <v>2.9166666666666619E-2</v>
      </c>
      <c r="X82" s="44">
        <f>IF(data[[#This Row],[Garde / Interv.]]="Intervention",(data[[#This Row],[Fin Dim ou Férié]]="oui")*data[[#This Row],[JOUR2]]+(data[[#This Row],[Début Dim ou Férié]]="oui")*data[[#This Row],[JOUR1]],0)</f>
        <v>0</v>
      </c>
      <c r="Y82" s="44">
        <f>MAX(0,IF(data[[#This Row],[Garde / Interv.]]="Intervention",data[[#This Row],[NUIT1.1]]+data[[#This Row],[NUIT1.2]]+data[[#This Row],[NUIT2.1]]+data[[#This Row],[NUIT2.2]],0))</f>
        <v>0</v>
      </c>
    </row>
    <row r="83" spans="1:26" x14ac:dyDescent="0.3">
      <c r="A83" s="68">
        <v>43580</v>
      </c>
      <c r="B83" s="137" t="str">
        <f>IF(data[[#This Row],[Hdébut garde]]&lt;&gt;"","Garde",IF(data[[#This Row],[Hdébut corrigé]]&lt;&gt;"","Intervention",""))</f>
        <v>Intervention</v>
      </c>
      <c r="C83" s="83"/>
      <c r="D83" s="60"/>
      <c r="E83" s="47">
        <f>MAX(0,IF(data[[#This Row],[Garde / Interv.]]="Garde",data[[#This Row],[Hfin corrigée]]-data[[#This Row],[Hdébut corrigé]],0))</f>
        <v>0</v>
      </c>
      <c r="F83" s="84"/>
      <c r="G83" s="61"/>
      <c r="H83" s="62"/>
      <c r="I83" s="63">
        <v>0.67569444444444438</v>
      </c>
      <c r="J83" s="64">
        <v>0.70000000000000007</v>
      </c>
      <c r="K83" s="42">
        <f>IF(data[[#This Row],[Hdébut garde]]&lt;&gt;"",
data[[#This Row],[Hdébut garde]],
data[[#This Row],[Hdébut interv.]]+IF(data[[#This Row],[Hdébut interv.]]&lt;SUMPRODUCT((data[Date]=data[[#This Row],[Date]])*data[Hdébut garde]),1,0)
)</f>
        <v>0.67569444444444438</v>
      </c>
      <c r="L83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0.70000000000000007</v>
      </c>
      <c r="M83" s="154" t="str">
        <f>IF(OR(WEEKDAY(data[[#This Row],[Date]],2)=7,COUNTIF(JF,data[[#This Row],[Date]])=1),"oui","non")</f>
        <v>non</v>
      </c>
      <c r="N83" s="44">
        <f>MAX(0,(MIN(1,data[[#This Row],[Hfin corrigée]])-data[[#This Row],[Hdébut corrigé]])-data[[#This Row],[NUIT1.1]]-data[[#This Row],[NUIT1.2]])</f>
        <v>2.4305555555555691E-2</v>
      </c>
      <c r="O83" s="44">
        <f>IF(data[[#This Row],[Hfin Interv.]]="",0,(
MIN(FinNuit,MIN(1,data[[#This Row],[Hfin corrigée]]))-MIN(FinNuit,data[[#This Row],[Hdébut corrigé]])
))</f>
        <v>0</v>
      </c>
      <c r="P83" s="44">
        <f>MAX(0,(MAX(0,(MIN(1,data[[#This Row],[Hfin corrigée]])-DebNuit))-MAX(0,(data[[#This Row],[Hdébut corrigé]]-DebNuit))))</f>
        <v>0</v>
      </c>
      <c r="Q83" s="154" t="str">
        <f>IF(OR(WEEKDAY(data[[#This Row],[Date]]+data[[#This Row],[Hfin corrigée]],2)=7,COUNTIF(JF,INT(data[[#This Row],[Date]]+data[[#This Row],[Hfin corrigée]]))=1),"oui","non")</f>
        <v>non</v>
      </c>
      <c r="R83" s="44">
        <f>MAX(0,data[[#This Row],[Hfin corrigée]]-MAX(1,data[[#This Row],[Hdébut corrigé]]))-data[[#This Row],[NUIT2.1]]-data[[#This Row],[NUIT2.2]]</f>
        <v>0</v>
      </c>
      <c r="S83" s="44">
        <f>MAX(0,MIN(1+FinNuit,data[[#This Row],[Hfin corrigée]])-MAX(1,data[[#This Row],[Hdébut corrigé]]))</f>
        <v>0</v>
      </c>
      <c r="T83" s="44">
        <f>MAX(0,(data[[#This Row],[Hfin corrigée]]-DebNuit-1))</f>
        <v>0</v>
      </c>
      <c r="U83" s="45">
        <f>IF(data[[#This Row],[Garde / Interv.]]="Intervention",MAX(0,data[[#This Row],[Hfin corrigée]]-SUMPRODUCT((data[Date]=data[[#This Row],[Date]])*(data[Garde / Interv.]="Garde")*data[Hfin corrigée])),0)</f>
        <v>0</v>
      </c>
      <c r="V83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83" s="44">
        <f>MAX(0,IF(data[[#This Row],[Garde / Interv.]]="Intervention",(data[[#This Row],[Fin Dim ou Férié]]="non")*data[[#This Row],[JOUR2]]+(data[[#This Row],[Début Dim ou Férié]]="non")*data[[#This Row],[JOUR1]],0))</f>
        <v>2.4305555555555691E-2</v>
      </c>
      <c r="X83" s="44">
        <f>IF(data[[#This Row],[Garde / Interv.]]="Intervention",(data[[#This Row],[Fin Dim ou Férié]]="oui")*data[[#This Row],[JOUR2]]+(data[[#This Row],[Début Dim ou Férié]]="oui")*data[[#This Row],[JOUR1]],0)</f>
        <v>0</v>
      </c>
      <c r="Y83" s="44">
        <f>MAX(0,IF(data[[#This Row],[Garde / Interv.]]="Intervention",data[[#This Row],[NUIT1.1]]+data[[#This Row],[NUIT1.2]]+data[[#This Row],[NUIT2.1]]+data[[#This Row],[NUIT2.2]],0))</f>
        <v>0</v>
      </c>
    </row>
    <row r="84" spans="1:26" s="153" customFormat="1" ht="15" thickBot="1" x14ac:dyDescent="0.35">
      <c r="A84" s="138">
        <v>43580</v>
      </c>
      <c r="B84" s="139" t="str">
        <f>IF(data[[#This Row],[Hdébut garde]]&lt;&gt;"","Garde",IF(data[[#This Row],[Hdébut corrigé]]&lt;&gt;"","Intervention",""))</f>
        <v>Intervention</v>
      </c>
      <c r="C84" s="140"/>
      <c r="D84" s="141"/>
      <c r="E84" s="142">
        <f>MAX(0,IF(data[[#This Row],[Garde / Interv.]]="Garde",data[[#This Row],[Hfin corrigée]]-data[[#This Row],[Hdébut corrigé]],0))</f>
        <v>0</v>
      </c>
      <c r="F84" s="143"/>
      <c r="G84" s="144"/>
      <c r="H84" s="145"/>
      <c r="I84" s="146">
        <v>0.62569444444444444</v>
      </c>
      <c r="J84" s="147">
        <v>0.65277777777777779</v>
      </c>
      <c r="K84" s="148">
        <f>IF(data[[#This Row],[Hdébut garde]]&lt;&gt;"",
data[[#This Row],[Hdébut garde]],
data[[#This Row],[Hdébut interv.]]+IF(data[[#This Row],[Hdébut interv.]]&lt;SUMPRODUCT((data[Date]=data[[#This Row],[Date]])*data[Hdébut garde]),1,0)
)</f>
        <v>0.62569444444444444</v>
      </c>
      <c r="L84" s="148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0.65277777777777779</v>
      </c>
      <c r="M84" s="155" t="str">
        <f>IF(OR(WEEKDAY(data[[#This Row],[Date]],2)=7,COUNTIF(JF,data[[#This Row],[Date]])=1),"oui","non")</f>
        <v>non</v>
      </c>
      <c r="N84" s="150">
        <f>MAX(0,(MIN(1,data[[#This Row],[Hfin corrigée]])-data[[#This Row],[Hdébut corrigé]])-data[[#This Row],[NUIT1.1]]-data[[#This Row],[NUIT1.2]])</f>
        <v>2.7083333333333348E-2</v>
      </c>
      <c r="O84" s="150">
        <f>IF(data[[#This Row],[Hfin Interv.]]="",0,(
MIN(FinNuit,MIN(1,data[[#This Row],[Hfin corrigée]]))-MIN(FinNuit,data[[#This Row],[Hdébut corrigé]])
))</f>
        <v>0</v>
      </c>
      <c r="P84" s="150">
        <f>MAX(0,(MAX(0,(MIN(1,data[[#This Row],[Hfin corrigée]])-DebNuit))-MAX(0,(data[[#This Row],[Hdébut corrigé]]-DebNuit))))</f>
        <v>0</v>
      </c>
      <c r="Q84" s="155" t="str">
        <f>IF(OR(WEEKDAY(data[[#This Row],[Date]]+data[[#This Row],[Hfin corrigée]],2)=7,COUNTIF(JF,INT(data[[#This Row],[Date]]+data[[#This Row],[Hfin corrigée]]))=1),"oui","non")</f>
        <v>non</v>
      </c>
      <c r="R84" s="150">
        <f>MAX(0,data[[#This Row],[Hfin corrigée]]-MAX(1,data[[#This Row],[Hdébut corrigé]]))-data[[#This Row],[NUIT2.1]]-data[[#This Row],[NUIT2.2]]</f>
        <v>0</v>
      </c>
      <c r="S84" s="150">
        <f>MAX(0,MIN(1+FinNuit,data[[#This Row],[Hfin corrigée]])-MAX(1,data[[#This Row],[Hdébut corrigé]]))</f>
        <v>0</v>
      </c>
      <c r="T84" s="150">
        <f>MAX(0,(data[[#This Row],[Hfin corrigée]]-DebNuit-1))</f>
        <v>0</v>
      </c>
      <c r="U84" s="151">
        <f>IF(data[[#This Row],[Garde / Interv.]]="Intervention",MAX(0,data[[#This Row],[Hfin corrigée]]-SUMPRODUCT((data[Date]=data[[#This Row],[Date]])*(data[Garde / Interv.]="Garde")*data[Hfin corrigée])),0)</f>
        <v>0</v>
      </c>
      <c r="V84" s="150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84" s="150">
        <f>MAX(0,IF(data[[#This Row],[Garde / Interv.]]="Intervention",(data[[#This Row],[Fin Dim ou Férié]]="non")*data[[#This Row],[JOUR2]]+(data[[#This Row],[Début Dim ou Férié]]="non")*data[[#This Row],[JOUR1]],0))</f>
        <v>2.7083333333333348E-2</v>
      </c>
      <c r="X84" s="150">
        <f>IF(data[[#This Row],[Garde / Interv.]]="Intervention",(data[[#This Row],[Fin Dim ou Férié]]="oui")*data[[#This Row],[JOUR2]]+(data[[#This Row],[Début Dim ou Férié]]="oui")*data[[#This Row],[JOUR1]],0)</f>
        <v>0</v>
      </c>
      <c r="Y84" s="150">
        <f>MAX(0,IF(data[[#This Row],[Garde / Interv.]]="Intervention",data[[#This Row],[NUIT1.1]]+data[[#This Row],[NUIT1.2]]+data[[#This Row],[NUIT2.1]]+data[[#This Row],[NUIT2.2]],0))</f>
        <v>0</v>
      </c>
      <c r="Z84" s="152"/>
    </row>
    <row r="85" spans="1:26" ht="15" thickTop="1" x14ac:dyDescent="0.3">
      <c r="A85" s="68">
        <v>43587</v>
      </c>
      <c r="B85" s="137" t="str">
        <f>IF(data[[#This Row],[Hdébut garde]]&lt;&gt;"","Garde",IF(data[[#This Row],[Hdébut corrigé]]&lt;&gt;"","Intervention",""))</f>
        <v>Garde</v>
      </c>
      <c r="C85" s="83">
        <v>0.29166666666666669</v>
      </c>
      <c r="D85" s="60">
        <v>0.29166666666666669</v>
      </c>
      <c r="E85" s="47">
        <f>MAX(0,IF(data[[#This Row],[Garde / Interv.]]="Garde",data[[#This Row],[Hfin corrigée]]-data[[#This Row],[Hdébut corrigé]],0))</f>
        <v>1</v>
      </c>
      <c r="F85" s="84"/>
      <c r="G85" s="61"/>
      <c r="H85" s="62"/>
      <c r="I85" s="63"/>
      <c r="J85" s="64"/>
      <c r="K85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85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1.2916666666666667</v>
      </c>
      <c r="M85" s="154" t="str">
        <f>IF(OR(WEEKDAY(data[[#This Row],[Date]],2)=7,COUNTIF(JF,data[[#This Row],[Date]])=1),"oui","non")</f>
        <v>non</v>
      </c>
      <c r="N85" s="44">
        <f>MAX(0,(MIN(1,data[[#This Row],[Hfin corrigée]])-data[[#This Row],[Hdébut corrigé]])-data[[#This Row],[NUIT1.1]]-data[[#This Row],[NUIT1.2]])</f>
        <v>0.62499999999999989</v>
      </c>
      <c r="O85" s="44">
        <f>IF(data[[#This Row],[Hfin Interv.]]="",0,(
MIN(FinNuit,MIN(1,data[[#This Row],[Hfin corrigée]]))-MIN(FinNuit,data[[#This Row],[Hdébut corrigé]])
))</f>
        <v>0</v>
      </c>
      <c r="P85" s="44">
        <f>MAX(0,(MAX(0,(MIN(1,data[[#This Row],[Hfin corrigée]])-DebNuit))-MAX(0,(data[[#This Row],[Hdébut corrigé]]-DebNuit))))</f>
        <v>8.333333333333337E-2</v>
      </c>
      <c r="Q85" s="154" t="str">
        <f>IF(OR(WEEKDAY(data[[#This Row],[Date]]+data[[#This Row],[Hfin corrigée]],2)=7,COUNTIF(JF,INT(data[[#This Row],[Date]]+data[[#This Row],[Hfin corrigée]]))=1),"oui","non")</f>
        <v>non</v>
      </c>
      <c r="R85" s="44">
        <f>MAX(0,data[[#This Row],[Hfin corrigée]]-MAX(1,data[[#This Row],[Hdébut corrigé]]))-data[[#This Row],[NUIT2.1]]-data[[#This Row],[NUIT2.2]]</f>
        <v>0</v>
      </c>
      <c r="S85" s="44">
        <f>MAX(0,MIN(1+FinNuit,data[[#This Row],[Hfin corrigée]])-MAX(1,data[[#This Row],[Hdébut corrigé]]))</f>
        <v>0.29166666666666674</v>
      </c>
      <c r="T85" s="44">
        <f>MAX(0,(data[[#This Row],[Hfin corrigée]]-DebNuit-1))</f>
        <v>0</v>
      </c>
      <c r="U85" s="45">
        <f>IF(data[[#This Row],[Garde / Interv.]]="Intervention",MAX(0,data[[#This Row],[Hfin corrigée]]-SUMPRODUCT((data[Date]=data[[#This Row],[Date]])*(data[Garde / Interv.]="Garde")*data[Hfin corrigée])),0)</f>
        <v>0</v>
      </c>
      <c r="V85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0.88263888888888875</v>
      </c>
      <c r="W85" s="44">
        <f>MAX(0,IF(data[[#This Row],[Garde / Interv.]]="Intervention",(data[[#This Row],[Fin Dim ou Férié]]="non")*data[[#This Row],[JOUR2]]+(data[[#This Row],[Début Dim ou Férié]]="non")*data[[#This Row],[JOUR1]],0))</f>
        <v>0</v>
      </c>
      <c r="X85" s="44">
        <f>IF(data[[#This Row],[Garde / Interv.]]="Intervention",(data[[#This Row],[Fin Dim ou Férié]]="oui")*data[[#This Row],[JOUR2]]+(data[[#This Row],[Début Dim ou Férié]]="oui")*data[[#This Row],[JOUR1]],0)</f>
        <v>0</v>
      </c>
      <c r="Y85" s="44">
        <f>MAX(0,IF(data[[#This Row],[Garde / Interv.]]="Intervention",data[[#This Row],[NUIT1.1]]+data[[#This Row],[NUIT1.2]]+data[[#This Row],[NUIT2.1]]+data[[#This Row],[NUIT2.2]],0))</f>
        <v>0</v>
      </c>
    </row>
    <row r="86" spans="1:26" x14ac:dyDescent="0.3">
      <c r="A86" s="68">
        <v>43587</v>
      </c>
      <c r="B86" s="137" t="str">
        <f>IF(data[[#This Row],[Hdébut garde]]&lt;&gt;"","Garde",IF(data[[#This Row],[Hdébut corrigé]]&lt;&gt;"","Intervention",""))</f>
        <v>Intervention</v>
      </c>
      <c r="C86" s="83"/>
      <c r="D86" s="60"/>
      <c r="E86" s="47">
        <f>MAX(0,IF(data[[#This Row],[Garde / Interv.]]="Garde",data[[#This Row],[Hfin corrigée]]-data[[#This Row],[Hdébut corrigé]],0))</f>
        <v>0</v>
      </c>
      <c r="F86" s="84"/>
      <c r="G86" s="61"/>
      <c r="H86" s="62"/>
      <c r="I86" s="63">
        <v>0.48333333333333334</v>
      </c>
      <c r="J86" s="64">
        <v>0.54375000000000007</v>
      </c>
      <c r="K86" s="42">
        <f>IF(data[[#This Row],[Hdébut garde]]&lt;&gt;"",
data[[#This Row],[Hdébut garde]],
data[[#This Row],[Hdébut interv.]]+IF(data[[#This Row],[Hdébut interv.]]&lt;SUMPRODUCT((data[Date]=data[[#This Row],[Date]])*data[Hdébut garde]),1,0)
)</f>
        <v>0.48333333333333334</v>
      </c>
      <c r="L86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0.54375000000000007</v>
      </c>
      <c r="M86" s="154" t="str">
        <f>IF(OR(WEEKDAY(data[[#This Row],[Date]],2)=7,COUNTIF(JF,data[[#This Row],[Date]])=1),"oui","non")</f>
        <v>non</v>
      </c>
      <c r="N86" s="44">
        <f>MAX(0,(MIN(1,data[[#This Row],[Hfin corrigée]])-data[[#This Row],[Hdébut corrigé]])-data[[#This Row],[NUIT1.1]]-data[[#This Row],[NUIT1.2]])</f>
        <v>6.041666666666673E-2</v>
      </c>
      <c r="O86" s="44">
        <f>IF(data[[#This Row],[Hfin Interv.]]="",0,(
MIN(FinNuit,MIN(1,data[[#This Row],[Hfin corrigée]]))-MIN(FinNuit,data[[#This Row],[Hdébut corrigé]])
))</f>
        <v>0</v>
      </c>
      <c r="P86" s="44">
        <f>MAX(0,(MAX(0,(MIN(1,data[[#This Row],[Hfin corrigée]])-DebNuit))-MAX(0,(data[[#This Row],[Hdébut corrigé]]-DebNuit))))</f>
        <v>0</v>
      </c>
      <c r="Q86" s="154" t="str">
        <f>IF(OR(WEEKDAY(data[[#This Row],[Date]]+data[[#This Row],[Hfin corrigée]],2)=7,COUNTIF(JF,INT(data[[#This Row],[Date]]+data[[#This Row],[Hfin corrigée]]))=1),"oui","non")</f>
        <v>non</v>
      </c>
      <c r="R86" s="44">
        <f>MAX(0,data[[#This Row],[Hfin corrigée]]-MAX(1,data[[#This Row],[Hdébut corrigé]]))-data[[#This Row],[NUIT2.1]]-data[[#This Row],[NUIT2.2]]</f>
        <v>0</v>
      </c>
      <c r="S86" s="44">
        <f>MAX(0,MIN(1+FinNuit,data[[#This Row],[Hfin corrigée]])-MAX(1,data[[#This Row],[Hdébut corrigé]]))</f>
        <v>0</v>
      </c>
      <c r="T86" s="44">
        <f>MAX(0,(data[[#This Row],[Hfin corrigée]]-DebNuit-1))</f>
        <v>0</v>
      </c>
      <c r="U86" s="45">
        <f>IF(data[[#This Row],[Garde / Interv.]]="Intervention",MAX(0,data[[#This Row],[Hfin corrigée]]-SUMPRODUCT((data[Date]=data[[#This Row],[Date]])*(data[Garde / Interv.]="Garde")*data[Hfin corrigée])),0)</f>
        <v>0</v>
      </c>
      <c r="V86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86" s="44">
        <f>MAX(0,IF(data[[#This Row],[Garde / Interv.]]="Intervention",(data[[#This Row],[Fin Dim ou Férié]]="non")*data[[#This Row],[JOUR2]]+(data[[#This Row],[Début Dim ou Férié]]="non")*data[[#This Row],[JOUR1]],0))</f>
        <v>6.041666666666673E-2</v>
      </c>
      <c r="X86" s="44">
        <f>IF(data[[#This Row],[Garde / Interv.]]="Intervention",(data[[#This Row],[Fin Dim ou Férié]]="oui")*data[[#This Row],[JOUR2]]+(data[[#This Row],[Début Dim ou Férié]]="oui")*data[[#This Row],[JOUR1]],0)</f>
        <v>0</v>
      </c>
      <c r="Y86" s="44">
        <f>MAX(0,IF(data[[#This Row],[Garde / Interv.]]="Intervention",data[[#This Row],[NUIT1.1]]+data[[#This Row],[NUIT1.2]]+data[[#This Row],[NUIT2.1]]+data[[#This Row],[NUIT2.2]],0))</f>
        <v>0</v>
      </c>
    </row>
    <row r="87" spans="1:26" x14ac:dyDescent="0.3">
      <c r="A87" s="68">
        <v>43587</v>
      </c>
      <c r="B87" s="137" t="str">
        <f>IF(data[[#This Row],[Hdébut garde]]&lt;&gt;"","Garde",IF(data[[#This Row],[Hdébut corrigé]]&lt;&gt;"","Intervention",""))</f>
        <v>Intervention</v>
      </c>
      <c r="C87" s="83"/>
      <c r="D87" s="60"/>
      <c r="E87" s="47">
        <f>MAX(0,IF(data[[#This Row],[Garde / Interv.]]="Garde",data[[#This Row],[Hfin corrigée]]-data[[#This Row],[Hdébut corrigé]],0))</f>
        <v>0</v>
      </c>
      <c r="F87" s="84"/>
      <c r="G87" s="61"/>
      <c r="H87" s="62"/>
      <c r="I87" s="63">
        <v>0.84097222222222223</v>
      </c>
      <c r="J87" s="64">
        <v>0.8979166666666667</v>
      </c>
      <c r="K87" s="42">
        <f>IF(data[[#This Row],[Hdébut garde]]&lt;&gt;"",
data[[#This Row],[Hdébut garde]],
data[[#This Row],[Hdébut interv.]]+IF(data[[#This Row],[Hdébut interv.]]&lt;SUMPRODUCT((data[Date]=data[[#This Row],[Date]])*data[Hdébut garde]),1,0)
)</f>
        <v>0.84097222222222223</v>
      </c>
      <c r="L87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0.8979166666666667</v>
      </c>
      <c r="M87" s="154" t="str">
        <f>IF(OR(WEEKDAY(data[[#This Row],[Date]],2)=7,COUNTIF(JF,data[[#This Row],[Date]])=1),"oui","non")</f>
        <v>non</v>
      </c>
      <c r="N87" s="44">
        <f>MAX(0,(MIN(1,data[[#This Row],[Hfin corrigée]])-data[[#This Row],[Hdébut corrigé]])-data[[#This Row],[NUIT1.1]]-data[[#This Row],[NUIT1.2]])</f>
        <v>5.6944444444444464E-2</v>
      </c>
      <c r="O87" s="44">
        <f>IF(data[[#This Row],[Hfin Interv.]]="",0,(
MIN(FinNuit,MIN(1,data[[#This Row],[Hfin corrigée]]))-MIN(FinNuit,data[[#This Row],[Hdébut corrigé]])
))</f>
        <v>0</v>
      </c>
      <c r="P87" s="44">
        <f>MAX(0,(MAX(0,(MIN(1,data[[#This Row],[Hfin corrigée]])-DebNuit))-MAX(0,(data[[#This Row],[Hdébut corrigé]]-DebNuit))))</f>
        <v>0</v>
      </c>
      <c r="Q87" s="154" t="str">
        <f>IF(OR(WEEKDAY(data[[#This Row],[Date]]+data[[#This Row],[Hfin corrigée]],2)=7,COUNTIF(JF,INT(data[[#This Row],[Date]]+data[[#This Row],[Hfin corrigée]]))=1),"oui","non")</f>
        <v>non</v>
      </c>
      <c r="R87" s="44">
        <f>MAX(0,data[[#This Row],[Hfin corrigée]]-MAX(1,data[[#This Row],[Hdébut corrigé]]))-data[[#This Row],[NUIT2.1]]-data[[#This Row],[NUIT2.2]]</f>
        <v>0</v>
      </c>
      <c r="S87" s="44">
        <f>MAX(0,MIN(1+FinNuit,data[[#This Row],[Hfin corrigée]])-MAX(1,data[[#This Row],[Hdébut corrigé]]))</f>
        <v>0</v>
      </c>
      <c r="T87" s="44">
        <f>MAX(0,(data[[#This Row],[Hfin corrigée]]-DebNuit-1))</f>
        <v>0</v>
      </c>
      <c r="U87" s="45">
        <f>IF(data[[#This Row],[Garde / Interv.]]="Intervention",MAX(0,data[[#This Row],[Hfin corrigée]]-SUMPRODUCT((data[Date]=data[[#This Row],[Date]])*(data[Garde / Interv.]="Garde")*data[Hfin corrigée])),0)</f>
        <v>0</v>
      </c>
      <c r="V87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87" s="44">
        <f>MAX(0,IF(data[[#This Row],[Garde / Interv.]]="Intervention",(data[[#This Row],[Fin Dim ou Férié]]="non")*data[[#This Row],[JOUR2]]+(data[[#This Row],[Début Dim ou Férié]]="non")*data[[#This Row],[JOUR1]],0))</f>
        <v>5.6944444444444464E-2</v>
      </c>
      <c r="X87" s="44">
        <f>IF(data[[#This Row],[Garde / Interv.]]="Intervention",(data[[#This Row],[Fin Dim ou Férié]]="oui")*data[[#This Row],[JOUR2]]+(data[[#This Row],[Début Dim ou Férié]]="oui")*data[[#This Row],[JOUR1]],0)</f>
        <v>0</v>
      </c>
      <c r="Y87" s="44">
        <f>MAX(0,IF(data[[#This Row],[Garde / Interv.]]="Intervention",data[[#This Row],[NUIT1.1]]+data[[#This Row],[NUIT1.2]]+data[[#This Row],[NUIT2.1]]+data[[#This Row],[NUIT2.2]],0))</f>
        <v>0</v>
      </c>
    </row>
    <row r="88" spans="1:26" x14ac:dyDescent="0.3">
      <c r="A88" s="68">
        <v>43590</v>
      </c>
      <c r="B88" s="137" t="str">
        <f>IF(data[[#This Row],[Hdébut garde]]&lt;&gt;"","Garde",IF(data[[#This Row],[Hdébut corrigé]]&lt;&gt;"","Intervention",""))</f>
        <v>Garde</v>
      </c>
      <c r="C88" s="83">
        <v>0.29166666666666669</v>
      </c>
      <c r="D88" s="60">
        <v>0.79166666666666663</v>
      </c>
      <c r="E88" s="47">
        <f>MAX(0,IF(data[[#This Row],[Garde / Interv.]]="Garde",data[[#This Row],[Hfin corrigée]]-data[[#This Row],[Hdébut corrigé]],0))</f>
        <v>0.49999999999999994</v>
      </c>
      <c r="F88" s="84"/>
      <c r="G88" s="61"/>
      <c r="H88" s="62"/>
      <c r="I88" s="63"/>
      <c r="J88" s="64"/>
      <c r="K88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88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0.79166666666666663</v>
      </c>
      <c r="M88" s="154" t="str">
        <f>IF(OR(WEEKDAY(data[[#This Row],[Date]],2)=7,COUNTIF(JF,data[[#This Row],[Date]])=1),"oui","non")</f>
        <v>oui</v>
      </c>
      <c r="N88" s="44">
        <f>MAX(0,(MIN(1,data[[#This Row],[Hfin corrigée]])-data[[#This Row],[Hdébut corrigé]])-data[[#This Row],[NUIT1.1]]-data[[#This Row],[NUIT1.2]])</f>
        <v>0.49999999999999994</v>
      </c>
      <c r="O88" s="44">
        <f>IF(data[[#This Row],[Hfin Interv.]]="",0,(
MIN(FinNuit,MIN(1,data[[#This Row],[Hfin corrigée]]))-MIN(FinNuit,data[[#This Row],[Hdébut corrigé]])
))</f>
        <v>0</v>
      </c>
      <c r="P88" s="44">
        <f>MAX(0,(MAX(0,(MIN(1,data[[#This Row],[Hfin corrigée]])-DebNuit))-MAX(0,(data[[#This Row],[Hdébut corrigé]]-DebNuit))))</f>
        <v>0</v>
      </c>
      <c r="Q88" s="154" t="str">
        <f>IF(OR(WEEKDAY(data[[#This Row],[Date]]+data[[#This Row],[Hfin corrigée]],2)=7,COUNTIF(JF,INT(data[[#This Row],[Date]]+data[[#This Row],[Hfin corrigée]]))=1),"oui","non")</f>
        <v>oui</v>
      </c>
      <c r="R88" s="44">
        <f>MAX(0,data[[#This Row],[Hfin corrigée]]-MAX(1,data[[#This Row],[Hdébut corrigé]]))-data[[#This Row],[NUIT2.1]]-data[[#This Row],[NUIT2.2]]</f>
        <v>0</v>
      </c>
      <c r="S88" s="44">
        <f>MAX(0,MIN(1+FinNuit,data[[#This Row],[Hfin corrigée]])-MAX(1,data[[#This Row],[Hdébut corrigé]]))</f>
        <v>0</v>
      </c>
      <c r="T88" s="44">
        <f>MAX(0,(data[[#This Row],[Hfin corrigée]]-DebNuit-1))</f>
        <v>0</v>
      </c>
      <c r="U88" s="45">
        <f>IF(data[[#This Row],[Garde / Interv.]]="Intervention",MAX(0,data[[#This Row],[Hfin corrigée]]-SUMPRODUCT((data[Date]=data[[#This Row],[Date]])*(data[Garde / Interv.]="Garde")*data[Hfin corrigée])),0)</f>
        <v>0</v>
      </c>
      <c r="V88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0.43749999999999994</v>
      </c>
      <c r="W88" s="44">
        <f>MAX(0,IF(data[[#This Row],[Garde / Interv.]]="Intervention",(data[[#This Row],[Fin Dim ou Férié]]="non")*data[[#This Row],[JOUR2]]+(data[[#This Row],[Début Dim ou Férié]]="non")*data[[#This Row],[JOUR1]],0))</f>
        <v>0</v>
      </c>
      <c r="X88" s="44">
        <f>IF(data[[#This Row],[Garde / Interv.]]="Intervention",(data[[#This Row],[Fin Dim ou Férié]]="oui")*data[[#This Row],[JOUR2]]+(data[[#This Row],[Début Dim ou Férié]]="oui")*data[[#This Row],[JOUR1]],0)</f>
        <v>0</v>
      </c>
      <c r="Y88" s="44">
        <f>MAX(0,IF(data[[#This Row],[Garde / Interv.]]="Intervention",data[[#This Row],[NUIT1.1]]+data[[#This Row],[NUIT1.2]]+data[[#This Row],[NUIT2.1]]+data[[#This Row],[NUIT2.2]],0))</f>
        <v>0</v>
      </c>
    </row>
    <row r="89" spans="1:26" x14ac:dyDescent="0.3">
      <c r="A89" s="68">
        <v>43590</v>
      </c>
      <c r="B89" s="137" t="str">
        <f>IF(data[[#This Row],[Hdébut garde]]&lt;&gt;"","Garde",IF(data[[#This Row],[Hdébut corrigé]]&lt;&gt;"","Intervention",""))</f>
        <v>Intervention</v>
      </c>
      <c r="C89" s="83"/>
      <c r="D89" s="60"/>
      <c r="E89" s="47">
        <f>MAX(0,IF(data[[#This Row],[Garde / Interv.]]="Garde",data[[#This Row],[Hfin corrigée]]-data[[#This Row],[Hdébut corrigé]],0))</f>
        <v>0</v>
      </c>
      <c r="F89" s="84"/>
      <c r="G89" s="61"/>
      <c r="H89" s="62"/>
      <c r="I89" s="63">
        <v>0.4604166666666667</v>
      </c>
      <c r="J89" s="64">
        <v>0.5229166666666667</v>
      </c>
      <c r="K89" s="42">
        <f>IF(data[[#This Row],[Hdébut garde]]&lt;&gt;"",
data[[#This Row],[Hdébut garde]],
data[[#This Row],[Hdébut interv.]]+IF(data[[#This Row],[Hdébut interv.]]&lt;SUMPRODUCT((data[Date]=data[[#This Row],[Date]])*data[Hdébut garde]),1,0)
)</f>
        <v>0.4604166666666667</v>
      </c>
      <c r="L89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0.5229166666666667</v>
      </c>
      <c r="M89" s="154" t="str">
        <f>IF(OR(WEEKDAY(data[[#This Row],[Date]],2)=7,COUNTIF(JF,data[[#This Row],[Date]])=1),"oui","non")</f>
        <v>oui</v>
      </c>
      <c r="N89" s="44">
        <f>MAX(0,(MIN(1,data[[#This Row],[Hfin corrigée]])-data[[#This Row],[Hdébut corrigé]])-data[[#This Row],[NUIT1.1]]-data[[#This Row],[NUIT1.2]])</f>
        <v>6.25E-2</v>
      </c>
      <c r="O89" s="44">
        <f>IF(data[[#This Row],[Hfin Interv.]]="",0,(
MIN(FinNuit,MIN(1,data[[#This Row],[Hfin corrigée]]))-MIN(FinNuit,data[[#This Row],[Hdébut corrigé]])
))</f>
        <v>0</v>
      </c>
      <c r="P89" s="44">
        <f>MAX(0,(MAX(0,(MIN(1,data[[#This Row],[Hfin corrigée]])-DebNuit))-MAX(0,(data[[#This Row],[Hdébut corrigé]]-DebNuit))))</f>
        <v>0</v>
      </c>
      <c r="Q89" s="154" t="str">
        <f>IF(OR(WEEKDAY(data[[#This Row],[Date]]+data[[#This Row],[Hfin corrigée]],2)=7,COUNTIF(JF,INT(data[[#This Row],[Date]]+data[[#This Row],[Hfin corrigée]]))=1),"oui","non")</f>
        <v>oui</v>
      </c>
      <c r="R89" s="44">
        <f>MAX(0,data[[#This Row],[Hfin corrigée]]-MAX(1,data[[#This Row],[Hdébut corrigé]]))-data[[#This Row],[NUIT2.1]]-data[[#This Row],[NUIT2.2]]</f>
        <v>0</v>
      </c>
      <c r="S89" s="44">
        <f>MAX(0,MIN(1+FinNuit,data[[#This Row],[Hfin corrigée]])-MAX(1,data[[#This Row],[Hdébut corrigé]]))</f>
        <v>0</v>
      </c>
      <c r="T89" s="44">
        <f>MAX(0,(data[[#This Row],[Hfin corrigée]]-DebNuit-1))</f>
        <v>0</v>
      </c>
      <c r="U89" s="45">
        <f>IF(data[[#This Row],[Garde / Interv.]]="Intervention",MAX(0,data[[#This Row],[Hfin corrigée]]-SUMPRODUCT((data[Date]=data[[#This Row],[Date]])*(data[Garde / Interv.]="Garde")*data[Hfin corrigée])),0)</f>
        <v>0</v>
      </c>
      <c r="V89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89" s="44">
        <f>MAX(0,IF(data[[#This Row],[Garde / Interv.]]="Intervention",(data[[#This Row],[Fin Dim ou Férié]]="non")*data[[#This Row],[JOUR2]]+(data[[#This Row],[Début Dim ou Férié]]="non")*data[[#This Row],[JOUR1]],0))</f>
        <v>0</v>
      </c>
      <c r="X89" s="44">
        <f>IF(data[[#This Row],[Garde / Interv.]]="Intervention",(data[[#This Row],[Fin Dim ou Férié]]="oui")*data[[#This Row],[JOUR2]]+(data[[#This Row],[Début Dim ou Férié]]="oui")*data[[#This Row],[JOUR1]],0)</f>
        <v>6.25E-2</v>
      </c>
      <c r="Y89" s="44">
        <f>MAX(0,IF(data[[#This Row],[Garde / Interv.]]="Intervention",data[[#This Row],[NUIT1.1]]+data[[#This Row],[NUIT1.2]]+data[[#This Row],[NUIT2.1]]+data[[#This Row],[NUIT2.2]],0))</f>
        <v>0</v>
      </c>
    </row>
    <row r="90" spans="1:26" x14ac:dyDescent="0.3">
      <c r="A90" s="68">
        <v>43593</v>
      </c>
      <c r="B90" s="137" t="str">
        <f>IF(data[[#This Row],[Hdébut garde]]&lt;&gt;"","Garde",IF(data[[#This Row],[Hdébut corrigé]]&lt;&gt;"","Intervention",""))</f>
        <v>Garde</v>
      </c>
      <c r="C90" s="83">
        <v>0.29166666666666669</v>
      </c>
      <c r="D90" s="60">
        <v>0.29166666666666669</v>
      </c>
      <c r="E90" s="47">
        <f>MAX(0,IF(data[[#This Row],[Garde / Interv.]]="Garde",data[[#This Row],[Hfin corrigée]]-data[[#This Row],[Hdébut corrigé]],0))</f>
        <v>1</v>
      </c>
      <c r="F90" s="84"/>
      <c r="G90" s="61"/>
      <c r="H90" s="62"/>
      <c r="I90" s="63"/>
      <c r="J90" s="64"/>
      <c r="K90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90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1.2916666666666667</v>
      </c>
      <c r="M90" s="154" t="str">
        <f>IF(OR(WEEKDAY(data[[#This Row],[Date]],2)=7,COUNTIF(JF,data[[#This Row],[Date]])=1),"oui","non")</f>
        <v>oui</v>
      </c>
      <c r="N90" s="44">
        <f>MAX(0,(MIN(1,data[[#This Row],[Hfin corrigée]])-data[[#This Row],[Hdébut corrigé]])-data[[#This Row],[NUIT1.1]]-data[[#This Row],[NUIT1.2]])</f>
        <v>0.62499999999999989</v>
      </c>
      <c r="O90" s="44">
        <f>IF(data[[#This Row],[Hfin Interv.]]="",0,(
MIN(FinNuit,MIN(1,data[[#This Row],[Hfin corrigée]]))-MIN(FinNuit,data[[#This Row],[Hdébut corrigé]])
))</f>
        <v>0</v>
      </c>
      <c r="P90" s="44">
        <f>MAX(0,(MAX(0,(MIN(1,data[[#This Row],[Hfin corrigée]])-DebNuit))-MAX(0,(data[[#This Row],[Hdébut corrigé]]-DebNuit))))</f>
        <v>8.333333333333337E-2</v>
      </c>
      <c r="Q90" s="154" t="str">
        <f>IF(OR(WEEKDAY(data[[#This Row],[Date]]+data[[#This Row],[Hfin corrigée]],2)=7,COUNTIF(JF,INT(data[[#This Row],[Date]]+data[[#This Row],[Hfin corrigée]]))=1),"oui","non")</f>
        <v>non</v>
      </c>
      <c r="R90" s="44">
        <f>MAX(0,data[[#This Row],[Hfin corrigée]]-MAX(1,data[[#This Row],[Hdébut corrigé]]))-data[[#This Row],[NUIT2.1]]-data[[#This Row],[NUIT2.2]]</f>
        <v>0</v>
      </c>
      <c r="S90" s="44">
        <f>MAX(0,MIN(1+FinNuit,data[[#This Row],[Hfin corrigée]])-MAX(1,data[[#This Row],[Hdébut corrigé]]))</f>
        <v>0.29166666666666674</v>
      </c>
      <c r="T90" s="44">
        <f>MAX(0,(data[[#This Row],[Hfin corrigée]]-DebNuit-1))</f>
        <v>0</v>
      </c>
      <c r="U90" s="45">
        <f>IF(data[[#This Row],[Garde / Interv.]]="Intervention",MAX(0,data[[#This Row],[Hfin corrigée]]-SUMPRODUCT((data[Date]=data[[#This Row],[Date]])*(data[Garde / Interv.]="Garde")*data[Hfin corrigée])),0)</f>
        <v>0</v>
      </c>
      <c r="V90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0.86527777777777781</v>
      </c>
      <c r="W90" s="44">
        <f>MAX(0,IF(data[[#This Row],[Garde / Interv.]]="Intervention",(data[[#This Row],[Fin Dim ou Férié]]="non")*data[[#This Row],[JOUR2]]+(data[[#This Row],[Début Dim ou Férié]]="non")*data[[#This Row],[JOUR1]],0))</f>
        <v>0</v>
      </c>
      <c r="X90" s="44">
        <f>IF(data[[#This Row],[Garde / Interv.]]="Intervention",(data[[#This Row],[Fin Dim ou Férié]]="oui")*data[[#This Row],[JOUR2]]+(data[[#This Row],[Début Dim ou Férié]]="oui")*data[[#This Row],[JOUR1]],0)</f>
        <v>0</v>
      </c>
      <c r="Y90" s="44">
        <f>MAX(0,IF(data[[#This Row],[Garde / Interv.]]="Intervention",data[[#This Row],[NUIT1.1]]+data[[#This Row],[NUIT1.2]]+data[[#This Row],[NUIT2.1]]+data[[#This Row],[NUIT2.2]],0))</f>
        <v>0</v>
      </c>
    </row>
    <row r="91" spans="1:26" x14ac:dyDescent="0.3">
      <c r="A91" s="68">
        <v>43593</v>
      </c>
      <c r="B91" s="137" t="str">
        <f>IF(data[[#This Row],[Hdébut garde]]&lt;&gt;"","Garde",IF(data[[#This Row],[Hdébut corrigé]]&lt;&gt;"","Intervention",""))</f>
        <v>Intervention</v>
      </c>
      <c r="C91" s="83"/>
      <c r="D91" s="60"/>
      <c r="E91" s="47">
        <f>MAX(0,IF(data[[#This Row],[Garde / Interv.]]="Garde",data[[#This Row],[Hfin corrigée]]-data[[#This Row],[Hdébut corrigé]],0))</f>
        <v>0</v>
      </c>
      <c r="F91" s="84"/>
      <c r="G91" s="61"/>
      <c r="H91" s="62"/>
      <c r="I91" s="63">
        <v>0.3743055555555555</v>
      </c>
      <c r="J91" s="64">
        <v>0.39583333333333331</v>
      </c>
      <c r="K91" s="42">
        <f>IF(data[[#This Row],[Hdébut garde]]&lt;&gt;"",
data[[#This Row],[Hdébut garde]],
data[[#This Row],[Hdébut interv.]]+IF(data[[#This Row],[Hdébut interv.]]&lt;SUMPRODUCT((data[Date]=data[[#This Row],[Date]])*data[Hdébut garde]),1,0)
)</f>
        <v>0.3743055555555555</v>
      </c>
      <c r="L91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0.39583333333333331</v>
      </c>
      <c r="M91" s="154" t="str">
        <f>IF(OR(WEEKDAY(data[[#This Row],[Date]],2)=7,COUNTIF(JF,data[[#This Row],[Date]])=1),"oui","non")</f>
        <v>oui</v>
      </c>
      <c r="N91" s="44">
        <f>MAX(0,(MIN(1,data[[#This Row],[Hfin corrigée]])-data[[#This Row],[Hdébut corrigé]])-data[[#This Row],[NUIT1.1]]-data[[#This Row],[NUIT1.2]])</f>
        <v>2.1527777777777812E-2</v>
      </c>
      <c r="O91" s="44">
        <f>IF(data[[#This Row],[Hfin Interv.]]="",0,(
MIN(FinNuit,MIN(1,data[[#This Row],[Hfin corrigée]]))-MIN(FinNuit,data[[#This Row],[Hdébut corrigé]])
))</f>
        <v>0</v>
      </c>
      <c r="P91" s="44">
        <f>MAX(0,(MAX(0,(MIN(1,data[[#This Row],[Hfin corrigée]])-DebNuit))-MAX(0,(data[[#This Row],[Hdébut corrigé]]-DebNuit))))</f>
        <v>0</v>
      </c>
      <c r="Q91" s="154" t="str">
        <f>IF(OR(WEEKDAY(data[[#This Row],[Date]]+data[[#This Row],[Hfin corrigée]],2)=7,COUNTIF(JF,INT(data[[#This Row],[Date]]+data[[#This Row],[Hfin corrigée]]))=1),"oui","non")</f>
        <v>oui</v>
      </c>
      <c r="R91" s="44">
        <f>MAX(0,data[[#This Row],[Hfin corrigée]]-MAX(1,data[[#This Row],[Hdébut corrigé]]))-data[[#This Row],[NUIT2.1]]-data[[#This Row],[NUIT2.2]]</f>
        <v>0</v>
      </c>
      <c r="S91" s="44">
        <f>MAX(0,MIN(1+FinNuit,data[[#This Row],[Hfin corrigée]])-MAX(1,data[[#This Row],[Hdébut corrigé]]))</f>
        <v>0</v>
      </c>
      <c r="T91" s="44">
        <f>MAX(0,(data[[#This Row],[Hfin corrigée]]-DebNuit-1))</f>
        <v>0</v>
      </c>
      <c r="U91" s="45">
        <f>IF(data[[#This Row],[Garde / Interv.]]="Intervention",MAX(0,data[[#This Row],[Hfin corrigée]]-SUMPRODUCT((data[Date]=data[[#This Row],[Date]])*(data[Garde / Interv.]="Garde")*data[Hfin corrigée])),0)</f>
        <v>0</v>
      </c>
      <c r="V91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91" s="44">
        <f>MAX(0,IF(data[[#This Row],[Garde / Interv.]]="Intervention",(data[[#This Row],[Fin Dim ou Férié]]="non")*data[[#This Row],[JOUR2]]+(data[[#This Row],[Début Dim ou Férié]]="non")*data[[#This Row],[JOUR1]],0))</f>
        <v>0</v>
      </c>
      <c r="X91" s="44">
        <f>IF(data[[#This Row],[Garde / Interv.]]="Intervention",(data[[#This Row],[Fin Dim ou Férié]]="oui")*data[[#This Row],[JOUR2]]+(data[[#This Row],[Début Dim ou Férié]]="oui")*data[[#This Row],[JOUR1]],0)</f>
        <v>2.1527777777777812E-2</v>
      </c>
      <c r="Y91" s="44">
        <f>MAX(0,IF(data[[#This Row],[Garde / Interv.]]="Intervention",data[[#This Row],[NUIT1.1]]+data[[#This Row],[NUIT1.2]]+data[[#This Row],[NUIT2.1]]+data[[#This Row],[NUIT2.2]],0))</f>
        <v>0</v>
      </c>
    </row>
    <row r="92" spans="1:26" x14ac:dyDescent="0.3">
      <c r="A92" s="68">
        <v>43593</v>
      </c>
      <c r="B92" s="137" t="str">
        <f>IF(data[[#This Row],[Hdébut garde]]&lt;&gt;"","Garde",IF(data[[#This Row],[Hdébut corrigé]]&lt;&gt;"","Intervention",""))</f>
        <v>Intervention</v>
      </c>
      <c r="C92" s="83"/>
      <c r="D92" s="60"/>
      <c r="E92" s="47">
        <f>MAX(0,IF(data[[#This Row],[Garde / Interv.]]="Garde",data[[#This Row],[Hfin corrigée]]-data[[#This Row],[Hdébut corrigé]],0))</f>
        <v>0</v>
      </c>
      <c r="F92" s="84"/>
      <c r="G92" s="61"/>
      <c r="H92" s="62"/>
      <c r="I92" s="63">
        <v>0.67708333333333337</v>
      </c>
      <c r="J92" s="64">
        <v>0.7416666666666667</v>
      </c>
      <c r="K92" s="42">
        <f>IF(data[[#This Row],[Hdébut garde]]&lt;&gt;"",
data[[#This Row],[Hdébut garde]],
data[[#This Row],[Hdébut interv.]]+IF(data[[#This Row],[Hdébut interv.]]&lt;SUMPRODUCT((data[Date]=data[[#This Row],[Date]])*data[Hdébut garde]),1,0)
)</f>
        <v>0.67708333333333337</v>
      </c>
      <c r="L92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0.7416666666666667</v>
      </c>
      <c r="M92" s="154" t="str">
        <f>IF(OR(WEEKDAY(data[[#This Row],[Date]],2)=7,COUNTIF(JF,data[[#This Row],[Date]])=1),"oui","non")</f>
        <v>oui</v>
      </c>
      <c r="N92" s="44">
        <f>MAX(0,(MIN(1,data[[#This Row],[Hfin corrigée]])-data[[#This Row],[Hdébut corrigé]])-data[[#This Row],[NUIT1.1]]-data[[#This Row],[NUIT1.2]])</f>
        <v>6.4583333333333326E-2</v>
      </c>
      <c r="O92" s="44">
        <f>IF(data[[#This Row],[Hfin Interv.]]="",0,(
MIN(FinNuit,MIN(1,data[[#This Row],[Hfin corrigée]]))-MIN(FinNuit,data[[#This Row],[Hdébut corrigé]])
))</f>
        <v>0</v>
      </c>
      <c r="P92" s="44">
        <f>MAX(0,(MAX(0,(MIN(1,data[[#This Row],[Hfin corrigée]])-DebNuit))-MAX(0,(data[[#This Row],[Hdébut corrigé]]-DebNuit))))</f>
        <v>0</v>
      </c>
      <c r="Q92" s="154" t="str">
        <f>IF(OR(WEEKDAY(data[[#This Row],[Date]]+data[[#This Row],[Hfin corrigée]],2)=7,COUNTIF(JF,INT(data[[#This Row],[Date]]+data[[#This Row],[Hfin corrigée]]))=1),"oui","non")</f>
        <v>oui</v>
      </c>
      <c r="R92" s="44">
        <f>MAX(0,data[[#This Row],[Hfin corrigée]]-MAX(1,data[[#This Row],[Hdébut corrigé]]))-data[[#This Row],[NUIT2.1]]-data[[#This Row],[NUIT2.2]]</f>
        <v>0</v>
      </c>
      <c r="S92" s="44">
        <f>MAX(0,MIN(1+FinNuit,data[[#This Row],[Hfin corrigée]])-MAX(1,data[[#This Row],[Hdébut corrigé]]))</f>
        <v>0</v>
      </c>
      <c r="T92" s="44">
        <f>MAX(0,(data[[#This Row],[Hfin corrigée]]-DebNuit-1))</f>
        <v>0</v>
      </c>
      <c r="U92" s="45">
        <f>IF(data[[#This Row],[Garde / Interv.]]="Intervention",MAX(0,data[[#This Row],[Hfin corrigée]]-SUMPRODUCT((data[Date]=data[[#This Row],[Date]])*(data[Garde / Interv.]="Garde")*data[Hfin corrigée])),0)</f>
        <v>0</v>
      </c>
      <c r="V92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92" s="44">
        <f>MAX(0,IF(data[[#This Row],[Garde / Interv.]]="Intervention",(data[[#This Row],[Fin Dim ou Férié]]="non")*data[[#This Row],[JOUR2]]+(data[[#This Row],[Début Dim ou Férié]]="non")*data[[#This Row],[JOUR1]],0))</f>
        <v>0</v>
      </c>
      <c r="X92" s="44">
        <f>IF(data[[#This Row],[Garde / Interv.]]="Intervention",(data[[#This Row],[Fin Dim ou Férié]]="oui")*data[[#This Row],[JOUR2]]+(data[[#This Row],[Début Dim ou Férié]]="oui")*data[[#This Row],[JOUR1]],0)</f>
        <v>6.4583333333333326E-2</v>
      </c>
      <c r="Y92" s="44">
        <f>MAX(0,IF(data[[#This Row],[Garde / Interv.]]="Intervention",data[[#This Row],[NUIT1.1]]+data[[#This Row],[NUIT1.2]]+data[[#This Row],[NUIT2.1]]+data[[#This Row],[NUIT2.2]],0))</f>
        <v>0</v>
      </c>
    </row>
    <row r="93" spans="1:26" x14ac:dyDescent="0.3">
      <c r="A93" s="68">
        <v>43593</v>
      </c>
      <c r="B93" s="137" t="str">
        <f>IF(data[[#This Row],[Hdébut garde]]&lt;&gt;"","Garde",IF(data[[#This Row],[Hdébut corrigé]]&lt;&gt;"","Intervention",""))</f>
        <v>Intervention</v>
      </c>
      <c r="C93" s="83"/>
      <c r="D93" s="60"/>
      <c r="E93" s="47">
        <f>MAX(0,IF(data[[#This Row],[Garde / Interv.]]="Garde",data[[#This Row],[Hfin corrigée]]-data[[#This Row],[Hdébut corrigé]],0))</f>
        <v>0</v>
      </c>
      <c r="F93" s="84"/>
      <c r="G93" s="61"/>
      <c r="H93" s="62"/>
      <c r="I93" s="63">
        <v>0.9819444444444444</v>
      </c>
      <c r="J93" s="64">
        <v>3.0555555555555555E-2</v>
      </c>
      <c r="K93" s="42">
        <f>IF(data[[#This Row],[Hdébut garde]]&lt;&gt;"",
data[[#This Row],[Hdébut garde]],
data[[#This Row],[Hdébut interv.]]+IF(data[[#This Row],[Hdébut interv.]]&lt;SUMPRODUCT((data[Date]=data[[#This Row],[Date]])*data[Hdébut garde]),1,0)
)</f>
        <v>0.9819444444444444</v>
      </c>
      <c r="L93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1.0305555555555554</v>
      </c>
      <c r="M93" s="154" t="str">
        <f>IF(OR(WEEKDAY(data[[#This Row],[Date]],2)=7,COUNTIF(JF,data[[#This Row],[Date]])=1),"oui","non")</f>
        <v>oui</v>
      </c>
      <c r="N93" s="44">
        <f>MAX(0,(MIN(1,data[[#This Row],[Hfin corrigée]])-data[[#This Row],[Hdébut corrigé]])-data[[#This Row],[NUIT1.1]]-data[[#This Row],[NUIT1.2]])</f>
        <v>0</v>
      </c>
      <c r="O93" s="44">
        <f>IF(data[[#This Row],[Hfin Interv.]]="",0,(
MIN(FinNuit,MIN(1,data[[#This Row],[Hfin corrigée]]))-MIN(FinNuit,data[[#This Row],[Hdébut corrigé]])
))</f>
        <v>0</v>
      </c>
      <c r="P93" s="44">
        <f>MAX(0,(MAX(0,(MIN(1,data[[#This Row],[Hfin corrigée]])-DebNuit))-MAX(0,(data[[#This Row],[Hdébut corrigé]]-DebNuit))))</f>
        <v>1.8055555555555602E-2</v>
      </c>
      <c r="Q93" s="154" t="str">
        <f>IF(OR(WEEKDAY(data[[#This Row],[Date]]+data[[#This Row],[Hfin corrigée]],2)=7,COUNTIF(JF,INT(data[[#This Row],[Date]]+data[[#This Row],[Hfin corrigée]]))=1),"oui","non")</f>
        <v>non</v>
      </c>
      <c r="R93" s="44">
        <f>MAX(0,data[[#This Row],[Hfin corrigée]]-MAX(1,data[[#This Row],[Hdébut corrigé]]))-data[[#This Row],[NUIT2.1]]-data[[#This Row],[NUIT2.2]]</f>
        <v>0</v>
      </c>
      <c r="S93" s="44">
        <f>MAX(0,MIN(1+FinNuit,data[[#This Row],[Hfin corrigée]])-MAX(1,data[[#This Row],[Hdébut corrigé]]))</f>
        <v>3.0555555555555447E-2</v>
      </c>
      <c r="T93" s="44">
        <f>MAX(0,(data[[#This Row],[Hfin corrigée]]-DebNuit-1))</f>
        <v>0</v>
      </c>
      <c r="U93" s="45">
        <f>IF(data[[#This Row],[Garde / Interv.]]="Intervention",MAX(0,data[[#This Row],[Hfin corrigée]]-SUMPRODUCT((data[Date]=data[[#This Row],[Date]])*(data[Garde / Interv.]="Garde")*data[Hfin corrigée])),0)</f>
        <v>0</v>
      </c>
      <c r="V93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93" s="44">
        <f>MAX(0,IF(data[[#This Row],[Garde / Interv.]]="Intervention",(data[[#This Row],[Fin Dim ou Férié]]="non")*data[[#This Row],[JOUR2]]+(data[[#This Row],[Début Dim ou Férié]]="non")*data[[#This Row],[JOUR1]],0))</f>
        <v>0</v>
      </c>
      <c r="X93" s="44">
        <f>IF(data[[#This Row],[Garde / Interv.]]="Intervention",(data[[#This Row],[Fin Dim ou Férié]]="oui")*data[[#This Row],[JOUR2]]+(data[[#This Row],[Début Dim ou Férié]]="oui")*data[[#This Row],[JOUR1]],0)</f>
        <v>0</v>
      </c>
      <c r="Y93" s="44">
        <f>MAX(0,IF(data[[#This Row],[Garde / Interv.]]="Intervention",data[[#This Row],[NUIT1.1]]+data[[#This Row],[NUIT1.2]]+data[[#This Row],[NUIT2.1]]+data[[#This Row],[NUIT2.2]],0))</f>
        <v>4.8611111111111049E-2</v>
      </c>
    </row>
    <row r="94" spans="1:26" x14ac:dyDescent="0.3">
      <c r="A94" s="68">
        <v>43596</v>
      </c>
      <c r="B94" s="137" t="str">
        <f>IF(data[[#This Row],[Hdébut garde]]&lt;&gt;"","Garde",IF(data[[#This Row],[Hdébut corrigé]]&lt;&gt;"","Intervention",""))</f>
        <v>Garde</v>
      </c>
      <c r="C94" s="83">
        <v>0.29166666666666669</v>
      </c>
      <c r="D94" s="60">
        <v>0.29166666666666669</v>
      </c>
      <c r="E94" s="47">
        <f>MAX(0,IF(data[[#This Row],[Garde / Interv.]]="Garde",data[[#This Row],[Hfin corrigée]]-data[[#This Row],[Hdébut corrigé]],0))</f>
        <v>1</v>
      </c>
      <c r="F94" s="84"/>
      <c r="G94" s="61"/>
      <c r="H94" s="62"/>
      <c r="I94" s="63"/>
      <c r="J94" s="64"/>
      <c r="K94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94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1.2916666666666667</v>
      </c>
      <c r="M94" s="154" t="str">
        <f>IF(OR(WEEKDAY(data[[#This Row],[Date]],2)=7,COUNTIF(JF,data[[#This Row],[Date]])=1),"oui","non")</f>
        <v>non</v>
      </c>
      <c r="N94" s="44">
        <f>MAX(0,(MIN(1,data[[#This Row],[Hfin corrigée]])-data[[#This Row],[Hdébut corrigé]])-data[[#This Row],[NUIT1.1]]-data[[#This Row],[NUIT1.2]])</f>
        <v>0.62499999999999989</v>
      </c>
      <c r="O94" s="44">
        <f>IF(data[[#This Row],[Hfin Interv.]]="",0,(
MIN(FinNuit,MIN(1,data[[#This Row],[Hfin corrigée]]))-MIN(FinNuit,data[[#This Row],[Hdébut corrigé]])
))</f>
        <v>0</v>
      </c>
      <c r="P94" s="44">
        <f>MAX(0,(MAX(0,(MIN(1,data[[#This Row],[Hfin corrigée]])-DebNuit))-MAX(0,(data[[#This Row],[Hdébut corrigé]]-DebNuit))))</f>
        <v>8.333333333333337E-2</v>
      </c>
      <c r="Q94" s="154" t="str">
        <f>IF(OR(WEEKDAY(data[[#This Row],[Date]]+data[[#This Row],[Hfin corrigée]],2)=7,COUNTIF(JF,INT(data[[#This Row],[Date]]+data[[#This Row],[Hfin corrigée]]))=1),"oui","non")</f>
        <v>oui</v>
      </c>
      <c r="R94" s="44">
        <f>MAX(0,data[[#This Row],[Hfin corrigée]]-MAX(1,data[[#This Row],[Hdébut corrigé]]))-data[[#This Row],[NUIT2.1]]-data[[#This Row],[NUIT2.2]]</f>
        <v>0</v>
      </c>
      <c r="S94" s="44">
        <f>MAX(0,MIN(1+FinNuit,data[[#This Row],[Hfin corrigée]])-MAX(1,data[[#This Row],[Hdébut corrigé]]))</f>
        <v>0.29166666666666674</v>
      </c>
      <c r="T94" s="44">
        <f>MAX(0,(data[[#This Row],[Hfin corrigée]]-DebNuit-1))</f>
        <v>0</v>
      </c>
      <c r="U94" s="45">
        <f>IF(data[[#This Row],[Garde / Interv.]]="Intervention",MAX(0,data[[#This Row],[Hfin corrigée]]-SUMPRODUCT((data[Date]=data[[#This Row],[Date]])*(data[Garde / Interv.]="Garde")*data[Hfin corrigée])),0)</f>
        <v>0</v>
      </c>
      <c r="V94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0.9458333333333333</v>
      </c>
      <c r="W94" s="44">
        <f>MAX(0,IF(data[[#This Row],[Garde / Interv.]]="Intervention",(data[[#This Row],[Fin Dim ou Férié]]="non")*data[[#This Row],[JOUR2]]+(data[[#This Row],[Début Dim ou Férié]]="non")*data[[#This Row],[JOUR1]],0))</f>
        <v>0</v>
      </c>
      <c r="X94" s="44">
        <f>IF(data[[#This Row],[Garde / Interv.]]="Intervention",(data[[#This Row],[Fin Dim ou Férié]]="oui")*data[[#This Row],[JOUR2]]+(data[[#This Row],[Début Dim ou Férié]]="oui")*data[[#This Row],[JOUR1]],0)</f>
        <v>0</v>
      </c>
      <c r="Y94" s="44">
        <f>MAX(0,IF(data[[#This Row],[Garde / Interv.]]="Intervention",data[[#This Row],[NUIT1.1]]+data[[#This Row],[NUIT1.2]]+data[[#This Row],[NUIT2.1]]+data[[#This Row],[NUIT2.2]],0))</f>
        <v>0</v>
      </c>
    </row>
    <row r="95" spans="1:26" s="178" customFormat="1" x14ac:dyDescent="0.3">
      <c r="A95" s="167">
        <v>43596</v>
      </c>
      <c r="B95" s="168" t="str">
        <f>IF(data[[#This Row],[Hdébut garde]]&lt;&gt;"","Garde",IF(data[[#This Row],[Hdébut corrigé]]&lt;&gt;"","Intervention",""))</f>
        <v>Intervention</v>
      </c>
      <c r="C95" s="83"/>
      <c r="D95" s="169"/>
      <c r="E95" s="170">
        <f>MAX(0,IF(data[[#This Row],[Garde / Interv.]]="Garde",data[[#This Row],[Hfin corrigée]]-data[[#This Row],[Hdébut corrigé]],0))</f>
        <v>0</v>
      </c>
      <c r="F95" s="84"/>
      <c r="G95" s="171"/>
      <c r="H95" s="172"/>
      <c r="I95" s="63">
        <v>0.4284722222222222</v>
      </c>
      <c r="J95" s="173">
        <v>0.4826388888888889</v>
      </c>
      <c r="K95" s="174">
        <f>IF(data[[#This Row],[Hdébut garde]]&lt;&gt;"",
data[[#This Row],[Hdébut garde]],
data[[#This Row],[Hdébut interv.]]+IF(data[[#This Row],[Hdébut interv.]]&lt;SUMPRODUCT((data[Date]=data[[#This Row],[Date]])*data[Hdébut garde]),1,0)
)</f>
        <v>0.4284722222222222</v>
      </c>
      <c r="L95" s="174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0.4826388888888889</v>
      </c>
      <c r="M95" s="175" t="str">
        <f>IF(OR(WEEKDAY(data[[#This Row],[Date]],2)=7,COUNTIF(JF,data[[#This Row],[Date]])=1),"oui","non")</f>
        <v>non</v>
      </c>
      <c r="N95" s="176">
        <f>MAX(0,(MIN(1,data[[#This Row],[Hfin corrigée]])-data[[#This Row],[Hdébut corrigé]])-data[[#This Row],[NUIT1.1]]-data[[#This Row],[NUIT1.2]])</f>
        <v>5.4166666666666696E-2</v>
      </c>
      <c r="O95" s="176">
        <f>IF(data[[#This Row],[Hfin Interv.]]="",0,(
MIN(FinNuit,MIN(1,data[[#This Row],[Hfin corrigée]]))-MIN(FinNuit,data[[#This Row],[Hdébut corrigé]])
))</f>
        <v>0</v>
      </c>
      <c r="P95" s="176">
        <f>MAX(0,(MAX(0,(MIN(1,data[[#This Row],[Hfin corrigée]])-DebNuit))-MAX(0,(data[[#This Row],[Hdébut corrigé]]-DebNuit))))</f>
        <v>0</v>
      </c>
      <c r="Q95" s="175" t="str">
        <f>IF(OR(WEEKDAY(data[[#This Row],[Date]]+data[[#This Row],[Hfin corrigée]],2)=7,COUNTIF(JF,INT(data[[#This Row],[Date]]+data[[#This Row],[Hfin corrigée]]))=1),"oui","non")</f>
        <v>non</v>
      </c>
      <c r="R95" s="176">
        <f>MAX(0,data[[#This Row],[Hfin corrigée]]-MAX(1,data[[#This Row],[Hdébut corrigé]]))-data[[#This Row],[NUIT2.1]]-data[[#This Row],[NUIT2.2]]</f>
        <v>0</v>
      </c>
      <c r="S95" s="176">
        <f>MAX(0,MIN(1+FinNuit,data[[#This Row],[Hfin corrigée]])-MAX(1,data[[#This Row],[Hdébut corrigé]]))</f>
        <v>0</v>
      </c>
      <c r="T95" s="176">
        <f>MAX(0,(data[[#This Row],[Hfin corrigée]]-DebNuit-1))</f>
        <v>0</v>
      </c>
      <c r="U95" s="45">
        <f>IF(data[[#This Row],[Garde / Interv.]]="Intervention",MAX(0,data[[#This Row],[Hfin corrigée]]-SUMPRODUCT((data[Date]=data[[#This Row],[Date]])*(data[Garde / Interv.]="Garde")*data[Hfin corrigée])),0)</f>
        <v>0</v>
      </c>
      <c r="V95" s="176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95" s="176">
        <f>MAX(0,IF(data[[#This Row],[Garde / Interv.]]="Intervention",(data[[#This Row],[Fin Dim ou Férié]]="non")*data[[#This Row],[JOUR2]]+(data[[#This Row],[Début Dim ou Férié]]="non")*data[[#This Row],[JOUR1]],0))</f>
        <v>5.4166666666666696E-2</v>
      </c>
      <c r="X95" s="176">
        <f>IF(data[[#This Row],[Garde / Interv.]]="Intervention",(data[[#This Row],[Fin Dim ou Férié]]="oui")*data[[#This Row],[JOUR2]]+(data[[#This Row],[Début Dim ou Férié]]="oui")*data[[#This Row],[JOUR1]],0)</f>
        <v>0</v>
      </c>
      <c r="Y95" s="176">
        <f>MAX(0,IF(data[[#This Row],[Garde / Interv.]]="Intervention",data[[#This Row],[NUIT1.1]]+data[[#This Row],[NUIT1.2]]+data[[#This Row],[NUIT2.1]]+data[[#This Row],[NUIT2.2]],0))</f>
        <v>0</v>
      </c>
      <c r="Z95" s="177"/>
    </row>
    <row r="96" spans="1:26" s="153" customFormat="1" ht="15" thickBot="1" x14ac:dyDescent="0.35">
      <c r="A96" s="138">
        <v>43611</v>
      </c>
      <c r="B96" s="139" t="str">
        <f>IF(data[[#This Row],[Hdébut garde]]&lt;&gt;"","Garde",IF(data[[#This Row],[Hdébut corrigé]]&lt;&gt;"","Intervention",""))</f>
        <v>Garde</v>
      </c>
      <c r="C96" s="140">
        <v>0.29166666666666669</v>
      </c>
      <c r="D96" s="141">
        <v>0.79166666666666663</v>
      </c>
      <c r="E96" s="142">
        <f>MAX(0,IF(data[[#This Row],[Garde / Interv.]]="Garde",data[[#This Row],[Hfin corrigée]]-data[[#This Row],[Hdébut corrigé]],0))</f>
        <v>0.49999999999999994</v>
      </c>
      <c r="F96" s="143"/>
      <c r="G96" s="144"/>
      <c r="H96" s="145"/>
      <c r="I96" s="146"/>
      <c r="J96" s="147"/>
      <c r="K96" s="148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96" s="148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0.79166666666666663</v>
      </c>
      <c r="M96" s="155" t="str">
        <f>IF(OR(WEEKDAY(data[[#This Row],[Date]],2)=7,COUNTIF(JF,data[[#This Row],[Date]])=1),"oui","non")</f>
        <v>oui</v>
      </c>
      <c r="N96" s="150">
        <f>MAX(0,(MIN(1,data[[#This Row],[Hfin corrigée]])-data[[#This Row],[Hdébut corrigé]])-data[[#This Row],[NUIT1.1]]-data[[#This Row],[NUIT1.2]])</f>
        <v>0.49999999999999994</v>
      </c>
      <c r="O96" s="150">
        <f>IF(data[[#This Row],[Hfin Interv.]]="",0,(
MIN(FinNuit,MIN(1,data[[#This Row],[Hfin corrigée]]))-MIN(FinNuit,data[[#This Row],[Hdébut corrigé]])
))</f>
        <v>0</v>
      </c>
      <c r="P96" s="150">
        <f>MAX(0,(MAX(0,(MIN(1,data[[#This Row],[Hfin corrigée]])-DebNuit))-MAX(0,(data[[#This Row],[Hdébut corrigé]]-DebNuit))))</f>
        <v>0</v>
      </c>
      <c r="Q96" s="155" t="str">
        <f>IF(OR(WEEKDAY(data[[#This Row],[Date]]+data[[#This Row],[Hfin corrigée]],2)=7,COUNTIF(JF,INT(data[[#This Row],[Date]]+data[[#This Row],[Hfin corrigée]]))=1),"oui","non")</f>
        <v>oui</v>
      </c>
      <c r="R96" s="150">
        <f>MAX(0,data[[#This Row],[Hfin corrigée]]-MAX(1,data[[#This Row],[Hdébut corrigé]]))-data[[#This Row],[NUIT2.1]]-data[[#This Row],[NUIT2.2]]</f>
        <v>0</v>
      </c>
      <c r="S96" s="150">
        <f>MAX(0,MIN(1+FinNuit,data[[#This Row],[Hfin corrigée]])-MAX(1,data[[#This Row],[Hdébut corrigé]]))</f>
        <v>0</v>
      </c>
      <c r="T96" s="150">
        <f>MAX(0,(data[[#This Row],[Hfin corrigée]]-DebNuit-1))</f>
        <v>0</v>
      </c>
      <c r="U96" s="151">
        <f>IF(data[[#This Row],[Garde / Interv.]]="Intervention",MAX(0,data[[#This Row],[Hfin corrigée]]-SUMPRODUCT((data[Date]=data[[#This Row],[Date]])*(data[Garde / Interv.]="Garde")*data[Hfin corrigée])),0)</f>
        <v>0</v>
      </c>
      <c r="V96" s="150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0.49999999999999994</v>
      </c>
      <c r="W96" s="150">
        <f>MAX(0,IF(data[[#This Row],[Garde / Interv.]]="Intervention",(data[[#This Row],[Fin Dim ou Férié]]="non")*data[[#This Row],[JOUR2]]+(data[[#This Row],[Début Dim ou Férié]]="non")*data[[#This Row],[JOUR1]],0))</f>
        <v>0</v>
      </c>
      <c r="X96" s="150">
        <f>IF(data[[#This Row],[Garde / Interv.]]="Intervention",(data[[#This Row],[Fin Dim ou Férié]]="oui")*data[[#This Row],[JOUR2]]+(data[[#This Row],[Début Dim ou Férié]]="oui")*data[[#This Row],[JOUR1]],0)</f>
        <v>0</v>
      </c>
      <c r="Y96" s="150">
        <f>MAX(0,IF(data[[#This Row],[Garde / Interv.]]="Intervention",data[[#This Row],[NUIT1.1]]+data[[#This Row],[NUIT1.2]]+data[[#This Row],[NUIT2.1]]+data[[#This Row],[NUIT2.2]],0))</f>
        <v>0</v>
      </c>
      <c r="Z96" s="152"/>
    </row>
    <row r="97" spans="1:25" ht="15" thickTop="1" x14ac:dyDescent="0.3">
      <c r="A97" s="68"/>
      <c r="B97" s="137" t="str">
        <f>IF(data[[#This Row],[Hdébut garde]]&lt;&gt;"","Garde",IF(data[[#This Row],[Hdébut corrigé]]&lt;&gt;"","Intervention",""))</f>
        <v>Intervention</v>
      </c>
      <c r="C97" s="83"/>
      <c r="D97" s="60"/>
      <c r="E97" s="47">
        <f>MAX(0,IF(data[[#This Row],[Garde / Interv.]]="Garde",data[[#This Row],[Hfin corrigée]]-data[[#This Row],[Hdébut corrigé]],0))</f>
        <v>0</v>
      </c>
      <c r="F97" s="84"/>
      <c r="G97" s="61"/>
      <c r="H97" s="62"/>
      <c r="I97" s="63"/>
      <c r="J97" s="64"/>
      <c r="K97" s="42">
        <f>IF(data[[#This Row],[Hdébut garde]]&lt;&gt;"",
data[[#This Row],[Hdébut garde]],
data[[#This Row],[Hdébut interv.]]+IF(data[[#This Row],[Hdébut interv.]]&lt;SUMPRODUCT((data[Date]=data[[#This Row],[Date]])*data[Hdébut garde]),1,0)
)</f>
        <v>0</v>
      </c>
      <c r="L97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</v>
      </c>
      <c r="M97" s="154" t="str">
        <f>IF(OR(WEEKDAY(data[[#This Row],[Date]],2)=7,COUNTIF(JF,data[[#This Row],[Date]])=1),"oui","non")</f>
        <v>non</v>
      </c>
      <c r="N97" s="44">
        <f>MAX(0,(MIN(1,data[[#This Row],[Hfin corrigée]])-data[[#This Row],[Hdébut corrigé]])-data[[#This Row],[NUIT1.1]]-data[[#This Row],[NUIT1.2]])</f>
        <v>0</v>
      </c>
      <c r="O97" s="44">
        <f>IF(data[[#This Row],[Hfin Interv.]]="",0,(
MIN(FinNuit,MIN(1,data[[#This Row],[Hfin corrigée]]))-MIN(FinNuit,data[[#This Row],[Hdébut corrigé]])
))</f>
        <v>0</v>
      </c>
      <c r="P97" s="44">
        <f>MAX(0,(MAX(0,(MIN(1,data[[#This Row],[Hfin corrigée]])-DebNuit))-MAX(0,(data[[#This Row],[Hdébut corrigé]]-DebNuit))))</f>
        <v>0</v>
      </c>
      <c r="Q97" s="154" t="str">
        <f>IF(OR(WEEKDAY(data[[#This Row],[Date]]+data[[#This Row],[Hfin corrigée]],2)=7,COUNTIF(JF,INT(data[[#This Row],[Date]]+data[[#This Row],[Hfin corrigée]]))=1),"oui","non")</f>
        <v>non</v>
      </c>
      <c r="R97" s="44">
        <f>MAX(0,data[[#This Row],[Hfin corrigée]]-MAX(1,data[[#This Row],[Hdébut corrigé]]))-data[[#This Row],[NUIT2.1]]-data[[#This Row],[NUIT2.2]]</f>
        <v>0</v>
      </c>
      <c r="S97" s="44">
        <f>MAX(0,MIN(1+FinNuit,data[[#This Row],[Hfin corrigée]])-MAX(1,data[[#This Row],[Hdébut corrigé]]))</f>
        <v>0</v>
      </c>
      <c r="T97" s="44">
        <f>MAX(0,(data[[#This Row],[Hfin corrigée]]-DebNuit-1))</f>
        <v>0</v>
      </c>
      <c r="U97" s="45">
        <f>IF(data[[#This Row],[Garde / Interv.]]="Intervention",MAX(0,data[[#This Row],[Hfin corrigée]]-SUMPRODUCT((data[Date]=data[[#This Row],[Date]])*(data[Garde / Interv.]="Garde")*data[Hfin corrigée])),0)</f>
        <v>0</v>
      </c>
      <c r="V97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97" s="44">
        <f>MAX(0,IF(data[[#This Row],[Garde / Interv.]]="Intervention",(data[[#This Row],[Fin Dim ou Férié]]="non")*data[[#This Row],[JOUR2]]+(data[[#This Row],[Début Dim ou Férié]]="non")*data[[#This Row],[JOUR1]],0))</f>
        <v>0</v>
      </c>
      <c r="X97" s="44">
        <f>IF(data[[#This Row],[Garde / Interv.]]="Intervention",(data[[#This Row],[Fin Dim ou Férié]]="oui")*data[[#This Row],[JOUR2]]+(data[[#This Row],[Début Dim ou Férié]]="oui")*data[[#This Row],[JOUR1]],0)</f>
        <v>0</v>
      </c>
      <c r="Y97" s="44">
        <f>MAX(0,IF(data[[#This Row],[Garde / Interv.]]="Intervention",data[[#This Row],[NUIT1.1]]+data[[#This Row],[NUIT1.2]]+data[[#This Row],[NUIT2.1]]+data[[#This Row],[NUIT2.2]],0))</f>
        <v>0</v>
      </c>
    </row>
    <row r="98" spans="1:25" x14ac:dyDescent="0.3">
      <c r="A98" s="68"/>
      <c r="B98" s="137" t="str">
        <f>IF(data[[#This Row],[Hdébut garde]]&lt;&gt;"","Garde",IF(data[[#This Row],[Hdébut corrigé]]&lt;&gt;"","Intervention",""))</f>
        <v>Intervention</v>
      </c>
      <c r="C98" s="83"/>
      <c r="D98" s="60"/>
      <c r="E98" s="47">
        <f>MAX(0,IF(data[[#This Row],[Garde / Interv.]]="Garde",data[[#This Row],[Hfin corrigée]]-data[[#This Row],[Hdébut corrigé]],0))</f>
        <v>0</v>
      </c>
      <c r="F98" s="84"/>
      <c r="G98" s="61"/>
      <c r="H98" s="62"/>
      <c r="I98" s="63"/>
      <c r="J98" s="64"/>
      <c r="K98" s="42">
        <f>IF(data[[#This Row],[Hdébut garde]]&lt;&gt;"",
data[[#This Row],[Hdébut garde]],
data[[#This Row],[Hdébut interv.]]+IF(data[[#This Row],[Hdébut interv.]]&lt;SUMPRODUCT((data[Date]=data[[#This Row],[Date]])*data[Hdébut garde]),1,0)
)</f>
        <v>0</v>
      </c>
      <c r="L98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</v>
      </c>
      <c r="M98" s="154" t="str">
        <f>IF(OR(WEEKDAY(data[[#This Row],[Date]],2)=7,COUNTIF(JF,data[[#This Row],[Date]])=1),"oui","non")</f>
        <v>non</v>
      </c>
      <c r="N98" s="44">
        <f>MAX(0,(MIN(1,data[[#This Row],[Hfin corrigée]])-data[[#This Row],[Hdébut corrigé]])-data[[#This Row],[NUIT1.1]]-data[[#This Row],[NUIT1.2]])</f>
        <v>0</v>
      </c>
      <c r="O98" s="44">
        <f>IF(data[[#This Row],[Hfin Interv.]]="",0,(
MIN(FinNuit,MIN(1,data[[#This Row],[Hfin corrigée]]))-MIN(FinNuit,data[[#This Row],[Hdébut corrigé]])
))</f>
        <v>0</v>
      </c>
      <c r="P98" s="44">
        <f>MAX(0,(MAX(0,(MIN(1,data[[#This Row],[Hfin corrigée]])-DebNuit))-MAX(0,(data[[#This Row],[Hdébut corrigé]]-DebNuit))))</f>
        <v>0</v>
      </c>
      <c r="Q98" s="154" t="str">
        <f>IF(OR(WEEKDAY(data[[#This Row],[Date]]+data[[#This Row],[Hfin corrigée]],2)=7,COUNTIF(JF,INT(data[[#This Row],[Date]]+data[[#This Row],[Hfin corrigée]]))=1),"oui","non")</f>
        <v>non</v>
      </c>
      <c r="R98" s="44">
        <f>MAX(0,data[[#This Row],[Hfin corrigée]]-MAX(1,data[[#This Row],[Hdébut corrigé]]))-data[[#This Row],[NUIT2.1]]-data[[#This Row],[NUIT2.2]]</f>
        <v>0</v>
      </c>
      <c r="S98" s="44">
        <f>MAX(0,MIN(1+FinNuit,data[[#This Row],[Hfin corrigée]])-MAX(1,data[[#This Row],[Hdébut corrigé]]))</f>
        <v>0</v>
      </c>
      <c r="T98" s="44">
        <f>MAX(0,(data[[#This Row],[Hfin corrigée]]-DebNuit-1))</f>
        <v>0</v>
      </c>
      <c r="U98" s="45">
        <f>IF(data[[#This Row],[Garde / Interv.]]="Intervention",MAX(0,data[[#This Row],[Hfin corrigée]]-SUMPRODUCT((data[Date]=data[[#This Row],[Date]])*(data[Garde / Interv.]="Garde")*data[Hfin corrigée])),0)</f>
        <v>0</v>
      </c>
      <c r="V98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98" s="44">
        <f>MAX(0,IF(data[[#This Row],[Garde / Interv.]]="Intervention",(data[[#This Row],[Fin Dim ou Férié]]="non")*data[[#This Row],[JOUR2]]+(data[[#This Row],[Début Dim ou Férié]]="non")*data[[#This Row],[JOUR1]],0))</f>
        <v>0</v>
      </c>
      <c r="X98" s="44">
        <f>IF(data[[#This Row],[Garde / Interv.]]="Intervention",(data[[#This Row],[Fin Dim ou Férié]]="oui")*data[[#This Row],[JOUR2]]+(data[[#This Row],[Début Dim ou Férié]]="oui")*data[[#This Row],[JOUR1]],0)</f>
        <v>0</v>
      </c>
      <c r="Y98" s="44">
        <f>MAX(0,IF(data[[#This Row],[Garde / Interv.]]="Intervention",data[[#This Row],[NUIT1.1]]+data[[#This Row],[NUIT1.2]]+data[[#This Row],[NUIT2.1]]+data[[#This Row],[NUIT2.2]],0))</f>
        <v>0</v>
      </c>
    </row>
    <row r="99" spans="1:25" x14ac:dyDescent="0.3">
      <c r="A99" s="68"/>
      <c r="B99" s="137" t="str">
        <f>IF(data[[#This Row],[Hdébut garde]]&lt;&gt;"","Garde",IF(data[[#This Row],[Hdébut corrigé]]&lt;&gt;"","Intervention",""))</f>
        <v>Intervention</v>
      </c>
      <c r="C99" s="83"/>
      <c r="D99" s="60"/>
      <c r="E99" s="47">
        <f>MAX(0,IF(data[[#This Row],[Garde / Interv.]]="Garde",data[[#This Row],[Hfin corrigée]]-data[[#This Row],[Hdébut corrigé]],0))</f>
        <v>0</v>
      </c>
      <c r="F99" s="84"/>
      <c r="G99" s="61"/>
      <c r="H99" s="62"/>
      <c r="I99" s="63"/>
      <c r="J99" s="64"/>
      <c r="K99" s="42">
        <f>IF(data[[#This Row],[Hdébut garde]]&lt;&gt;"",
data[[#This Row],[Hdébut garde]],
data[[#This Row],[Hdébut interv.]]+IF(data[[#This Row],[Hdébut interv.]]&lt;SUMPRODUCT((data[Date]=data[[#This Row],[Date]])*data[Hdébut garde]),1,0)
)</f>
        <v>0</v>
      </c>
      <c r="L99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</v>
      </c>
      <c r="M99" s="154" t="str">
        <f>IF(OR(WEEKDAY(data[[#This Row],[Date]],2)=7,COUNTIF(JF,data[[#This Row],[Date]])=1),"oui","non")</f>
        <v>non</v>
      </c>
      <c r="N99" s="44">
        <f>MAX(0,(MIN(1,data[[#This Row],[Hfin corrigée]])-data[[#This Row],[Hdébut corrigé]])-data[[#This Row],[NUIT1.1]]-data[[#This Row],[NUIT1.2]])</f>
        <v>0</v>
      </c>
      <c r="O99" s="44">
        <f>IF(data[[#This Row],[Hfin Interv.]]="",0,(
MIN(FinNuit,MIN(1,data[[#This Row],[Hfin corrigée]]))-MIN(FinNuit,data[[#This Row],[Hdébut corrigé]])
))</f>
        <v>0</v>
      </c>
      <c r="P99" s="44">
        <f>MAX(0,(MAX(0,(MIN(1,data[[#This Row],[Hfin corrigée]])-DebNuit))-MAX(0,(data[[#This Row],[Hdébut corrigé]]-DebNuit))))</f>
        <v>0</v>
      </c>
      <c r="Q99" s="154" t="str">
        <f>IF(OR(WEEKDAY(data[[#This Row],[Date]]+data[[#This Row],[Hfin corrigée]],2)=7,COUNTIF(JF,INT(data[[#This Row],[Date]]+data[[#This Row],[Hfin corrigée]]))=1),"oui","non")</f>
        <v>non</v>
      </c>
      <c r="R99" s="44">
        <f>MAX(0,data[[#This Row],[Hfin corrigée]]-MAX(1,data[[#This Row],[Hdébut corrigé]]))-data[[#This Row],[NUIT2.1]]-data[[#This Row],[NUIT2.2]]</f>
        <v>0</v>
      </c>
      <c r="S99" s="44">
        <f>MAX(0,MIN(1+FinNuit,data[[#This Row],[Hfin corrigée]])-MAX(1,data[[#This Row],[Hdébut corrigé]]))</f>
        <v>0</v>
      </c>
      <c r="T99" s="44">
        <f>MAX(0,(data[[#This Row],[Hfin corrigée]]-DebNuit-1))</f>
        <v>0</v>
      </c>
      <c r="U99" s="45">
        <f>IF(data[[#This Row],[Garde / Interv.]]="Intervention",MAX(0,data[[#This Row],[Hfin corrigée]]-SUMPRODUCT((data[Date]=data[[#This Row],[Date]])*(data[Garde / Interv.]="Garde")*data[Hfin corrigée])),0)</f>
        <v>0</v>
      </c>
      <c r="V99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99" s="44">
        <f>MAX(0,IF(data[[#This Row],[Garde / Interv.]]="Intervention",(data[[#This Row],[Fin Dim ou Férié]]="non")*data[[#This Row],[JOUR2]]+(data[[#This Row],[Début Dim ou Férié]]="non")*data[[#This Row],[JOUR1]],0))</f>
        <v>0</v>
      </c>
      <c r="X99" s="44">
        <f>IF(data[[#This Row],[Garde / Interv.]]="Intervention",(data[[#This Row],[Fin Dim ou Férié]]="oui")*data[[#This Row],[JOUR2]]+(data[[#This Row],[Début Dim ou Férié]]="oui")*data[[#This Row],[JOUR1]],0)</f>
        <v>0</v>
      </c>
      <c r="Y99" s="44">
        <f>MAX(0,IF(data[[#This Row],[Garde / Interv.]]="Intervention",data[[#This Row],[NUIT1.1]]+data[[#This Row],[NUIT1.2]]+data[[#This Row],[NUIT2.1]]+data[[#This Row],[NUIT2.2]],0))</f>
        <v>0</v>
      </c>
    </row>
    <row r="100" spans="1:25" x14ac:dyDescent="0.3">
      <c r="A100" s="68"/>
      <c r="B100" s="137" t="str">
        <f>IF(data[[#This Row],[Hdébut garde]]&lt;&gt;"","Garde",IF(data[[#This Row],[Hdébut corrigé]]&lt;&gt;"","Intervention",""))</f>
        <v>Intervention</v>
      </c>
      <c r="C100" s="83"/>
      <c r="D100" s="60"/>
      <c r="E100" s="47">
        <f>MAX(0,IF(data[[#This Row],[Garde / Interv.]]="Garde",data[[#This Row],[Hfin corrigée]]-data[[#This Row],[Hdébut corrigé]],0))</f>
        <v>0</v>
      </c>
      <c r="F100" s="84"/>
      <c r="G100" s="61"/>
      <c r="H100" s="62"/>
      <c r="I100" s="63"/>
      <c r="J100" s="64"/>
      <c r="K100" s="42">
        <f>IF(data[[#This Row],[Hdébut garde]]&lt;&gt;"",
data[[#This Row],[Hdébut garde]],
data[[#This Row],[Hdébut interv.]]+IF(data[[#This Row],[Hdébut interv.]]&lt;SUMPRODUCT((data[Date]=data[[#This Row],[Date]])*data[Hdébut garde]),1,0)
)</f>
        <v>0</v>
      </c>
      <c r="L100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</v>
      </c>
      <c r="M100" s="154" t="str">
        <f>IF(OR(WEEKDAY(data[[#This Row],[Date]],2)=7,COUNTIF(JF,data[[#This Row],[Date]])=1),"oui","non")</f>
        <v>non</v>
      </c>
      <c r="N100" s="44">
        <f>MAX(0,(MIN(1,data[[#This Row],[Hfin corrigée]])-data[[#This Row],[Hdébut corrigé]])-data[[#This Row],[NUIT1.1]]-data[[#This Row],[NUIT1.2]])</f>
        <v>0</v>
      </c>
      <c r="O100" s="44">
        <f>IF(data[[#This Row],[Hfin Interv.]]="",0,(
MIN(FinNuit,MIN(1,data[[#This Row],[Hfin corrigée]]))-MIN(FinNuit,data[[#This Row],[Hdébut corrigé]])
))</f>
        <v>0</v>
      </c>
      <c r="P100" s="44">
        <f>MAX(0,(MAX(0,(MIN(1,data[[#This Row],[Hfin corrigée]])-DebNuit))-MAX(0,(data[[#This Row],[Hdébut corrigé]]-DebNuit))))</f>
        <v>0</v>
      </c>
      <c r="Q100" s="154" t="str">
        <f>IF(OR(WEEKDAY(data[[#This Row],[Date]]+data[[#This Row],[Hfin corrigée]],2)=7,COUNTIF(JF,INT(data[[#This Row],[Date]]+data[[#This Row],[Hfin corrigée]]))=1),"oui","non")</f>
        <v>non</v>
      </c>
      <c r="R100" s="44">
        <f>MAX(0,data[[#This Row],[Hfin corrigée]]-MAX(1,data[[#This Row],[Hdébut corrigé]]))-data[[#This Row],[NUIT2.1]]-data[[#This Row],[NUIT2.2]]</f>
        <v>0</v>
      </c>
      <c r="S100" s="44">
        <f>MAX(0,MIN(1+FinNuit,data[[#This Row],[Hfin corrigée]])-MAX(1,data[[#This Row],[Hdébut corrigé]]))</f>
        <v>0</v>
      </c>
      <c r="T100" s="44">
        <f>MAX(0,(data[[#This Row],[Hfin corrigée]]-DebNuit-1))</f>
        <v>0</v>
      </c>
      <c r="U100" s="45">
        <f>IF(data[[#This Row],[Garde / Interv.]]="Intervention",MAX(0,data[[#This Row],[Hfin corrigée]]-SUMPRODUCT((data[Date]=data[[#This Row],[Date]])*(data[Garde / Interv.]="Garde")*data[Hfin corrigée])),0)</f>
        <v>0</v>
      </c>
      <c r="V100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100" s="44">
        <f>MAX(0,IF(data[[#This Row],[Garde / Interv.]]="Intervention",(data[[#This Row],[Fin Dim ou Férié]]="non")*data[[#This Row],[JOUR2]]+(data[[#This Row],[Début Dim ou Férié]]="non")*data[[#This Row],[JOUR1]],0))</f>
        <v>0</v>
      </c>
      <c r="X100" s="44">
        <f>IF(data[[#This Row],[Garde / Interv.]]="Intervention",(data[[#This Row],[Fin Dim ou Férié]]="oui")*data[[#This Row],[JOUR2]]+(data[[#This Row],[Début Dim ou Férié]]="oui")*data[[#This Row],[JOUR1]],0)</f>
        <v>0</v>
      </c>
      <c r="Y100" s="44">
        <f>MAX(0,IF(data[[#This Row],[Garde / Interv.]]="Intervention",data[[#This Row],[NUIT1.1]]+data[[#This Row],[NUIT1.2]]+data[[#This Row],[NUIT2.1]]+data[[#This Row],[NUIT2.2]],0))</f>
        <v>0</v>
      </c>
    </row>
    <row r="101" spans="1:25" x14ac:dyDescent="0.3">
      <c r="A101" s="68"/>
      <c r="B101" s="137" t="str">
        <f>IF(data[[#This Row],[Hdébut garde]]&lt;&gt;"","Garde",IF(data[[#This Row],[Hdébut corrigé]]&lt;&gt;"","Intervention",""))</f>
        <v>Intervention</v>
      </c>
      <c r="C101" s="83"/>
      <c r="D101" s="60"/>
      <c r="E101" s="47">
        <f>MAX(0,IF(data[[#This Row],[Garde / Interv.]]="Garde",data[[#This Row],[Hfin corrigée]]-data[[#This Row],[Hdébut corrigé]],0))</f>
        <v>0</v>
      </c>
      <c r="F101" s="84"/>
      <c r="G101" s="61"/>
      <c r="H101" s="62"/>
      <c r="I101" s="63"/>
      <c r="J101" s="64"/>
      <c r="K101" s="42">
        <f>IF(data[[#This Row],[Hdébut garde]]&lt;&gt;"",
data[[#This Row],[Hdébut garde]],
data[[#This Row],[Hdébut interv.]]+IF(data[[#This Row],[Hdébut interv.]]&lt;SUMPRODUCT((data[Date]=data[[#This Row],[Date]])*data[Hdébut garde]),1,0)
)</f>
        <v>0</v>
      </c>
      <c r="L101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</v>
      </c>
      <c r="M101" s="154" t="str">
        <f>IF(OR(WEEKDAY(data[[#This Row],[Date]],2)=7,COUNTIF(JF,data[[#This Row],[Date]])=1),"oui","non")</f>
        <v>non</v>
      </c>
      <c r="N101" s="44">
        <f>MAX(0,(MIN(1,data[[#This Row],[Hfin corrigée]])-data[[#This Row],[Hdébut corrigé]])-data[[#This Row],[NUIT1.1]]-data[[#This Row],[NUIT1.2]])</f>
        <v>0</v>
      </c>
      <c r="O101" s="44">
        <f>IF(data[[#This Row],[Hfin Interv.]]="",0,(
MIN(FinNuit,MIN(1,data[[#This Row],[Hfin corrigée]]))-MIN(FinNuit,data[[#This Row],[Hdébut corrigé]])
))</f>
        <v>0</v>
      </c>
      <c r="P101" s="44">
        <f>MAX(0,(MAX(0,(MIN(1,data[[#This Row],[Hfin corrigée]])-DebNuit))-MAX(0,(data[[#This Row],[Hdébut corrigé]]-DebNuit))))</f>
        <v>0</v>
      </c>
      <c r="Q101" s="154" t="str">
        <f>IF(OR(WEEKDAY(data[[#This Row],[Date]]+data[[#This Row],[Hfin corrigée]],2)=7,COUNTIF(JF,INT(data[[#This Row],[Date]]+data[[#This Row],[Hfin corrigée]]))=1),"oui","non")</f>
        <v>non</v>
      </c>
      <c r="R101" s="44">
        <f>MAX(0,data[[#This Row],[Hfin corrigée]]-MAX(1,data[[#This Row],[Hdébut corrigé]]))-data[[#This Row],[NUIT2.1]]-data[[#This Row],[NUIT2.2]]</f>
        <v>0</v>
      </c>
      <c r="S101" s="44">
        <f>MAX(0,MIN(1+FinNuit,data[[#This Row],[Hfin corrigée]])-MAX(1,data[[#This Row],[Hdébut corrigé]]))</f>
        <v>0</v>
      </c>
      <c r="T101" s="44">
        <f>MAX(0,(data[[#This Row],[Hfin corrigée]]-DebNuit-1))</f>
        <v>0</v>
      </c>
      <c r="U101" s="45">
        <f>IF(data[[#This Row],[Garde / Interv.]]="Intervention",MAX(0,data[[#This Row],[Hfin corrigée]]-SUMPRODUCT((data[Date]=data[[#This Row],[Date]])*(data[Garde / Interv.]="Garde")*data[Hfin corrigée])),0)</f>
        <v>0</v>
      </c>
      <c r="V101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101" s="44">
        <f>MAX(0,IF(data[[#This Row],[Garde / Interv.]]="Intervention",(data[[#This Row],[Fin Dim ou Férié]]="non")*data[[#This Row],[JOUR2]]+(data[[#This Row],[Début Dim ou Férié]]="non")*data[[#This Row],[JOUR1]],0))</f>
        <v>0</v>
      </c>
      <c r="X101" s="44">
        <f>IF(data[[#This Row],[Garde / Interv.]]="Intervention",(data[[#This Row],[Fin Dim ou Férié]]="oui")*data[[#This Row],[JOUR2]]+(data[[#This Row],[Début Dim ou Férié]]="oui")*data[[#This Row],[JOUR1]],0)</f>
        <v>0</v>
      </c>
      <c r="Y101" s="44">
        <f>MAX(0,IF(data[[#This Row],[Garde / Interv.]]="Intervention",data[[#This Row],[NUIT1.1]]+data[[#This Row],[NUIT1.2]]+data[[#This Row],[NUIT2.1]]+data[[#This Row],[NUIT2.2]],0))</f>
        <v>0</v>
      </c>
    </row>
  </sheetData>
  <dataValidations count="3">
    <dataValidation type="list" allowBlank="1" showInputMessage="1" showErrorMessage="1" sqref="H39:H41 H2:H37" xr:uid="{00000000-0002-0000-0000-000000000000}">
      <formula1>véhicule</formula1>
    </dataValidation>
    <dataValidation type="list" allowBlank="1" showInputMessage="1" showErrorMessage="1" sqref="G2:G101" xr:uid="{00000000-0002-0000-0000-000001000000}">
      <formula1>Motifs</formula1>
    </dataValidation>
    <dataValidation type="list" allowBlank="1" showInputMessage="1" showErrorMessage="1" sqref="F2:F101" xr:uid="{00000000-0002-0000-0000-000002000000}">
      <formula1>réponses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N9"/>
  <sheetViews>
    <sheetView workbookViewId="0"/>
  </sheetViews>
  <sheetFormatPr baseColWidth="10" defaultColWidth="16" defaultRowHeight="14.4" x14ac:dyDescent="0.3"/>
  <cols>
    <col min="1" max="2" width="16" style="15"/>
    <col min="3" max="9" width="16" style="2"/>
    <col min="10" max="13" width="16" style="16"/>
    <col min="14" max="14" width="16" style="17"/>
    <col min="15" max="16384" width="16" style="2"/>
  </cols>
  <sheetData>
    <row r="1" spans="1:14" s="14" customFormat="1" x14ac:dyDescent="0.3">
      <c r="A1" s="18" t="s">
        <v>25</v>
      </c>
      <c r="B1" s="18" t="s">
        <v>13</v>
      </c>
      <c r="C1" s="19" t="s">
        <v>19</v>
      </c>
      <c r="D1" s="19" t="s">
        <v>20</v>
      </c>
      <c r="E1" s="19" t="s">
        <v>21</v>
      </c>
      <c r="F1" s="19" t="s">
        <v>22</v>
      </c>
      <c r="G1" s="19" t="s">
        <v>23</v>
      </c>
      <c r="H1" s="19" t="s">
        <v>24</v>
      </c>
    </row>
    <row r="2" spans="1:14" x14ac:dyDescent="0.3">
      <c r="A2" s="15">
        <v>0.16666666666666666</v>
      </c>
      <c r="B2" s="15">
        <v>0.20833333333333334</v>
      </c>
      <c r="C2" s="16">
        <f>MAX(0,(MIN(1,test[[#This Row],[Hfin corrigée]])-test[[#This Row],[Hdébut corrigé]])-test[[#This Row],[NUIT1.1]]-test[[#This Row],[NUIT1.2]])</f>
        <v>0</v>
      </c>
      <c r="D2" s="16">
        <f>MIN(FinNuit,MIN(1,test[[#This Row],[Hfin corrigée]]))-MIN(FinNuit,test[[#This Row],[Hdébut corrigé]])</f>
        <v>4.1666666666666685E-2</v>
      </c>
      <c r="E2" s="16">
        <f>MAX(0,(MAX(0,(MIN(1,test[[#This Row],[Hfin corrigée]])-DebNuit))-MAX(0,(test[[#This Row],[Hdébut corrigé]]-DebNuit))))</f>
        <v>0</v>
      </c>
      <c r="F2" s="16">
        <f>MAX(0,test[[#This Row],[Hfin corrigée]]-MAX(1,test[[#This Row],[Hdébut corrigé]]))-test[[#This Row],[NUIT2.1]]-test[[#This Row],[NUIT2.2]]</f>
        <v>0</v>
      </c>
      <c r="G2" s="16">
        <f>MAX(0,MIN(1+FinNuit,test[[#This Row],[Hfin corrigée]])-MAX(1,test[[#This Row],[Hdébut corrigé]]))</f>
        <v>0</v>
      </c>
      <c r="H2" s="16">
        <f>MAX(0,(test[[#This Row],[Hfin corrigée]]-DebNuit-1))</f>
        <v>0</v>
      </c>
      <c r="J2" s="2"/>
      <c r="K2" s="2"/>
      <c r="L2" s="2"/>
      <c r="M2" s="2"/>
      <c r="N2" s="2"/>
    </row>
    <row r="3" spans="1:14" x14ac:dyDescent="0.3">
      <c r="A3" s="15">
        <v>0.16666666666666666</v>
      </c>
      <c r="B3" s="15">
        <v>0.375</v>
      </c>
      <c r="C3" s="16">
        <f>MAX(0,(MIN(1,test[[#This Row],[Hfin corrigée]])-test[[#This Row],[Hdébut corrigé]])-test[[#This Row],[NUIT1.1]]-test[[#This Row],[NUIT1.2]])</f>
        <v>8.3333333333333315E-2</v>
      </c>
      <c r="D3" s="16">
        <f>MIN(FinNuit,MIN(1,test[[#This Row],[Hfin corrigée]]))-MIN(FinNuit,test[[#This Row],[Hdébut corrigé]])</f>
        <v>0.12500000000000003</v>
      </c>
      <c r="E3" s="16">
        <f>MAX(0,(MAX(0,(MIN(1,test[[#This Row],[Hfin corrigée]])-DebNuit))-MAX(0,(test[[#This Row],[Hdébut corrigé]]-DebNuit))))</f>
        <v>0</v>
      </c>
      <c r="F3" s="16">
        <f>MAX(0,test[[#This Row],[Hfin corrigée]]-MAX(1,test[[#This Row],[Hdébut corrigé]]))-test[[#This Row],[NUIT2.1]]-test[[#This Row],[NUIT2.2]]</f>
        <v>0</v>
      </c>
      <c r="G3" s="16">
        <f>MAX(0,MIN(1+FinNuit,test[[#This Row],[Hfin corrigée]])-MAX(1,test[[#This Row],[Hdébut corrigé]]))</f>
        <v>0</v>
      </c>
      <c r="H3" s="16">
        <f>MAX(0,(test[[#This Row],[Hfin corrigée]]-DebNuit-1))</f>
        <v>0</v>
      </c>
      <c r="J3" s="2"/>
      <c r="K3" s="2"/>
      <c r="L3" s="2"/>
      <c r="M3" s="2"/>
      <c r="N3" s="2"/>
    </row>
    <row r="4" spans="1:14" x14ac:dyDescent="0.3">
      <c r="A4" s="15">
        <v>0.16666666666666666</v>
      </c>
      <c r="B4" s="15">
        <v>0.75</v>
      </c>
      <c r="C4" s="16">
        <f>MAX(0,(MIN(1,test[[#This Row],[Hfin corrigée]])-test[[#This Row],[Hdébut corrigé]])-test[[#This Row],[NUIT1.1]]-test[[#This Row],[NUIT1.2]])</f>
        <v>0.45833333333333337</v>
      </c>
      <c r="D4" s="16">
        <f>MIN(FinNuit,MIN(1,test[[#This Row],[Hfin corrigée]]))-MIN(FinNuit,test[[#This Row],[Hdébut corrigé]])</f>
        <v>0.12500000000000003</v>
      </c>
      <c r="E4" s="16">
        <f>MAX(0,(MAX(0,(MIN(1,test[[#This Row],[Hfin corrigée]])-DebNuit))-MAX(0,(test[[#This Row],[Hdébut corrigé]]-DebNuit))))</f>
        <v>0</v>
      </c>
      <c r="F4" s="16">
        <f>MAX(0,test[[#This Row],[Hfin corrigée]]-MAX(1,test[[#This Row],[Hdébut corrigé]]))-test[[#This Row],[NUIT2.1]]-test[[#This Row],[NUIT2.2]]</f>
        <v>0</v>
      </c>
      <c r="G4" s="16">
        <f>MAX(0,MIN(1+FinNuit,test[[#This Row],[Hfin corrigée]])-MAX(1,test[[#This Row],[Hdébut corrigé]]))</f>
        <v>0</v>
      </c>
      <c r="H4" s="16">
        <f>MAX(0,(test[[#This Row],[Hfin corrigée]]-DebNuit-1))</f>
        <v>0</v>
      </c>
    </row>
    <row r="5" spans="1:14" x14ac:dyDescent="0.3">
      <c r="A5" s="15">
        <v>0.33333333333333331</v>
      </c>
      <c r="B5" s="15">
        <v>0.95833333333333337</v>
      </c>
      <c r="C5" s="16">
        <f>MAX(0,(MIN(1,test[[#This Row],[Hfin corrigée]])-test[[#This Row],[Hdébut corrigé]])-test[[#This Row],[NUIT1.1]]-test[[#This Row],[NUIT1.2]])</f>
        <v>0.58333333333333326</v>
      </c>
      <c r="D5" s="16">
        <f>MIN(FinNuit,MIN(1,test[[#This Row],[Hfin corrigée]]))-MIN(FinNuit,test[[#This Row],[Hdébut corrigé]])</f>
        <v>0</v>
      </c>
      <c r="E5" s="16">
        <f>MAX(0,(MAX(0,(MIN(1,test[[#This Row],[Hfin corrigée]])-DebNuit))-MAX(0,(test[[#This Row],[Hdébut corrigé]]-DebNuit))))</f>
        <v>4.1666666666666741E-2</v>
      </c>
      <c r="F5" s="16">
        <f>MAX(0,test[[#This Row],[Hfin corrigée]]-MAX(1,test[[#This Row],[Hdébut corrigé]]))-test[[#This Row],[NUIT2.1]]-test[[#This Row],[NUIT2.2]]</f>
        <v>0</v>
      </c>
      <c r="G5" s="16">
        <f>MAX(0,MIN(1+FinNuit,test[[#This Row],[Hfin corrigée]])-MAX(1,test[[#This Row],[Hdébut corrigé]]))</f>
        <v>0</v>
      </c>
      <c r="H5" s="16">
        <f>MAX(0,(test[[#This Row],[Hfin corrigée]]-DebNuit-1))</f>
        <v>0</v>
      </c>
    </row>
    <row r="6" spans="1:14" x14ac:dyDescent="0.3">
      <c r="A6" s="15">
        <v>1.0416666666666667</v>
      </c>
      <c r="B6" s="15">
        <v>1.3333333333333333</v>
      </c>
      <c r="C6" s="16">
        <f>MAX(0,(MIN(1,test[[#This Row],[Hfin corrigée]])-test[[#This Row],[Hdébut corrigé]])-test[[#This Row],[NUIT1.1]]-test[[#This Row],[NUIT1.2]])</f>
        <v>0</v>
      </c>
      <c r="D6" s="16">
        <f>MIN(FinNuit,MIN(1,test[[#This Row],[Hfin corrigée]]))-MIN(FinNuit,test[[#This Row],[Hdébut corrigé]])</f>
        <v>0</v>
      </c>
      <c r="E6" s="16">
        <f>MAX(0,(MAX(0,(MIN(1,test[[#This Row],[Hfin corrigée]])-DebNuit))-MAX(0,(test[[#This Row],[Hdébut corrigé]]-DebNuit))))</f>
        <v>0</v>
      </c>
      <c r="F6" s="16">
        <f>MAX(0,test[[#This Row],[Hfin corrigée]]-MAX(1,test[[#This Row],[Hdébut corrigé]]))-test[[#This Row],[NUIT2.1]]-test[[#This Row],[NUIT2.2]]</f>
        <v>4.1666666666666519E-2</v>
      </c>
      <c r="G6" s="16">
        <f>MAX(0,MIN(1+FinNuit,test[[#This Row],[Hfin corrigée]])-MAX(1,test[[#This Row],[Hdébut corrigé]]))</f>
        <v>0.25</v>
      </c>
      <c r="H6" s="16">
        <f>MAX(0,(test[[#This Row],[Hfin corrigée]]-DebNuit-1))</f>
        <v>0</v>
      </c>
    </row>
    <row r="7" spans="1:14" x14ac:dyDescent="0.3">
      <c r="A7" s="15">
        <v>0.16666666666666666</v>
      </c>
      <c r="B7" s="15">
        <v>0.95833333333333337</v>
      </c>
      <c r="C7" s="16">
        <f>MAX(0,(MIN(1,test[[#This Row],[Hfin corrigée]])-test[[#This Row],[Hdébut corrigé]])-test[[#This Row],[NUIT1.1]]-test[[#This Row],[NUIT1.2]])</f>
        <v>0.625</v>
      </c>
      <c r="D7" s="16">
        <f>MIN(FinNuit,MIN(1,test[[#This Row],[Hfin corrigée]]))-MIN(FinNuit,test[[#This Row],[Hdébut corrigé]])</f>
        <v>0.12500000000000003</v>
      </c>
      <c r="E7" s="16">
        <f>MAX(0,(MAX(0,(MIN(1,test[[#This Row],[Hfin corrigée]])-DebNuit))-MAX(0,(test[[#This Row],[Hdébut corrigé]]-DebNuit))))</f>
        <v>4.1666666666666741E-2</v>
      </c>
      <c r="F7" s="16">
        <f>MAX(0,test[[#This Row],[Hfin corrigée]]-MAX(1,test[[#This Row],[Hdébut corrigé]]))-test[[#This Row],[NUIT2.1]]-test[[#This Row],[NUIT2.2]]</f>
        <v>0</v>
      </c>
      <c r="G7" s="16">
        <f>MAX(0,MIN(1+FinNuit,test[[#This Row],[Hfin corrigée]])-MAX(1,test[[#This Row],[Hdébut corrigé]]))</f>
        <v>0</v>
      </c>
      <c r="H7" s="16">
        <f>MAX(0,(test[[#This Row],[Hfin corrigée]]-DebNuit-1))</f>
        <v>0</v>
      </c>
    </row>
    <row r="8" spans="1:14" x14ac:dyDescent="0.3">
      <c r="A8" s="15">
        <v>0.5</v>
      </c>
      <c r="B8" s="15">
        <v>1.6666666666666667</v>
      </c>
      <c r="C8" s="16">
        <f>MAX(0,(MIN(1,test[[#This Row],[Hfin corrigée]])-test[[#This Row],[Hdébut corrigé]])-test[[#This Row],[NUIT1.1]]-test[[#This Row],[NUIT1.2]])</f>
        <v>0.41666666666666663</v>
      </c>
      <c r="D8" s="16">
        <f>MIN(FinNuit,MIN(1,test[[#This Row],[Hfin corrigée]]))-MIN(FinNuit,test[[#This Row],[Hdébut corrigé]])</f>
        <v>0</v>
      </c>
      <c r="E8" s="16">
        <f>MAX(0,(MAX(0,(MIN(1,test[[#This Row],[Hfin corrigée]])-DebNuit))-MAX(0,(test[[#This Row],[Hdébut corrigé]]-DebNuit))))</f>
        <v>8.333333333333337E-2</v>
      </c>
      <c r="F8" s="16">
        <f>MAX(0,test[[#This Row],[Hfin corrigée]]-MAX(1,test[[#This Row],[Hdébut corrigé]]))-test[[#This Row],[NUIT2.1]]-test[[#This Row],[NUIT2.2]]</f>
        <v>0.375</v>
      </c>
      <c r="G8" s="16">
        <f>MAX(0,MIN(1+FinNuit,test[[#This Row],[Hfin corrigée]])-MAX(1,test[[#This Row],[Hdébut corrigé]]))</f>
        <v>0.29166666666666674</v>
      </c>
      <c r="H8" s="16">
        <f>MAX(0,(test[[#This Row],[Hfin corrigée]]-DebNuit-1))</f>
        <v>0</v>
      </c>
    </row>
    <row r="9" spans="1:14" x14ac:dyDescent="0.3">
      <c r="A9" s="15">
        <v>0</v>
      </c>
      <c r="B9" s="15">
        <v>2</v>
      </c>
      <c r="C9" s="16">
        <f>MAX(0,(MIN(1,test[[#This Row],[Hfin corrigée]])-test[[#This Row],[Hdébut corrigé]])-test[[#This Row],[NUIT1.1]]-test[[#This Row],[NUIT1.2]])</f>
        <v>0.62499999999999989</v>
      </c>
      <c r="D9" s="16">
        <f>MIN(FinNuit,MIN(1,test[[#This Row],[Hfin corrigée]]))-MIN(FinNuit,test[[#This Row],[Hdébut corrigé]])</f>
        <v>0.29166666666666669</v>
      </c>
      <c r="E9" s="16">
        <f>MAX(0,(MAX(0,(MIN(1,test[[#This Row],[Hfin corrigée]])-DebNuit))-MAX(0,(test[[#This Row],[Hdébut corrigé]]-DebNuit))))</f>
        <v>8.333333333333337E-2</v>
      </c>
      <c r="F9" s="16">
        <f>MAX(0,test[[#This Row],[Hfin corrigée]]-MAX(1,test[[#This Row],[Hdébut corrigé]]))-test[[#This Row],[NUIT2.1]]-test[[#This Row],[NUIT2.2]]</f>
        <v>0.62499999999999978</v>
      </c>
      <c r="G9" s="16">
        <f>MAX(0,MIN(1+FinNuit,test[[#This Row],[Hfin corrigée]])-MAX(1,test[[#This Row],[Hdébut corrigé]]))</f>
        <v>0.29166666666666674</v>
      </c>
      <c r="H9" s="16">
        <f>MAX(0,(test[[#This Row],[Hfin corrigée]]-DebNuit-1))</f>
        <v>8.3333333333333481E-2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X17"/>
  <sheetViews>
    <sheetView showZeros="0" tabSelected="1" zoomScale="97"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I1" sqref="I1"/>
    </sheetView>
  </sheetViews>
  <sheetFormatPr baseColWidth="10" defaultRowHeight="14.4" x14ac:dyDescent="0.3"/>
  <cols>
    <col min="1" max="2" width="8.109375" customWidth="1"/>
    <col min="3" max="8" width="6.88671875" customWidth="1"/>
    <col min="9" max="10" width="10.21875" style="26" bestFit="1" customWidth="1"/>
    <col min="11" max="11" width="12.88671875" style="90" customWidth="1"/>
    <col min="12" max="12" width="9.21875" customWidth="1"/>
    <col min="13" max="13" width="12.88671875" style="90" customWidth="1"/>
    <col min="14" max="14" width="10.6640625" customWidth="1"/>
    <col min="15" max="18" width="11.21875" hidden="1" customWidth="1"/>
    <col min="19" max="19" width="12.88671875" style="93" customWidth="1"/>
    <col min="20" max="20" width="10.5546875" style="93" customWidth="1"/>
    <col min="21" max="21" width="13.44140625" style="26" bestFit="1" customWidth="1"/>
  </cols>
  <sheetData>
    <row r="1" spans="1:24" ht="73.2" customHeight="1" x14ac:dyDescent="0.3">
      <c r="A1" s="57" t="s">
        <v>46</v>
      </c>
      <c r="B1" s="132" t="s">
        <v>47</v>
      </c>
      <c r="C1" s="157" t="s">
        <v>16</v>
      </c>
      <c r="D1" s="157"/>
      <c r="E1" s="157" t="s">
        <v>14</v>
      </c>
      <c r="F1" s="157"/>
      <c r="G1" s="157" t="s">
        <v>15</v>
      </c>
      <c r="H1" s="158"/>
      <c r="I1" s="71" t="s">
        <v>102</v>
      </c>
      <c r="J1" s="71" t="s">
        <v>71</v>
      </c>
      <c r="K1" s="159" t="s">
        <v>83</v>
      </c>
      <c r="L1" s="160"/>
      <c r="M1" s="164" t="s">
        <v>101</v>
      </c>
      <c r="N1" s="159"/>
      <c r="O1" s="132" t="s">
        <v>48</v>
      </c>
      <c r="P1" s="132" t="s">
        <v>50</v>
      </c>
      <c r="Q1" s="132" t="s">
        <v>49</v>
      </c>
      <c r="R1" s="133" t="s">
        <v>51</v>
      </c>
      <c r="S1" s="134" t="s">
        <v>99</v>
      </c>
      <c r="T1" s="70" t="s">
        <v>103</v>
      </c>
      <c r="U1" s="70" t="s">
        <v>79</v>
      </c>
    </row>
    <row r="2" spans="1:24" x14ac:dyDescent="0.3">
      <c r="A2" s="20">
        <v>2019</v>
      </c>
      <c r="B2" s="95">
        <f>DATE($A$2,ROW()-1,1)</f>
        <v>43466</v>
      </c>
      <c r="C2" s="179">
        <f>SUMPRODUCT(data[Durée interv. jour]*(data[Date]&gt;=B2)*(data[Date]&lt;=EOMONTH(B2,0)))</f>
        <v>1.2409722222222221</v>
      </c>
      <c r="D2" s="179">
        <f t="shared" ref="D2:D13" si="0">ROUNDUP(INT(C2*4*24*60)/60,0)/4/24</f>
        <v>1.25</v>
      </c>
      <c r="E2" s="179">
        <f>SUMPRODUCT(data[Durée interv. dim ou férié]*(data[Date]&gt;=B2)*(data[Date]&lt;=EOMONTH(B2,0)))</f>
        <v>0</v>
      </c>
      <c r="F2" s="179">
        <f t="shared" ref="F2:F13" si="1">ROUNDUP(INT(E2*4*24*60)/60,0)/4/24</f>
        <v>0</v>
      </c>
      <c r="G2" s="179">
        <f>SUMPRODUCT(data[Durée interv. nuit]*(data[Date]&gt;=B2)*(data[Date]&lt;=EOMONTH(B2,0)))</f>
        <v>0.21527777777777768</v>
      </c>
      <c r="H2" s="179">
        <f t="shared" ref="H2:L13" si="2">ROUNDUP(INT(G2*4*24*60)/60,0)/4/24</f>
        <v>0.21875</v>
      </c>
      <c r="I2" s="180">
        <f>SUMPRODUCT(data[Garde de :]*(data[Date]&gt;=B2)*(data[Date]&lt;=EOMONTH(B2,0)))</f>
        <v>5.0256944444444445</v>
      </c>
      <c r="J2" s="161">
        <f>SUM(I2:I4)</f>
        <v>14.338194444444445</v>
      </c>
      <c r="K2" s="87">
        <f t="shared" ref="K2:K13" si="3">C2+E2+G2</f>
        <v>1.4562499999999998</v>
      </c>
      <c r="L2" s="101">
        <f t="shared" si="2"/>
        <v>1.4583333333333333</v>
      </c>
      <c r="M2" s="91">
        <f>SUMPRODUCT(data[[Garde postée au CIS]:[Durée interv. nuit]]*(data[Date]&gt;=B2)*(data[Date]&lt;=EOMONTH(B2,0)))-C2-E2-G2</f>
        <v>3.5694444444444438</v>
      </c>
      <c r="N2" s="135">
        <f t="shared" ref="N2:N13" si="4">ROUNDUP(INT(M2*4*24*60)/60,0)/4/24</f>
        <v>3.5729166666666665</v>
      </c>
      <c r="O2" s="25">
        <f t="shared" ref="O2:O13" si="5">24*(TAUX1*N2)</f>
        <v>497.35</v>
      </c>
      <c r="P2" s="25">
        <f t="shared" ref="P2:P13" si="6">24*(TAUX2*D2)</f>
        <v>232.20000000000002</v>
      </c>
      <c r="Q2" s="25">
        <f t="shared" ref="Q2:Q13" si="7">24*(TAUX3*F2)</f>
        <v>0</v>
      </c>
      <c r="R2" s="102">
        <f t="shared" ref="R2:R13" si="8">24*(TAUX4*H2)</f>
        <v>81.27</v>
      </c>
      <c r="S2" s="108">
        <f>24*(TAUX1*M2+TAUX2*D2+TAUX3*F2+TAUX4*H2)</f>
        <v>810.33666666666647</v>
      </c>
      <c r="T2" s="123" t="s">
        <v>96</v>
      </c>
      <c r="U2" s="78">
        <f>Paramètres!B46-'Calcul indemnités mensuelles'!S2</f>
        <v>10689.663333333334</v>
      </c>
    </row>
    <row r="3" spans="1:24" x14ac:dyDescent="0.3">
      <c r="A3" s="58"/>
      <c r="B3" s="95">
        <f t="shared" ref="B3:B13" si="9">DATE($A$2,ROW()-1,1)</f>
        <v>43497</v>
      </c>
      <c r="C3" s="179">
        <f>SUMPRODUCT(data[Durée interv. jour]*(data[Date]&gt;=B3)*(data[Date]&lt;=EOMONTH(B3,0)))</f>
        <v>0.26111111111111102</v>
      </c>
      <c r="D3" s="179">
        <f t="shared" si="0"/>
        <v>0.27083333333333331</v>
      </c>
      <c r="E3" s="179">
        <f>SUMPRODUCT(data[Durée interv. dim ou férié]*(data[Date]&gt;=B3)*(data[Date]&lt;=EOMONTH(B3,0)))</f>
        <v>0.28749999999999998</v>
      </c>
      <c r="F3" s="179">
        <f t="shared" si="1"/>
        <v>0.29166666666666669</v>
      </c>
      <c r="G3" s="179">
        <f>SUMPRODUCT(data[Durée interv. nuit]*(data[Date]&gt;=B3)*(data[Date]&lt;=EOMONTH(B3,0)))</f>
        <v>3.125E-2</v>
      </c>
      <c r="H3" s="179">
        <f t="shared" si="2"/>
        <v>3.125E-2</v>
      </c>
      <c r="I3" s="180">
        <f>SUMPRODUCT(data[Garde de :]*(data[Date]&gt;=B3)*(data[Date]&lt;=EOMONTH(B3,0)))</f>
        <v>4.4166666666666661</v>
      </c>
      <c r="J3" s="162"/>
      <c r="K3" s="87">
        <f t="shared" si="3"/>
        <v>0.57986111111111094</v>
      </c>
      <c r="L3" s="101">
        <f t="shared" si="2"/>
        <v>0.58333333333333337</v>
      </c>
      <c r="M3" s="91">
        <f>SUMPRODUCT(data[[Garde postée au CIS]:[Durée interv. nuit]]*(data[Date]&gt;=B3)*(data[Date]&lt;=EOMONTH(B3,0)))-C3-E3-G3</f>
        <v>3.8368055555555549</v>
      </c>
      <c r="N3" s="135">
        <f t="shared" si="4"/>
        <v>3.84375</v>
      </c>
      <c r="O3" s="25">
        <f t="shared" si="5"/>
        <v>535.04999999999995</v>
      </c>
      <c r="P3" s="25">
        <f t="shared" si="6"/>
        <v>50.31</v>
      </c>
      <c r="Q3" s="25">
        <f t="shared" si="7"/>
        <v>81.27</v>
      </c>
      <c r="R3" s="102">
        <f t="shared" si="8"/>
        <v>11.61</v>
      </c>
      <c r="S3" s="109">
        <f t="shared" ref="S3:S13" si="10">24*(TAUX1*N3+TAUX2*D3+TAUX3*F3+TAUX4*H3)</f>
        <v>678.24</v>
      </c>
      <c r="T3" s="123" t="s">
        <v>86</v>
      </c>
      <c r="U3" s="78">
        <f t="shared" ref="U3:U13" si="11">U2-S3</f>
        <v>10011.423333333334</v>
      </c>
      <c r="V3" s="122"/>
      <c r="W3" s="120"/>
    </row>
    <row r="4" spans="1:24" x14ac:dyDescent="0.3">
      <c r="A4" s="58"/>
      <c r="B4" s="95">
        <f t="shared" si="9"/>
        <v>43525</v>
      </c>
      <c r="C4" s="179">
        <f>SUMPRODUCT(data[Durée interv. jour]*(data[Date]&gt;=B4)*(data[Date]&lt;=EOMONTH(B4,0)))</f>
        <v>0.51111111111111107</v>
      </c>
      <c r="D4" s="179">
        <f>ROUNDUP(INT(C4*4*24*60)/60,0)/4/24</f>
        <v>0.52083333333333337</v>
      </c>
      <c r="E4" s="179">
        <f>SUMPRODUCT(data[Durée interv. dim ou férié]*(data[Date]&gt;=B4)*(data[Date]&lt;=EOMONTH(B4,0)))</f>
        <v>7.2222222222222077E-2</v>
      </c>
      <c r="F4" s="179">
        <f t="shared" si="1"/>
        <v>7.2916666666666671E-2</v>
      </c>
      <c r="G4" s="179">
        <f>SUMPRODUCT(data[Durée interv. nuit]*(data[Date]&gt;=B4)*(data[Date]&lt;=EOMONTH(B4,0)))</f>
        <v>5.486111111111136E-2</v>
      </c>
      <c r="H4" s="179">
        <f t="shared" si="2"/>
        <v>6.25E-2</v>
      </c>
      <c r="I4" s="180">
        <f>SUMPRODUCT(data[Garde de :]*(data[Date]&gt;=B4)*(data[Date]&lt;=EOMONTH(B4,0)))</f>
        <v>4.8958333333333339</v>
      </c>
      <c r="J4" s="163"/>
      <c r="K4" s="87">
        <f t="shared" si="3"/>
        <v>0.63819444444444451</v>
      </c>
      <c r="L4" s="101">
        <f t="shared" si="2"/>
        <v>0.64583333333333337</v>
      </c>
      <c r="M4" s="91">
        <f>SUMPRODUCT(data[[Garde postée au CIS]:[Durée interv. nuit]]*(data[Date]&gt;=B4)*(data[Date]&lt;=EOMONTH(B4,0)))-C4-E4-G4</f>
        <v>4.2576388888888896</v>
      </c>
      <c r="N4" s="135">
        <f t="shared" si="4"/>
        <v>4.260416666666667</v>
      </c>
      <c r="O4" s="25">
        <f t="shared" si="5"/>
        <v>593.04999999999995</v>
      </c>
      <c r="P4" s="25">
        <f t="shared" si="6"/>
        <v>96.75</v>
      </c>
      <c r="Q4" s="25">
        <f t="shared" si="7"/>
        <v>20.317499999999999</v>
      </c>
      <c r="R4" s="102">
        <f t="shared" si="8"/>
        <v>23.22</v>
      </c>
      <c r="S4" s="109">
        <f t="shared" si="10"/>
        <v>733.33750000000009</v>
      </c>
      <c r="T4" s="123" t="s">
        <v>89</v>
      </c>
      <c r="U4" s="78">
        <f t="shared" si="11"/>
        <v>9278.0858333333344</v>
      </c>
      <c r="W4" s="120"/>
      <c r="X4" s="128"/>
    </row>
    <row r="5" spans="1:24" x14ac:dyDescent="0.3">
      <c r="A5" s="58"/>
      <c r="B5" s="95">
        <f t="shared" si="9"/>
        <v>43556</v>
      </c>
      <c r="C5" s="179">
        <f>SUMPRODUCT(data[Durée interv. jour]*(data[Date]&gt;=B5)*(data[Date]&lt;=EOMONTH(B5,0)))</f>
        <v>0.3541666666666668</v>
      </c>
      <c r="D5" s="179">
        <f t="shared" si="0"/>
        <v>0.35416666666666669</v>
      </c>
      <c r="E5" s="179">
        <f>SUMPRODUCT(data[Durée interv. dim ou férié]*(data[Date]&gt;=B5)*(data[Date]&lt;=EOMONTH(B5,0)))</f>
        <v>0.31874999999999976</v>
      </c>
      <c r="F5" s="179">
        <f t="shared" si="1"/>
        <v>0.32291666666666669</v>
      </c>
      <c r="G5" s="179">
        <f>SUMPRODUCT(data[Durée interv. nuit]*(data[Date]&gt;=B5)*(data[Date]&lt;=EOMONTH(B5,0)))</f>
        <v>6.6666666666666652E-2</v>
      </c>
      <c r="H5" s="179">
        <f t="shared" si="2"/>
        <v>7.2916666666666671E-2</v>
      </c>
      <c r="I5" s="180">
        <f>SUMPRODUCT(data[Garde de :]*(data[Date]&gt;=B5)*(data[Date]&lt;=EOMONTH(B5,0)))</f>
        <v>5.1298611111111114</v>
      </c>
      <c r="J5" s="161">
        <f>SUM(I5:I7)</f>
        <v>9.1298611111111114</v>
      </c>
      <c r="K5" s="87">
        <f t="shared" si="3"/>
        <v>0.73958333333333326</v>
      </c>
      <c r="L5" s="101">
        <f t="shared" si="2"/>
        <v>0.73958333333333337</v>
      </c>
      <c r="M5" s="91">
        <f>SUMPRODUCT(data[[Garde postée au CIS]:[Durée interv. nuit]]*(data[Date]&gt;=B5)*(data[Date]&lt;=EOMONTH(B5,0)))-C5-E5-G5</f>
        <v>4.3902777777777775</v>
      </c>
      <c r="N5" s="135">
        <f t="shared" si="4"/>
        <v>4.395833333333333</v>
      </c>
      <c r="O5" s="25">
        <f t="shared" si="5"/>
        <v>611.89999999999986</v>
      </c>
      <c r="P5" s="25">
        <f t="shared" si="6"/>
        <v>65.790000000000006</v>
      </c>
      <c r="Q5" s="25">
        <f t="shared" si="7"/>
        <v>89.977499999999992</v>
      </c>
      <c r="R5" s="102">
        <f t="shared" si="8"/>
        <v>27.090000000000003</v>
      </c>
      <c r="S5" s="109">
        <f t="shared" si="10"/>
        <v>794.75750000000005</v>
      </c>
      <c r="T5" s="123" t="s">
        <v>87</v>
      </c>
      <c r="U5" s="78">
        <f t="shared" si="11"/>
        <v>8483.3283333333347</v>
      </c>
      <c r="W5" s="120"/>
    </row>
    <row r="6" spans="1:24" x14ac:dyDescent="0.3">
      <c r="A6" s="58"/>
      <c r="B6" s="95">
        <f t="shared" si="9"/>
        <v>43586</v>
      </c>
      <c r="C6" s="179">
        <f>SUMPRODUCT(data[Durée interv. jour]*(data[Date]&gt;=B6)*(data[Date]&lt;=EOMONTH(B6,0)))</f>
        <v>0.17152777777777789</v>
      </c>
      <c r="D6" s="179">
        <f t="shared" si="0"/>
        <v>0.17708333333333334</v>
      </c>
      <c r="E6" s="179">
        <f>SUMPRODUCT(data[Durée interv. dim ou férié]*(data[Date]&gt;=B6)*(data[Date]&lt;=EOMONTH(B6,0)))</f>
        <v>0.14861111111111114</v>
      </c>
      <c r="F6" s="179">
        <f t="shared" si="1"/>
        <v>0.15625</v>
      </c>
      <c r="G6" s="179">
        <f>SUMPRODUCT(data[Durée interv. nuit]*(data[Date]&gt;=B6)*(data[Date]&lt;=EOMONTH(B6,0)))</f>
        <v>4.8611111111111049E-2</v>
      </c>
      <c r="H6" s="179">
        <f t="shared" si="2"/>
        <v>5.2083333333333336E-2</v>
      </c>
      <c r="I6" s="180">
        <f>SUMPRODUCT(data[Garde de :]*(data[Date]&gt;=B6)*(data[Date]&lt;=EOMONTH(B6,0)))</f>
        <v>4</v>
      </c>
      <c r="J6" s="162"/>
      <c r="K6" s="87">
        <f t="shared" si="3"/>
        <v>0.36875000000000008</v>
      </c>
      <c r="L6" s="101">
        <f t="shared" si="2"/>
        <v>0.375</v>
      </c>
      <c r="M6" s="91">
        <f>SUMPRODUCT(data[[Garde postée au CIS]:[Durée interv. nuit]]*(data[Date]&gt;=B6)*(data[Date]&lt;=EOMONTH(B6,0)))-C6-E6-G6</f>
        <v>3.6312499999999996</v>
      </c>
      <c r="N6" s="135">
        <f t="shared" si="4"/>
        <v>3.6354166666666665</v>
      </c>
      <c r="O6" s="25">
        <f t="shared" si="5"/>
        <v>506.04999999999995</v>
      </c>
      <c r="P6" s="25">
        <f t="shared" si="6"/>
        <v>32.895000000000003</v>
      </c>
      <c r="Q6" s="25">
        <f t="shared" si="7"/>
        <v>43.537499999999994</v>
      </c>
      <c r="R6" s="102">
        <f t="shared" si="8"/>
        <v>19.350000000000001</v>
      </c>
      <c r="S6" s="109">
        <f t="shared" si="10"/>
        <v>601.83249999999987</v>
      </c>
      <c r="T6" s="123" t="s">
        <v>104</v>
      </c>
      <c r="U6" s="78">
        <f t="shared" si="11"/>
        <v>7881.4958333333352</v>
      </c>
      <c r="W6" s="120"/>
    </row>
    <row r="7" spans="1:24" x14ac:dyDescent="0.3">
      <c r="A7" s="58"/>
      <c r="B7" s="95">
        <f t="shared" si="9"/>
        <v>43617</v>
      </c>
      <c r="C7" s="100">
        <f>SUMPRODUCT(data[Durée interv. jour]*(data[Date]&gt;=B7)*(data[Date]&lt;=EOMONTH(B7,0)))</f>
        <v>0</v>
      </c>
      <c r="D7" s="98">
        <f t="shared" si="0"/>
        <v>0</v>
      </c>
      <c r="E7" s="100">
        <f>SUMPRODUCT(data[Durée interv. dim ou férié]*(data[Date]&gt;=B7)*(data[Date]&lt;=EOMONTH(B7,0)))</f>
        <v>0</v>
      </c>
      <c r="F7" s="98">
        <f t="shared" si="1"/>
        <v>0</v>
      </c>
      <c r="G7" s="100">
        <f>SUMPRODUCT(data[Durée interv. nuit]*(data[Date]&gt;=B7)*(data[Date]&lt;=EOMONTH(B7,0)))</f>
        <v>0</v>
      </c>
      <c r="H7" s="98">
        <f t="shared" si="2"/>
        <v>0</v>
      </c>
      <c r="I7" s="179">
        <f>SUMPRODUCT(data[Garde de :]*(data[Date]&gt;=B7)*(data[Date]&lt;=EOMONTH(B7,0)))</f>
        <v>0</v>
      </c>
      <c r="J7" s="163"/>
      <c r="K7" s="87">
        <f t="shared" si="3"/>
        <v>0</v>
      </c>
      <c r="L7" s="101">
        <f t="shared" si="2"/>
        <v>0</v>
      </c>
      <c r="M7" s="91">
        <f>SUMPRODUCT(data[[Garde postée au CIS]:[Durée interv. nuit]]*(data[Date]&gt;=B7)*(data[Date]&lt;=EOMONTH(B7,0)))-C7-E7-G7</f>
        <v>0</v>
      </c>
      <c r="N7" s="135">
        <f t="shared" si="4"/>
        <v>0</v>
      </c>
      <c r="O7" s="25">
        <f t="shared" si="5"/>
        <v>0</v>
      </c>
      <c r="P7" s="25">
        <f t="shared" si="6"/>
        <v>0</v>
      </c>
      <c r="Q7" s="25">
        <f t="shared" si="7"/>
        <v>0</v>
      </c>
      <c r="R7" s="102">
        <f t="shared" si="8"/>
        <v>0</v>
      </c>
      <c r="S7" s="109">
        <f t="shared" si="10"/>
        <v>0</v>
      </c>
      <c r="T7" s="123" t="s">
        <v>90</v>
      </c>
      <c r="U7" s="78">
        <f t="shared" si="11"/>
        <v>7881.4958333333352</v>
      </c>
      <c r="W7" s="121"/>
    </row>
    <row r="8" spans="1:24" x14ac:dyDescent="0.3">
      <c r="A8" s="58"/>
      <c r="B8" s="95">
        <f t="shared" si="9"/>
        <v>43647</v>
      </c>
      <c r="C8" s="100">
        <f>SUMPRODUCT(data[Durée interv. jour]*(data[Date]&gt;=B8)*(data[Date]&lt;=EOMONTH(B8,0)))</f>
        <v>0</v>
      </c>
      <c r="D8" s="98">
        <f t="shared" si="0"/>
        <v>0</v>
      </c>
      <c r="E8" s="100">
        <f>SUMPRODUCT(data[Durée interv. dim ou férié]*(data[Date]&gt;=B8)*(data[Date]&lt;=EOMONTH(B8,0)))</f>
        <v>0</v>
      </c>
      <c r="F8" s="98">
        <f t="shared" si="1"/>
        <v>0</v>
      </c>
      <c r="G8" s="100">
        <f>SUMPRODUCT(data[Durée interv. nuit]*(data[Date]&gt;=B8)*(data[Date]&lt;=EOMONTH(B8,0)))</f>
        <v>0</v>
      </c>
      <c r="H8" s="98">
        <f t="shared" si="2"/>
        <v>0</v>
      </c>
      <c r="I8" s="179">
        <f>SUMPRODUCT(data[Garde de :]*(data[Date]&gt;=B8)*(data[Date]&lt;=EOMONTH(B8,0)))</f>
        <v>0</v>
      </c>
      <c r="J8" s="161">
        <f>SUM(I8:I10)</f>
        <v>0</v>
      </c>
      <c r="K8" s="87">
        <f t="shared" si="3"/>
        <v>0</v>
      </c>
      <c r="L8" s="101">
        <f t="shared" si="2"/>
        <v>0</v>
      </c>
      <c r="M8" s="91">
        <f>SUMPRODUCT(data[[Garde postée au CIS]:[Durée interv. nuit]]*(data[Date]&gt;=B8)*(data[Date]&lt;=EOMONTH(B8,0)))-C8-E8-G8</f>
        <v>0</v>
      </c>
      <c r="N8" s="135">
        <f t="shared" si="4"/>
        <v>0</v>
      </c>
      <c r="O8" s="25">
        <f t="shared" si="5"/>
        <v>0</v>
      </c>
      <c r="P8" s="25">
        <f t="shared" si="6"/>
        <v>0</v>
      </c>
      <c r="Q8" s="25">
        <f t="shared" si="7"/>
        <v>0</v>
      </c>
      <c r="R8" s="102">
        <f t="shared" si="8"/>
        <v>0</v>
      </c>
      <c r="S8" s="109">
        <f t="shared" si="10"/>
        <v>0</v>
      </c>
      <c r="T8" s="123" t="s">
        <v>88</v>
      </c>
      <c r="U8" s="78">
        <f t="shared" si="11"/>
        <v>7881.4958333333352</v>
      </c>
      <c r="W8" s="120"/>
    </row>
    <row r="9" spans="1:24" x14ac:dyDescent="0.3">
      <c r="A9" s="58"/>
      <c r="B9" s="95">
        <f t="shared" si="9"/>
        <v>43678</v>
      </c>
      <c r="C9" s="100">
        <f>SUMPRODUCT(data[Durée interv. jour]*(data[Date]&gt;=B9)*(data[Date]&lt;=EOMONTH(B9,0)))</f>
        <v>0</v>
      </c>
      <c r="D9" s="98">
        <f t="shared" si="0"/>
        <v>0</v>
      </c>
      <c r="E9" s="100">
        <f>SUMPRODUCT(data[Durée interv. dim ou férié]*(data[Date]&gt;=B9)*(data[Date]&lt;=EOMONTH(B9,0)))</f>
        <v>0</v>
      </c>
      <c r="F9" s="98">
        <f t="shared" si="1"/>
        <v>0</v>
      </c>
      <c r="G9" s="100">
        <f>SUMPRODUCT(data[Durée interv. nuit]*(data[Date]&gt;=B9)*(data[Date]&lt;=EOMONTH(B9,0)))</f>
        <v>0</v>
      </c>
      <c r="H9" s="98">
        <f t="shared" si="2"/>
        <v>0</v>
      </c>
      <c r="I9" s="179">
        <f>SUMPRODUCT(data[Garde de :]*(data[Date]&gt;=B9)*(data[Date]&lt;=EOMONTH(B9,0)))</f>
        <v>0</v>
      </c>
      <c r="J9" s="162"/>
      <c r="K9" s="87">
        <f t="shared" si="3"/>
        <v>0</v>
      </c>
      <c r="L9" s="101">
        <f t="shared" si="2"/>
        <v>0</v>
      </c>
      <c r="M9" s="91">
        <f>SUMPRODUCT(data[[Garde postée au CIS]:[Durée interv. nuit]]*(data[Date]&gt;=B9)*(data[Date]&lt;=EOMONTH(B9,0)))-C9-E9-G9</f>
        <v>0</v>
      </c>
      <c r="N9" s="135">
        <f t="shared" si="4"/>
        <v>0</v>
      </c>
      <c r="O9" s="25">
        <f t="shared" si="5"/>
        <v>0</v>
      </c>
      <c r="P9" s="25">
        <f t="shared" si="6"/>
        <v>0</v>
      </c>
      <c r="Q9" s="25">
        <f t="shared" si="7"/>
        <v>0</v>
      </c>
      <c r="R9" s="102">
        <f t="shared" si="8"/>
        <v>0</v>
      </c>
      <c r="S9" s="109">
        <f t="shared" si="10"/>
        <v>0</v>
      </c>
      <c r="T9" s="123" t="s">
        <v>91</v>
      </c>
      <c r="U9" s="78">
        <f t="shared" si="11"/>
        <v>7881.4958333333352</v>
      </c>
    </row>
    <row r="10" spans="1:24" x14ac:dyDescent="0.3">
      <c r="A10" s="58"/>
      <c r="B10" s="95">
        <f t="shared" si="9"/>
        <v>43709</v>
      </c>
      <c r="C10" s="100">
        <f>SUMPRODUCT(data[Durée interv. jour]*(data[Date]&gt;=B10)*(data[Date]&lt;=EOMONTH(B10,0)))</f>
        <v>0</v>
      </c>
      <c r="D10" s="98">
        <f t="shared" si="0"/>
        <v>0</v>
      </c>
      <c r="E10" s="100">
        <f>SUMPRODUCT(data[Durée interv. dim ou férié]*(data[Date]&gt;=B10)*(data[Date]&lt;=EOMONTH(B10,0)))</f>
        <v>0</v>
      </c>
      <c r="F10" s="98">
        <f t="shared" si="1"/>
        <v>0</v>
      </c>
      <c r="G10" s="100">
        <f>SUMPRODUCT(data[Durée interv. nuit]*(data[Date]&gt;=B10)*(data[Date]&lt;=EOMONTH(B10,0)))</f>
        <v>0</v>
      </c>
      <c r="H10" s="98">
        <f t="shared" si="2"/>
        <v>0</v>
      </c>
      <c r="I10" s="179">
        <f>SUMPRODUCT(data[Garde de :]*(data[Date]&gt;=B10)*(data[Date]&lt;=EOMONTH(B10,0)))</f>
        <v>0</v>
      </c>
      <c r="J10" s="163"/>
      <c r="K10" s="87">
        <f t="shared" si="3"/>
        <v>0</v>
      </c>
      <c r="L10" s="101">
        <f t="shared" si="2"/>
        <v>0</v>
      </c>
      <c r="M10" s="91">
        <f>SUMPRODUCT(data[[Garde postée au CIS]:[Durée interv. nuit]]*(data[Date]&gt;=B10)*(data[Date]&lt;=EOMONTH(B10,0)))-C10-E10-G10</f>
        <v>0</v>
      </c>
      <c r="N10" s="135">
        <f t="shared" si="4"/>
        <v>0</v>
      </c>
      <c r="O10" s="25">
        <f t="shared" si="5"/>
        <v>0</v>
      </c>
      <c r="P10" s="25">
        <f t="shared" si="6"/>
        <v>0</v>
      </c>
      <c r="Q10" s="25">
        <f t="shared" si="7"/>
        <v>0</v>
      </c>
      <c r="R10" s="102">
        <f t="shared" si="8"/>
        <v>0</v>
      </c>
      <c r="S10" s="109">
        <f t="shared" si="10"/>
        <v>0</v>
      </c>
      <c r="T10" s="123" t="s">
        <v>92</v>
      </c>
      <c r="U10" s="78">
        <f t="shared" si="11"/>
        <v>7881.4958333333352</v>
      </c>
    </row>
    <row r="11" spans="1:24" x14ac:dyDescent="0.3">
      <c r="A11" s="58"/>
      <c r="B11" s="95">
        <f t="shared" si="9"/>
        <v>43739</v>
      </c>
      <c r="C11" s="100">
        <f>SUMPRODUCT(data[Durée interv. jour]*(data[Date]&gt;=B11)*(data[Date]&lt;=EOMONTH(B11,0)))</f>
        <v>0</v>
      </c>
      <c r="D11" s="98">
        <f t="shared" si="0"/>
        <v>0</v>
      </c>
      <c r="E11" s="100">
        <f>SUMPRODUCT(data[Durée interv. dim ou férié]*(data[Date]&gt;=B11)*(data[Date]&lt;=EOMONTH(B11,0)))</f>
        <v>0</v>
      </c>
      <c r="F11" s="98">
        <f t="shared" si="1"/>
        <v>0</v>
      </c>
      <c r="G11" s="100">
        <f>SUMPRODUCT(data[Durée interv. nuit]*(data[Date]&gt;=B11)*(data[Date]&lt;=EOMONTH(B11,0)))</f>
        <v>0</v>
      </c>
      <c r="H11" s="98">
        <f t="shared" si="2"/>
        <v>0</v>
      </c>
      <c r="I11" s="179">
        <f>SUMPRODUCT(data[Garde de :]*(data[Date]&gt;=B11)*(data[Date]&lt;=EOMONTH(B11,0)))</f>
        <v>0</v>
      </c>
      <c r="J11" s="161">
        <f>SUM(I11:I13)</f>
        <v>0</v>
      </c>
      <c r="K11" s="87">
        <f t="shared" si="3"/>
        <v>0</v>
      </c>
      <c r="L11" s="101">
        <f t="shared" ref="L11:L13" si="12">IF(K11=0,0,ROUNDUP(K11*4*24+1/60/24,0)/4/24)</f>
        <v>0</v>
      </c>
      <c r="M11" s="91">
        <f>SUMPRODUCT(data[[Garde postée au CIS]:[Durée interv. nuit]]*(data[Date]&gt;=B11)*(data[Date]&lt;=EOMONTH(B11,0)))-C11-E11-G11</f>
        <v>0</v>
      </c>
      <c r="N11" s="135">
        <f t="shared" si="4"/>
        <v>0</v>
      </c>
      <c r="O11" s="25">
        <f t="shared" si="5"/>
        <v>0</v>
      </c>
      <c r="P11" s="25">
        <f t="shared" si="6"/>
        <v>0</v>
      </c>
      <c r="Q11" s="25">
        <f t="shared" si="7"/>
        <v>0</v>
      </c>
      <c r="R11" s="102">
        <f t="shared" si="8"/>
        <v>0</v>
      </c>
      <c r="S11" s="109">
        <f t="shared" si="10"/>
        <v>0</v>
      </c>
      <c r="T11" s="123" t="s">
        <v>93</v>
      </c>
      <c r="U11" s="78">
        <f t="shared" si="11"/>
        <v>7881.4958333333352</v>
      </c>
      <c r="W11" s="128"/>
    </row>
    <row r="12" spans="1:24" x14ac:dyDescent="0.3">
      <c r="A12" s="58"/>
      <c r="B12" s="95">
        <f t="shared" si="9"/>
        <v>43770</v>
      </c>
      <c r="C12" s="100">
        <f>SUMPRODUCT(data[Durée interv. jour]*(data[Date]&gt;=B12)*(data[Date]&lt;=EOMONTH(B12,0)))</f>
        <v>0</v>
      </c>
      <c r="D12" s="98">
        <f t="shared" si="0"/>
        <v>0</v>
      </c>
      <c r="E12" s="100">
        <f>SUMPRODUCT(data[Durée interv. dim ou férié]*(data[Date]&gt;=B12)*(data[Date]&lt;=EOMONTH(B12,0)))</f>
        <v>0</v>
      </c>
      <c r="F12" s="98">
        <f t="shared" si="1"/>
        <v>0</v>
      </c>
      <c r="G12" s="100">
        <f>SUMPRODUCT(data[Durée interv. nuit]*(data[Date]&gt;=B12)*(data[Date]&lt;=EOMONTH(B12,0)))</f>
        <v>0</v>
      </c>
      <c r="H12" s="98">
        <f t="shared" si="2"/>
        <v>0</v>
      </c>
      <c r="I12" s="179">
        <f>SUMPRODUCT(data[Garde de :]*(data[Date]&gt;=B12)*(data[Date]&lt;=EOMONTH(B12,0)))</f>
        <v>0</v>
      </c>
      <c r="J12" s="162"/>
      <c r="K12" s="87">
        <f t="shared" si="3"/>
        <v>0</v>
      </c>
      <c r="L12" s="101">
        <f t="shared" si="12"/>
        <v>0</v>
      </c>
      <c r="M12" s="91">
        <f>SUMPRODUCT(data[[Garde postée au CIS]:[Durée interv. nuit]]*(data[Date]&gt;=B12)*(data[Date]&lt;=EOMONTH(B12,0)))-C12-E12-G12</f>
        <v>0</v>
      </c>
      <c r="N12" s="135">
        <f t="shared" si="4"/>
        <v>0</v>
      </c>
      <c r="O12" s="25">
        <f t="shared" si="5"/>
        <v>0</v>
      </c>
      <c r="P12" s="25">
        <f t="shared" si="6"/>
        <v>0</v>
      </c>
      <c r="Q12" s="25">
        <f t="shared" si="7"/>
        <v>0</v>
      </c>
      <c r="R12" s="102">
        <f t="shared" si="8"/>
        <v>0</v>
      </c>
      <c r="S12" s="109">
        <f t="shared" si="10"/>
        <v>0</v>
      </c>
      <c r="T12" s="123" t="s">
        <v>94</v>
      </c>
      <c r="U12" s="78">
        <f t="shared" si="11"/>
        <v>7881.4958333333352</v>
      </c>
      <c r="W12" s="128"/>
    </row>
    <row r="13" spans="1:24" ht="15" thickBot="1" x14ac:dyDescent="0.35">
      <c r="A13" s="58"/>
      <c r="B13" s="96">
        <f t="shared" si="9"/>
        <v>43800</v>
      </c>
      <c r="C13" s="103">
        <f>SUMPRODUCT(data[Durée interv. jour]*(data[Date]&gt;=B13)*(data[Date]&lt;=EOMONTH(B13,0)))</f>
        <v>0</v>
      </c>
      <c r="D13" s="99">
        <f t="shared" si="0"/>
        <v>0</v>
      </c>
      <c r="E13" s="103">
        <f>SUMPRODUCT(data[Durée interv. dim ou férié]*(data[Date]&gt;=B13)*(data[Date]&lt;=EOMONTH(B13,0)))</f>
        <v>0</v>
      </c>
      <c r="F13" s="99">
        <f t="shared" si="1"/>
        <v>0</v>
      </c>
      <c r="G13" s="103">
        <f>SUMPRODUCT(data[Durée interv. nuit]*(data[Date]&gt;=B13)*(data[Date]&lt;=EOMONTH(B13,0)))</f>
        <v>0</v>
      </c>
      <c r="H13" s="99">
        <f t="shared" si="2"/>
        <v>0</v>
      </c>
      <c r="I13" s="179">
        <f>SUMPRODUCT(data[Garde de :]*(data[Date]&gt;=B13)*(data[Date]&lt;=EOMONTH(B13,0)))</f>
        <v>0</v>
      </c>
      <c r="J13" s="163"/>
      <c r="K13" s="88">
        <f t="shared" si="3"/>
        <v>0</v>
      </c>
      <c r="L13" s="104">
        <f t="shared" si="12"/>
        <v>0</v>
      </c>
      <c r="M13" s="92">
        <f>SUMPRODUCT(data[[Garde postée au CIS]:[Durée interv. nuit]]*(data[Date]&gt;=B13)*(data[Date]&lt;=EOMONTH(B13,0)))-C13-E13-G13</f>
        <v>0</v>
      </c>
      <c r="N13" s="136">
        <f t="shared" si="4"/>
        <v>0</v>
      </c>
      <c r="O13" s="105">
        <f t="shared" si="5"/>
        <v>0</v>
      </c>
      <c r="P13" s="105">
        <f t="shared" si="6"/>
        <v>0</v>
      </c>
      <c r="Q13" s="105">
        <f t="shared" si="7"/>
        <v>0</v>
      </c>
      <c r="R13" s="106">
        <f t="shared" si="8"/>
        <v>0</v>
      </c>
      <c r="S13" s="110">
        <f t="shared" si="10"/>
        <v>0</v>
      </c>
      <c r="T13" s="124" t="s">
        <v>95</v>
      </c>
      <c r="U13" s="79">
        <f t="shared" si="11"/>
        <v>7881.4958333333352</v>
      </c>
      <c r="W13" s="131"/>
    </row>
    <row r="14" spans="1:24" ht="15" thickTop="1" x14ac:dyDescent="0.3">
      <c r="B14" s="22" t="s">
        <v>45</v>
      </c>
      <c r="C14" s="77"/>
      <c r="D14" s="77">
        <f>SUM(D2:D13)</f>
        <v>2.5729166666666665</v>
      </c>
      <c r="E14" s="77"/>
      <c r="F14" s="77">
        <f>SUM(F2:F13)</f>
        <v>0.84375</v>
      </c>
      <c r="G14" s="77"/>
      <c r="H14" s="77">
        <f>SUM(H2:H13)</f>
        <v>0.4375</v>
      </c>
      <c r="I14" s="165">
        <f>SUM(I2:I13)</f>
        <v>23.468055555555559</v>
      </c>
      <c r="J14" s="166"/>
      <c r="K14" s="89"/>
      <c r="L14" s="23">
        <f t="shared" ref="L14:R14" si="13">SUM(L2:L13)</f>
        <v>3.8020833333333335</v>
      </c>
      <c r="M14" s="89"/>
      <c r="N14" s="76">
        <f>SUM(N2:N13)</f>
        <v>19.708333333333332</v>
      </c>
      <c r="O14" s="24">
        <f t="shared" si="13"/>
        <v>2743.3999999999996</v>
      </c>
      <c r="P14" s="24">
        <f t="shared" si="13"/>
        <v>477.94499999999999</v>
      </c>
      <c r="Q14" s="24">
        <f t="shared" si="13"/>
        <v>235.10249999999999</v>
      </c>
      <c r="R14" s="24">
        <f t="shared" si="13"/>
        <v>162.54</v>
      </c>
      <c r="S14" s="94">
        <f>SUM(S2:S13)</f>
        <v>3618.5041666666666</v>
      </c>
      <c r="T14" s="107"/>
      <c r="U14" s="72">
        <f>U13</f>
        <v>7881.4958333333352</v>
      </c>
      <c r="W14" s="130"/>
    </row>
    <row r="17" spans="9:9" x14ac:dyDescent="0.3">
      <c r="I17" s="65"/>
    </row>
  </sheetData>
  <autoFilter ref="A1:B14" xr:uid="{00000000-0009-0000-0000-000002000000}"/>
  <mergeCells count="10">
    <mergeCell ref="M1:N1"/>
    <mergeCell ref="I14:J14"/>
    <mergeCell ref="J5:J7"/>
    <mergeCell ref="J8:J10"/>
    <mergeCell ref="J11:J13"/>
    <mergeCell ref="C1:D1"/>
    <mergeCell ref="E1:F1"/>
    <mergeCell ref="G1:H1"/>
    <mergeCell ref="K1:L1"/>
    <mergeCell ref="J2:J4"/>
  </mergeCells>
  <phoneticPr fontId="30" type="noConversion"/>
  <conditionalFormatting sqref="M2:M13">
    <cfRule type="dataBar" priority="1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{B17F1626-3F4F-463F-A0F0-B6FA89374712}</x14:id>
        </ext>
      </extLst>
    </cfRule>
  </conditionalFormatting>
  <conditionalFormatting sqref="K2:K13">
    <cfRule type="dataBar" priority="1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{E2CAFFDD-9D5E-4EC7-B1B0-3BC5D96953E2}</x14:id>
        </ext>
      </extLst>
    </cfRule>
  </conditionalFormatting>
  <conditionalFormatting sqref="S2:S13">
    <cfRule type="dataBar" priority="2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{9BA5B356-A150-4CF1-AAB9-E539427FCA40}</x14:id>
        </ext>
      </extLst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ignoredErrors>
    <ignoredError sqref="E2:E13 G2:G13 C2:C13" formula="1"/>
  </ignoredError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17F1626-3F4F-463F-A0F0-B6FA89374712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M2:M13</xm:sqref>
        </x14:conditionalFormatting>
        <x14:conditionalFormatting xmlns:xm="http://schemas.microsoft.com/office/excel/2006/main">
          <x14:cfRule type="dataBar" id="{E2CAFFDD-9D5E-4EC7-B1B0-3BC5D96953E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K2:K13</xm:sqref>
        </x14:conditionalFormatting>
        <x14:conditionalFormatting xmlns:xm="http://schemas.microsoft.com/office/excel/2006/main">
          <x14:cfRule type="dataBar" id="{9BA5B356-A150-4CF1-AAB9-E539427FCA40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S2:S13</xm:sqref>
        </x14:conditionalFormatting>
        <x14:conditionalFormatting xmlns:xm="http://schemas.microsoft.com/office/excel/2006/main">
          <x14:cfRule type="cellIs" priority="25" operator="lessThan" id="{43B80724-BC2F-44AE-966C-28081FBD2C82}">
            <xm:f>Paramètres!$B$46</xm:f>
            <x14:dxf>
              <font>
                <color theme="9" tint="-0.24994659260841701"/>
              </font>
              <fill>
                <patternFill patternType="solid">
                  <bgColor theme="8" tint="0.59996337778862885"/>
                </patternFill>
              </fill>
            </x14:dxf>
          </x14:cfRule>
          <x14:cfRule type="cellIs" priority="26" operator="greaterThan" id="{4225DDA6-D424-44D1-9749-76C9CDBC64DF}">
            <xm:f>Paramètres!$B$46</xm:f>
            <x14:dxf>
              <fill>
                <patternFill>
                  <bgColor rgb="FFFFC7CE"/>
                </patternFill>
              </fill>
            </x14:dxf>
          </x14:cfRule>
          <xm:sqref>S14:T14</xm:sqref>
        </x14:conditionalFormatting>
        <x14:conditionalFormatting xmlns:xm="http://schemas.microsoft.com/office/excel/2006/main">
          <x14:cfRule type="iconSet" priority="5" id="{9E630488-69CC-4092-8D81-5A034AA670DF}">
            <x14:iconSet iconSet="4Arrows" custom="1">
              <x14:cfvo type="percent">
                <xm:f>0</xm:f>
              </x14:cfvo>
              <x14:cfvo type="formula" gte="0">
                <xm:f>Paramètres!$B$44</xm:f>
              </x14:cfvo>
              <x14:cfvo type="formula">
                <xm:f>Paramètres!$B$41</xm:f>
              </x14:cfvo>
              <x14:cfvo type="formula" gte="0">
                <xm:f>Paramètres!$B$41</xm:f>
              </x14:cfvo>
              <x14:cfIcon iconSet="3Symbols" iconId="0"/>
              <x14:cfIcon iconSet="3Symbols" iconId="2"/>
              <x14:cfIcon iconSet="3Symbols" iconId="2"/>
              <x14:cfIcon iconSet="3Symbols" iconId="1"/>
            </x14:iconSet>
          </x14:cfRule>
          <xm:sqref>J2:J4</xm:sqref>
        </x14:conditionalFormatting>
        <x14:conditionalFormatting xmlns:xm="http://schemas.microsoft.com/office/excel/2006/main">
          <x14:cfRule type="iconSet" priority="4" id="{4F56E466-B4E5-4D2F-A594-9CEBBBA9E1F5}">
            <x14:iconSet iconSet="4Arrows" custom="1">
              <x14:cfvo type="percent">
                <xm:f>0</xm:f>
              </x14:cfvo>
              <x14:cfvo type="formula" gte="0">
                <xm:f>Paramètres!$B$44</xm:f>
              </x14:cfvo>
              <x14:cfvo type="formula">
                <xm:f>Paramètres!$B$41</xm:f>
              </x14:cfvo>
              <x14:cfvo type="formula" gte="0">
                <xm:f>Paramètres!$B$41</xm:f>
              </x14:cfvo>
              <x14:cfIcon iconSet="3Symbols" iconId="0"/>
              <x14:cfIcon iconSet="3Symbols" iconId="2"/>
              <x14:cfIcon iconSet="3Symbols" iconId="2"/>
              <x14:cfIcon iconSet="3Symbols" iconId="1"/>
            </x14:iconSet>
          </x14:cfRule>
          <xm:sqref>J5:J7</xm:sqref>
        </x14:conditionalFormatting>
        <x14:conditionalFormatting xmlns:xm="http://schemas.microsoft.com/office/excel/2006/main">
          <x14:cfRule type="iconSet" priority="3" id="{A977CC0E-8FDA-4900-8BD0-4022D2DB0DC9}">
            <x14:iconSet iconSet="4Arrows" custom="1">
              <x14:cfvo type="percent">
                <xm:f>0</xm:f>
              </x14:cfvo>
              <x14:cfvo type="formula" gte="0">
                <xm:f>Paramètres!$B$44</xm:f>
              </x14:cfvo>
              <x14:cfvo type="formula">
                <xm:f>Paramètres!$B$41</xm:f>
              </x14:cfvo>
              <x14:cfvo type="formula" gte="0">
                <xm:f>Paramètres!$B$41</xm:f>
              </x14:cfvo>
              <x14:cfIcon iconSet="3Symbols" iconId="0"/>
              <x14:cfIcon iconSet="3Symbols" iconId="2"/>
              <x14:cfIcon iconSet="3Symbols" iconId="2"/>
              <x14:cfIcon iconSet="3Symbols" iconId="1"/>
            </x14:iconSet>
          </x14:cfRule>
          <xm:sqref>J8:J10</xm:sqref>
        </x14:conditionalFormatting>
        <x14:conditionalFormatting xmlns:xm="http://schemas.microsoft.com/office/excel/2006/main">
          <x14:cfRule type="iconSet" priority="2" id="{8661B6E4-89D5-4FE7-A9F6-0B5DCCDB83CB}">
            <x14:iconSet iconSet="4Arrows" custom="1">
              <x14:cfvo type="percent">
                <xm:f>0</xm:f>
              </x14:cfvo>
              <x14:cfvo type="formula" gte="0">
                <xm:f>Paramètres!$B$44</xm:f>
              </x14:cfvo>
              <x14:cfvo type="formula">
                <xm:f>Paramètres!$B$41</xm:f>
              </x14:cfvo>
              <x14:cfvo type="formula" gte="0">
                <xm:f>Paramètres!$B$41</xm:f>
              </x14:cfvo>
              <x14:cfIcon iconSet="3Symbols" iconId="0"/>
              <x14:cfIcon iconSet="3Symbols" iconId="2"/>
              <x14:cfIcon iconSet="3Symbols" iconId="2"/>
              <x14:cfIcon iconSet="3Symbols" iconId="1"/>
            </x14:iconSet>
          </x14:cfRule>
          <xm:sqref>J11:J13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H1441"/>
  <sheetViews>
    <sheetView workbookViewId="0">
      <selection activeCell="B4" sqref="B4"/>
    </sheetView>
  </sheetViews>
  <sheetFormatPr baseColWidth="10" defaultColWidth="10.88671875" defaultRowHeight="14.4" x14ac:dyDescent="0.3"/>
  <cols>
    <col min="1" max="1" width="21.33203125" style="3" bestFit="1" customWidth="1"/>
    <col min="2" max="2" width="20.33203125" style="10" bestFit="1" customWidth="1"/>
    <col min="3" max="16384" width="10.88671875" style="3"/>
  </cols>
  <sheetData>
    <row r="1" spans="1:8" x14ac:dyDescent="0.3">
      <c r="A1" s="4" t="s">
        <v>27</v>
      </c>
      <c r="B1" s="9">
        <v>0.29166666666666669</v>
      </c>
      <c r="E1" s="4" t="s">
        <v>68</v>
      </c>
      <c r="F1" s="3" t="s">
        <v>69</v>
      </c>
      <c r="H1" s="3" t="s">
        <v>82</v>
      </c>
    </row>
    <row r="2" spans="1:8" x14ac:dyDescent="0.3">
      <c r="A2" s="4" t="s">
        <v>28</v>
      </c>
      <c r="B2" s="9">
        <v>0.91666666666666663</v>
      </c>
      <c r="E2" s="53">
        <v>0</v>
      </c>
      <c r="F2" s="56">
        <f>ROUNDUP(E2*4*24+1/60/24,0)/4/24</f>
        <v>1.0416666666666666E-2</v>
      </c>
      <c r="H2" s="3" t="s">
        <v>81</v>
      </c>
    </row>
    <row r="3" spans="1:8" x14ac:dyDescent="0.3">
      <c r="B3" s="10" t="s">
        <v>84</v>
      </c>
      <c r="C3" s="129"/>
      <c r="E3" s="54">
        <v>6.9444444444444447E-4</v>
      </c>
      <c r="F3" s="56">
        <f t="shared" ref="F3:F66" si="0">ROUNDUP(E3*4*24+1/60/24,0)/4/24</f>
        <v>1.0416666666666666E-2</v>
      </c>
    </row>
    <row r="4" spans="1:8" x14ac:dyDescent="0.3">
      <c r="A4" s="4" t="s">
        <v>29</v>
      </c>
      <c r="B4" s="11">
        <v>5.8</v>
      </c>
      <c r="E4" s="54">
        <v>1.38888888888889E-3</v>
      </c>
      <c r="F4" s="56">
        <f t="shared" si="0"/>
        <v>1.0416666666666666E-2</v>
      </c>
    </row>
    <row r="5" spans="1:8" x14ac:dyDescent="0.3">
      <c r="A5" s="4" t="s">
        <v>30</v>
      </c>
      <c r="B5" s="11">
        <v>7.74</v>
      </c>
      <c r="E5" s="54">
        <v>2.0833333333333298E-3</v>
      </c>
      <c r="F5" s="56">
        <f t="shared" si="0"/>
        <v>1.0416666666666666E-2</v>
      </c>
    </row>
    <row r="6" spans="1:8" x14ac:dyDescent="0.3">
      <c r="A6" s="4" t="s">
        <v>31</v>
      </c>
      <c r="B6" s="11">
        <v>11.61</v>
      </c>
      <c r="E6" s="54">
        <v>2.7777777777777801E-3</v>
      </c>
      <c r="F6" s="56">
        <f t="shared" si="0"/>
        <v>1.0416666666666666E-2</v>
      </c>
    </row>
    <row r="7" spans="1:8" x14ac:dyDescent="0.3">
      <c r="A7" s="4" t="s">
        <v>32</v>
      </c>
      <c r="B7" s="11">
        <v>15.48</v>
      </c>
      <c r="E7" s="54">
        <v>3.4722222222222199E-3</v>
      </c>
      <c r="F7" s="56">
        <f t="shared" si="0"/>
        <v>1.0416666666666666E-2</v>
      </c>
    </row>
    <row r="8" spans="1:8" x14ac:dyDescent="0.3">
      <c r="E8" s="54">
        <v>4.1666666666666701E-3</v>
      </c>
      <c r="F8" s="56">
        <f t="shared" si="0"/>
        <v>1.0416666666666666E-2</v>
      </c>
    </row>
    <row r="9" spans="1:8" x14ac:dyDescent="0.3">
      <c r="A9" s="5" t="s">
        <v>26</v>
      </c>
      <c r="B9" s="8" t="s">
        <v>2</v>
      </c>
      <c r="E9" s="54">
        <v>4.8611111111111103E-3</v>
      </c>
      <c r="F9" s="56">
        <f t="shared" si="0"/>
        <v>1.0416666666666666E-2</v>
      </c>
    </row>
    <row r="10" spans="1:8" x14ac:dyDescent="0.3">
      <c r="A10" s="6"/>
      <c r="B10" s="8" t="s">
        <v>4</v>
      </c>
      <c r="E10" s="54">
        <v>5.5555555555555601E-3</v>
      </c>
      <c r="F10" s="56">
        <f t="shared" si="0"/>
        <v>1.0416666666666666E-2</v>
      </c>
    </row>
    <row r="11" spans="1:8" x14ac:dyDescent="0.3">
      <c r="A11" s="6"/>
      <c r="B11" s="8" t="s">
        <v>3</v>
      </c>
      <c r="E11" s="54">
        <v>6.2500000000000003E-3</v>
      </c>
      <c r="F11" s="56">
        <f t="shared" si="0"/>
        <v>1.0416666666666666E-2</v>
      </c>
    </row>
    <row r="12" spans="1:8" x14ac:dyDescent="0.3">
      <c r="A12" s="6"/>
      <c r="B12" s="8" t="s">
        <v>5</v>
      </c>
      <c r="E12" s="54">
        <v>6.9444444444444397E-3</v>
      </c>
      <c r="F12" s="56">
        <f t="shared" si="0"/>
        <v>1.0416666666666666E-2</v>
      </c>
    </row>
    <row r="13" spans="1:8" x14ac:dyDescent="0.3">
      <c r="A13" s="6"/>
      <c r="B13" s="8" t="s">
        <v>78</v>
      </c>
      <c r="E13" s="54">
        <v>7.6388888888888904E-3</v>
      </c>
      <c r="F13" s="56">
        <f t="shared" si="0"/>
        <v>1.0416666666666666E-2</v>
      </c>
    </row>
    <row r="14" spans="1:8" x14ac:dyDescent="0.3">
      <c r="A14" s="7"/>
      <c r="B14" s="8" t="s">
        <v>97</v>
      </c>
      <c r="E14" s="54">
        <v>8.3333333333333297E-3</v>
      </c>
      <c r="F14" s="56">
        <f t="shared" si="0"/>
        <v>1.0416666666666666E-2</v>
      </c>
    </row>
    <row r="15" spans="1:8" x14ac:dyDescent="0.3">
      <c r="E15" s="54">
        <v>9.0277777777777804E-3</v>
      </c>
      <c r="F15" s="56">
        <f t="shared" si="0"/>
        <v>1.0416666666666666E-2</v>
      </c>
    </row>
    <row r="16" spans="1:8" x14ac:dyDescent="0.3">
      <c r="A16" s="5" t="s">
        <v>63</v>
      </c>
      <c r="B16" s="8" t="s">
        <v>56</v>
      </c>
      <c r="E16" s="54">
        <v>9.7222222222222206E-3</v>
      </c>
      <c r="F16" s="56">
        <f t="shared" si="0"/>
        <v>1.0416666666666666E-2</v>
      </c>
    </row>
    <row r="17" spans="1:6" x14ac:dyDescent="0.3">
      <c r="A17" s="6"/>
      <c r="B17" s="8" t="s">
        <v>52</v>
      </c>
      <c r="E17" s="54">
        <v>1.0416666666666701E-2</v>
      </c>
      <c r="F17" s="56">
        <f t="shared" si="0"/>
        <v>2.0833333333333332E-2</v>
      </c>
    </row>
    <row r="18" spans="1:6" x14ac:dyDescent="0.3">
      <c r="A18" s="6"/>
      <c r="B18" s="8" t="s">
        <v>66</v>
      </c>
      <c r="E18" s="54">
        <v>1.1111111111111099E-2</v>
      </c>
      <c r="F18" s="56">
        <f t="shared" si="0"/>
        <v>2.0833333333333332E-2</v>
      </c>
    </row>
    <row r="19" spans="1:6" x14ac:dyDescent="0.3">
      <c r="A19" s="6"/>
      <c r="B19" s="8" t="s">
        <v>65</v>
      </c>
      <c r="E19" s="54">
        <v>1.18055555555556E-2</v>
      </c>
      <c r="F19" s="56">
        <f t="shared" si="0"/>
        <v>2.0833333333333332E-2</v>
      </c>
    </row>
    <row r="20" spans="1:6" x14ac:dyDescent="0.3">
      <c r="A20" s="6"/>
      <c r="B20" s="8" t="s">
        <v>67</v>
      </c>
      <c r="E20" s="54">
        <v>1.2500000000000001E-2</v>
      </c>
      <c r="F20" s="56">
        <f t="shared" si="0"/>
        <v>2.0833333333333332E-2</v>
      </c>
    </row>
    <row r="21" spans="1:6" x14ac:dyDescent="0.3">
      <c r="A21" s="6"/>
      <c r="B21" s="8" t="s">
        <v>57</v>
      </c>
      <c r="E21" s="54">
        <v>1.3194444444444399E-2</v>
      </c>
      <c r="F21" s="56">
        <f t="shared" si="0"/>
        <v>2.0833333333333332E-2</v>
      </c>
    </row>
    <row r="22" spans="1:6" x14ac:dyDescent="0.3">
      <c r="A22" s="6"/>
      <c r="B22" s="8" t="s">
        <v>54</v>
      </c>
      <c r="E22" s="54">
        <v>1.38888888888889E-2</v>
      </c>
      <c r="F22" s="56">
        <f t="shared" si="0"/>
        <v>2.0833333333333332E-2</v>
      </c>
    </row>
    <row r="23" spans="1:6" x14ac:dyDescent="0.3">
      <c r="A23" s="6"/>
      <c r="B23" s="8" t="s">
        <v>64</v>
      </c>
      <c r="E23" s="54">
        <v>1.4583333333333301E-2</v>
      </c>
      <c r="F23" s="56">
        <f t="shared" si="0"/>
        <v>2.0833333333333332E-2</v>
      </c>
    </row>
    <row r="24" spans="1:6" x14ac:dyDescent="0.3">
      <c r="A24" s="6"/>
      <c r="B24" s="8" t="s">
        <v>59</v>
      </c>
      <c r="E24" s="54">
        <v>1.52777777777778E-2</v>
      </c>
      <c r="F24" s="56">
        <f t="shared" si="0"/>
        <v>2.0833333333333332E-2</v>
      </c>
    </row>
    <row r="25" spans="1:6" x14ac:dyDescent="0.3">
      <c r="A25" s="6"/>
      <c r="B25" s="8" t="s">
        <v>55</v>
      </c>
      <c r="E25" s="54">
        <v>1.59722222222222E-2</v>
      </c>
      <c r="F25" s="56">
        <f t="shared" si="0"/>
        <v>2.0833333333333332E-2</v>
      </c>
    </row>
    <row r="26" spans="1:6" x14ac:dyDescent="0.3">
      <c r="A26" s="6"/>
      <c r="B26" s="8" t="s">
        <v>53</v>
      </c>
      <c r="E26" s="54">
        <v>1.6666666666666701E-2</v>
      </c>
      <c r="F26" s="56">
        <f t="shared" si="0"/>
        <v>2.0833333333333332E-2</v>
      </c>
    </row>
    <row r="27" spans="1:6" x14ac:dyDescent="0.3">
      <c r="A27" s="6"/>
      <c r="B27" s="8" t="s">
        <v>60</v>
      </c>
      <c r="E27" s="54">
        <v>1.7361111111111101E-2</v>
      </c>
      <c r="F27" s="56">
        <f t="shared" si="0"/>
        <v>2.0833333333333332E-2</v>
      </c>
    </row>
    <row r="28" spans="1:6" x14ac:dyDescent="0.3">
      <c r="A28" s="6"/>
      <c r="B28" s="8" t="s">
        <v>58</v>
      </c>
      <c r="E28" s="54">
        <v>1.8055555555555599E-2</v>
      </c>
      <c r="F28" s="56">
        <f t="shared" si="0"/>
        <v>2.0833333333333332E-2</v>
      </c>
    </row>
    <row r="29" spans="1:6" x14ac:dyDescent="0.3">
      <c r="A29" s="6"/>
      <c r="B29" s="8" t="s">
        <v>85</v>
      </c>
      <c r="E29" s="54">
        <v>1.8749999999999999E-2</v>
      </c>
      <c r="F29" s="56">
        <f t="shared" si="0"/>
        <v>2.0833333333333332E-2</v>
      </c>
    </row>
    <row r="30" spans="1:6" x14ac:dyDescent="0.3">
      <c r="A30" s="7"/>
      <c r="B30" s="8" t="s">
        <v>61</v>
      </c>
      <c r="E30" s="54">
        <v>1.94444444444444E-2</v>
      </c>
      <c r="F30" s="56">
        <f t="shared" si="0"/>
        <v>2.0833333333333332E-2</v>
      </c>
    </row>
    <row r="31" spans="1:6" x14ac:dyDescent="0.3">
      <c r="E31" s="54">
        <v>2.0138888888888901E-2</v>
      </c>
      <c r="F31" s="56">
        <f t="shared" si="0"/>
        <v>2.0833333333333332E-2</v>
      </c>
    </row>
    <row r="32" spans="1:6" x14ac:dyDescent="0.3">
      <c r="E32" s="54">
        <v>2.0833333333333301E-2</v>
      </c>
      <c r="F32" s="56">
        <f t="shared" si="0"/>
        <v>3.125E-2</v>
      </c>
    </row>
    <row r="33" spans="1:6" x14ac:dyDescent="0.3">
      <c r="E33" s="54">
        <v>2.1527777777777798E-2</v>
      </c>
      <c r="F33" s="56">
        <f t="shared" si="0"/>
        <v>3.125E-2</v>
      </c>
    </row>
    <row r="34" spans="1:6" x14ac:dyDescent="0.3">
      <c r="E34" s="54">
        <v>2.2222222222222199E-2</v>
      </c>
      <c r="F34" s="56">
        <f t="shared" si="0"/>
        <v>3.125E-2</v>
      </c>
    </row>
    <row r="35" spans="1:6" x14ac:dyDescent="0.3">
      <c r="E35" s="54">
        <v>2.29166666666667E-2</v>
      </c>
      <c r="F35" s="56">
        <f t="shared" si="0"/>
        <v>3.125E-2</v>
      </c>
    </row>
    <row r="36" spans="1:6" x14ac:dyDescent="0.3">
      <c r="E36" s="54">
        <v>2.36111111111111E-2</v>
      </c>
      <c r="F36" s="56">
        <f t="shared" si="0"/>
        <v>3.125E-2</v>
      </c>
    </row>
    <row r="37" spans="1:6" x14ac:dyDescent="0.3">
      <c r="E37" s="54">
        <v>2.4305555555555601E-2</v>
      </c>
      <c r="F37" s="56">
        <f t="shared" si="0"/>
        <v>3.125E-2</v>
      </c>
    </row>
    <row r="38" spans="1:6" x14ac:dyDescent="0.3">
      <c r="E38" s="54">
        <v>2.5000000000000001E-2</v>
      </c>
      <c r="F38" s="56">
        <f t="shared" si="0"/>
        <v>3.125E-2</v>
      </c>
    </row>
    <row r="39" spans="1:6" x14ac:dyDescent="0.3">
      <c r="E39" s="54">
        <v>2.5694444444444402E-2</v>
      </c>
      <c r="F39" s="56">
        <f t="shared" si="0"/>
        <v>3.125E-2</v>
      </c>
    </row>
    <row r="40" spans="1:6" x14ac:dyDescent="0.3">
      <c r="A40" s="73" t="s">
        <v>72</v>
      </c>
      <c r="B40" s="125">
        <f>B42*12</f>
        <v>60</v>
      </c>
      <c r="E40" s="54">
        <v>2.6388888888888899E-2</v>
      </c>
      <c r="F40" s="56">
        <f t="shared" si="0"/>
        <v>3.125E-2</v>
      </c>
    </row>
    <row r="41" spans="1:6" x14ac:dyDescent="0.3">
      <c r="A41" s="59" t="s">
        <v>73</v>
      </c>
      <c r="B41" s="126">
        <f>B42*3</f>
        <v>15</v>
      </c>
      <c r="E41" s="54">
        <v>2.70833333333333E-2</v>
      </c>
      <c r="F41" s="56">
        <f t="shared" si="0"/>
        <v>3.125E-2</v>
      </c>
    </row>
    <row r="42" spans="1:6" x14ac:dyDescent="0.3">
      <c r="A42" s="74" t="s">
        <v>74</v>
      </c>
      <c r="B42" s="127">
        <v>5</v>
      </c>
      <c r="E42" s="54">
        <v>2.7777777777777801E-2</v>
      </c>
      <c r="F42" s="56">
        <f t="shared" si="0"/>
        <v>3.125E-2</v>
      </c>
    </row>
    <row r="43" spans="1:6" x14ac:dyDescent="0.3">
      <c r="A43" s="74" t="s">
        <v>75</v>
      </c>
      <c r="B43" s="127">
        <v>16</v>
      </c>
      <c r="E43" s="54">
        <v>2.8472222222222201E-2</v>
      </c>
      <c r="F43" s="56">
        <f t="shared" si="0"/>
        <v>3.125E-2</v>
      </c>
    </row>
    <row r="44" spans="1:6" x14ac:dyDescent="0.3">
      <c r="A44" s="74" t="s">
        <v>76</v>
      </c>
      <c r="B44" s="127">
        <v>4</v>
      </c>
      <c r="E44" s="54">
        <v>2.9166666666666698E-2</v>
      </c>
      <c r="F44" s="56">
        <f t="shared" si="0"/>
        <v>3.125E-2</v>
      </c>
    </row>
    <row r="45" spans="1:6" x14ac:dyDescent="0.3">
      <c r="A45" s="59" t="s">
        <v>77</v>
      </c>
      <c r="B45" s="126">
        <v>0</v>
      </c>
      <c r="E45" s="54">
        <v>2.9861111111111099E-2</v>
      </c>
      <c r="F45" s="56">
        <f t="shared" si="0"/>
        <v>3.125E-2</v>
      </c>
    </row>
    <row r="46" spans="1:6" x14ac:dyDescent="0.3">
      <c r="A46" s="75" t="s">
        <v>70</v>
      </c>
      <c r="B46" s="97">
        <v>11500</v>
      </c>
      <c r="E46" s="54">
        <v>3.05555555555556E-2</v>
      </c>
      <c r="F46" s="56">
        <f t="shared" si="0"/>
        <v>3.125E-2</v>
      </c>
    </row>
    <row r="47" spans="1:6" x14ac:dyDescent="0.3">
      <c r="E47" s="54">
        <v>3.125E-2</v>
      </c>
      <c r="F47" s="56">
        <f t="shared" si="0"/>
        <v>4.1666666666666664E-2</v>
      </c>
    </row>
    <row r="48" spans="1:6" x14ac:dyDescent="0.3">
      <c r="E48" s="54">
        <v>3.19444444444444E-2</v>
      </c>
      <c r="F48" s="56">
        <f t="shared" si="0"/>
        <v>4.1666666666666664E-2</v>
      </c>
    </row>
    <row r="49" spans="5:6" x14ac:dyDescent="0.3">
      <c r="E49" s="54">
        <v>3.2638888888888898E-2</v>
      </c>
      <c r="F49" s="56">
        <f t="shared" si="0"/>
        <v>4.1666666666666664E-2</v>
      </c>
    </row>
    <row r="50" spans="5:6" x14ac:dyDescent="0.3">
      <c r="E50" s="54">
        <v>3.3333333333333298E-2</v>
      </c>
      <c r="F50" s="56">
        <f t="shared" si="0"/>
        <v>4.1666666666666664E-2</v>
      </c>
    </row>
    <row r="51" spans="5:6" x14ac:dyDescent="0.3">
      <c r="E51" s="54">
        <v>3.4027777777777803E-2</v>
      </c>
      <c r="F51" s="56">
        <f t="shared" si="0"/>
        <v>4.1666666666666664E-2</v>
      </c>
    </row>
    <row r="52" spans="5:6" x14ac:dyDescent="0.3">
      <c r="E52" s="54">
        <v>3.4722222222222203E-2</v>
      </c>
      <c r="F52" s="56">
        <f t="shared" si="0"/>
        <v>4.1666666666666664E-2</v>
      </c>
    </row>
    <row r="53" spans="5:6" x14ac:dyDescent="0.3">
      <c r="E53" s="54">
        <v>3.54166666666667E-2</v>
      </c>
      <c r="F53" s="56">
        <f t="shared" si="0"/>
        <v>4.1666666666666664E-2</v>
      </c>
    </row>
    <row r="54" spans="5:6" x14ac:dyDescent="0.3">
      <c r="E54" s="54">
        <v>3.6111111111111101E-2</v>
      </c>
      <c r="F54" s="56">
        <f t="shared" si="0"/>
        <v>4.1666666666666664E-2</v>
      </c>
    </row>
    <row r="55" spans="5:6" x14ac:dyDescent="0.3">
      <c r="E55" s="54">
        <v>3.6805555555555598E-2</v>
      </c>
      <c r="F55" s="56">
        <f t="shared" si="0"/>
        <v>4.1666666666666664E-2</v>
      </c>
    </row>
    <row r="56" spans="5:6" x14ac:dyDescent="0.3">
      <c r="E56" s="54">
        <v>3.7499999999999999E-2</v>
      </c>
      <c r="F56" s="56">
        <f t="shared" si="0"/>
        <v>4.1666666666666664E-2</v>
      </c>
    </row>
    <row r="57" spans="5:6" x14ac:dyDescent="0.3">
      <c r="E57" s="54">
        <v>3.8194444444444399E-2</v>
      </c>
      <c r="F57" s="56">
        <f t="shared" si="0"/>
        <v>4.1666666666666664E-2</v>
      </c>
    </row>
    <row r="58" spans="5:6" x14ac:dyDescent="0.3">
      <c r="E58" s="54">
        <v>3.8888888888888903E-2</v>
      </c>
      <c r="F58" s="56">
        <f t="shared" si="0"/>
        <v>4.1666666666666664E-2</v>
      </c>
    </row>
    <row r="59" spans="5:6" x14ac:dyDescent="0.3">
      <c r="E59" s="54">
        <v>3.9583333333333297E-2</v>
      </c>
      <c r="F59" s="56">
        <f t="shared" si="0"/>
        <v>4.1666666666666664E-2</v>
      </c>
    </row>
    <row r="60" spans="5:6" x14ac:dyDescent="0.3">
      <c r="E60" s="54">
        <v>4.0277777777777801E-2</v>
      </c>
      <c r="F60" s="56">
        <f t="shared" si="0"/>
        <v>4.1666666666666664E-2</v>
      </c>
    </row>
    <row r="61" spans="5:6" x14ac:dyDescent="0.3">
      <c r="E61" s="54">
        <v>4.0972222222222202E-2</v>
      </c>
      <c r="F61" s="56">
        <f t="shared" si="0"/>
        <v>4.1666666666666664E-2</v>
      </c>
    </row>
    <row r="62" spans="5:6" x14ac:dyDescent="0.3">
      <c r="E62" s="54">
        <v>4.1666666666666699E-2</v>
      </c>
      <c r="F62" s="56">
        <f t="shared" si="0"/>
        <v>5.2083333333333336E-2</v>
      </c>
    </row>
    <row r="63" spans="5:6" x14ac:dyDescent="0.3">
      <c r="E63" s="54">
        <v>4.2361111111111099E-2</v>
      </c>
      <c r="F63" s="56">
        <f t="shared" si="0"/>
        <v>5.2083333333333336E-2</v>
      </c>
    </row>
    <row r="64" spans="5:6" x14ac:dyDescent="0.3">
      <c r="E64" s="54">
        <v>4.3055555555555597E-2</v>
      </c>
      <c r="F64" s="56">
        <f t="shared" si="0"/>
        <v>5.2083333333333336E-2</v>
      </c>
    </row>
    <row r="65" spans="5:6" x14ac:dyDescent="0.3">
      <c r="E65" s="54">
        <v>4.3749999999999997E-2</v>
      </c>
      <c r="F65" s="56">
        <f t="shared" si="0"/>
        <v>5.2083333333333336E-2</v>
      </c>
    </row>
    <row r="66" spans="5:6" x14ac:dyDescent="0.3">
      <c r="E66" s="54">
        <v>4.4444444444444398E-2</v>
      </c>
      <c r="F66" s="56">
        <f t="shared" si="0"/>
        <v>5.2083333333333336E-2</v>
      </c>
    </row>
    <row r="67" spans="5:6" x14ac:dyDescent="0.3">
      <c r="E67" s="54">
        <v>4.5138888888888902E-2</v>
      </c>
      <c r="F67" s="56">
        <f t="shared" ref="F67:F130" si="1">ROUNDUP(E67*4*24+1/60/24,0)/4/24</f>
        <v>5.2083333333333336E-2</v>
      </c>
    </row>
    <row r="68" spans="5:6" x14ac:dyDescent="0.3">
      <c r="E68" s="54">
        <v>4.5833333333333302E-2</v>
      </c>
      <c r="F68" s="56">
        <f t="shared" si="1"/>
        <v>5.2083333333333336E-2</v>
      </c>
    </row>
    <row r="69" spans="5:6" x14ac:dyDescent="0.3">
      <c r="E69" s="54">
        <v>4.65277777777778E-2</v>
      </c>
      <c r="F69" s="56">
        <f t="shared" si="1"/>
        <v>5.2083333333333336E-2</v>
      </c>
    </row>
    <row r="70" spans="5:6" x14ac:dyDescent="0.3">
      <c r="E70" s="54">
        <v>4.72222222222222E-2</v>
      </c>
      <c r="F70" s="56">
        <f t="shared" si="1"/>
        <v>5.2083333333333336E-2</v>
      </c>
    </row>
    <row r="71" spans="5:6" x14ac:dyDescent="0.3">
      <c r="E71" s="54">
        <v>4.7916666666666698E-2</v>
      </c>
      <c r="F71" s="56">
        <f t="shared" si="1"/>
        <v>5.2083333333333336E-2</v>
      </c>
    </row>
    <row r="72" spans="5:6" x14ac:dyDescent="0.3">
      <c r="E72" s="54">
        <v>4.8611111111111098E-2</v>
      </c>
      <c r="F72" s="56">
        <f t="shared" si="1"/>
        <v>5.2083333333333336E-2</v>
      </c>
    </row>
    <row r="73" spans="5:6" x14ac:dyDescent="0.3">
      <c r="E73" s="54">
        <v>4.9305555555555602E-2</v>
      </c>
      <c r="F73" s="56">
        <f t="shared" si="1"/>
        <v>5.2083333333333336E-2</v>
      </c>
    </row>
    <row r="74" spans="5:6" x14ac:dyDescent="0.3">
      <c r="E74" s="54">
        <v>0.05</v>
      </c>
      <c r="F74" s="56">
        <f t="shared" si="1"/>
        <v>5.2083333333333336E-2</v>
      </c>
    </row>
    <row r="75" spans="5:6" x14ac:dyDescent="0.3">
      <c r="E75" s="54">
        <v>5.0694444444444403E-2</v>
      </c>
      <c r="F75" s="56">
        <f t="shared" si="1"/>
        <v>5.2083333333333336E-2</v>
      </c>
    </row>
    <row r="76" spans="5:6" x14ac:dyDescent="0.3">
      <c r="E76" s="54">
        <v>5.1388888888888901E-2</v>
      </c>
      <c r="F76" s="56">
        <f t="shared" si="1"/>
        <v>5.2083333333333336E-2</v>
      </c>
    </row>
    <row r="77" spans="5:6" x14ac:dyDescent="0.3">
      <c r="E77" s="54">
        <v>5.2083333333333301E-2</v>
      </c>
      <c r="F77" s="56">
        <f t="shared" si="1"/>
        <v>6.25E-2</v>
      </c>
    </row>
    <row r="78" spans="5:6" x14ac:dyDescent="0.3">
      <c r="E78" s="54">
        <v>5.2777777777777798E-2</v>
      </c>
      <c r="F78" s="56">
        <f t="shared" si="1"/>
        <v>6.25E-2</v>
      </c>
    </row>
    <row r="79" spans="5:6" x14ac:dyDescent="0.3">
      <c r="E79" s="54">
        <v>5.3472222222222199E-2</v>
      </c>
      <c r="F79" s="56">
        <f t="shared" si="1"/>
        <v>6.25E-2</v>
      </c>
    </row>
    <row r="80" spans="5:6" x14ac:dyDescent="0.3">
      <c r="E80" s="54">
        <v>5.4166666666666703E-2</v>
      </c>
      <c r="F80" s="56">
        <f t="shared" si="1"/>
        <v>6.25E-2</v>
      </c>
    </row>
    <row r="81" spans="5:6" x14ac:dyDescent="0.3">
      <c r="E81" s="54">
        <v>5.4861111111111097E-2</v>
      </c>
      <c r="F81" s="56">
        <f t="shared" si="1"/>
        <v>6.25E-2</v>
      </c>
    </row>
    <row r="82" spans="5:6" x14ac:dyDescent="0.3">
      <c r="E82" s="54">
        <v>5.5555555555555601E-2</v>
      </c>
      <c r="F82" s="56">
        <f t="shared" si="1"/>
        <v>6.25E-2</v>
      </c>
    </row>
    <row r="83" spans="5:6" x14ac:dyDescent="0.3">
      <c r="E83" s="54">
        <v>5.6250000000000001E-2</v>
      </c>
      <c r="F83" s="56">
        <f t="shared" si="1"/>
        <v>6.25E-2</v>
      </c>
    </row>
    <row r="84" spans="5:6" x14ac:dyDescent="0.3">
      <c r="E84" s="54">
        <v>5.6944444444444402E-2</v>
      </c>
      <c r="F84" s="56">
        <f t="shared" si="1"/>
        <v>6.25E-2</v>
      </c>
    </row>
    <row r="85" spans="5:6" x14ac:dyDescent="0.3">
      <c r="E85" s="54">
        <v>5.7638888888888899E-2</v>
      </c>
      <c r="F85" s="56">
        <f t="shared" si="1"/>
        <v>6.25E-2</v>
      </c>
    </row>
    <row r="86" spans="5:6" x14ac:dyDescent="0.3">
      <c r="E86" s="54">
        <v>5.83333333333333E-2</v>
      </c>
      <c r="F86" s="56">
        <f t="shared" si="1"/>
        <v>6.25E-2</v>
      </c>
    </row>
    <row r="87" spans="5:6" x14ac:dyDescent="0.3">
      <c r="E87" s="54">
        <v>5.9027777777777797E-2</v>
      </c>
      <c r="F87" s="56">
        <f t="shared" si="1"/>
        <v>6.25E-2</v>
      </c>
    </row>
    <row r="88" spans="5:6" x14ac:dyDescent="0.3">
      <c r="E88" s="54">
        <v>5.9722222222222197E-2</v>
      </c>
      <c r="F88" s="56">
        <f t="shared" si="1"/>
        <v>6.25E-2</v>
      </c>
    </row>
    <row r="89" spans="5:6" x14ac:dyDescent="0.3">
      <c r="E89" s="54">
        <v>6.0416666666666702E-2</v>
      </c>
      <c r="F89" s="56">
        <f t="shared" si="1"/>
        <v>6.25E-2</v>
      </c>
    </row>
    <row r="90" spans="5:6" x14ac:dyDescent="0.3">
      <c r="E90" s="54">
        <v>6.1111111111111102E-2</v>
      </c>
      <c r="F90" s="56">
        <f t="shared" si="1"/>
        <v>6.25E-2</v>
      </c>
    </row>
    <row r="91" spans="5:6" x14ac:dyDescent="0.3">
      <c r="E91" s="54">
        <v>6.18055555555556E-2</v>
      </c>
      <c r="F91" s="56">
        <f t="shared" si="1"/>
        <v>6.25E-2</v>
      </c>
    </row>
    <row r="92" spans="5:6" x14ac:dyDescent="0.3">
      <c r="E92" s="54">
        <v>6.25E-2</v>
      </c>
      <c r="F92" s="56">
        <f t="shared" si="1"/>
        <v>7.2916666666666671E-2</v>
      </c>
    </row>
    <row r="93" spans="5:6" x14ac:dyDescent="0.3">
      <c r="E93" s="54">
        <v>6.31944444444444E-2</v>
      </c>
      <c r="F93" s="56">
        <f t="shared" si="1"/>
        <v>7.2916666666666671E-2</v>
      </c>
    </row>
    <row r="94" spans="5:6" x14ac:dyDescent="0.3">
      <c r="E94" s="54">
        <v>6.3888888888888898E-2</v>
      </c>
      <c r="F94" s="56">
        <f t="shared" si="1"/>
        <v>7.2916666666666671E-2</v>
      </c>
    </row>
    <row r="95" spans="5:6" x14ac:dyDescent="0.3">
      <c r="E95" s="54">
        <v>6.4583333333333298E-2</v>
      </c>
      <c r="F95" s="56">
        <f t="shared" si="1"/>
        <v>7.2916666666666671E-2</v>
      </c>
    </row>
    <row r="96" spans="5:6" x14ac:dyDescent="0.3">
      <c r="E96" s="54">
        <v>6.5277777777777796E-2</v>
      </c>
      <c r="F96" s="56">
        <f t="shared" si="1"/>
        <v>7.2916666666666671E-2</v>
      </c>
    </row>
    <row r="97" spans="5:6" x14ac:dyDescent="0.3">
      <c r="E97" s="54">
        <v>6.5972222222222196E-2</v>
      </c>
      <c r="F97" s="56">
        <f t="shared" si="1"/>
        <v>7.2916666666666671E-2</v>
      </c>
    </row>
    <row r="98" spans="5:6" x14ac:dyDescent="0.3">
      <c r="E98" s="54">
        <v>6.6666666666666693E-2</v>
      </c>
      <c r="F98" s="56">
        <f t="shared" si="1"/>
        <v>7.2916666666666671E-2</v>
      </c>
    </row>
    <row r="99" spans="5:6" x14ac:dyDescent="0.3">
      <c r="E99" s="54">
        <v>6.7361111111111094E-2</v>
      </c>
      <c r="F99" s="56">
        <f t="shared" si="1"/>
        <v>7.2916666666666671E-2</v>
      </c>
    </row>
    <row r="100" spans="5:6" x14ac:dyDescent="0.3">
      <c r="E100" s="54">
        <v>6.8055555555555605E-2</v>
      </c>
      <c r="F100" s="56">
        <f t="shared" si="1"/>
        <v>7.2916666666666671E-2</v>
      </c>
    </row>
    <row r="101" spans="5:6" x14ac:dyDescent="0.3">
      <c r="E101" s="54">
        <v>6.8750000000000006E-2</v>
      </c>
      <c r="F101" s="56">
        <f t="shared" si="1"/>
        <v>7.2916666666666671E-2</v>
      </c>
    </row>
    <row r="102" spans="5:6" x14ac:dyDescent="0.3">
      <c r="E102" s="54">
        <v>6.9444444444444406E-2</v>
      </c>
      <c r="F102" s="56">
        <f t="shared" si="1"/>
        <v>7.2916666666666671E-2</v>
      </c>
    </row>
    <row r="103" spans="5:6" x14ac:dyDescent="0.3">
      <c r="E103" s="54">
        <v>7.0138888888888903E-2</v>
      </c>
      <c r="F103" s="56">
        <f t="shared" si="1"/>
        <v>7.2916666666666671E-2</v>
      </c>
    </row>
    <row r="104" spans="5:6" x14ac:dyDescent="0.3">
      <c r="E104" s="54">
        <v>7.0833333333333304E-2</v>
      </c>
      <c r="F104" s="56">
        <f t="shared" si="1"/>
        <v>7.2916666666666671E-2</v>
      </c>
    </row>
    <row r="105" spans="5:6" x14ac:dyDescent="0.3">
      <c r="E105" s="54">
        <v>7.1527777777777801E-2</v>
      </c>
      <c r="F105" s="56">
        <f t="shared" si="1"/>
        <v>7.2916666666666671E-2</v>
      </c>
    </row>
    <row r="106" spans="5:6" x14ac:dyDescent="0.3">
      <c r="E106" s="54">
        <v>7.2222222222222202E-2</v>
      </c>
      <c r="F106" s="56">
        <f t="shared" si="1"/>
        <v>7.2916666666666671E-2</v>
      </c>
    </row>
    <row r="107" spans="5:6" x14ac:dyDescent="0.3">
      <c r="E107" s="54">
        <v>7.2916666666666699E-2</v>
      </c>
      <c r="F107" s="56">
        <f t="shared" si="1"/>
        <v>8.3333333333333329E-2</v>
      </c>
    </row>
    <row r="108" spans="5:6" x14ac:dyDescent="0.3">
      <c r="E108" s="54">
        <v>7.3611111111111099E-2</v>
      </c>
      <c r="F108" s="56">
        <f t="shared" si="1"/>
        <v>8.3333333333333329E-2</v>
      </c>
    </row>
    <row r="109" spans="5:6" x14ac:dyDescent="0.3">
      <c r="E109" s="54">
        <v>7.4305555555555597E-2</v>
      </c>
      <c r="F109" s="56">
        <f t="shared" si="1"/>
        <v>8.3333333333333329E-2</v>
      </c>
    </row>
    <row r="110" spans="5:6" x14ac:dyDescent="0.3">
      <c r="E110" s="54">
        <v>7.4999999999999997E-2</v>
      </c>
      <c r="F110" s="56">
        <f t="shared" si="1"/>
        <v>8.3333333333333329E-2</v>
      </c>
    </row>
    <row r="111" spans="5:6" x14ac:dyDescent="0.3">
      <c r="E111" s="54">
        <v>7.5694444444444495E-2</v>
      </c>
      <c r="F111" s="56">
        <f t="shared" si="1"/>
        <v>8.3333333333333329E-2</v>
      </c>
    </row>
    <row r="112" spans="5:6" x14ac:dyDescent="0.3">
      <c r="E112" s="54">
        <v>7.6388888888888895E-2</v>
      </c>
      <c r="F112" s="56">
        <f t="shared" si="1"/>
        <v>8.3333333333333329E-2</v>
      </c>
    </row>
    <row r="113" spans="5:6" x14ac:dyDescent="0.3">
      <c r="E113" s="54">
        <v>7.7083333333333295E-2</v>
      </c>
      <c r="F113" s="56">
        <f t="shared" si="1"/>
        <v>8.3333333333333329E-2</v>
      </c>
    </row>
    <row r="114" spans="5:6" x14ac:dyDescent="0.3">
      <c r="E114" s="54">
        <v>7.7777777777777807E-2</v>
      </c>
      <c r="F114" s="56">
        <f t="shared" si="1"/>
        <v>8.3333333333333329E-2</v>
      </c>
    </row>
    <row r="115" spans="5:6" x14ac:dyDescent="0.3">
      <c r="E115" s="54">
        <v>7.8472222222222193E-2</v>
      </c>
      <c r="F115" s="56">
        <f t="shared" si="1"/>
        <v>8.3333333333333329E-2</v>
      </c>
    </row>
    <row r="116" spans="5:6" x14ac:dyDescent="0.3">
      <c r="E116" s="54">
        <v>7.9166666666666705E-2</v>
      </c>
      <c r="F116" s="56">
        <f t="shared" si="1"/>
        <v>8.3333333333333329E-2</v>
      </c>
    </row>
    <row r="117" spans="5:6" x14ac:dyDescent="0.3">
      <c r="E117" s="54">
        <v>7.9861111111111105E-2</v>
      </c>
      <c r="F117" s="56">
        <f t="shared" si="1"/>
        <v>8.3333333333333329E-2</v>
      </c>
    </row>
    <row r="118" spans="5:6" x14ac:dyDescent="0.3">
      <c r="E118" s="54">
        <v>8.0555555555555602E-2</v>
      </c>
      <c r="F118" s="56">
        <f t="shared" si="1"/>
        <v>8.3333333333333329E-2</v>
      </c>
    </row>
    <row r="119" spans="5:6" x14ac:dyDescent="0.3">
      <c r="E119" s="54">
        <v>8.1250000000000003E-2</v>
      </c>
      <c r="F119" s="56">
        <f t="shared" si="1"/>
        <v>8.3333333333333329E-2</v>
      </c>
    </row>
    <row r="120" spans="5:6" x14ac:dyDescent="0.3">
      <c r="E120" s="54">
        <v>8.1944444444444403E-2</v>
      </c>
      <c r="F120" s="56">
        <f t="shared" si="1"/>
        <v>8.3333333333333329E-2</v>
      </c>
    </row>
    <row r="121" spans="5:6" x14ac:dyDescent="0.3">
      <c r="E121" s="54">
        <v>8.2638888888888901E-2</v>
      </c>
      <c r="F121" s="56">
        <f t="shared" si="1"/>
        <v>8.3333333333333329E-2</v>
      </c>
    </row>
    <row r="122" spans="5:6" x14ac:dyDescent="0.3">
      <c r="E122" s="54">
        <v>8.3333333333333301E-2</v>
      </c>
      <c r="F122" s="56">
        <f t="shared" si="1"/>
        <v>9.375E-2</v>
      </c>
    </row>
    <row r="123" spans="5:6" x14ac:dyDescent="0.3">
      <c r="E123" s="54">
        <v>8.4027777777777798E-2</v>
      </c>
      <c r="F123" s="56">
        <f t="shared" si="1"/>
        <v>9.375E-2</v>
      </c>
    </row>
    <row r="124" spans="5:6" x14ac:dyDescent="0.3">
      <c r="E124" s="54">
        <v>8.4722222222222199E-2</v>
      </c>
      <c r="F124" s="56">
        <f t="shared" si="1"/>
        <v>9.375E-2</v>
      </c>
    </row>
    <row r="125" spans="5:6" x14ac:dyDescent="0.3">
      <c r="E125" s="54">
        <v>8.5416666666666696E-2</v>
      </c>
      <c r="F125" s="56">
        <f t="shared" si="1"/>
        <v>9.375E-2</v>
      </c>
    </row>
    <row r="126" spans="5:6" x14ac:dyDescent="0.3">
      <c r="E126" s="54">
        <v>8.6111111111111097E-2</v>
      </c>
      <c r="F126" s="56">
        <f t="shared" si="1"/>
        <v>9.375E-2</v>
      </c>
    </row>
    <row r="127" spans="5:6" x14ac:dyDescent="0.3">
      <c r="E127" s="54">
        <v>8.6805555555555594E-2</v>
      </c>
      <c r="F127" s="56">
        <f t="shared" si="1"/>
        <v>9.375E-2</v>
      </c>
    </row>
    <row r="128" spans="5:6" x14ac:dyDescent="0.3">
      <c r="E128" s="54">
        <v>8.7499999999999994E-2</v>
      </c>
      <c r="F128" s="56">
        <f t="shared" si="1"/>
        <v>9.375E-2</v>
      </c>
    </row>
    <row r="129" spans="5:6" x14ac:dyDescent="0.3">
      <c r="E129" s="54">
        <v>8.8194444444444506E-2</v>
      </c>
      <c r="F129" s="56">
        <f t="shared" si="1"/>
        <v>9.375E-2</v>
      </c>
    </row>
    <row r="130" spans="5:6" x14ac:dyDescent="0.3">
      <c r="E130" s="54">
        <v>8.8888888888888906E-2</v>
      </c>
      <c r="F130" s="56">
        <f t="shared" si="1"/>
        <v>9.375E-2</v>
      </c>
    </row>
    <row r="131" spans="5:6" x14ac:dyDescent="0.3">
      <c r="E131" s="54">
        <v>8.9583333333333307E-2</v>
      </c>
      <c r="F131" s="56">
        <f t="shared" ref="F131:F194" si="2">ROUNDUP(E131*4*24+1/60/24,0)/4/24</f>
        <v>9.375E-2</v>
      </c>
    </row>
    <row r="132" spans="5:6" x14ac:dyDescent="0.3">
      <c r="E132" s="54">
        <v>9.0277777777777804E-2</v>
      </c>
      <c r="F132" s="56">
        <f t="shared" si="2"/>
        <v>9.375E-2</v>
      </c>
    </row>
    <row r="133" spans="5:6" x14ac:dyDescent="0.3">
      <c r="E133" s="54">
        <v>9.0972222222222204E-2</v>
      </c>
      <c r="F133" s="56">
        <f t="shared" si="2"/>
        <v>9.375E-2</v>
      </c>
    </row>
    <row r="134" spans="5:6" x14ac:dyDescent="0.3">
      <c r="E134" s="54">
        <v>9.1666666666666702E-2</v>
      </c>
      <c r="F134" s="56">
        <f t="shared" si="2"/>
        <v>9.375E-2</v>
      </c>
    </row>
    <row r="135" spans="5:6" x14ac:dyDescent="0.3">
      <c r="E135" s="54">
        <v>9.2361111111111102E-2</v>
      </c>
      <c r="F135" s="56">
        <f t="shared" si="2"/>
        <v>9.375E-2</v>
      </c>
    </row>
    <row r="136" spans="5:6" x14ac:dyDescent="0.3">
      <c r="E136" s="54">
        <v>9.30555555555556E-2</v>
      </c>
      <c r="F136" s="56">
        <f t="shared" si="2"/>
        <v>9.375E-2</v>
      </c>
    </row>
    <row r="137" spans="5:6" x14ac:dyDescent="0.3">
      <c r="E137" s="54">
        <v>9.375E-2</v>
      </c>
      <c r="F137" s="56">
        <f t="shared" si="2"/>
        <v>0.10416666666666667</v>
      </c>
    </row>
    <row r="138" spans="5:6" x14ac:dyDescent="0.3">
      <c r="E138" s="54">
        <v>9.44444444444444E-2</v>
      </c>
      <c r="F138" s="56">
        <f t="shared" si="2"/>
        <v>0.10416666666666667</v>
      </c>
    </row>
    <row r="139" spans="5:6" x14ac:dyDescent="0.3">
      <c r="E139" s="54">
        <v>9.5138888888888898E-2</v>
      </c>
      <c r="F139" s="56">
        <f t="shared" si="2"/>
        <v>0.10416666666666667</v>
      </c>
    </row>
    <row r="140" spans="5:6" x14ac:dyDescent="0.3">
      <c r="E140" s="54">
        <v>9.5833333333333298E-2</v>
      </c>
      <c r="F140" s="56">
        <f t="shared" si="2"/>
        <v>0.10416666666666667</v>
      </c>
    </row>
    <row r="141" spans="5:6" x14ac:dyDescent="0.3">
      <c r="E141" s="54">
        <v>9.6527777777777796E-2</v>
      </c>
      <c r="F141" s="56">
        <f t="shared" si="2"/>
        <v>0.10416666666666667</v>
      </c>
    </row>
    <row r="142" spans="5:6" x14ac:dyDescent="0.3">
      <c r="E142" s="54">
        <v>9.7222222222222196E-2</v>
      </c>
      <c r="F142" s="56">
        <f t="shared" si="2"/>
        <v>0.10416666666666667</v>
      </c>
    </row>
    <row r="143" spans="5:6" x14ac:dyDescent="0.3">
      <c r="E143" s="54">
        <v>9.7916666666666693E-2</v>
      </c>
      <c r="F143" s="56">
        <f t="shared" si="2"/>
        <v>0.10416666666666667</v>
      </c>
    </row>
    <row r="144" spans="5:6" x14ac:dyDescent="0.3">
      <c r="E144" s="54">
        <v>9.8611111111111094E-2</v>
      </c>
      <c r="F144" s="56">
        <f t="shared" si="2"/>
        <v>0.10416666666666667</v>
      </c>
    </row>
    <row r="145" spans="5:6" x14ac:dyDescent="0.3">
      <c r="E145" s="54">
        <v>9.9305555555555605E-2</v>
      </c>
      <c r="F145" s="56">
        <f t="shared" si="2"/>
        <v>0.10416666666666667</v>
      </c>
    </row>
    <row r="146" spans="5:6" x14ac:dyDescent="0.3">
      <c r="E146" s="54">
        <v>0.1</v>
      </c>
      <c r="F146" s="56">
        <f t="shared" si="2"/>
        <v>0.10416666666666667</v>
      </c>
    </row>
    <row r="147" spans="5:6" x14ac:dyDescent="0.3">
      <c r="E147" s="54">
        <v>0.100694444444444</v>
      </c>
      <c r="F147" s="56">
        <f t="shared" si="2"/>
        <v>0.10416666666666667</v>
      </c>
    </row>
    <row r="148" spans="5:6" x14ac:dyDescent="0.3">
      <c r="E148" s="54">
        <v>0.101388888888889</v>
      </c>
      <c r="F148" s="56">
        <f t="shared" si="2"/>
        <v>0.10416666666666667</v>
      </c>
    </row>
    <row r="149" spans="5:6" x14ac:dyDescent="0.3">
      <c r="E149" s="54">
        <v>0.102083333333333</v>
      </c>
      <c r="F149" s="56">
        <f t="shared" si="2"/>
        <v>0.10416666666666667</v>
      </c>
    </row>
    <row r="150" spans="5:6" x14ac:dyDescent="0.3">
      <c r="E150" s="54">
        <v>0.102777777777778</v>
      </c>
      <c r="F150" s="56">
        <f t="shared" si="2"/>
        <v>0.10416666666666667</v>
      </c>
    </row>
    <row r="151" spans="5:6" x14ac:dyDescent="0.3">
      <c r="E151" s="54">
        <v>0.10347222222222199</v>
      </c>
      <c r="F151" s="56">
        <f t="shared" si="2"/>
        <v>0.10416666666666667</v>
      </c>
    </row>
    <row r="152" spans="5:6" x14ac:dyDescent="0.3">
      <c r="E152" s="54">
        <v>0.104166666666667</v>
      </c>
      <c r="F152" s="56">
        <f t="shared" si="2"/>
        <v>0.11458333333333333</v>
      </c>
    </row>
    <row r="153" spans="5:6" x14ac:dyDescent="0.3">
      <c r="E153" s="54">
        <v>0.104861111111111</v>
      </c>
      <c r="F153" s="56">
        <f t="shared" si="2"/>
        <v>0.11458333333333333</v>
      </c>
    </row>
    <row r="154" spans="5:6" x14ac:dyDescent="0.3">
      <c r="E154" s="54">
        <v>0.105555555555556</v>
      </c>
      <c r="F154" s="56">
        <f t="shared" si="2"/>
        <v>0.11458333333333333</v>
      </c>
    </row>
    <row r="155" spans="5:6" x14ac:dyDescent="0.3">
      <c r="E155" s="54">
        <v>0.10625</v>
      </c>
      <c r="F155" s="56">
        <f t="shared" si="2"/>
        <v>0.11458333333333333</v>
      </c>
    </row>
    <row r="156" spans="5:6" x14ac:dyDescent="0.3">
      <c r="E156" s="54">
        <v>0.106944444444444</v>
      </c>
      <c r="F156" s="56">
        <f t="shared" si="2"/>
        <v>0.11458333333333333</v>
      </c>
    </row>
    <row r="157" spans="5:6" x14ac:dyDescent="0.3">
      <c r="E157" s="54">
        <v>0.10763888888888901</v>
      </c>
      <c r="F157" s="56">
        <f t="shared" si="2"/>
        <v>0.11458333333333333</v>
      </c>
    </row>
    <row r="158" spans="5:6" x14ac:dyDescent="0.3">
      <c r="E158" s="54">
        <v>0.108333333333333</v>
      </c>
      <c r="F158" s="56">
        <f t="shared" si="2"/>
        <v>0.11458333333333333</v>
      </c>
    </row>
    <row r="159" spans="5:6" x14ac:dyDescent="0.3">
      <c r="E159" s="54">
        <v>0.109027777777778</v>
      </c>
      <c r="F159" s="56">
        <f t="shared" si="2"/>
        <v>0.11458333333333333</v>
      </c>
    </row>
    <row r="160" spans="5:6" x14ac:dyDescent="0.3">
      <c r="E160" s="54">
        <v>0.109722222222222</v>
      </c>
      <c r="F160" s="56">
        <f t="shared" si="2"/>
        <v>0.11458333333333333</v>
      </c>
    </row>
    <row r="161" spans="5:6" x14ac:dyDescent="0.3">
      <c r="E161" s="54">
        <v>0.110416666666667</v>
      </c>
      <c r="F161" s="56">
        <f t="shared" si="2"/>
        <v>0.11458333333333333</v>
      </c>
    </row>
    <row r="162" spans="5:6" x14ac:dyDescent="0.3">
      <c r="E162" s="54">
        <v>0.11111111111111099</v>
      </c>
      <c r="F162" s="56">
        <f t="shared" si="2"/>
        <v>0.11458333333333333</v>
      </c>
    </row>
    <row r="163" spans="5:6" x14ac:dyDescent="0.3">
      <c r="E163" s="54">
        <v>0.111805555555556</v>
      </c>
      <c r="F163" s="56">
        <f t="shared" si="2"/>
        <v>0.11458333333333333</v>
      </c>
    </row>
    <row r="164" spans="5:6" x14ac:dyDescent="0.3">
      <c r="E164" s="54">
        <v>0.1125</v>
      </c>
      <c r="F164" s="56">
        <f t="shared" si="2"/>
        <v>0.11458333333333333</v>
      </c>
    </row>
    <row r="165" spans="5:6" x14ac:dyDescent="0.3">
      <c r="E165" s="54">
        <v>0.113194444444444</v>
      </c>
      <c r="F165" s="56">
        <f t="shared" si="2"/>
        <v>0.11458333333333333</v>
      </c>
    </row>
    <row r="166" spans="5:6" x14ac:dyDescent="0.3">
      <c r="E166" s="54">
        <v>0.113888888888889</v>
      </c>
      <c r="F166" s="56">
        <f t="shared" si="2"/>
        <v>0.11458333333333333</v>
      </c>
    </row>
    <row r="167" spans="5:6" x14ac:dyDescent="0.3">
      <c r="E167" s="54">
        <v>0.114583333333333</v>
      </c>
      <c r="F167" s="56">
        <f t="shared" si="2"/>
        <v>0.125</v>
      </c>
    </row>
    <row r="168" spans="5:6" x14ac:dyDescent="0.3">
      <c r="E168" s="54">
        <v>0.11527777777777801</v>
      </c>
      <c r="F168" s="56">
        <f t="shared" si="2"/>
        <v>0.125</v>
      </c>
    </row>
    <row r="169" spans="5:6" x14ac:dyDescent="0.3">
      <c r="E169" s="54">
        <v>0.115972222222222</v>
      </c>
      <c r="F169" s="56">
        <f t="shared" si="2"/>
        <v>0.125</v>
      </c>
    </row>
    <row r="170" spans="5:6" x14ac:dyDescent="0.3">
      <c r="E170" s="54">
        <v>0.116666666666667</v>
      </c>
      <c r="F170" s="56">
        <f t="shared" si="2"/>
        <v>0.125</v>
      </c>
    </row>
    <row r="171" spans="5:6" x14ac:dyDescent="0.3">
      <c r="E171" s="54">
        <v>0.117361111111111</v>
      </c>
      <c r="F171" s="56">
        <f t="shared" si="2"/>
        <v>0.125</v>
      </c>
    </row>
    <row r="172" spans="5:6" x14ac:dyDescent="0.3">
      <c r="E172" s="54">
        <v>0.118055555555556</v>
      </c>
      <c r="F172" s="56">
        <f t="shared" si="2"/>
        <v>0.125</v>
      </c>
    </row>
    <row r="173" spans="5:6" x14ac:dyDescent="0.3">
      <c r="E173" s="54">
        <v>0.11874999999999999</v>
      </c>
      <c r="F173" s="56">
        <f t="shared" si="2"/>
        <v>0.125</v>
      </c>
    </row>
    <row r="174" spans="5:6" x14ac:dyDescent="0.3">
      <c r="E174" s="54">
        <v>0.11944444444444401</v>
      </c>
      <c r="F174" s="56">
        <f t="shared" si="2"/>
        <v>0.125</v>
      </c>
    </row>
    <row r="175" spans="5:6" x14ac:dyDescent="0.3">
      <c r="E175" s="54">
        <v>0.120138888888889</v>
      </c>
      <c r="F175" s="56">
        <f t="shared" si="2"/>
        <v>0.125</v>
      </c>
    </row>
    <row r="176" spans="5:6" x14ac:dyDescent="0.3">
      <c r="E176" s="54">
        <v>0.120833333333333</v>
      </c>
      <c r="F176" s="56">
        <f t="shared" si="2"/>
        <v>0.125</v>
      </c>
    </row>
    <row r="177" spans="5:6" x14ac:dyDescent="0.3">
      <c r="E177" s="54">
        <v>0.121527777777778</v>
      </c>
      <c r="F177" s="56">
        <f t="shared" si="2"/>
        <v>0.125</v>
      </c>
    </row>
    <row r="178" spans="5:6" x14ac:dyDescent="0.3">
      <c r="E178" s="54">
        <v>0.122222222222222</v>
      </c>
      <c r="F178" s="56">
        <f t="shared" si="2"/>
        <v>0.125</v>
      </c>
    </row>
    <row r="179" spans="5:6" x14ac:dyDescent="0.3">
      <c r="E179" s="54">
        <v>0.12291666666666699</v>
      </c>
      <c r="F179" s="56">
        <f t="shared" si="2"/>
        <v>0.125</v>
      </c>
    </row>
    <row r="180" spans="5:6" x14ac:dyDescent="0.3">
      <c r="E180" s="54">
        <v>0.12361111111111101</v>
      </c>
      <c r="F180" s="56">
        <f t="shared" si="2"/>
        <v>0.125</v>
      </c>
    </row>
    <row r="181" spans="5:6" x14ac:dyDescent="0.3">
      <c r="E181" s="54">
        <v>0.124305555555556</v>
      </c>
      <c r="F181" s="56">
        <f t="shared" si="2"/>
        <v>0.125</v>
      </c>
    </row>
    <row r="182" spans="5:6" x14ac:dyDescent="0.3">
      <c r="E182" s="54">
        <v>0.125</v>
      </c>
      <c r="F182" s="56">
        <f t="shared" si="2"/>
        <v>0.13541666666666666</v>
      </c>
    </row>
    <row r="183" spans="5:6" x14ac:dyDescent="0.3">
      <c r="E183" s="54">
        <v>0.125694444444444</v>
      </c>
      <c r="F183" s="56">
        <f t="shared" si="2"/>
        <v>0.13541666666666666</v>
      </c>
    </row>
    <row r="184" spans="5:6" x14ac:dyDescent="0.3">
      <c r="E184" s="54">
        <v>0.12638888888888899</v>
      </c>
      <c r="F184" s="56">
        <f t="shared" si="2"/>
        <v>0.13541666666666666</v>
      </c>
    </row>
    <row r="185" spans="5:6" x14ac:dyDescent="0.3">
      <c r="E185" s="54">
        <v>0.12708333333333299</v>
      </c>
      <c r="F185" s="56">
        <f t="shared" si="2"/>
        <v>0.13541666666666666</v>
      </c>
    </row>
    <row r="186" spans="5:6" x14ac:dyDescent="0.3">
      <c r="E186" s="54">
        <v>0.12777777777777799</v>
      </c>
      <c r="F186" s="56">
        <f t="shared" si="2"/>
        <v>0.13541666666666666</v>
      </c>
    </row>
    <row r="187" spans="5:6" x14ac:dyDescent="0.3">
      <c r="E187" s="54">
        <v>0.12847222222222199</v>
      </c>
      <c r="F187" s="56">
        <f t="shared" si="2"/>
        <v>0.13541666666666666</v>
      </c>
    </row>
    <row r="188" spans="5:6" x14ac:dyDescent="0.3">
      <c r="E188" s="54">
        <v>0.12916666666666701</v>
      </c>
      <c r="F188" s="56">
        <f t="shared" si="2"/>
        <v>0.13541666666666666</v>
      </c>
    </row>
    <row r="189" spans="5:6" x14ac:dyDescent="0.3">
      <c r="E189" s="54">
        <v>0.12986111111111101</v>
      </c>
      <c r="F189" s="56">
        <f t="shared" si="2"/>
        <v>0.13541666666666666</v>
      </c>
    </row>
    <row r="190" spans="5:6" x14ac:dyDescent="0.3">
      <c r="E190" s="54">
        <v>0.13055555555555601</v>
      </c>
      <c r="F190" s="56">
        <f t="shared" si="2"/>
        <v>0.13541666666666666</v>
      </c>
    </row>
    <row r="191" spans="5:6" x14ac:dyDescent="0.3">
      <c r="E191" s="54">
        <v>0.13125000000000001</v>
      </c>
      <c r="F191" s="56">
        <f t="shared" si="2"/>
        <v>0.13541666666666666</v>
      </c>
    </row>
    <row r="192" spans="5:6" x14ac:dyDescent="0.3">
      <c r="E192" s="54">
        <v>0.131944444444444</v>
      </c>
      <c r="F192" s="56">
        <f t="shared" si="2"/>
        <v>0.13541666666666666</v>
      </c>
    </row>
    <row r="193" spans="5:6" x14ac:dyDescent="0.3">
      <c r="E193" s="54">
        <v>0.132638888888889</v>
      </c>
      <c r="F193" s="56">
        <f t="shared" si="2"/>
        <v>0.13541666666666666</v>
      </c>
    </row>
    <row r="194" spans="5:6" x14ac:dyDescent="0.3">
      <c r="E194" s="54">
        <v>0.133333333333333</v>
      </c>
      <c r="F194" s="56">
        <f t="shared" si="2"/>
        <v>0.13541666666666666</v>
      </c>
    </row>
    <row r="195" spans="5:6" x14ac:dyDescent="0.3">
      <c r="E195" s="54">
        <v>0.134027777777778</v>
      </c>
      <c r="F195" s="56">
        <f t="shared" ref="F195:F258" si="3">ROUNDUP(E195*4*24+1/60/24,0)/4/24</f>
        <v>0.13541666666666666</v>
      </c>
    </row>
    <row r="196" spans="5:6" x14ac:dyDescent="0.3">
      <c r="E196" s="54">
        <v>0.13472222222222199</v>
      </c>
      <c r="F196" s="56">
        <f t="shared" si="3"/>
        <v>0.13541666666666666</v>
      </c>
    </row>
    <row r="197" spans="5:6" x14ac:dyDescent="0.3">
      <c r="E197" s="54">
        <v>0.13541666666666699</v>
      </c>
      <c r="F197" s="56">
        <f t="shared" si="3"/>
        <v>0.14583333333333334</v>
      </c>
    </row>
    <row r="198" spans="5:6" x14ac:dyDescent="0.3">
      <c r="E198" s="54">
        <v>0.13611111111111099</v>
      </c>
      <c r="F198" s="56">
        <f t="shared" si="3"/>
        <v>0.14583333333333334</v>
      </c>
    </row>
    <row r="199" spans="5:6" x14ac:dyDescent="0.3">
      <c r="E199" s="54">
        <v>0.13680555555555601</v>
      </c>
      <c r="F199" s="56">
        <f t="shared" si="3"/>
        <v>0.14583333333333334</v>
      </c>
    </row>
    <row r="200" spans="5:6" x14ac:dyDescent="0.3">
      <c r="E200" s="54">
        <v>0.13750000000000001</v>
      </c>
      <c r="F200" s="56">
        <f t="shared" si="3"/>
        <v>0.14583333333333334</v>
      </c>
    </row>
    <row r="201" spans="5:6" x14ac:dyDescent="0.3">
      <c r="E201" s="54">
        <v>0.13819444444444401</v>
      </c>
      <c r="F201" s="56">
        <f t="shared" si="3"/>
        <v>0.14583333333333334</v>
      </c>
    </row>
    <row r="202" spans="5:6" x14ac:dyDescent="0.3">
      <c r="E202" s="54">
        <v>0.13888888888888901</v>
      </c>
      <c r="F202" s="56">
        <f t="shared" si="3"/>
        <v>0.14583333333333334</v>
      </c>
    </row>
    <row r="203" spans="5:6" x14ac:dyDescent="0.3">
      <c r="E203" s="54">
        <v>0.139583333333333</v>
      </c>
      <c r="F203" s="56">
        <f t="shared" si="3"/>
        <v>0.14583333333333334</v>
      </c>
    </row>
    <row r="204" spans="5:6" x14ac:dyDescent="0.3">
      <c r="E204" s="54">
        <v>0.140277777777778</v>
      </c>
      <c r="F204" s="56">
        <f t="shared" si="3"/>
        <v>0.14583333333333334</v>
      </c>
    </row>
    <row r="205" spans="5:6" x14ac:dyDescent="0.3">
      <c r="E205" s="54">
        <v>0.140972222222222</v>
      </c>
      <c r="F205" s="56">
        <f t="shared" si="3"/>
        <v>0.14583333333333334</v>
      </c>
    </row>
    <row r="206" spans="5:6" x14ac:dyDescent="0.3">
      <c r="E206" s="54">
        <v>0.141666666666667</v>
      </c>
      <c r="F206" s="56">
        <f t="shared" si="3"/>
        <v>0.14583333333333334</v>
      </c>
    </row>
    <row r="207" spans="5:6" x14ac:dyDescent="0.3">
      <c r="E207" s="54">
        <v>0.14236111111111099</v>
      </c>
      <c r="F207" s="56">
        <f t="shared" si="3"/>
        <v>0.14583333333333334</v>
      </c>
    </row>
    <row r="208" spans="5:6" x14ac:dyDescent="0.3">
      <c r="E208" s="54">
        <v>0.14305555555555599</v>
      </c>
      <c r="F208" s="56">
        <f t="shared" si="3"/>
        <v>0.14583333333333334</v>
      </c>
    </row>
    <row r="209" spans="5:6" x14ac:dyDescent="0.3">
      <c r="E209" s="54">
        <v>0.14374999999999999</v>
      </c>
      <c r="F209" s="56">
        <f t="shared" si="3"/>
        <v>0.14583333333333334</v>
      </c>
    </row>
    <row r="210" spans="5:6" x14ac:dyDescent="0.3">
      <c r="E210" s="54">
        <v>0.14444444444444399</v>
      </c>
      <c r="F210" s="56">
        <f t="shared" si="3"/>
        <v>0.14583333333333334</v>
      </c>
    </row>
    <row r="211" spans="5:6" x14ac:dyDescent="0.3">
      <c r="E211" s="54">
        <v>0.14513888888888901</v>
      </c>
      <c r="F211" s="56">
        <f t="shared" si="3"/>
        <v>0.14583333333333334</v>
      </c>
    </row>
    <row r="212" spans="5:6" x14ac:dyDescent="0.3">
      <c r="E212" s="54">
        <v>0.14583333333333301</v>
      </c>
      <c r="F212" s="56">
        <f t="shared" si="3"/>
        <v>0.15625</v>
      </c>
    </row>
    <row r="213" spans="5:6" x14ac:dyDescent="0.3">
      <c r="E213" s="54">
        <v>0.14652777777777801</v>
      </c>
      <c r="F213" s="56">
        <f t="shared" si="3"/>
        <v>0.15625</v>
      </c>
    </row>
    <row r="214" spans="5:6" x14ac:dyDescent="0.3">
      <c r="E214" s="54">
        <v>0.147222222222222</v>
      </c>
      <c r="F214" s="56">
        <f t="shared" si="3"/>
        <v>0.15625</v>
      </c>
    </row>
    <row r="215" spans="5:6" x14ac:dyDescent="0.3">
      <c r="E215" s="54">
        <v>0.147916666666667</v>
      </c>
      <c r="F215" s="56">
        <f t="shared" si="3"/>
        <v>0.15625</v>
      </c>
    </row>
    <row r="216" spans="5:6" x14ac:dyDescent="0.3">
      <c r="E216" s="54">
        <v>0.148611111111111</v>
      </c>
      <c r="F216" s="56">
        <f t="shared" si="3"/>
        <v>0.15625</v>
      </c>
    </row>
    <row r="217" spans="5:6" x14ac:dyDescent="0.3">
      <c r="E217" s="54">
        <v>0.149305555555556</v>
      </c>
      <c r="F217" s="56">
        <f t="shared" si="3"/>
        <v>0.15625</v>
      </c>
    </row>
    <row r="218" spans="5:6" x14ac:dyDescent="0.3">
      <c r="E218" s="54">
        <v>0.15</v>
      </c>
      <c r="F218" s="56">
        <f t="shared" si="3"/>
        <v>0.15625</v>
      </c>
    </row>
    <row r="219" spans="5:6" x14ac:dyDescent="0.3">
      <c r="E219" s="54">
        <v>0.15069444444444399</v>
      </c>
      <c r="F219" s="56">
        <f t="shared" si="3"/>
        <v>0.15625</v>
      </c>
    </row>
    <row r="220" spans="5:6" x14ac:dyDescent="0.3">
      <c r="E220" s="54">
        <v>0.15138888888888899</v>
      </c>
      <c r="F220" s="56">
        <f t="shared" si="3"/>
        <v>0.15625</v>
      </c>
    </row>
    <row r="221" spans="5:6" x14ac:dyDescent="0.3">
      <c r="E221" s="54">
        <v>0.15208333333333299</v>
      </c>
      <c r="F221" s="56">
        <f t="shared" si="3"/>
        <v>0.15625</v>
      </c>
    </row>
    <row r="222" spans="5:6" x14ac:dyDescent="0.3">
      <c r="E222" s="54">
        <v>0.15277777777777801</v>
      </c>
      <c r="F222" s="56">
        <f t="shared" si="3"/>
        <v>0.15625</v>
      </c>
    </row>
    <row r="223" spans="5:6" x14ac:dyDescent="0.3">
      <c r="E223" s="54">
        <v>0.15347222222222201</v>
      </c>
      <c r="F223" s="56">
        <f t="shared" si="3"/>
        <v>0.15625</v>
      </c>
    </row>
    <row r="224" spans="5:6" x14ac:dyDescent="0.3">
      <c r="E224" s="54">
        <v>0.15416666666666701</v>
      </c>
      <c r="F224" s="56">
        <f t="shared" si="3"/>
        <v>0.15625</v>
      </c>
    </row>
    <row r="225" spans="5:6" x14ac:dyDescent="0.3">
      <c r="E225" s="54">
        <v>0.15486111111111101</v>
      </c>
      <c r="F225" s="56">
        <f t="shared" si="3"/>
        <v>0.15625</v>
      </c>
    </row>
    <row r="226" spans="5:6" x14ac:dyDescent="0.3">
      <c r="E226" s="54">
        <v>0.155555555555556</v>
      </c>
      <c r="F226" s="56">
        <f t="shared" si="3"/>
        <v>0.15625</v>
      </c>
    </row>
    <row r="227" spans="5:6" x14ac:dyDescent="0.3">
      <c r="E227" s="54">
        <v>0.15625</v>
      </c>
      <c r="F227" s="56">
        <f t="shared" si="3"/>
        <v>0.16666666666666666</v>
      </c>
    </row>
    <row r="228" spans="5:6" x14ac:dyDescent="0.3">
      <c r="E228" s="54">
        <v>0.156944444444444</v>
      </c>
      <c r="F228" s="56">
        <f t="shared" si="3"/>
        <v>0.16666666666666666</v>
      </c>
    </row>
    <row r="229" spans="5:6" x14ac:dyDescent="0.3">
      <c r="E229" s="54">
        <v>0.15763888888888899</v>
      </c>
      <c r="F229" s="56">
        <f t="shared" si="3"/>
        <v>0.16666666666666666</v>
      </c>
    </row>
    <row r="230" spans="5:6" x14ac:dyDescent="0.3">
      <c r="E230" s="54">
        <v>0.15833333333333299</v>
      </c>
      <c r="F230" s="56">
        <f t="shared" si="3"/>
        <v>0.16666666666666666</v>
      </c>
    </row>
    <row r="231" spans="5:6" x14ac:dyDescent="0.3">
      <c r="E231" s="54">
        <v>0.15902777777777799</v>
      </c>
      <c r="F231" s="56">
        <f t="shared" si="3"/>
        <v>0.16666666666666666</v>
      </c>
    </row>
    <row r="232" spans="5:6" x14ac:dyDescent="0.3">
      <c r="E232" s="54">
        <v>0.15972222222222199</v>
      </c>
      <c r="F232" s="56">
        <f t="shared" si="3"/>
        <v>0.16666666666666666</v>
      </c>
    </row>
    <row r="233" spans="5:6" x14ac:dyDescent="0.3">
      <c r="E233" s="54">
        <v>0.16041666666666701</v>
      </c>
      <c r="F233" s="56">
        <f t="shared" si="3"/>
        <v>0.16666666666666666</v>
      </c>
    </row>
    <row r="234" spans="5:6" x14ac:dyDescent="0.3">
      <c r="E234" s="54">
        <v>0.16111111111111101</v>
      </c>
      <c r="F234" s="56">
        <f t="shared" si="3"/>
        <v>0.16666666666666666</v>
      </c>
    </row>
    <row r="235" spans="5:6" x14ac:dyDescent="0.3">
      <c r="E235" s="54">
        <v>0.16180555555555601</v>
      </c>
      <c r="F235" s="56">
        <f t="shared" si="3"/>
        <v>0.16666666666666666</v>
      </c>
    </row>
    <row r="236" spans="5:6" x14ac:dyDescent="0.3">
      <c r="E236" s="54">
        <v>0.16250000000000001</v>
      </c>
      <c r="F236" s="56">
        <f t="shared" si="3"/>
        <v>0.16666666666666666</v>
      </c>
    </row>
    <row r="237" spans="5:6" x14ac:dyDescent="0.3">
      <c r="E237" s="54">
        <v>0.163194444444444</v>
      </c>
      <c r="F237" s="56">
        <f t="shared" si="3"/>
        <v>0.16666666666666666</v>
      </c>
    </row>
    <row r="238" spans="5:6" x14ac:dyDescent="0.3">
      <c r="E238" s="54">
        <v>0.163888888888889</v>
      </c>
      <c r="F238" s="56">
        <f t="shared" si="3"/>
        <v>0.16666666666666666</v>
      </c>
    </row>
    <row r="239" spans="5:6" x14ac:dyDescent="0.3">
      <c r="E239" s="54">
        <v>0.164583333333333</v>
      </c>
      <c r="F239" s="56">
        <f t="shared" si="3"/>
        <v>0.16666666666666666</v>
      </c>
    </row>
    <row r="240" spans="5:6" x14ac:dyDescent="0.3">
      <c r="E240" s="54">
        <v>0.165277777777778</v>
      </c>
      <c r="F240" s="56">
        <f t="shared" si="3"/>
        <v>0.16666666666666666</v>
      </c>
    </row>
    <row r="241" spans="5:6" x14ac:dyDescent="0.3">
      <c r="E241" s="54">
        <v>0.16597222222222199</v>
      </c>
      <c r="F241" s="56">
        <f t="shared" si="3"/>
        <v>0.16666666666666666</v>
      </c>
    </row>
    <row r="242" spans="5:6" x14ac:dyDescent="0.3">
      <c r="E242" s="54">
        <v>0.16666666666666699</v>
      </c>
      <c r="F242" s="56">
        <f t="shared" si="3"/>
        <v>0.17708333333333334</v>
      </c>
    </row>
    <row r="243" spans="5:6" x14ac:dyDescent="0.3">
      <c r="E243" s="54">
        <v>0.16736111111111099</v>
      </c>
      <c r="F243" s="56">
        <f t="shared" si="3"/>
        <v>0.17708333333333334</v>
      </c>
    </row>
    <row r="244" spans="5:6" x14ac:dyDescent="0.3">
      <c r="E244" s="54">
        <v>0.16805555555555601</v>
      </c>
      <c r="F244" s="56">
        <f t="shared" si="3"/>
        <v>0.17708333333333334</v>
      </c>
    </row>
    <row r="245" spans="5:6" x14ac:dyDescent="0.3">
      <c r="E245" s="54">
        <v>0.16875000000000001</v>
      </c>
      <c r="F245" s="56">
        <f t="shared" si="3"/>
        <v>0.17708333333333334</v>
      </c>
    </row>
    <row r="246" spans="5:6" x14ac:dyDescent="0.3">
      <c r="E246" s="54">
        <v>0.16944444444444401</v>
      </c>
      <c r="F246" s="56">
        <f t="shared" si="3"/>
        <v>0.17708333333333334</v>
      </c>
    </row>
    <row r="247" spans="5:6" x14ac:dyDescent="0.3">
      <c r="E247" s="54">
        <v>0.17013888888888901</v>
      </c>
      <c r="F247" s="56">
        <f t="shared" si="3"/>
        <v>0.17708333333333334</v>
      </c>
    </row>
    <row r="248" spans="5:6" x14ac:dyDescent="0.3">
      <c r="E248" s="54">
        <v>0.170833333333333</v>
      </c>
      <c r="F248" s="56">
        <f t="shared" si="3"/>
        <v>0.17708333333333334</v>
      </c>
    </row>
    <row r="249" spans="5:6" x14ac:dyDescent="0.3">
      <c r="E249" s="54">
        <v>0.171527777777778</v>
      </c>
      <c r="F249" s="56">
        <f t="shared" si="3"/>
        <v>0.17708333333333334</v>
      </c>
    </row>
    <row r="250" spans="5:6" x14ac:dyDescent="0.3">
      <c r="E250" s="54">
        <v>0.172222222222222</v>
      </c>
      <c r="F250" s="56">
        <f t="shared" si="3"/>
        <v>0.17708333333333334</v>
      </c>
    </row>
    <row r="251" spans="5:6" x14ac:dyDescent="0.3">
      <c r="E251" s="54">
        <v>0.172916666666667</v>
      </c>
      <c r="F251" s="56">
        <f t="shared" si="3"/>
        <v>0.17708333333333334</v>
      </c>
    </row>
    <row r="252" spans="5:6" x14ac:dyDescent="0.3">
      <c r="E252" s="54">
        <v>0.17361111111111099</v>
      </c>
      <c r="F252" s="56">
        <f t="shared" si="3"/>
        <v>0.17708333333333334</v>
      </c>
    </row>
    <row r="253" spans="5:6" x14ac:dyDescent="0.3">
      <c r="E253" s="54">
        <v>0.17430555555555599</v>
      </c>
      <c r="F253" s="56">
        <f t="shared" si="3"/>
        <v>0.17708333333333334</v>
      </c>
    </row>
    <row r="254" spans="5:6" x14ac:dyDescent="0.3">
      <c r="E254" s="54">
        <v>0.17499999999999999</v>
      </c>
      <c r="F254" s="56">
        <f t="shared" si="3"/>
        <v>0.17708333333333334</v>
      </c>
    </row>
    <row r="255" spans="5:6" x14ac:dyDescent="0.3">
      <c r="E255" s="54">
        <v>0.17569444444444399</v>
      </c>
      <c r="F255" s="56">
        <f t="shared" si="3"/>
        <v>0.17708333333333334</v>
      </c>
    </row>
    <row r="256" spans="5:6" x14ac:dyDescent="0.3">
      <c r="E256" s="54">
        <v>0.17638888888888901</v>
      </c>
      <c r="F256" s="56">
        <f t="shared" si="3"/>
        <v>0.17708333333333334</v>
      </c>
    </row>
    <row r="257" spans="5:6" x14ac:dyDescent="0.3">
      <c r="E257" s="54">
        <v>0.17708333333333301</v>
      </c>
      <c r="F257" s="56">
        <f t="shared" si="3"/>
        <v>0.1875</v>
      </c>
    </row>
    <row r="258" spans="5:6" x14ac:dyDescent="0.3">
      <c r="E258" s="54">
        <v>0.17777777777777801</v>
      </c>
      <c r="F258" s="56">
        <f t="shared" si="3"/>
        <v>0.1875</v>
      </c>
    </row>
    <row r="259" spans="5:6" x14ac:dyDescent="0.3">
      <c r="E259" s="54">
        <v>0.178472222222222</v>
      </c>
      <c r="F259" s="56">
        <f t="shared" ref="F259:F322" si="4">ROUNDUP(E259*4*24+1/60/24,0)/4/24</f>
        <v>0.1875</v>
      </c>
    </row>
    <row r="260" spans="5:6" x14ac:dyDescent="0.3">
      <c r="E260" s="54">
        <v>0.179166666666667</v>
      </c>
      <c r="F260" s="56">
        <f t="shared" si="4"/>
        <v>0.1875</v>
      </c>
    </row>
    <row r="261" spans="5:6" x14ac:dyDescent="0.3">
      <c r="E261" s="54">
        <v>0.179861111111111</v>
      </c>
      <c r="F261" s="56">
        <f t="shared" si="4"/>
        <v>0.1875</v>
      </c>
    </row>
    <row r="262" spans="5:6" x14ac:dyDescent="0.3">
      <c r="E262" s="54">
        <v>0.180555555555556</v>
      </c>
      <c r="F262" s="56">
        <f t="shared" si="4"/>
        <v>0.1875</v>
      </c>
    </row>
    <row r="263" spans="5:6" x14ac:dyDescent="0.3">
      <c r="E263" s="54">
        <v>0.18124999999999999</v>
      </c>
      <c r="F263" s="56">
        <f t="shared" si="4"/>
        <v>0.1875</v>
      </c>
    </row>
    <row r="264" spans="5:6" x14ac:dyDescent="0.3">
      <c r="E264" s="54">
        <v>0.18194444444444399</v>
      </c>
      <c r="F264" s="56">
        <f t="shared" si="4"/>
        <v>0.1875</v>
      </c>
    </row>
    <row r="265" spans="5:6" x14ac:dyDescent="0.3">
      <c r="E265" s="54">
        <v>0.18263888888888899</v>
      </c>
      <c r="F265" s="56">
        <f t="shared" si="4"/>
        <v>0.1875</v>
      </c>
    </row>
    <row r="266" spans="5:6" x14ac:dyDescent="0.3">
      <c r="E266" s="54">
        <v>0.18333333333333299</v>
      </c>
      <c r="F266" s="56">
        <f t="shared" si="4"/>
        <v>0.1875</v>
      </c>
    </row>
    <row r="267" spans="5:6" x14ac:dyDescent="0.3">
      <c r="E267" s="54">
        <v>0.18402777777777801</v>
      </c>
      <c r="F267" s="56">
        <f t="shared" si="4"/>
        <v>0.1875</v>
      </c>
    </row>
    <row r="268" spans="5:6" x14ac:dyDescent="0.3">
      <c r="E268" s="54">
        <v>0.18472222222222201</v>
      </c>
      <c r="F268" s="56">
        <f t="shared" si="4"/>
        <v>0.1875</v>
      </c>
    </row>
    <row r="269" spans="5:6" x14ac:dyDescent="0.3">
      <c r="E269" s="54">
        <v>0.18541666666666701</v>
      </c>
      <c r="F269" s="56">
        <f t="shared" si="4"/>
        <v>0.1875</v>
      </c>
    </row>
    <row r="270" spans="5:6" x14ac:dyDescent="0.3">
      <c r="E270" s="54">
        <v>0.18611111111111101</v>
      </c>
      <c r="F270" s="56">
        <f t="shared" si="4"/>
        <v>0.1875</v>
      </c>
    </row>
    <row r="271" spans="5:6" x14ac:dyDescent="0.3">
      <c r="E271" s="54">
        <v>0.186805555555556</v>
      </c>
      <c r="F271" s="56">
        <f t="shared" si="4"/>
        <v>0.1875</v>
      </c>
    </row>
    <row r="272" spans="5:6" x14ac:dyDescent="0.3">
      <c r="E272" s="54">
        <v>0.1875</v>
      </c>
      <c r="F272" s="56">
        <f t="shared" si="4"/>
        <v>0.19791666666666666</v>
      </c>
    </row>
    <row r="273" spans="5:6" x14ac:dyDescent="0.3">
      <c r="E273" s="54">
        <v>0.188194444444444</v>
      </c>
      <c r="F273" s="56">
        <f t="shared" si="4"/>
        <v>0.19791666666666666</v>
      </c>
    </row>
    <row r="274" spans="5:6" x14ac:dyDescent="0.3">
      <c r="E274" s="54">
        <v>0.18888888888888899</v>
      </c>
      <c r="F274" s="56">
        <f t="shared" si="4"/>
        <v>0.19791666666666666</v>
      </c>
    </row>
    <row r="275" spans="5:6" x14ac:dyDescent="0.3">
      <c r="E275" s="54">
        <v>0.18958333333333299</v>
      </c>
      <c r="F275" s="56">
        <f t="shared" si="4"/>
        <v>0.19791666666666666</v>
      </c>
    </row>
    <row r="276" spans="5:6" x14ac:dyDescent="0.3">
      <c r="E276" s="54">
        <v>0.19027777777777799</v>
      </c>
      <c r="F276" s="56">
        <f t="shared" si="4"/>
        <v>0.19791666666666666</v>
      </c>
    </row>
    <row r="277" spans="5:6" x14ac:dyDescent="0.3">
      <c r="E277" s="54">
        <v>0.19097222222222199</v>
      </c>
      <c r="F277" s="56">
        <f t="shared" si="4"/>
        <v>0.19791666666666666</v>
      </c>
    </row>
    <row r="278" spans="5:6" x14ac:dyDescent="0.3">
      <c r="E278" s="54">
        <v>0.19166666666666701</v>
      </c>
      <c r="F278" s="56">
        <f t="shared" si="4"/>
        <v>0.19791666666666666</v>
      </c>
    </row>
    <row r="279" spans="5:6" x14ac:dyDescent="0.3">
      <c r="E279" s="54">
        <v>0.19236111111111101</v>
      </c>
      <c r="F279" s="56">
        <f t="shared" si="4"/>
        <v>0.19791666666666666</v>
      </c>
    </row>
    <row r="280" spans="5:6" x14ac:dyDescent="0.3">
      <c r="E280" s="54">
        <v>0.19305555555555601</v>
      </c>
      <c r="F280" s="56">
        <f t="shared" si="4"/>
        <v>0.19791666666666666</v>
      </c>
    </row>
    <row r="281" spans="5:6" x14ac:dyDescent="0.3">
      <c r="E281" s="54">
        <v>0.19375000000000001</v>
      </c>
      <c r="F281" s="56">
        <f t="shared" si="4"/>
        <v>0.19791666666666666</v>
      </c>
    </row>
    <row r="282" spans="5:6" x14ac:dyDescent="0.3">
      <c r="E282" s="54">
        <v>0.194444444444444</v>
      </c>
      <c r="F282" s="56">
        <f t="shared" si="4"/>
        <v>0.19791666666666666</v>
      </c>
    </row>
    <row r="283" spans="5:6" x14ac:dyDescent="0.3">
      <c r="E283" s="54">
        <v>0.195138888888889</v>
      </c>
      <c r="F283" s="56">
        <f t="shared" si="4"/>
        <v>0.19791666666666666</v>
      </c>
    </row>
    <row r="284" spans="5:6" x14ac:dyDescent="0.3">
      <c r="E284" s="54">
        <v>0.195833333333333</v>
      </c>
      <c r="F284" s="56">
        <f t="shared" si="4"/>
        <v>0.19791666666666666</v>
      </c>
    </row>
    <row r="285" spans="5:6" x14ac:dyDescent="0.3">
      <c r="E285" s="54">
        <v>0.196527777777778</v>
      </c>
      <c r="F285" s="56">
        <f t="shared" si="4"/>
        <v>0.19791666666666666</v>
      </c>
    </row>
    <row r="286" spans="5:6" x14ac:dyDescent="0.3">
      <c r="E286" s="54">
        <v>0.19722222222222199</v>
      </c>
      <c r="F286" s="56">
        <f t="shared" si="4"/>
        <v>0.19791666666666666</v>
      </c>
    </row>
    <row r="287" spans="5:6" x14ac:dyDescent="0.3">
      <c r="E287" s="54">
        <v>0.19791666666666699</v>
      </c>
      <c r="F287" s="56">
        <f t="shared" si="4"/>
        <v>0.20833333333333334</v>
      </c>
    </row>
    <row r="288" spans="5:6" x14ac:dyDescent="0.3">
      <c r="E288" s="54">
        <v>0.19861111111111099</v>
      </c>
      <c r="F288" s="56">
        <f t="shared" si="4"/>
        <v>0.20833333333333334</v>
      </c>
    </row>
    <row r="289" spans="5:6" x14ac:dyDescent="0.3">
      <c r="E289" s="54">
        <v>0.19930555555555601</v>
      </c>
      <c r="F289" s="56">
        <f t="shared" si="4"/>
        <v>0.20833333333333334</v>
      </c>
    </row>
    <row r="290" spans="5:6" x14ac:dyDescent="0.3">
      <c r="E290" s="54">
        <v>0.2</v>
      </c>
      <c r="F290" s="56">
        <f t="shared" si="4"/>
        <v>0.20833333333333334</v>
      </c>
    </row>
    <row r="291" spans="5:6" x14ac:dyDescent="0.3">
      <c r="E291" s="54">
        <v>0.20069444444444401</v>
      </c>
      <c r="F291" s="56">
        <f t="shared" si="4"/>
        <v>0.20833333333333334</v>
      </c>
    </row>
    <row r="292" spans="5:6" x14ac:dyDescent="0.3">
      <c r="E292" s="54">
        <v>0.20138888888888901</v>
      </c>
      <c r="F292" s="56">
        <f t="shared" si="4"/>
        <v>0.20833333333333334</v>
      </c>
    </row>
    <row r="293" spans="5:6" x14ac:dyDescent="0.3">
      <c r="E293" s="54">
        <v>0.202083333333333</v>
      </c>
      <c r="F293" s="56">
        <f t="shared" si="4"/>
        <v>0.20833333333333334</v>
      </c>
    </row>
    <row r="294" spans="5:6" x14ac:dyDescent="0.3">
      <c r="E294" s="54">
        <v>0.202777777777778</v>
      </c>
      <c r="F294" s="56">
        <f t="shared" si="4"/>
        <v>0.20833333333333334</v>
      </c>
    </row>
    <row r="295" spans="5:6" x14ac:dyDescent="0.3">
      <c r="E295" s="54">
        <v>0.203472222222222</v>
      </c>
      <c r="F295" s="56">
        <f t="shared" si="4"/>
        <v>0.20833333333333334</v>
      </c>
    </row>
    <row r="296" spans="5:6" x14ac:dyDescent="0.3">
      <c r="E296" s="54">
        <v>0.204166666666667</v>
      </c>
      <c r="F296" s="56">
        <f t="shared" si="4"/>
        <v>0.20833333333333334</v>
      </c>
    </row>
    <row r="297" spans="5:6" x14ac:dyDescent="0.3">
      <c r="E297" s="54">
        <v>0.20486111111111099</v>
      </c>
      <c r="F297" s="56">
        <f t="shared" si="4"/>
        <v>0.20833333333333334</v>
      </c>
    </row>
    <row r="298" spans="5:6" x14ac:dyDescent="0.3">
      <c r="E298" s="54">
        <v>0.20555555555555599</v>
      </c>
      <c r="F298" s="56">
        <f t="shared" si="4"/>
        <v>0.20833333333333334</v>
      </c>
    </row>
    <row r="299" spans="5:6" x14ac:dyDescent="0.3">
      <c r="E299" s="54">
        <v>0.20624999999999999</v>
      </c>
      <c r="F299" s="56">
        <f t="shared" si="4"/>
        <v>0.20833333333333334</v>
      </c>
    </row>
    <row r="300" spans="5:6" x14ac:dyDescent="0.3">
      <c r="E300" s="54">
        <v>0.20694444444444399</v>
      </c>
      <c r="F300" s="56">
        <f t="shared" si="4"/>
        <v>0.20833333333333334</v>
      </c>
    </row>
    <row r="301" spans="5:6" x14ac:dyDescent="0.3">
      <c r="E301" s="54">
        <v>0.20763888888888901</v>
      </c>
      <c r="F301" s="56">
        <f t="shared" si="4"/>
        <v>0.20833333333333334</v>
      </c>
    </row>
    <row r="302" spans="5:6" x14ac:dyDescent="0.3">
      <c r="E302" s="54">
        <v>0.20833333333333301</v>
      </c>
      <c r="F302" s="56">
        <f t="shared" si="4"/>
        <v>0.21875</v>
      </c>
    </row>
    <row r="303" spans="5:6" x14ac:dyDescent="0.3">
      <c r="E303" s="54">
        <v>0.20902777777777801</v>
      </c>
      <c r="F303" s="56">
        <f t="shared" si="4"/>
        <v>0.21875</v>
      </c>
    </row>
    <row r="304" spans="5:6" x14ac:dyDescent="0.3">
      <c r="E304" s="54">
        <v>0.209722222222222</v>
      </c>
      <c r="F304" s="56">
        <f t="shared" si="4"/>
        <v>0.21875</v>
      </c>
    </row>
    <row r="305" spans="5:6" x14ac:dyDescent="0.3">
      <c r="E305" s="54">
        <v>0.210416666666667</v>
      </c>
      <c r="F305" s="56">
        <f t="shared" si="4"/>
        <v>0.21875</v>
      </c>
    </row>
    <row r="306" spans="5:6" x14ac:dyDescent="0.3">
      <c r="E306" s="54">
        <v>0.211111111111111</v>
      </c>
      <c r="F306" s="56">
        <f t="shared" si="4"/>
        <v>0.21875</v>
      </c>
    </row>
    <row r="307" spans="5:6" x14ac:dyDescent="0.3">
      <c r="E307" s="54">
        <v>0.211805555555556</v>
      </c>
      <c r="F307" s="56">
        <f t="shared" si="4"/>
        <v>0.21875</v>
      </c>
    </row>
    <row r="308" spans="5:6" x14ac:dyDescent="0.3">
      <c r="E308" s="54">
        <v>0.21249999999999999</v>
      </c>
      <c r="F308" s="56">
        <f t="shared" si="4"/>
        <v>0.21875</v>
      </c>
    </row>
    <row r="309" spans="5:6" x14ac:dyDescent="0.3">
      <c r="E309" s="54">
        <v>0.21319444444444399</v>
      </c>
      <c r="F309" s="56">
        <f t="shared" si="4"/>
        <v>0.21875</v>
      </c>
    </row>
    <row r="310" spans="5:6" x14ac:dyDescent="0.3">
      <c r="E310" s="54">
        <v>0.21388888888888899</v>
      </c>
      <c r="F310" s="56">
        <f t="shared" si="4"/>
        <v>0.21875</v>
      </c>
    </row>
    <row r="311" spans="5:6" x14ac:dyDescent="0.3">
      <c r="E311" s="54">
        <v>0.21458333333333299</v>
      </c>
      <c r="F311" s="56">
        <f t="shared" si="4"/>
        <v>0.21875</v>
      </c>
    </row>
    <row r="312" spans="5:6" x14ac:dyDescent="0.3">
      <c r="E312" s="54">
        <v>0.21527777777777801</v>
      </c>
      <c r="F312" s="56">
        <f t="shared" si="4"/>
        <v>0.21875</v>
      </c>
    </row>
    <row r="313" spans="5:6" x14ac:dyDescent="0.3">
      <c r="E313" s="54">
        <v>0.21597222222222201</v>
      </c>
      <c r="F313" s="56">
        <f t="shared" si="4"/>
        <v>0.21875</v>
      </c>
    </row>
    <row r="314" spans="5:6" x14ac:dyDescent="0.3">
      <c r="E314" s="54">
        <v>0.21666666666666701</v>
      </c>
      <c r="F314" s="56">
        <f t="shared" si="4"/>
        <v>0.21875</v>
      </c>
    </row>
    <row r="315" spans="5:6" x14ac:dyDescent="0.3">
      <c r="E315" s="54">
        <v>0.21736111111111101</v>
      </c>
      <c r="F315" s="56">
        <f t="shared" si="4"/>
        <v>0.21875</v>
      </c>
    </row>
    <row r="316" spans="5:6" x14ac:dyDescent="0.3">
      <c r="E316" s="54">
        <v>0.218055555555556</v>
      </c>
      <c r="F316" s="56">
        <f t="shared" si="4"/>
        <v>0.21875</v>
      </c>
    </row>
    <row r="317" spans="5:6" x14ac:dyDescent="0.3">
      <c r="E317" s="54">
        <v>0.21875</v>
      </c>
      <c r="F317" s="56">
        <f t="shared" si="4"/>
        <v>0.22916666666666666</v>
      </c>
    </row>
    <row r="318" spans="5:6" x14ac:dyDescent="0.3">
      <c r="E318" s="54">
        <v>0.219444444444444</v>
      </c>
      <c r="F318" s="56">
        <f t="shared" si="4"/>
        <v>0.22916666666666666</v>
      </c>
    </row>
    <row r="319" spans="5:6" x14ac:dyDescent="0.3">
      <c r="E319" s="54">
        <v>0.22013888888888899</v>
      </c>
      <c r="F319" s="56">
        <f t="shared" si="4"/>
        <v>0.22916666666666666</v>
      </c>
    </row>
    <row r="320" spans="5:6" x14ac:dyDescent="0.3">
      <c r="E320" s="54">
        <v>0.22083333333333299</v>
      </c>
      <c r="F320" s="56">
        <f t="shared" si="4"/>
        <v>0.22916666666666666</v>
      </c>
    </row>
    <row r="321" spans="5:6" x14ac:dyDescent="0.3">
      <c r="E321" s="54">
        <v>0.22152777777777799</v>
      </c>
      <c r="F321" s="56">
        <f t="shared" si="4"/>
        <v>0.22916666666666666</v>
      </c>
    </row>
    <row r="322" spans="5:6" x14ac:dyDescent="0.3">
      <c r="E322" s="54">
        <v>0.22222222222222199</v>
      </c>
      <c r="F322" s="56">
        <f t="shared" si="4"/>
        <v>0.22916666666666666</v>
      </c>
    </row>
    <row r="323" spans="5:6" x14ac:dyDescent="0.3">
      <c r="E323" s="54">
        <v>0.22291666666666701</v>
      </c>
      <c r="F323" s="56">
        <f t="shared" ref="F323:F386" si="5">ROUNDUP(E323*4*24+1/60/24,0)/4/24</f>
        <v>0.22916666666666666</v>
      </c>
    </row>
    <row r="324" spans="5:6" x14ac:dyDescent="0.3">
      <c r="E324" s="54">
        <v>0.22361111111111101</v>
      </c>
      <c r="F324" s="56">
        <f t="shared" si="5"/>
        <v>0.22916666666666666</v>
      </c>
    </row>
    <row r="325" spans="5:6" x14ac:dyDescent="0.3">
      <c r="E325" s="54">
        <v>0.22430555555555601</v>
      </c>
      <c r="F325" s="56">
        <f t="shared" si="5"/>
        <v>0.22916666666666666</v>
      </c>
    </row>
    <row r="326" spans="5:6" x14ac:dyDescent="0.3">
      <c r="E326" s="54">
        <v>0.22500000000000001</v>
      </c>
      <c r="F326" s="56">
        <f t="shared" si="5"/>
        <v>0.22916666666666666</v>
      </c>
    </row>
    <row r="327" spans="5:6" x14ac:dyDescent="0.3">
      <c r="E327" s="54">
        <v>0.225694444444444</v>
      </c>
      <c r="F327" s="56">
        <f t="shared" si="5"/>
        <v>0.22916666666666666</v>
      </c>
    </row>
    <row r="328" spans="5:6" x14ac:dyDescent="0.3">
      <c r="E328" s="54">
        <v>0.226388888888889</v>
      </c>
      <c r="F328" s="56">
        <f t="shared" si="5"/>
        <v>0.22916666666666666</v>
      </c>
    </row>
    <row r="329" spans="5:6" x14ac:dyDescent="0.3">
      <c r="E329" s="54">
        <v>0.227083333333333</v>
      </c>
      <c r="F329" s="56">
        <f t="shared" si="5"/>
        <v>0.22916666666666666</v>
      </c>
    </row>
    <row r="330" spans="5:6" x14ac:dyDescent="0.3">
      <c r="E330" s="54">
        <v>0.227777777777778</v>
      </c>
      <c r="F330" s="56">
        <f t="shared" si="5"/>
        <v>0.22916666666666666</v>
      </c>
    </row>
    <row r="331" spans="5:6" x14ac:dyDescent="0.3">
      <c r="E331" s="54">
        <v>0.22847222222222199</v>
      </c>
      <c r="F331" s="56">
        <f t="shared" si="5"/>
        <v>0.22916666666666666</v>
      </c>
    </row>
    <row r="332" spans="5:6" x14ac:dyDescent="0.3">
      <c r="E332" s="54">
        <v>0.22916666666666699</v>
      </c>
      <c r="F332" s="56">
        <f t="shared" si="5"/>
        <v>0.23958333333333334</v>
      </c>
    </row>
    <row r="333" spans="5:6" x14ac:dyDescent="0.3">
      <c r="E333" s="54">
        <v>0.22986111111111099</v>
      </c>
      <c r="F333" s="56">
        <f t="shared" si="5"/>
        <v>0.23958333333333334</v>
      </c>
    </row>
    <row r="334" spans="5:6" x14ac:dyDescent="0.3">
      <c r="E334" s="54">
        <v>0.23055555555555601</v>
      </c>
      <c r="F334" s="56">
        <f t="shared" si="5"/>
        <v>0.23958333333333334</v>
      </c>
    </row>
    <row r="335" spans="5:6" x14ac:dyDescent="0.3">
      <c r="E335" s="54">
        <v>0.23125000000000001</v>
      </c>
      <c r="F335" s="56">
        <f t="shared" si="5"/>
        <v>0.23958333333333334</v>
      </c>
    </row>
    <row r="336" spans="5:6" x14ac:dyDescent="0.3">
      <c r="E336" s="54">
        <v>0.23194444444444401</v>
      </c>
      <c r="F336" s="56">
        <f t="shared" si="5"/>
        <v>0.23958333333333334</v>
      </c>
    </row>
    <row r="337" spans="5:6" x14ac:dyDescent="0.3">
      <c r="E337" s="54">
        <v>0.23263888888888901</v>
      </c>
      <c r="F337" s="56">
        <f t="shared" si="5"/>
        <v>0.23958333333333334</v>
      </c>
    </row>
    <row r="338" spans="5:6" x14ac:dyDescent="0.3">
      <c r="E338" s="54">
        <v>0.233333333333333</v>
      </c>
      <c r="F338" s="56">
        <f t="shared" si="5"/>
        <v>0.23958333333333334</v>
      </c>
    </row>
    <row r="339" spans="5:6" x14ac:dyDescent="0.3">
      <c r="E339" s="54">
        <v>0.234027777777778</v>
      </c>
      <c r="F339" s="56">
        <f t="shared" si="5"/>
        <v>0.23958333333333334</v>
      </c>
    </row>
    <row r="340" spans="5:6" x14ac:dyDescent="0.3">
      <c r="E340" s="54">
        <v>0.234722222222222</v>
      </c>
      <c r="F340" s="56">
        <f t="shared" si="5"/>
        <v>0.23958333333333334</v>
      </c>
    </row>
    <row r="341" spans="5:6" x14ac:dyDescent="0.3">
      <c r="E341" s="54">
        <v>0.235416666666667</v>
      </c>
      <c r="F341" s="56">
        <f t="shared" si="5"/>
        <v>0.23958333333333334</v>
      </c>
    </row>
    <row r="342" spans="5:6" x14ac:dyDescent="0.3">
      <c r="E342" s="54">
        <v>0.23611111111111099</v>
      </c>
      <c r="F342" s="56">
        <f t="shared" si="5"/>
        <v>0.23958333333333334</v>
      </c>
    </row>
    <row r="343" spans="5:6" x14ac:dyDescent="0.3">
      <c r="E343" s="54">
        <v>0.23680555555555599</v>
      </c>
      <c r="F343" s="56">
        <f t="shared" si="5"/>
        <v>0.23958333333333334</v>
      </c>
    </row>
    <row r="344" spans="5:6" x14ac:dyDescent="0.3">
      <c r="E344" s="54">
        <v>0.23749999999999999</v>
      </c>
      <c r="F344" s="56">
        <f t="shared" si="5"/>
        <v>0.23958333333333334</v>
      </c>
    </row>
    <row r="345" spans="5:6" x14ac:dyDescent="0.3">
      <c r="E345" s="54">
        <v>0.23819444444444399</v>
      </c>
      <c r="F345" s="56">
        <f t="shared" si="5"/>
        <v>0.23958333333333334</v>
      </c>
    </row>
    <row r="346" spans="5:6" x14ac:dyDescent="0.3">
      <c r="E346" s="54">
        <v>0.23888888888888901</v>
      </c>
      <c r="F346" s="56">
        <f t="shared" si="5"/>
        <v>0.23958333333333334</v>
      </c>
    </row>
    <row r="347" spans="5:6" x14ac:dyDescent="0.3">
      <c r="E347" s="54">
        <v>0.23958333333333301</v>
      </c>
      <c r="F347" s="56">
        <f t="shared" si="5"/>
        <v>0.25</v>
      </c>
    </row>
    <row r="348" spans="5:6" x14ac:dyDescent="0.3">
      <c r="E348" s="54">
        <v>0.24027777777777801</v>
      </c>
      <c r="F348" s="56">
        <f t="shared" si="5"/>
        <v>0.25</v>
      </c>
    </row>
    <row r="349" spans="5:6" x14ac:dyDescent="0.3">
      <c r="E349" s="54">
        <v>0.240972222222222</v>
      </c>
      <c r="F349" s="56">
        <f t="shared" si="5"/>
        <v>0.25</v>
      </c>
    </row>
    <row r="350" spans="5:6" x14ac:dyDescent="0.3">
      <c r="E350" s="54">
        <v>0.241666666666667</v>
      </c>
      <c r="F350" s="56">
        <f t="shared" si="5"/>
        <v>0.25</v>
      </c>
    </row>
    <row r="351" spans="5:6" x14ac:dyDescent="0.3">
      <c r="E351" s="54">
        <v>0.242361111111111</v>
      </c>
      <c r="F351" s="56">
        <f t="shared" si="5"/>
        <v>0.25</v>
      </c>
    </row>
    <row r="352" spans="5:6" x14ac:dyDescent="0.3">
      <c r="E352" s="54">
        <v>0.243055555555556</v>
      </c>
      <c r="F352" s="56">
        <f t="shared" si="5"/>
        <v>0.25</v>
      </c>
    </row>
    <row r="353" spans="5:6" x14ac:dyDescent="0.3">
      <c r="E353" s="54">
        <v>0.24374999999999999</v>
      </c>
      <c r="F353" s="56">
        <f t="shared" si="5"/>
        <v>0.25</v>
      </c>
    </row>
    <row r="354" spans="5:6" x14ac:dyDescent="0.3">
      <c r="E354" s="54">
        <v>0.24444444444444399</v>
      </c>
      <c r="F354" s="56">
        <f t="shared" si="5"/>
        <v>0.25</v>
      </c>
    </row>
    <row r="355" spans="5:6" x14ac:dyDescent="0.3">
      <c r="E355" s="54">
        <v>0.24513888888888899</v>
      </c>
      <c r="F355" s="56">
        <f t="shared" si="5"/>
        <v>0.25</v>
      </c>
    </row>
    <row r="356" spans="5:6" x14ac:dyDescent="0.3">
      <c r="E356" s="54">
        <v>0.24583333333333299</v>
      </c>
      <c r="F356" s="56">
        <f t="shared" si="5"/>
        <v>0.25</v>
      </c>
    </row>
    <row r="357" spans="5:6" x14ac:dyDescent="0.3">
      <c r="E357" s="54">
        <v>0.24652777777777801</v>
      </c>
      <c r="F357" s="56">
        <f t="shared" si="5"/>
        <v>0.25</v>
      </c>
    </row>
    <row r="358" spans="5:6" x14ac:dyDescent="0.3">
      <c r="E358" s="54">
        <v>0.24722222222222201</v>
      </c>
      <c r="F358" s="56">
        <f t="shared" si="5"/>
        <v>0.25</v>
      </c>
    </row>
    <row r="359" spans="5:6" x14ac:dyDescent="0.3">
      <c r="E359" s="54">
        <v>0.24791666666666701</v>
      </c>
      <c r="F359" s="56">
        <f t="shared" si="5"/>
        <v>0.25</v>
      </c>
    </row>
    <row r="360" spans="5:6" x14ac:dyDescent="0.3">
      <c r="E360" s="54">
        <v>0.24861111111111101</v>
      </c>
      <c r="F360" s="56">
        <f t="shared" si="5"/>
        <v>0.25</v>
      </c>
    </row>
    <row r="361" spans="5:6" x14ac:dyDescent="0.3">
      <c r="E361" s="54">
        <v>0.249305555555556</v>
      </c>
      <c r="F361" s="56">
        <f t="shared" si="5"/>
        <v>0.25</v>
      </c>
    </row>
    <row r="362" spans="5:6" x14ac:dyDescent="0.3">
      <c r="E362" s="54">
        <v>0.25</v>
      </c>
      <c r="F362" s="56">
        <f t="shared" si="5"/>
        <v>0.26041666666666669</v>
      </c>
    </row>
    <row r="363" spans="5:6" x14ac:dyDescent="0.3">
      <c r="E363" s="54">
        <v>0.250694444444444</v>
      </c>
      <c r="F363" s="56">
        <f t="shared" si="5"/>
        <v>0.26041666666666669</v>
      </c>
    </row>
    <row r="364" spans="5:6" x14ac:dyDescent="0.3">
      <c r="E364" s="54">
        <v>0.25138888888888899</v>
      </c>
      <c r="F364" s="56">
        <f t="shared" si="5"/>
        <v>0.26041666666666669</v>
      </c>
    </row>
    <row r="365" spans="5:6" x14ac:dyDescent="0.3">
      <c r="E365" s="54">
        <v>0.25208333333333299</v>
      </c>
      <c r="F365" s="56">
        <f t="shared" si="5"/>
        <v>0.26041666666666669</v>
      </c>
    </row>
    <row r="366" spans="5:6" x14ac:dyDescent="0.3">
      <c r="E366" s="54">
        <v>0.25277777777777799</v>
      </c>
      <c r="F366" s="56">
        <f t="shared" si="5"/>
        <v>0.26041666666666669</v>
      </c>
    </row>
    <row r="367" spans="5:6" x14ac:dyDescent="0.3">
      <c r="E367" s="54">
        <v>0.25347222222222199</v>
      </c>
      <c r="F367" s="56">
        <f t="shared" si="5"/>
        <v>0.26041666666666669</v>
      </c>
    </row>
    <row r="368" spans="5:6" x14ac:dyDescent="0.3">
      <c r="E368" s="54">
        <v>0.25416666666666698</v>
      </c>
      <c r="F368" s="56">
        <f t="shared" si="5"/>
        <v>0.26041666666666669</v>
      </c>
    </row>
    <row r="369" spans="5:6" x14ac:dyDescent="0.3">
      <c r="E369" s="54">
        <v>0.25486111111111098</v>
      </c>
      <c r="F369" s="56">
        <f t="shared" si="5"/>
        <v>0.26041666666666669</v>
      </c>
    </row>
    <row r="370" spans="5:6" x14ac:dyDescent="0.3">
      <c r="E370" s="54">
        <v>0.25555555555555598</v>
      </c>
      <c r="F370" s="56">
        <f t="shared" si="5"/>
        <v>0.26041666666666669</v>
      </c>
    </row>
    <row r="371" spans="5:6" x14ac:dyDescent="0.3">
      <c r="E371" s="54">
        <v>0.25624999999999998</v>
      </c>
      <c r="F371" s="56">
        <f t="shared" si="5"/>
        <v>0.26041666666666669</v>
      </c>
    </row>
    <row r="372" spans="5:6" x14ac:dyDescent="0.3">
      <c r="E372" s="54">
        <v>0.25694444444444398</v>
      </c>
      <c r="F372" s="56">
        <f t="shared" si="5"/>
        <v>0.26041666666666669</v>
      </c>
    </row>
    <row r="373" spans="5:6" x14ac:dyDescent="0.3">
      <c r="E373" s="54">
        <v>0.25763888888888897</v>
      </c>
      <c r="F373" s="56">
        <f t="shared" si="5"/>
        <v>0.26041666666666669</v>
      </c>
    </row>
    <row r="374" spans="5:6" x14ac:dyDescent="0.3">
      <c r="E374" s="54">
        <v>0.25833333333333303</v>
      </c>
      <c r="F374" s="56">
        <f t="shared" si="5"/>
        <v>0.26041666666666669</v>
      </c>
    </row>
    <row r="375" spans="5:6" x14ac:dyDescent="0.3">
      <c r="E375" s="54">
        <v>0.25902777777777802</v>
      </c>
      <c r="F375" s="56">
        <f t="shared" si="5"/>
        <v>0.26041666666666669</v>
      </c>
    </row>
    <row r="376" spans="5:6" x14ac:dyDescent="0.3">
      <c r="E376" s="54">
        <v>0.25972222222222202</v>
      </c>
      <c r="F376" s="56">
        <f t="shared" si="5"/>
        <v>0.26041666666666669</v>
      </c>
    </row>
    <row r="377" spans="5:6" x14ac:dyDescent="0.3">
      <c r="E377" s="54">
        <v>0.26041666666666702</v>
      </c>
      <c r="F377" s="56">
        <f t="shared" si="5"/>
        <v>0.27083333333333331</v>
      </c>
    </row>
    <row r="378" spans="5:6" x14ac:dyDescent="0.3">
      <c r="E378" s="54">
        <v>0.26111111111111102</v>
      </c>
      <c r="F378" s="56">
        <f t="shared" si="5"/>
        <v>0.27083333333333331</v>
      </c>
    </row>
    <row r="379" spans="5:6" x14ac:dyDescent="0.3">
      <c r="E379" s="54">
        <v>0.26180555555555601</v>
      </c>
      <c r="F379" s="56">
        <f t="shared" si="5"/>
        <v>0.27083333333333331</v>
      </c>
    </row>
    <row r="380" spans="5:6" x14ac:dyDescent="0.3">
      <c r="E380" s="54">
        <v>0.26250000000000001</v>
      </c>
      <c r="F380" s="56">
        <f t="shared" si="5"/>
        <v>0.27083333333333331</v>
      </c>
    </row>
    <row r="381" spans="5:6" x14ac:dyDescent="0.3">
      <c r="E381" s="54">
        <v>0.26319444444444401</v>
      </c>
      <c r="F381" s="56">
        <f t="shared" si="5"/>
        <v>0.27083333333333331</v>
      </c>
    </row>
    <row r="382" spans="5:6" x14ac:dyDescent="0.3">
      <c r="E382" s="54">
        <v>0.26388888888888901</v>
      </c>
      <c r="F382" s="56">
        <f t="shared" si="5"/>
        <v>0.27083333333333331</v>
      </c>
    </row>
    <row r="383" spans="5:6" x14ac:dyDescent="0.3">
      <c r="E383" s="54">
        <v>0.264583333333333</v>
      </c>
      <c r="F383" s="56">
        <f t="shared" si="5"/>
        <v>0.27083333333333331</v>
      </c>
    </row>
    <row r="384" spans="5:6" x14ac:dyDescent="0.3">
      <c r="E384" s="54">
        <v>0.265277777777778</v>
      </c>
      <c r="F384" s="56">
        <f t="shared" si="5"/>
        <v>0.27083333333333331</v>
      </c>
    </row>
    <row r="385" spans="5:6" x14ac:dyDescent="0.3">
      <c r="E385" s="54">
        <v>0.265972222222222</v>
      </c>
      <c r="F385" s="56">
        <f t="shared" si="5"/>
        <v>0.27083333333333331</v>
      </c>
    </row>
    <row r="386" spans="5:6" x14ac:dyDescent="0.3">
      <c r="E386" s="54">
        <v>0.266666666666667</v>
      </c>
      <c r="F386" s="56">
        <f t="shared" si="5"/>
        <v>0.27083333333333331</v>
      </c>
    </row>
    <row r="387" spans="5:6" x14ac:dyDescent="0.3">
      <c r="E387" s="54">
        <v>0.26736111111111099</v>
      </c>
      <c r="F387" s="56">
        <f t="shared" ref="F387:F450" si="6">ROUNDUP(E387*4*24+1/60/24,0)/4/24</f>
        <v>0.27083333333333331</v>
      </c>
    </row>
    <row r="388" spans="5:6" x14ac:dyDescent="0.3">
      <c r="E388" s="54">
        <v>0.26805555555555599</v>
      </c>
      <c r="F388" s="56">
        <f t="shared" si="6"/>
        <v>0.27083333333333331</v>
      </c>
    </row>
    <row r="389" spans="5:6" x14ac:dyDescent="0.3">
      <c r="E389" s="54">
        <v>0.26874999999999999</v>
      </c>
      <c r="F389" s="56">
        <f t="shared" si="6"/>
        <v>0.27083333333333331</v>
      </c>
    </row>
    <row r="390" spans="5:6" x14ac:dyDescent="0.3">
      <c r="E390" s="54">
        <v>0.26944444444444399</v>
      </c>
      <c r="F390" s="56">
        <f t="shared" si="6"/>
        <v>0.27083333333333331</v>
      </c>
    </row>
    <row r="391" spans="5:6" x14ac:dyDescent="0.3">
      <c r="E391" s="54">
        <v>0.27013888888888898</v>
      </c>
      <c r="F391" s="56">
        <f t="shared" si="6"/>
        <v>0.27083333333333331</v>
      </c>
    </row>
    <row r="392" spans="5:6" x14ac:dyDescent="0.3">
      <c r="E392" s="54">
        <v>0.27083333333333298</v>
      </c>
      <c r="F392" s="56">
        <f t="shared" si="6"/>
        <v>0.28125</v>
      </c>
    </row>
    <row r="393" spans="5:6" x14ac:dyDescent="0.3">
      <c r="E393" s="54">
        <v>0.27152777777777798</v>
      </c>
      <c r="F393" s="56">
        <f t="shared" si="6"/>
        <v>0.28125</v>
      </c>
    </row>
    <row r="394" spans="5:6" x14ac:dyDescent="0.3">
      <c r="E394" s="54">
        <v>0.27222222222222198</v>
      </c>
      <c r="F394" s="56">
        <f t="shared" si="6"/>
        <v>0.28125</v>
      </c>
    </row>
    <row r="395" spans="5:6" x14ac:dyDescent="0.3">
      <c r="E395" s="54">
        <v>0.27291666666666697</v>
      </c>
      <c r="F395" s="56">
        <f t="shared" si="6"/>
        <v>0.28125</v>
      </c>
    </row>
    <row r="396" spans="5:6" x14ac:dyDescent="0.3">
      <c r="E396" s="54">
        <v>0.27361111111111103</v>
      </c>
      <c r="F396" s="56">
        <f t="shared" si="6"/>
        <v>0.28125</v>
      </c>
    </row>
    <row r="397" spans="5:6" x14ac:dyDescent="0.3">
      <c r="E397" s="54">
        <v>0.27430555555555602</v>
      </c>
      <c r="F397" s="56">
        <f t="shared" si="6"/>
        <v>0.28125</v>
      </c>
    </row>
    <row r="398" spans="5:6" x14ac:dyDescent="0.3">
      <c r="E398" s="54">
        <v>0.27500000000000002</v>
      </c>
      <c r="F398" s="56">
        <f t="shared" si="6"/>
        <v>0.28125</v>
      </c>
    </row>
    <row r="399" spans="5:6" x14ac:dyDescent="0.3">
      <c r="E399" s="54">
        <v>0.27569444444444402</v>
      </c>
      <c r="F399" s="56">
        <f t="shared" si="6"/>
        <v>0.28125</v>
      </c>
    </row>
    <row r="400" spans="5:6" x14ac:dyDescent="0.3">
      <c r="E400" s="54">
        <v>0.27638888888888902</v>
      </c>
      <c r="F400" s="56">
        <f t="shared" si="6"/>
        <v>0.28125</v>
      </c>
    </row>
    <row r="401" spans="5:6" x14ac:dyDescent="0.3">
      <c r="E401" s="54">
        <v>0.27708333333333302</v>
      </c>
      <c r="F401" s="56">
        <f t="shared" si="6"/>
        <v>0.28125</v>
      </c>
    </row>
    <row r="402" spans="5:6" x14ac:dyDescent="0.3">
      <c r="E402" s="54">
        <v>0.27777777777777801</v>
      </c>
      <c r="F402" s="56">
        <f t="shared" si="6"/>
        <v>0.28125</v>
      </c>
    </row>
    <row r="403" spans="5:6" x14ac:dyDescent="0.3">
      <c r="E403" s="54">
        <v>0.27847222222222201</v>
      </c>
      <c r="F403" s="56">
        <f t="shared" si="6"/>
        <v>0.28125</v>
      </c>
    </row>
    <row r="404" spans="5:6" x14ac:dyDescent="0.3">
      <c r="E404" s="54">
        <v>0.27916666666666701</v>
      </c>
      <c r="F404" s="56">
        <f t="shared" si="6"/>
        <v>0.28125</v>
      </c>
    </row>
    <row r="405" spans="5:6" x14ac:dyDescent="0.3">
      <c r="E405" s="54">
        <v>0.27986111111111101</v>
      </c>
      <c r="F405" s="56">
        <f t="shared" si="6"/>
        <v>0.28125</v>
      </c>
    </row>
    <row r="406" spans="5:6" x14ac:dyDescent="0.3">
      <c r="E406" s="54">
        <v>0.280555555555556</v>
      </c>
      <c r="F406" s="56">
        <f t="shared" si="6"/>
        <v>0.28125</v>
      </c>
    </row>
    <row r="407" spans="5:6" x14ac:dyDescent="0.3">
      <c r="E407" s="54">
        <v>0.28125</v>
      </c>
      <c r="F407" s="56">
        <f t="shared" si="6"/>
        <v>0.29166666666666669</v>
      </c>
    </row>
    <row r="408" spans="5:6" x14ac:dyDescent="0.3">
      <c r="E408" s="54">
        <v>0.281944444444444</v>
      </c>
      <c r="F408" s="56">
        <f t="shared" si="6"/>
        <v>0.29166666666666669</v>
      </c>
    </row>
    <row r="409" spans="5:6" x14ac:dyDescent="0.3">
      <c r="E409" s="54">
        <v>0.28263888888888899</v>
      </c>
      <c r="F409" s="56">
        <f t="shared" si="6"/>
        <v>0.29166666666666669</v>
      </c>
    </row>
    <row r="410" spans="5:6" x14ac:dyDescent="0.3">
      <c r="E410" s="54">
        <v>0.28333333333333299</v>
      </c>
      <c r="F410" s="56">
        <f t="shared" si="6"/>
        <v>0.29166666666666669</v>
      </c>
    </row>
    <row r="411" spans="5:6" x14ac:dyDescent="0.3">
      <c r="E411" s="54">
        <v>0.28402777777777799</v>
      </c>
      <c r="F411" s="56">
        <f t="shared" si="6"/>
        <v>0.29166666666666669</v>
      </c>
    </row>
    <row r="412" spans="5:6" x14ac:dyDescent="0.3">
      <c r="E412" s="54">
        <v>0.28472222222222199</v>
      </c>
      <c r="F412" s="56">
        <f t="shared" si="6"/>
        <v>0.29166666666666669</v>
      </c>
    </row>
    <row r="413" spans="5:6" x14ac:dyDescent="0.3">
      <c r="E413" s="54">
        <v>0.28541666666666698</v>
      </c>
      <c r="F413" s="56">
        <f t="shared" si="6"/>
        <v>0.29166666666666669</v>
      </c>
    </row>
    <row r="414" spans="5:6" x14ac:dyDescent="0.3">
      <c r="E414" s="54">
        <v>0.28611111111111098</v>
      </c>
      <c r="F414" s="56">
        <f t="shared" si="6"/>
        <v>0.29166666666666669</v>
      </c>
    </row>
    <row r="415" spans="5:6" x14ac:dyDescent="0.3">
      <c r="E415" s="54">
        <v>0.28680555555555598</v>
      </c>
      <c r="F415" s="56">
        <f t="shared" si="6"/>
        <v>0.29166666666666669</v>
      </c>
    </row>
    <row r="416" spans="5:6" x14ac:dyDescent="0.3">
      <c r="E416" s="54">
        <v>0.28749999999999998</v>
      </c>
      <c r="F416" s="56">
        <f t="shared" si="6"/>
        <v>0.29166666666666669</v>
      </c>
    </row>
    <row r="417" spans="5:6" x14ac:dyDescent="0.3">
      <c r="E417" s="54">
        <v>0.28819444444444398</v>
      </c>
      <c r="F417" s="56">
        <f t="shared" si="6"/>
        <v>0.29166666666666669</v>
      </c>
    </row>
    <row r="418" spans="5:6" x14ac:dyDescent="0.3">
      <c r="E418" s="54">
        <v>0.28888888888888897</v>
      </c>
      <c r="F418" s="56">
        <f t="shared" si="6"/>
        <v>0.29166666666666669</v>
      </c>
    </row>
    <row r="419" spans="5:6" x14ac:dyDescent="0.3">
      <c r="E419" s="54">
        <v>0.28958333333333303</v>
      </c>
      <c r="F419" s="56">
        <f t="shared" si="6"/>
        <v>0.29166666666666669</v>
      </c>
    </row>
    <row r="420" spans="5:6" x14ac:dyDescent="0.3">
      <c r="E420" s="54">
        <v>0.29027777777777802</v>
      </c>
      <c r="F420" s="56">
        <f t="shared" si="6"/>
        <v>0.29166666666666669</v>
      </c>
    </row>
    <row r="421" spans="5:6" x14ac:dyDescent="0.3">
      <c r="E421" s="54">
        <v>0.29097222222222202</v>
      </c>
      <c r="F421" s="56">
        <f t="shared" si="6"/>
        <v>0.29166666666666669</v>
      </c>
    </row>
    <row r="422" spans="5:6" x14ac:dyDescent="0.3">
      <c r="E422" s="54">
        <v>0.29166666666666702</v>
      </c>
      <c r="F422" s="56">
        <f t="shared" si="6"/>
        <v>0.30208333333333331</v>
      </c>
    </row>
    <row r="423" spans="5:6" x14ac:dyDescent="0.3">
      <c r="E423" s="54">
        <v>0.29236111111111102</v>
      </c>
      <c r="F423" s="56">
        <f t="shared" si="6"/>
        <v>0.30208333333333331</v>
      </c>
    </row>
    <row r="424" spans="5:6" x14ac:dyDescent="0.3">
      <c r="E424" s="54">
        <v>0.29305555555555601</v>
      </c>
      <c r="F424" s="56">
        <f t="shared" si="6"/>
        <v>0.30208333333333331</v>
      </c>
    </row>
    <row r="425" spans="5:6" x14ac:dyDescent="0.3">
      <c r="E425" s="54">
        <v>0.29375000000000001</v>
      </c>
      <c r="F425" s="56">
        <f t="shared" si="6"/>
        <v>0.30208333333333331</v>
      </c>
    </row>
    <row r="426" spans="5:6" x14ac:dyDescent="0.3">
      <c r="E426" s="54">
        <v>0.29444444444444401</v>
      </c>
      <c r="F426" s="56">
        <f t="shared" si="6"/>
        <v>0.30208333333333331</v>
      </c>
    </row>
    <row r="427" spans="5:6" x14ac:dyDescent="0.3">
      <c r="E427" s="54">
        <v>0.29513888888888901</v>
      </c>
      <c r="F427" s="56">
        <f t="shared" si="6"/>
        <v>0.30208333333333331</v>
      </c>
    </row>
    <row r="428" spans="5:6" x14ac:dyDescent="0.3">
      <c r="E428" s="54">
        <v>0.295833333333333</v>
      </c>
      <c r="F428" s="56">
        <f t="shared" si="6"/>
        <v>0.30208333333333331</v>
      </c>
    </row>
    <row r="429" spans="5:6" x14ac:dyDescent="0.3">
      <c r="E429" s="54">
        <v>0.296527777777778</v>
      </c>
      <c r="F429" s="56">
        <f t="shared" si="6"/>
        <v>0.30208333333333331</v>
      </c>
    </row>
    <row r="430" spans="5:6" x14ac:dyDescent="0.3">
      <c r="E430" s="54">
        <v>0.297222222222222</v>
      </c>
      <c r="F430" s="56">
        <f t="shared" si="6"/>
        <v>0.30208333333333331</v>
      </c>
    </row>
    <row r="431" spans="5:6" x14ac:dyDescent="0.3">
      <c r="E431" s="54">
        <v>0.297916666666667</v>
      </c>
      <c r="F431" s="56">
        <f t="shared" si="6"/>
        <v>0.30208333333333331</v>
      </c>
    </row>
    <row r="432" spans="5:6" x14ac:dyDescent="0.3">
      <c r="E432" s="54">
        <v>0.29861111111111099</v>
      </c>
      <c r="F432" s="56">
        <f t="shared" si="6"/>
        <v>0.30208333333333331</v>
      </c>
    </row>
    <row r="433" spans="5:6" x14ac:dyDescent="0.3">
      <c r="E433" s="54">
        <v>0.29930555555555599</v>
      </c>
      <c r="F433" s="56">
        <f t="shared" si="6"/>
        <v>0.30208333333333331</v>
      </c>
    </row>
    <row r="434" spans="5:6" x14ac:dyDescent="0.3">
      <c r="E434" s="54">
        <v>0.3</v>
      </c>
      <c r="F434" s="56">
        <f t="shared" si="6"/>
        <v>0.30208333333333331</v>
      </c>
    </row>
    <row r="435" spans="5:6" x14ac:dyDescent="0.3">
      <c r="E435" s="54">
        <v>0.30069444444444399</v>
      </c>
      <c r="F435" s="56">
        <f t="shared" si="6"/>
        <v>0.30208333333333331</v>
      </c>
    </row>
    <row r="436" spans="5:6" x14ac:dyDescent="0.3">
      <c r="E436" s="54">
        <v>0.30138888888888898</v>
      </c>
      <c r="F436" s="56">
        <f t="shared" si="6"/>
        <v>0.30208333333333331</v>
      </c>
    </row>
    <row r="437" spans="5:6" x14ac:dyDescent="0.3">
      <c r="E437" s="54">
        <v>0.30208333333333298</v>
      </c>
      <c r="F437" s="56">
        <f t="shared" si="6"/>
        <v>0.3125</v>
      </c>
    </row>
    <row r="438" spans="5:6" x14ac:dyDescent="0.3">
      <c r="E438" s="54">
        <v>0.30277777777777798</v>
      </c>
      <c r="F438" s="56">
        <f t="shared" si="6"/>
        <v>0.3125</v>
      </c>
    </row>
    <row r="439" spans="5:6" x14ac:dyDescent="0.3">
      <c r="E439" s="54">
        <v>0.30347222222222198</v>
      </c>
      <c r="F439" s="56">
        <f t="shared" si="6"/>
        <v>0.3125</v>
      </c>
    </row>
    <row r="440" spans="5:6" x14ac:dyDescent="0.3">
      <c r="E440" s="54">
        <v>0.30416666666666697</v>
      </c>
      <c r="F440" s="56">
        <f t="shared" si="6"/>
        <v>0.3125</v>
      </c>
    </row>
    <row r="441" spans="5:6" x14ac:dyDescent="0.3">
      <c r="E441" s="54">
        <v>0.30486111111111103</v>
      </c>
      <c r="F441" s="56">
        <f t="shared" si="6"/>
        <v>0.3125</v>
      </c>
    </row>
    <row r="442" spans="5:6" x14ac:dyDescent="0.3">
      <c r="E442" s="54">
        <v>0.30555555555555602</v>
      </c>
      <c r="F442" s="56">
        <f t="shared" si="6"/>
        <v>0.3125</v>
      </c>
    </row>
    <row r="443" spans="5:6" x14ac:dyDescent="0.3">
      <c r="E443" s="54">
        <v>0.30625000000000002</v>
      </c>
      <c r="F443" s="56">
        <f t="shared" si="6"/>
        <v>0.3125</v>
      </c>
    </row>
    <row r="444" spans="5:6" x14ac:dyDescent="0.3">
      <c r="E444" s="54">
        <v>0.30694444444444402</v>
      </c>
      <c r="F444" s="56">
        <f t="shared" si="6"/>
        <v>0.3125</v>
      </c>
    </row>
    <row r="445" spans="5:6" x14ac:dyDescent="0.3">
      <c r="E445" s="54">
        <v>0.30763888888888902</v>
      </c>
      <c r="F445" s="56">
        <f t="shared" si="6"/>
        <v>0.3125</v>
      </c>
    </row>
    <row r="446" spans="5:6" x14ac:dyDescent="0.3">
      <c r="E446" s="54">
        <v>0.30833333333333302</v>
      </c>
      <c r="F446" s="56">
        <f t="shared" si="6"/>
        <v>0.3125</v>
      </c>
    </row>
    <row r="447" spans="5:6" x14ac:dyDescent="0.3">
      <c r="E447" s="54">
        <v>0.30902777777777801</v>
      </c>
      <c r="F447" s="56">
        <f t="shared" si="6"/>
        <v>0.3125</v>
      </c>
    </row>
    <row r="448" spans="5:6" x14ac:dyDescent="0.3">
      <c r="E448" s="54">
        <v>0.30972222222222201</v>
      </c>
      <c r="F448" s="56">
        <f t="shared" si="6"/>
        <v>0.3125</v>
      </c>
    </row>
    <row r="449" spans="5:6" x14ac:dyDescent="0.3">
      <c r="E449" s="54">
        <v>0.31041666666666701</v>
      </c>
      <c r="F449" s="56">
        <f t="shared" si="6"/>
        <v>0.3125</v>
      </c>
    </row>
    <row r="450" spans="5:6" x14ac:dyDescent="0.3">
      <c r="E450" s="54">
        <v>0.31111111111111101</v>
      </c>
      <c r="F450" s="56">
        <f t="shared" si="6"/>
        <v>0.3125</v>
      </c>
    </row>
    <row r="451" spans="5:6" x14ac:dyDescent="0.3">
      <c r="E451" s="54">
        <v>0.311805555555556</v>
      </c>
      <c r="F451" s="56">
        <f t="shared" ref="F451:F514" si="7">ROUNDUP(E451*4*24+1/60/24,0)/4/24</f>
        <v>0.3125</v>
      </c>
    </row>
    <row r="452" spans="5:6" x14ac:dyDescent="0.3">
      <c r="E452" s="54">
        <v>0.3125</v>
      </c>
      <c r="F452" s="56">
        <f t="shared" si="7"/>
        <v>0.32291666666666669</v>
      </c>
    </row>
    <row r="453" spans="5:6" x14ac:dyDescent="0.3">
      <c r="E453" s="54">
        <v>0.313194444444444</v>
      </c>
      <c r="F453" s="56">
        <f t="shared" si="7"/>
        <v>0.32291666666666669</v>
      </c>
    </row>
    <row r="454" spans="5:6" x14ac:dyDescent="0.3">
      <c r="E454" s="54">
        <v>0.31388888888888899</v>
      </c>
      <c r="F454" s="56">
        <f t="shared" si="7"/>
        <v>0.32291666666666669</v>
      </c>
    </row>
    <row r="455" spans="5:6" x14ac:dyDescent="0.3">
      <c r="E455" s="54">
        <v>0.31458333333333299</v>
      </c>
      <c r="F455" s="56">
        <f t="shared" si="7"/>
        <v>0.32291666666666669</v>
      </c>
    </row>
    <row r="456" spans="5:6" x14ac:dyDescent="0.3">
      <c r="E456" s="54">
        <v>0.31527777777777799</v>
      </c>
      <c r="F456" s="56">
        <f t="shared" si="7"/>
        <v>0.32291666666666669</v>
      </c>
    </row>
    <row r="457" spans="5:6" x14ac:dyDescent="0.3">
      <c r="E457" s="54">
        <v>0.31597222222222199</v>
      </c>
      <c r="F457" s="56">
        <f t="shared" si="7"/>
        <v>0.32291666666666669</v>
      </c>
    </row>
    <row r="458" spans="5:6" x14ac:dyDescent="0.3">
      <c r="E458" s="54">
        <v>0.31666666666666698</v>
      </c>
      <c r="F458" s="56">
        <f t="shared" si="7"/>
        <v>0.32291666666666669</v>
      </c>
    </row>
    <row r="459" spans="5:6" x14ac:dyDescent="0.3">
      <c r="E459" s="54">
        <v>0.31736111111111098</v>
      </c>
      <c r="F459" s="56">
        <f t="shared" si="7"/>
        <v>0.32291666666666669</v>
      </c>
    </row>
    <row r="460" spans="5:6" x14ac:dyDescent="0.3">
      <c r="E460" s="54">
        <v>0.31805555555555598</v>
      </c>
      <c r="F460" s="56">
        <f t="shared" si="7"/>
        <v>0.32291666666666669</v>
      </c>
    </row>
    <row r="461" spans="5:6" x14ac:dyDescent="0.3">
      <c r="E461" s="54">
        <v>0.31874999999999998</v>
      </c>
      <c r="F461" s="56">
        <f t="shared" si="7"/>
        <v>0.32291666666666669</v>
      </c>
    </row>
    <row r="462" spans="5:6" x14ac:dyDescent="0.3">
      <c r="E462" s="54">
        <v>0.31944444444444398</v>
      </c>
      <c r="F462" s="56">
        <f t="shared" si="7"/>
        <v>0.32291666666666669</v>
      </c>
    </row>
    <row r="463" spans="5:6" x14ac:dyDescent="0.3">
      <c r="E463" s="54">
        <v>0.32013888888888897</v>
      </c>
      <c r="F463" s="56">
        <f t="shared" si="7"/>
        <v>0.32291666666666669</v>
      </c>
    </row>
    <row r="464" spans="5:6" x14ac:dyDescent="0.3">
      <c r="E464" s="54">
        <v>0.32083333333333303</v>
      </c>
      <c r="F464" s="56">
        <f t="shared" si="7"/>
        <v>0.32291666666666669</v>
      </c>
    </row>
    <row r="465" spans="5:6" x14ac:dyDescent="0.3">
      <c r="E465" s="54">
        <v>0.32152777777777802</v>
      </c>
      <c r="F465" s="56">
        <f t="shared" si="7"/>
        <v>0.32291666666666669</v>
      </c>
    </row>
    <row r="466" spans="5:6" x14ac:dyDescent="0.3">
      <c r="E466" s="54">
        <v>0.32222222222222202</v>
      </c>
      <c r="F466" s="56">
        <f t="shared" si="7"/>
        <v>0.32291666666666669</v>
      </c>
    </row>
    <row r="467" spans="5:6" x14ac:dyDescent="0.3">
      <c r="E467" s="54">
        <v>0.32291666666666702</v>
      </c>
      <c r="F467" s="56">
        <f t="shared" si="7"/>
        <v>0.33333333333333331</v>
      </c>
    </row>
    <row r="468" spans="5:6" x14ac:dyDescent="0.3">
      <c r="E468" s="54">
        <v>0.32361111111111102</v>
      </c>
      <c r="F468" s="56">
        <f t="shared" si="7"/>
        <v>0.33333333333333331</v>
      </c>
    </row>
    <row r="469" spans="5:6" x14ac:dyDescent="0.3">
      <c r="E469" s="54">
        <v>0.32430555555555601</v>
      </c>
      <c r="F469" s="56">
        <f t="shared" si="7"/>
        <v>0.33333333333333331</v>
      </c>
    </row>
    <row r="470" spans="5:6" x14ac:dyDescent="0.3">
      <c r="E470" s="54">
        <v>0.32500000000000001</v>
      </c>
      <c r="F470" s="56">
        <f t="shared" si="7"/>
        <v>0.33333333333333331</v>
      </c>
    </row>
    <row r="471" spans="5:6" x14ac:dyDescent="0.3">
      <c r="E471" s="54">
        <v>0.32569444444444401</v>
      </c>
      <c r="F471" s="56">
        <f t="shared" si="7"/>
        <v>0.33333333333333331</v>
      </c>
    </row>
    <row r="472" spans="5:6" x14ac:dyDescent="0.3">
      <c r="E472" s="54">
        <v>0.32638888888888901</v>
      </c>
      <c r="F472" s="56">
        <f t="shared" si="7"/>
        <v>0.33333333333333331</v>
      </c>
    </row>
    <row r="473" spans="5:6" x14ac:dyDescent="0.3">
      <c r="E473" s="54">
        <v>0.327083333333333</v>
      </c>
      <c r="F473" s="56">
        <f t="shared" si="7"/>
        <v>0.33333333333333331</v>
      </c>
    </row>
    <row r="474" spans="5:6" x14ac:dyDescent="0.3">
      <c r="E474" s="54">
        <v>0.327777777777778</v>
      </c>
      <c r="F474" s="56">
        <f t="shared" si="7"/>
        <v>0.33333333333333331</v>
      </c>
    </row>
    <row r="475" spans="5:6" x14ac:dyDescent="0.3">
      <c r="E475" s="54">
        <v>0.328472222222222</v>
      </c>
      <c r="F475" s="56">
        <f t="shared" si="7"/>
        <v>0.33333333333333331</v>
      </c>
    </row>
    <row r="476" spans="5:6" x14ac:dyDescent="0.3">
      <c r="E476" s="54">
        <v>0.329166666666667</v>
      </c>
      <c r="F476" s="56">
        <f t="shared" si="7"/>
        <v>0.33333333333333331</v>
      </c>
    </row>
    <row r="477" spans="5:6" x14ac:dyDescent="0.3">
      <c r="E477" s="54">
        <v>0.32986111111111099</v>
      </c>
      <c r="F477" s="56">
        <f t="shared" si="7"/>
        <v>0.33333333333333331</v>
      </c>
    </row>
    <row r="478" spans="5:6" x14ac:dyDescent="0.3">
      <c r="E478" s="54">
        <v>0.33055555555555599</v>
      </c>
      <c r="F478" s="56">
        <f t="shared" si="7"/>
        <v>0.33333333333333331</v>
      </c>
    </row>
    <row r="479" spans="5:6" x14ac:dyDescent="0.3">
      <c r="E479" s="54">
        <v>0.33124999999999999</v>
      </c>
      <c r="F479" s="56">
        <f t="shared" si="7"/>
        <v>0.33333333333333331</v>
      </c>
    </row>
    <row r="480" spans="5:6" x14ac:dyDescent="0.3">
      <c r="E480" s="54">
        <v>0.33194444444444399</v>
      </c>
      <c r="F480" s="56">
        <f t="shared" si="7"/>
        <v>0.33333333333333331</v>
      </c>
    </row>
    <row r="481" spans="5:6" x14ac:dyDescent="0.3">
      <c r="E481" s="54">
        <v>0.33263888888888898</v>
      </c>
      <c r="F481" s="56">
        <f t="shared" si="7"/>
        <v>0.33333333333333331</v>
      </c>
    </row>
    <row r="482" spans="5:6" x14ac:dyDescent="0.3">
      <c r="E482" s="54">
        <v>0.33333333333333298</v>
      </c>
      <c r="F482" s="56">
        <f t="shared" si="7"/>
        <v>0.34375</v>
      </c>
    </row>
    <row r="483" spans="5:6" x14ac:dyDescent="0.3">
      <c r="E483" s="54">
        <v>0.33402777777777798</v>
      </c>
      <c r="F483" s="56">
        <f t="shared" si="7"/>
        <v>0.34375</v>
      </c>
    </row>
    <row r="484" spans="5:6" x14ac:dyDescent="0.3">
      <c r="E484" s="54">
        <v>0.33472222222222198</v>
      </c>
      <c r="F484" s="56">
        <f t="shared" si="7"/>
        <v>0.34375</v>
      </c>
    </row>
    <row r="485" spans="5:6" x14ac:dyDescent="0.3">
      <c r="E485" s="54">
        <v>0.33541666666666697</v>
      </c>
      <c r="F485" s="56">
        <f t="shared" si="7"/>
        <v>0.34375</v>
      </c>
    </row>
    <row r="486" spans="5:6" x14ac:dyDescent="0.3">
      <c r="E486" s="54">
        <v>0.33611111111111103</v>
      </c>
      <c r="F486" s="56">
        <f t="shared" si="7"/>
        <v>0.34375</v>
      </c>
    </row>
    <row r="487" spans="5:6" x14ac:dyDescent="0.3">
      <c r="E487" s="54">
        <v>0.33680555555555602</v>
      </c>
      <c r="F487" s="56">
        <f t="shared" si="7"/>
        <v>0.34375</v>
      </c>
    </row>
    <row r="488" spans="5:6" x14ac:dyDescent="0.3">
      <c r="E488" s="54">
        <v>0.33750000000000002</v>
      </c>
      <c r="F488" s="56">
        <f t="shared" si="7"/>
        <v>0.34375</v>
      </c>
    </row>
    <row r="489" spans="5:6" x14ac:dyDescent="0.3">
      <c r="E489" s="54">
        <v>0.33819444444444402</v>
      </c>
      <c r="F489" s="56">
        <f t="shared" si="7"/>
        <v>0.34375</v>
      </c>
    </row>
    <row r="490" spans="5:6" x14ac:dyDescent="0.3">
      <c r="E490" s="54">
        <v>0.33888888888888902</v>
      </c>
      <c r="F490" s="56">
        <f t="shared" si="7"/>
        <v>0.34375</v>
      </c>
    </row>
    <row r="491" spans="5:6" x14ac:dyDescent="0.3">
      <c r="E491" s="54">
        <v>0.33958333333333302</v>
      </c>
      <c r="F491" s="56">
        <f t="shared" si="7"/>
        <v>0.34375</v>
      </c>
    </row>
    <row r="492" spans="5:6" x14ac:dyDescent="0.3">
      <c r="E492" s="54">
        <v>0.34027777777777801</v>
      </c>
      <c r="F492" s="56">
        <f t="shared" si="7"/>
        <v>0.34375</v>
      </c>
    </row>
    <row r="493" spans="5:6" x14ac:dyDescent="0.3">
      <c r="E493" s="54">
        <v>0.34097222222222201</v>
      </c>
      <c r="F493" s="56">
        <f t="shared" si="7"/>
        <v>0.34375</v>
      </c>
    </row>
    <row r="494" spans="5:6" x14ac:dyDescent="0.3">
      <c r="E494" s="54">
        <v>0.34166666666666701</v>
      </c>
      <c r="F494" s="56">
        <f t="shared" si="7"/>
        <v>0.34375</v>
      </c>
    </row>
    <row r="495" spans="5:6" x14ac:dyDescent="0.3">
      <c r="E495" s="54">
        <v>0.34236111111111101</v>
      </c>
      <c r="F495" s="56">
        <f t="shared" si="7"/>
        <v>0.34375</v>
      </c>
    </row>
    <row r="496" spans="5:6" x14ac:dyDescent="0.3">
      <c r="E496" s="54">
        <v>0.343055555555556</v>
      </c>
      <c r="F496" s="56">
        <f t="shared" si="7"/>
        <v>0.34375</v>
      </c>
    </row>
    <row r="497" spans="5:6" x14ac:dyDescent="0.3">
      <c r="E497" s="54">
        <v>0.34375</v>
      </c>
      <c r="F497" s="56">
        <f t="shared" si="7"/>
        <v>0.35416666666666669</v>
      </c>
    </row>
    <row r="498" spans="5:6" x14ac:dyDescent="0.3">
      <c r="E498" s="54">
        <v>0.344444444444444</v>
      </c>
      <c r="F498" s="56">
        <f t="shared" si="7"/>
        <v>0.35416666666666669</v>
      </c>
    </row>
    <row r="499" spans="5:6" x14ac:dyDescent="0.3">
      <c r="E499" s="54">
        <v>0.34513888888888899</v>
      </c>
      <c r="F499" s="56">
        <f t="shared" si="7"/>
        <v>0.35416666666666669</v>
      </c>
    </row>
    <row r="500" spans="5:6" x14ac:dyDescent="0.3">
      <c r="E500" s="54">
        <v>0.34583333333333299</v>
      </c>
      <c r="F500" s="56">
        <f t="shared" si="7"/>
        <v>0.35416666666666669</v>
      </c>
    </row>
    <row r="501" spans="5:6" x14ac:dyDescent="0.3">
      <c r="E501" s="54">
        <v>0.34652777777777799</v>
      </c>
      <c r="F501" s="56">
        <f t="shared" si="7"/>
        <v>0.35416666666666669</v>
      </c>
    </row>
    <row r="502" spans="5:6" x14ac:dyDescent="0.3">
      <c r="E502" s="54">
        <v>0.34722222222222199</v>
      </c>
      <c r="F502" s="56">
        <f t="shared" si="7"/>
        <v>0.35416666666666669</v>
      </c>
    </row>
    <row r="503" spans="5:6" x14ac:dyDescent="0.3">
      <c r="E503" s="54">
        <v>0.34791666666666698</v>
      </c>
      <c r="F503" s="56">
        <f t="shared" si="7"/>
        <v>0.35416666666666669</v>
      </c>
    </row>
    <row r="504" spans="5:6" x14ac:dyDescent="0.3">
      <c r="E504" s="54">
        <v>0.34861111111111098</v>
      </c>
      <c r="F504" s="56">
        <f t="shared" si="7"/>
        <v>0.35416666666666669</v>
      </c>
    </row>
    <row r="505" spans="5:6" x14ac:dyDescent="0.3">
      <c r="E505" s="54">
        <v>0.34930555555555598</v>
      </c>
      <c r="F505" s="56">
        <f t="shared" si="7"/>
        <v>0.35416666666666669</v>
      </c>
    </row>
    <row r="506" spans="5:6" x14ac:dyDescent="0.3">
      <c r="E506" s="54">
        <v>0.35</v>
      </c>
      <c r="F506" s="56">
        <f t="shared" si="7"/>
        <v>0.35416666666666669</v>
      </c>
    </row>
    <row r="507" spans="5:6" x14ac:dyDescent="0.3">
      <c r="E507" s="54">
        <v>0.35069444444444398</v>
      </c>
      <c r="F507" s="56">
        <f t="shared" si="7"/>
        <v>0.35416666666666669</v>
      </c>
    </row>
    <row r="508" spans="5:6" x14ac:dyDescent="0.3">
      <c r="E508" s="54">
        <v>0.35138888888888897</v>
      </c>
      <c r="F508" s="56">
        <f t="shared" si="7"/>
        <v>0.35416666666666669</v>
      </c>
    </row>
    <row r="509" spans="5:6" x14ac:dyDescent="0.3">
      <c r="E509" s="54">
        <v>0.35208333333333303</v>
      </c>
      <c r="F509" s="56">
        <f t="shared" si="7"/>
        <v>0.35416666666666669</v>
      </c>
    </row>
    <row r="510" spans="5:6" x14ac:dyDescent="0.3">
      <c r="E510" s="54">
        <v>0.35277777777777802</v>
      </c>
      <c r="F510" s="56">
        <f t="shared" si="7"/>
        <v>0.35416666666666669</v>
      </c>
    </row>
    <row r="511" spans="5:6" x14ac:dyDescent="0.3">
      <c r="E511" s="54">
        <v>0.35347222222222202</v>
      </c>
      <c r="F511" s="56">
        <f t="shared" si="7"/>
        <v>0.35416666666666669</v>
      </c>
    </row>
    <row r="512" spans="5:6" x14ac:dyDescent="0.3">
      <c r="E512" s="54">
        <v>0.35416666666666702</v>
      </c>
      <c r="F512" s="56">
        <f t="shared" si="7"/>
        <v>0.36458333333333331</v>
      </c>
    </row>
    <row r="513" spans="5:6" x14ac:dyDescent="0.3">
      <c r="E513" s="54">
        <v>0.35486111111111102</v>
      </c>
      <c r="F513" s="56">
        <f t="shared" si="7"/>
        <v>0.36458333333333331</v>
      </c>
    </row>
    <row r="514" spans="5:6" x14ac:dyDescent="0.3">
      <c r="E514" s="54">
        <v>0.35555555555555601</v>
      </c>
      <c r="F514" s="56">
        <f t="shared" si="7"/>
        <v>0.36458333333333331</v>
      </c>
    </row>
    <row r="515" spans="5:6" x14ac:dyDescent="0.3">
      <c r="E515" s="54">
        <v>0.35625000000000001</v>
      </c>
      <c r="F515" s="56">
        <f t="shared" ref="F515:F578" si="8">ROUNDUP(E515*4*24+1/60/24,0)/4/24</f>
        <v>0.36458333333333331</v>
      </c>
    </row>
    <row r="516" spans="5:6" x14ac:dyDescent="0.3">
      <c r="E516" s="54">
        <v>0.35694444444444401</v>
      </c>
      <c r="F516" s="56">
        <f t="shared" si="8"/>
        <v>0.36458333333333331</v>
      </c>
    </row>
    <row r="517" spans="5:6" x14ac:dyDescent="0.3">
      <c r="E517" s="54">
        <v>0.35763888888888901</v>
      </c>
      <c r="F517" s="56">
        <f t="shared" si="8"/>
        <v>0.36458333333333331</v>
      </c>
    </row>
    <row r="518" spans="5:6" x14ac:dyDescent="0.3">
      <c r="E518" s="54">
        <v>0.358333333333333</v>
      </c>
      <c r="F518" s="56">
        <f t="shared" si="8"/>
        <v>0.36458333333333331</v>
      </c>
    </row>
    <row r="519" spans="5:6" x14ac:dyDescent="0.3">
      <c r="E519" s="54">
        <v>0.359027777777778</v>
      </c>
      <c r="F519" s="56">
        <f t="shared" si="8"/>
        <v>0.36458333333333331</v>
      </c>
    </row>
    <row r="520" spans="5:6" x14ac:dyDescent="0.3">
      <c r="E520" s="54">
        <v>0.359722222222222</v>
      </c>
      <c r="F520" s="56">
        <f t="shared" si="8"/>
        <v>0.36458333333333331</v>
      </c>
    </row>
    <row r="521" spans="5:6" x14ac:dyDescent="0.3">
      <c r="E521" s="54">
        <v>0.360416666666667</v>
      </c>
      <c r="F521" s="56">
        <f t="shared" si="8"/>
        <v>0.36458333333333331</v>
      </c>
    </row>
    <row r="522" spans="5:6" x14ac:dyDescent="0.3">
      <c r="E522" s="54">
        <v>0.36111111111111099</v>
      </c>
      <c r="F522" s="56">
        <f t="shared" si="8"/>
        <v>0.36458333333333331</v>
      </c>
    </row>
    <row r="523" spans="5:6" x14ac:dyDescent="0.3">
      <c r="E523" s="54">
        <v>0.36180555555555599</v>
      </c>
      <c r="F523" s="56">
        <f t="shared" si="8"/>
        <v>0.36458333333333331</v>
      </c>
    </row>
    <row r="524" spans="5:6" x14ac:dyDescent="0.3">
      <c r="E524" s="54">
        <v>0.36249999999999999</v>
      </c>
      <c r="F524" s="56">
        <f t="shared" si="8"/>
        <v>0.36458333333333331</v>
      </c>
    </row>
    <row r="525" spans="5:6" x14ac:dyDescent="0.3">
      <c r="E525" s="54">
        <v>0.36319444444444399</v>
      </c>
      <c r="F525" s="56">
        <f t="shared" si="8"/>
        <v>0.36458333333333331</v>
      </c>
    </row>
    <row r="526" spans="5:6" x14ac:dyDescent="0.3">
      <c r="E526" s="54">
        <v>0.36388888888888898</v>
      </c>
      <c r="F526" s="56">
        <f t="shared" si="8"/>
        <v>0.36458333333333331</v>
      </c>
    </row>
    <row r="527" spans="5:6" x14ac:dyDescent="0.3">
      <c r="E527" s="54">
        <v>0.36458333333333298</v>
      </c>
      <c r="F527" s="56">
        <f t="shared" si="8"/>
        <v>0.375</v>
      </c>
    </row>
    <row r="528" spans="5:6" x14ac:dyDescent="0.3">
      <c r="E528" s="54">
        <v>0.36527777777777798</v>
      </c>
      <c r="F528" s="56">
        <f t="shared" si="8"/>
        <v>0.375</v>
      </c>
    </row>
    <row r="529" spans="5:6" x14ac:dyDescent="0.3">
      <c r="E529" s="54">
        <v>0.36597222222222198</v>
      </c>
      <c r="F529" s="56">
        <f t="shared" si="8"/>
        <v>0.375</v>
      </c>
    </row>
    <row r="530" spans="5:6" x14ac:dyDescent="0.3">
      <c r="E530" s="54">
        <v>0.36666666666666697</v>
      </c>
      <c r="F530" s="56">
        <f t="shared" si="8"/>
        <v>0.375</v>
      </c>
    </row>
    <row r="531" spans="5:6" x14ac:dyDescent="0.3">
      <c r="E531" s="54">
        <v>0.36736111111111103</v>
      </c>
      <c r="F531" s="56">
        <f t="shared" si="8"/>
        <v>0.375</v>
      </c>
    </row>
    <row r="532" spans="5:6" x14ac:dyDescent="0.3">
      <c r="E532" s="54">
        <v>0.36805555555555602</v>
      </c>
      <c r="F532" s="56">
        <f t="shared" si="8"/>
        <v>0.375</v>
      </c>
    </row>
    <row r="533" spans="5:6" x14ac:dyDescent="0.3">
      <c r="E533" s="54">
        <v>0.36875000000000002</v>
      </c>
      <c r="F533" s="56">
        <f t="shared" si="8"/>
        <v>0.375</v>
      </c>
    </row>
    <row r="534" spans="5:6" x14ac:dyDescent="0.3">
      <c r="E534" s="54">
        <v>0.36944444444444402</v>
      </c>
      <c r="F534" s="56">
        <f t="shared" si="8"/>
        <v>0.375</v>
      </c>
    </row>
    <row r="535" spans="5:6" x14ac:dyDescent="0.3">
      <c r="E535" s="54">
        <v>0.37013888888888902</v>
      </c>
      <c r="F535" s="56">
        <f t="shared" si="8"/>
        <v>0.375</v>
      </c>
    </row>
    <row r="536" spans="5:6" x14ac:dyDescent="0.3">
      <c r="E536" s="54">
        <v>0.37083333333333302</v>
      </c>
      <c r="F536" s="56">
        <f t="shared" si="8"/>
        <v>0.375</v>
      </c>
    </row>
    <row r="537" spans="5:6" x14ac:dyDescent="0.3">
      <c r="E537" s="54">
        <v>0.37152777777777801</v>
      </c>
      <c r="F537" s="56">
        <f t="shared" si="8"/>
        <v>0.375</v>
      </c>
    </row>
    <row r="538" spans="5:6" x14ac:dyDescent="0.3">
      <c r="E538" s="54">
        <v>0.37222222222222201</v>
      </c>
      <c r="F538" s="56">
        <f t="shared" si="8"/>
        <v>0.375</v>
      </c>
    </row>
    <row r="539" spans="5:6" x14ac:dyDescent="0.3">
      <c r="E539" s="54">
        <v>0.37291666666666701</v>
      </c>
      <c r="F539" s="56">
        <f t="shared" si="8"/>
        <v>0.375</v>
      </c>
    </row>
    <row r="540" spans="5:6" x14ac:dyDescent="0.3">
      <c r="E540" s="54">
        <v>0.37361111111111101</v>
      </c>
      <c r="F540" s="56">
        <f t="shared" si="8"/>
        <v>0.375</v>
      </c>
    </row>
    <row r="541" spans="5:6" x14ac:dyDescent="0.3">
      <c r="E541" s="54">
        <v>0.374305555555556</v>
      </c>
      <c r="F541" s="56">
        <f t="shared" si="8"/>
        <v>0.375</v>
      </c>
    </row>
    <row r="542" spans="5:6" x14ac:dyDescent="0.3">
      <c r="E542" s="54">
        <v>0.375</v>
      </c>
      <c r="F542" s="56">
        <f t="shared" si="8"/>
        <v>0.38541666666666669</v>
      </c>
    </row>
    <row r="543" spans="5:6" x14ac:dyDescent="0.3">
      <c r="E543" s="54">
        <v>0.375694444444444</v>
      </c>
      <c r="F543" s="56">
        <f t="shared" si="8"/>
        <v>0.38541666666666669</v>
      </c>
    </row>
    <row r="544" spans="5:6" x14ac:dyDescent="0.3">
      <c r="E544" s="54">
        <v>0.37638888888888899</v>
      </c>
      <c r="F544" s="56">
        <f t="shared" si="8"/>
        <v>0.38541666666666669</v>
      </c>
    </row>
    <row r="545" spans="5:6" x14ac:dyDescent="0.3">
      <c r="E545" s="54">
        <v>0.37708333333333299</v>
      </c>
      <c r="F545" s="56">
        <f t="shared" si="8"/>
        <v>0.38541666666666669</v>
      </c>
    </row>
    <row r="546" spans="5:6" x14ac:dyDescent="0.3">
      <c r="E546" s="54">
        <v>0.37777777777777799</v>
      </c>
      <c r="F546" s="56">
        <f t="shared" si="8"/>
        <v>0.38541666666666669</v>
      </c>
    </row>
    <row r="547" spans="5:6" x14ac:dyDescent="0.3">
      <c r="E547" s="54">
        <v>0.37847222222222199</v>
      </c>
      <c r="F547" s="56">
        <f t="shared" si="8"/>
        <v>0.38541666666666669</v>
      </c>
    </row>
    <row r="548" spans="5:6" x14ac:dyDescent="0.3">
      <c r="E548" s="54">
        <v>0.37916666666666698</v>
      </c>
      <c r="F548" s="56">
        <f t="shared" si="8"/>
        <v>0.38541666666666669</v>
      </c>
    </row>
    <row r="549" spans="5:6" x14ac:dyDescent="0.3">
      <c r="E549" s="54">
        <v>0.37986111111111098</v>
      </c>
      <c r="F549" s="56">
        <f t="shared" si="8"/>
        <v>0.38541666666666669</v>
      </c>
    </row>
    <row r="550" spans="5:6" x14ac:dyDescent="0.3">
      <c r="E550" s="54">
        <v>0.38055555555555598</v>
      </c>
      <c r="F550" s="56">
        <f t="shared" si="8"/>
        <v>0.38541666666666669</v>
      </c>
    </row>
    <row r="551" spans="5:6" x14ac:dyDescent="0.3">
      <c r="E551" s="54">
        <v>0.38124999999999998</v>
      </c>
      <c r="F551" s="56">
        <f t="shared" si="8"/>
        <v>0.38541666666666669</v>
      </c>
    </row>
    <row r="552" spans="5:6" x14ac:dyDescent="0.3">
      <c r="E552" s="54">
        <v>0.38194444444444398</v>
      </c>
      <c r="F552" s="56">
        <f t="shared" si="8"/>
        <v>0.38541666666666669</v>
      </c>
    </row>
    <row r="553" spans="5:6" x14ac:dyDescent="0.3">
      <c r="E553" s="54">
        <v>0.38263888888888897</v>
      </c>
      <c r="F553" s="56">
        <f t="shared" si="8"/>
        <v>0.38541666666666669</v>
      </c>
    </row>
    <row r="554" spans="5:6" x14ac:dyDescent="0.3">
      <c r="E554" s="54">
        <v>0.38333333333333303</v>
      </c>
      <c r="F554" s="56">
        <f t="shared" si="8"/>
        <v>0.38541666666666669</v>
      </c>
    </row>
    <row r="555" spans="5:6" x14ac:dyDescent="0.3">
      <c r="E555" s="54">
        <v>0.38402777777777802</v>
      </c>
      <c r="F555" s="56">
        <f t="shared" si="8"/>
        <v>0.38541666666666669</v>
      </c>
    </row>
    <row r="556" spans="5:6" x14ac:dyDescent="0.3">
      <c r="E556" s="54">
        <v>0.38472222222222202</v>
      </c>
      <c r="F556" s="56">
        <f t="shared" si="8"/>
        <v>0.38541666666666669</v>
      </c>
    </row>
    <row r="557" spans="5:6" x14ac:dyDescent="0.3">
      <c r="E557" s="54">
        <v>0.38541666666666702</v>
      </c>
      <c r="F557" s="56">
        <f t="shared" si="8"/>
        <v>0.39583333333333331</v>
      </c>
    </row>
    <row r="558" spans="5:6" x14ac:dyDescent="0.3">
      <c r="E558" s="54">
        <v>0.38611111111111102</v>
      </c>
      <c r="F558" s="56">
        <f t="shared" si="8"/>
        <v>0.39583333333333331</v>
      </c>
    </row>
    <row r="559" spans="5:6" x14ac:dyDescent="0.3">
      <c r="E559" s="54">
        <v>0.38680555555555601</v>
      </c>
      <c r="F559" s="56">
        <f t="shared" si="8"/>
        <v>0.39583333333333331</v>
      </c>
    </row>
    <row r="560" spans="5:6" x14ac:dyDescent="0.3">
      <c r="E560" s="54">
        <v>0.38750000000000001</v>
      </c>
      <c r="F560" s="56">
        <f t="shared" si="8"/>
        <v>0.39583333333333331</v>
      </c>
    </row>
    <row r="561" spans="5:6" x14ac:dyDescent="0.3">
      <c r="E561" s="54">
        <v>0.38819444444444401</v>
      </c>
      <c r="F561" s="56">
        <f t="shared" si="8"/>
        <v>0.39583333333333331</v>
      </c>
    </row>
    <row r="562" spans="5:6" x14ac:dyDescent="0.3">
      <c r="E562" s="54">
        <v>0.38888888888888901</v>
      </c>
      <c r="F562" s="56">
        <f t="shared" si="8"/>
        <v>0.39583333333333331</v>
      </c>
    </row>
    <row r="563" spans="5:6" x14ac:dyDescent="0.3">
      <c r="E563" s="54">
        <v>0.389583333333333</v>
      </c>
      <c r="F563" s="56">
        <f t="shared" si="8"/>
        <v>0.39583333333333331</v>
      </c>
    </row>
    <row r="564" spans="5:6" x14ac:dyDescent="0.3">
      <c r="E564" s="54">
        <v>0.390277777777778</v>
      </c>
      <c r="F564" s="56">
        <f t="shared" si="8"/>
        <v>0.39583333333333331</v>
      </c>
    </row>
    <row r="565" spans="5:6" x14ac:dyDescent="0.3">
      <c r="E565" s="54">
        <v>0.390972222222222</v>
      </c>
      <c r="F565" s="56">
        <f t="shared" si="8"/>
        <v>0.39583333333333331</v>
      </c>
    </row>
    <row r="566" spans="5:6" x14ac:dyDescent="0.3">
      <c r="E566" s="54">
        <v>0.391666666666667</v>
      </c>
      <c r="F566" s="56">
        <f t="shared" si="8"/>
        <v>0.39583333333333331</v>
      </c>
    </row>
    <row r="567" spans="5:6" x14ac:dyDescent="0.3">
      <c r="E567" s="54">
        <v>0.39236111111111099</v>
      </c>
      <c r="F567" s="56">
        <f t="shared" si="8"/>
        <v>0.39583333333333331</v>
      </c>
    </row>
    <row r="568" spans="5:6" x14ac:dyDescent="0.3">
      <c r="E568" s="54">
        <v>0.39305555555555599</v>
      </c>
      <c r="F568" s="56">
        <f t="shared" si="8"/>
        <v>0.39583333333333331</v>
      </c>
    </row>
    <row r="569" spans="5:6" x14ac:dyDescent="0.3">
      <c r="E569" s="54">
        <v>0.39374999999999999</v>
      </c>
      <c r="F569" s="56">
        <f t="shared" si="8"/>
        <v>0.39583333333333331</v>
      </c>
    </row>
    <row r="570" spans="5:6" x14ac:dyDescent="0.3">
      <c r="E570" s="54">
        <v>0.39444444444444399</v>
      </c>
      <c r="F570" s="56">
        <f t="shared" si="8"/>
        <v>0.39583333333333331</v>
      </c>
    </row>
    <row r="571" spans="5:6" x14ac:dyDescent="0.3">
      <c r="E571" s="54">
        <v>0.39513888888888898</v>
      </c>
      <c r="F571" s="56">
        <f t="shared" si="8"/>
        <v>0.39583333333333331</v>
      </c>
    </row>
    <row r="572" spans="5:6" x14ac:dyDescent="0.3">
      <c r="E572" s="54">
        <v>0.39583333333333298</v>
      </c>
      <c r="F572" s="56">
        <f t="shared" si="8"/>
        <v>0.40625</v>
      </c>
    </row>
    <row r="573" spans="5:6" x14ac:dyDescent="0.3">
      <c r="E573" s="54">
        <v>0.39652777777777798</v>
      </c>
      <c r="F573" s="56">
        <f t="shared" si="8"/>
        <v>0.40625</v>
      </c>
    </row>
    <row r="574" spans="5:6" x14ac:dyDescent="0.3">
      <c r="E574" s="54">
        <v>0.39722222222222198</v>
      </c>
      <c r="F574" s="56">
        <f t="shared" si="8"/>
        <v>0.40625</v>
      </c>
    </row>
    <row r="575" spans="5:6" x14ac:dyDescent="0.3">
      <c r="E575" s="54">
        <v>0.39791666666666697</v>
      </c>
      <c r="F575" s="56">
        <f t="shared" si="8"/>
        <v>0.40625</v>
      </c>
    </row>
    <row r="576" spans="5:6" x14ac:dyDescent="0.3">
      <c r="E576" s="54">
        <v>0.39861111111111103</v>
      </c>
      <c r="F576" s="56">
        <f t="shared" si="8"/>
        <v>0.40625</v>
      </c>
    </row>
    <row r="577" spans="5:6" x14ac:dyDescent="0.3">
      <c r="E577" s="54">
        <v>0.39930555555555602</v>
      </c>
      <c r="F577" s="56">
        <f t="shared" si="8"/>
        <v>0.40625</v>
      </c>
    </row>
    <row r="578" spans="5:6" x14ac:dyDescent="0.3">
      <c r="E578" s="54">
        <v>0.4</v>
      </c>
      <c r="F578" s="56">
        <f t="shared" si="8"/>
        <v>0.40625</v>
      </c>
    </row>
    <row r="579" spans="5:6" x14ac:dyDescent="0.3">
      <c r="E579" s="54">
        <v>0.40069444444444402</v>
      </c>
      <c r="F579" s="56">
        <f t="shared" ref="F579:F642" si="9">ROUNDUP(E579*4*24+1/60/24,0)/4/24</f>
        <v>0.40625</v>
      </c>
    </row>
    <row r="580" spans="5:6" x14ac:dyDescent="0.3">
      <c r="E580" s="54">
        <v>0.40138888888888902</v>
      </c>
      <c r="F580" s="56">
        <f t="shared" si="9"/>
        <v>0.40625</v>
      </c>
    </row>
    <row r="581" spans="5:6" x14ac:dyDescent="0.3">
      <c r="E581" s="54">
        <v>0.40208333333333302</v>
      </c>
      <c r="F581" s="56">
        <f t="shared" si="9"/>
        <v>0.40625</v>
      </c>
    </row>
    <row r="582" spans="5:6" x14ac:dyDescent="0.3">
      <c r="E582" s="54">
        <v>0.40277777777777801</v>
      </c>
      <c r="F582" s="56">
        <f t="shared" si="9"/>
        <v>0.40625</v>
      </c>
    </row>
    <row r="583" spans="5:6" x14ac:dyDescent="0.3">
      <c r="E583" s="54">
        <v>0.40347222222222201</v>
      </c>
      <c r="F583" s="56">
        <f t="shared" si="9"/>
        <v>0.40625</v>
      </c>
    </row>
    <row r="584" spans="5:6" x14ac:dyDescent="0.3">
      <c r="E584" s="54">
        <v>0.40416666666666701</v>
      </c>
      <c r="F584" s="56">
        <f t="shared" si="9"/>
        <v>0.40625</v>
      </c>
    </row>
    <row r="585" spans="5:6" x14ac:dyDescent="0.3">
      <c r="E585" s="54">
        <v>0.40486111111111101</v>
      </c>
      <c r="F585" s="56">
        <f t="shared" si="9"/>
        <v>0.40625</v>
      </c>
    </row>
    <row r="586" spans="5:6" x14ac:dyDescent="0.3">
      <c r="E586" s="54">
        <v>0.405555555555556</v>
      </c>
      <c r="F586" s="56">
        <f t="shared" si="9"/>
        <v>0.40625</v>
      </c>
    </row>
    <row r="587" spans="5:6" x14ac:dyDescent="0.3">
      <c r="E587" s="54">
        <v>0.40625</v>
      </c>
      <c r="F587" s="56">
        <f t="shared" si="9"/>
        <v>0.41666666666666669</v>
      </c>
    </row>
    <row r="588" spans="5:6" x14ac:dyDescent="0.3">
      <c r="E588" s="54">
        <v>0.406944444444444</v>
      </c>
      <c r="F588" s="56">
        <f t="shared" si="9"/>
        <v>0.41666666666666669</v>
      </c>
    </row>
    <row r="589" spans="5:6" x14ac:dyDescent="0.3">
      <c r="E589" s="54">
        <v>0.40763888888888899</v>
      </c>
      <c r="F589" s="56">
        <f t="shared" si="9"/>
        <v>0.41666666666666669</v>
      </c>
    </row>
    <row r="590" spans="5:6" x14ac:dyDescent="0.3">
      <c r="E590" s="54">
        <v>0.40833333333333299</v>
      </c>
      <c r="F590" s="56">
        <f t="shared" si="9"/>
        <v>0.41666666666666669</v>
      </c>
    </row>
    <row r="591" spans="5:6" x14ac:dyDescent="0.3">
      <c r="E591" s="54">
        <v>0.40902777777777799</v>
      </c>
      <c r="F591" s="56">
        <f t="shared" si="9"/>
        <v>0.41666666666666669</v>
      </c>
    </row>
    <row r="592" spans="5:6" x14ac:dyDescent="0.3">
      <c r="E592" s="54">
        <v>0.40972222222222199</v>
      </c>
      <c r="F592" s="56">
        <f t="shared" si="9"/>
        <v>0.41666666666666669</v>
      </c>
    </row>
    <row r="593" spans="5:6" x14ac:dyDescent="0.3">
      <c r="E593" s="54">
        <v>0.41041666666666698</v>
      </c>
      <c r="F593" s="56">
        <f t="shared" si="9"/>
        <v>0.41666666666666669</v>
      </c>
    </row>
    <row r="594" spans="5:6" x14ac:dyDescent="0.3">
      <c r="E594" s="54">
        <v>0.41111111111111098</v>
      </c>
      <c r="F594" s="56">
        <f t="shared" si="9"/>
        <v>0.41666666666666669</v>
      </c>
    </row>
    <row r="595" spans="5:6" x14ac:dyDescent="0.3">
      <c r="E595" s="54">
        <v>0.41180555555555598</v>
      </c>
      <c r="F595" s="56">
        <f t="shared" si="9"/>
        <v>0.41666666666666669</v>
      </c>
    </row>
    <row r="596" spans="5:6" x14ac:dyDescent="0.3">
      <c r="E596" s="54">
        <v>0.41249999999999998</v>
      </c>
      <c r="F596" s="56">
        <f t="shared" si="9"/>
        <v>0.41666666666666669</v>
      </c>
    </row>
    <row r="597" spans="5:6" x14ac:dyDescent="0.3">
      <c r="E597" s="54">
        <v>0.41319444444444398</v>
      </c>
      <c r="F597" s="56">
        <f t="shared" si="9"/>
        <v>0.41666666666666669</v>
      </c>
    </row>
    <row r="598" spans="5:6" x14ac:dyDescent="0.3">
      <c r="E598" s="54">
        <v>0.41388888888888897</v>
      </c>
      <c r="F598" s="56">
        <f t="shared" si="9"/>
        <v>0.41666666666666669</v>
      </c>
    </row>
    <row r="599" spans="5:6" x14ac:dyDescent="0.3">
      <c r="E599" s="54">
        <v>0.41458333333333303</v>
      </c>
      <c r="F599" s="56">
        <f t="shared" si="9"/>
        <v>0.41666666666666669</v>
      </c>
    </row>
    <row r="600" spans="5:6" x14ac:dyDescent="0.3">
      <c r="E600" s="54">
        <v>0.41527777777777802</v>
      </c>
      <c r="F600" s="56">
        <f t="shared" si="9"/>
        <v>0.41666666666666669</v>
      </c>
    </row>
    <row r="601" spans="5:6" x14ac:dyDescent="0.3">
      <c r="E601" s="54">
        <v>0.41597222222222202</v>
      </c>
      <c r="F601" s="56">
        <f t="shared" si="9"/>
        <v>0.41666666666666669</v>
      </c>
    </row>
    <row r="602" spans="5:6" x14ac:dyDescent="0.3">
      <c r="E602" s="54">
        <v>0.41666666666666702</v>
      </c>
      <c r="F602" s="56">
        <f t="shared" si="9"/>
        <v>0.42708333333333331</v>
      </c>
    </row>
    <row r="603" spans="5:6" x14ac:dyDescent="0.3">
      <c r="E603" s="54">
        <v>0.41736111111111102</v>
      </c>
      <c r="F603" s="56">
        <f t="shared" si="9"/>
        <v>0.42708333333333331</v>
      </c>
    </row>
    <row r="604" spans="5:6" x14ac:dyDescent="0.3">
      <c r="E604" s="54">
        <v>0.41805555555555601</v>
      </c>
      <c r="F604" s="56">
        <f t="shared" si="9"/>
        <v>0.42708333333333331</v>
      </c>
    </row>
    <row r="605" spans="5:6" x14ac:dyDescent="0.3">
      <c r="E605" s="54">
        <v>0.41875000000000001</v>
      </c>
      <c r="F605" s="56">
        <f t="shared" si="9"/>
        <v>0.42708333333333331</v>
      </c>
    </row>
    <row r="606" spans="5:6" x14ac:dyDescent="0.3">
      <c r="E606" s="54">
        <v>0.41944444444444401</v>
      </c>
      <c r="F606" s="56">
        <f t="shared" si="9"/>
        <v>0.42708333333333331</v>
      </c>
    </row>
    <row r="607" spans="5:6" x14ac:dyDescent="0.3">
      <c r="E607" s="54">
        <v>0.42013888888888901</v>
      </c>
      <c r="F607" s="56">
        <f t="shared" si="9"/>
        <v>0.42708333333333331</v>
      </c>
    </row>
    <row r="608" spans="5:6" x14ac:dyDescent="0.3">
      <c r="E608" s="54">
        <v>0.420833333333333</v>
      </c>
      <c r="F608" s="56">
        <f t="shared" si="9"/>
        <v>0.42708333333333331</v>
      </c>
    </row>
    <row r="609" spans="5:6" x14ac:dyDescent="0.3">
      <c r="E609" s="54">
        <v>0.421527777777778</v>
      </c>
      <c r="F609" s="56">
        <f t="shared" si="9"/>
        <v>0.42708333333333331</v>
      </c>
    </row>
    <row r="610" spans="5:6" x14ac:dyDescent="0.3">
      <c r="E610" s="54">
        <v>0.422222222222222</v>
      </c>
      <c r="F610" s="56">
        <f t="shared" si="9"/>
        <v>0.42708333333333331</v>
      </c>
    </row>
    <row r="611" spans="5:6" x14ac:dyDescent="0.3">
      <c r="E611" s="54">
        <v>0.422916666666667</v>
      </c>
      <c r="F611" s="56">
        <f t="shared" si="9"/>
        <v>0.42708333333333331</v>
      </c>
    </row>
    <row r="612" spans="5:6" x14ac:dyDescent="0.3">
      <c r="E612" s="54">
        <v>0.42361111111111099</v>
      </c>
      <c r="F612" s="56">
        <f t="shared" si="9"/>
        <v>0.42708333333333331</v>
      </c>
    </row>
    <row r="613" spans="5:6" x14ac:dyDescent="0.3">
      <c r="E613" s="54">
        <v>0.42430555555555599</v>
      </c>
      <c r="F613" s="56">
        <f t="shared" si="9"/>
        <v>0.42708333333333331</v>
      </c>
    </row>
    <row r="614" spans="5:6" x14ac:dyDescent="0.3">
      <c r="E614" s="54">
        <v>0.42499999999999999</v>
      </c>
      <c r="F614" s="56">
        <f t="shared" si="9"/>
        <v>0.42708333333333331</v>
      </c>
    </row>
    <row r="615" spans="5:6" x14ac:dyDescent="0.3">
      <c r="E615" s="54">
        <v>0.42569444444444399</v>
      </c>
      <c r="F615" s="56">
        <f t="shared" si="9"/>
        <v>0.42708333333333331</v>
      </c>
    </row>
    <row r="616" spans="5:6" x14ac:dyDescent="0.3">
      <c r="E616" s="54">
        <v>0.42638888888888898</v>
      </c>
      <c r="F616" s="56">
        <f t="shared" si="9"/>
        <v>0.42708333333333331</v>
      </c>
    </row>
    <row r="617" spans="5:6" x14ac:dyDescent="0.3">
      <c r="E617" s="54">
        <v>0.42708333333333298</v>
      </c>
      <c r="F617" s="56">
        <f t="shared" si="9"/>
        <v>0.4375</v>
      </c>
    </row>
    <row r="618" spans="5:6" x14ac:dyDescent="0.3">
      <c r="E618" s="54">
        <v>0.42777777777777798</v>
      </c>
      <c r="F618" s="56">
        <f t="shared" si="9"/>
        <v>0.4375</v>
      </c>
    </row>
    <row r="619" spans="5:6" x14ac:dyDescent="0.3">
      <c r="E619" s="54">
        <v>0.42847222222222198</v>
      </c>
      <c r="F619" s="56">
        <f t="shared" si="9"/>
        <v>0.4375</v>
      </c>
    </row>
    <row r="620" spans="5:6" x14ac:dyDescent="0.3">
      <c r="E620" s="54">
        <v>0.42916666666666697</v>
      </c>
      <c r="F620" s="56">
        <f t="shared" si="9"/>
        <v>0.4375</v>
      </c>
    </row>
    <row r="621" spans="5:6" x14ac:dyDescent="0.3">
      <c r="E621" s="54">
        <v>0.42986111111111103</v>
      </c>
      <c r="F621" s="56">
        <f t="shared" si="9"/>
        <v>0.4375</v>
      </c>
    </row>
    <row r="622" spans="5:6" x14ac:dyDescent="0.3">
      <c r="E622" s="54">
        <v>0.43055555555555602</v>
      </c>
      <c r="F622" s="56">
        <f t="shared" si="9"/>
        <v>0.4375</v>
      </c>
    </row>
    <row r="623" spans="5:6" x14ac:dyDescent="0.3">
      <c r="E623" s="54">
        <v>0.43125000000000002</v>
      </c>
      <c r="F623" s="56">
        <f t="shared" si="9"/>
        <v>0.4375</v>
      </c>
    </row>
    <row r="624" spans="5:6" x14ac:dyDescent="0.3">
      <c r="E624" s="54">
        <v>0.43194444444444402</v>
      </c>
      <c r="F624" s="56">
        <f t="shared" si="9"/>
        <v>0.4375</v>
      </c>
    </row>
    <row r="625" spans="5:6" x14ac:dyDescent="0.3">
      <c r="E625" s="54">
        <v>0.43263888888888902</v>
      </c>
      <c r="F625" s="56">
        <f t="shared" si="9"/>
        <v>0.4375</v>
      </c>
    </row>
    <row r="626" spans="5:6" x14ac:dyDescent="0.3">
      <c r="E626" s="54">
        <v>0.43333333333333302</v>
      </c>
      <c r="F626" s="56">
        <f t="shared" si="9"/>
        <v>0.4375</v>
      </c>
    </row>
    <row r="627" spans="5:6" x14ac:dyDescent="0.3">
      <c r="E627" s="54">
        <v>0.43402777777777801</v>
      </c>
      <c r="F627" s="56">
        <f t="shared" si="9"/>
        <v>0.4375</v>
      </c>
    </row>
    <row r="628" spans="5:6" x14ac:dyDescent="0.3">
      <c r="E628" s="54">
        <v>0.43472222222222201</v>
      </c>
      <c r="F628" s="56">
        <f t="shared" si="9"/>
        <v>0.4375</v>
      </c>
    </row>
    <row r="629" spans="5:6" x14ac:dyDescent="0.3">
      <c r="E629" s="54">
        <v>0.43541666666666701</v>
      </c>
      <c r="F629" s="56">
        <f t="shared" si="9"/>
        <v>0.4375</v>
      </c>
    </row>
    <row r="630" spans="5:6" x14ac:dyDescent="0.3">
      <c r="E630" s="54">
        <v>0.43611111111111101</v>
      </c>
      <c r="F630" s="56">
        <f t="shared" si="9"/>
        <v>0.4375</v>
      </c>
    </row>
    <row r="631" spans="5:6" x14ac:dyDescent="0.3">
      <c r="E631" s="54">
        <v>0.436805555555556</v>
      </c>
      <c r="F631" s="56">
        <f t="shared" si="9"/>
        <v>0.4375</v>
      </c>
    </row>
    <row r="632" spans="5:6" x14ac:dyDescent="0.3">
      <c r="E632" s="54">
        <v>0.4375</v>
      </c>
      <c r="F632" s="56">
        <f t="shared" si="9"/>
        <v>0.44791666666666669</v>
      </c>
    </row>
    <row r="633" spans="5:6" x14ac:dyDescent="0.3">
      <c r="E633" s="54">
        <v>0.438194444444444</v>
      </c>
      <c r="F633" s="56">
        <f t="shared" si="9"/>
        <v>0.44791666666666669</v>
      </c>
    </row>
    <row r="634" spans="5:6" x14ac:dyDescent="0.3">
      <c r="E634" s="54">
        <v>0.43888888888888899</v>
      </c>
      <c r="F634" s="56">
        <f t="shared" si="9"/>
        <v>0.44791666666666669</v>
      </c>
    </row>
    <row r="635" spans="5:6" x14ac:dyDescent="0.3">
      <c r="E635" s="54">
        <v>0.43958333333333299</v>
      </c>
      <c r="F635" s="56">
        <f t="shared" si="9"/>
        <v>0.44791666666666669</v>
      </c>
    </row>
    <row r="636" spans="5:6" x14ac:dyDescent="0.3">
      <c r="E636" s="54">
        <v>0.44027777777777799</v>
      </c>
      <c r="F636" s="56">
        <f t="shared" si="9"/>
        <v>0.44791666666666669</v>
      </c>
    </row>
    <row r="637" spans="5:6" x14ac:dyDescent="0.3">
      <c r="E637" s="54">
        <v>0.44097222222222199</v>
      </c>
      <c r="F637" s="56">
        <f t="shared" si="9"/>
        <v>0.44791666666666669</v>
      </c>
    </row>
    <row r="638" spans="5:6" x14ac:dyDescent="0.3">
      <c r="E638" s="54">
        <v>0.44166666666666698</v>
      </c>
      <c r="F638" s="56">
        <f t="shared" si="9"/>
        <v>0.44791666666666669</v>
      </c>
    </row>
    <row r="639" spans="5:6" x14ac:dyDescent="0.3">
      <c r="E639" s="54">
        <v>0.44236111111111098</v>
      </c>
      <c r="F639" s="56">
        <f t="shared" si="9"/>
        <v>0.44791666666666669</v>
      </c>
    </row>
    <row r="640" spans="5:6" x14ac:dyDescent="0.3">
      <c r="E640" s="54">
        <v>0.44305555555555598</v>
      </c>
      <c r="F640" s="56">
        <f t="shared" si="9"/>
        <v>0.44791666666666669</v>
      </c>
    </row>
    <row r="641" spans="5:6" x14ac:dyDescent="0.3">
      <c r="E641" s="54">
        <v>0.44374999999999998</v>
      </c>
      <c r="F641" s="56">
        <f t="shared" si="9"/>
        <v>0.44791666666666669</v>
      </c>
    </row>
    <row r="642" spans="5:6" x14ac:dyDescent="0.3">
      <c r="E642" s="54">
        <v>0.44444444444444398</v>
      </c>
      <c r="F642" s="56">
        <f t="shared" si="9"/>
        <v>0.44791666666666669</v>
      </c>
    </row>
    <row r="643" spans="5:6" x14ac:dyDescent="0.3">
      <c r="E643" s="54">
        <v>0.44513888888888897</v>
      </c>
      <c r="F643" s="56">
        <f t="shared" ref="F643:F706" si="10">ROUNDUP(E643*4*24+1/60/24,0)/4/24</f>
        <v>0.44791666666666669</v>
      </c>
    </row>
    <row r="644" spans="5:6" x14ac:dyDescent="0.3">
      <c r="E644" s="54">
        <v>0.44583333333333303</v>
      </c>
      <c r="F644" s="56">
        <f t="shared" si="10"/>
        <v>0.44791666666666669</v>
      </c>
    </row>
    <row r="645" spans="5:6" x14ac:dyDescent="0.3">
      <c r="E645" s="54">
        <v>0.44652777777777802</v>
      </c>
      <c r="F645" s="56">
        <f t="shared" si="10"/>
        <v>0.44791666666666669</v>
      </c>
    </row>
    <row r="646" spans="5:6" x14ac:dyDescent="0.3">
      <c r="E646" s="54">
        <v>0.44722222222222202</v>
      </c>
      <c r="F646" s="56">
        <f t="shared" si="10"/>
        <v>0.44791666666666669</v>
      </c>
    </row>
    <row r="647" spans="5:6" x14ac:dyDescent="0.3">
      <c r="E647" s="54">
        <v>0.44791666666666702</v>
      </c>
      <c r="F647" s="56">
        <f t="shared" si="10"/>
        <v>0.45833333333333331</v>
      </c>
    </row>
    <row r="648" spans="5:6" x14ac:dyDescent="0.3">
      <c r="E648" s="54">
        <v>0.44861111111111102</v>
      </c>
      <c r="F648" s="56">
        <f t="shared" si="10"/>
        <v>0.45833333333333331</v>
      </c>
    </row>
    <row r="649" spans="5:6" x14ac:dyDescent="0.3">
      <c r="E649" s="54">
        <v>0.44930555555555601</v>
      </c>
      <c r="F649" s="56">
        <f t="shared" si="10"/>
        <v>0.45833333333333331</v>
      </c>
    </row>
    <row r="650" spans="5:6" x14ac:dyDescent="0.3">
      <c r="E650" s="54">
        <v>0.45</v>
      </c>
      <c r="F650" s="56">
        <f t="shared" si="10"/>
        <v>0.45833333333333331</v>
      </c>
    </row>
    <row r="651" spans="5:6" x14ac:dyDescent="0.3">
      <c r="E651" s="54">
        <v>0.45069444444444401</v>
      </c>
      <c r="F651" s="56">
        <f t="shared" si="10"/>
        <v>0.45833333333333331</v>
      </c>
    </row>
    <row r="652" spans="5:6" x14ac:dyDescent="0.3">
      <c r="E652" s="54">
        <v>0.45138888888888901</v>
      </c>
      <c r="F652" s="56">
        <f t="shared" si="10"/>
        <v>0.45833333333333331</v>
      </c>
    </row>
    <row r="653" spans="5:6" x14ac:dyDescent="0.3">
      <c r="E653" s="54">
        <v>0.452083333333333</v>
      </c>
      <c r="F653" s="56">
        <f t="shared" si="10"/>
        <v>0.45833333333333331</v>
      </c>
    </row>
    <row r="654" spans="5:6" x14ac:dyDescent="0.3">
      <c r="E654" s="54">
        <v>0.452777777777778</v>
      </c>
      <c r="F654" s="56">
        <f t="shared" si="10"/>
        <v>0.45833333333333331</v>
      </c>
    </row>
    <row r="655" spans="5:6" x14ac:dyDescent="0.3">
      <c r="E655" s="54">
        <v>0.453472222222222</v>
      </c>
      <c r="F655" s="56">
        <f t="shared" si="10"/>
        <v>0.45833333333333331</v>
      </c>
    </row>
    <row r="656" spans="5:6" x14ac:dyDescent="0.3">
      <c r="E656" s="54">
        <v>0.454166666666667</v>
      </c>
      <c r="F656" s="56">
        <f t="shared" si="10"/>
        <v>0.45833333333333331</v>
      </c>
    </row>
    <row r="657" spans="5:6" x14ac:dyDescent="0.3">
      <c r="E657" s="54">
        <v>0.45486111111111099</v>
      </c>
      <c r="F657" s="56">
        <f t="shared" si="10"/>
        <v>0.45833333333333331</v>
      </c>
    </row>
    <row r="658" spans="5:6" x14ac:dyDescent="0.3">
      <c r="E658" s="54">
        <v>0.45555555555555599</v>
      </c>
      <c r="F658" s="56">
        <f t="shared" si="10"/>
        <v>0.45833333333333331</v>
      </c>
    </row>
    <row r="659" spans="5:6" x14ac:dyDescent="0.3">
      <c r="E659" s="54">
        <v>0.45624999999999999</v>
      </c>
      <c r="F659" s="56">
        <f t="shared" si="10"/>
        <v>0.45833333333333331</v>
      </c>
    </row>
    <row r="660" spans="5:6" x14ac:dyDescent="0.3">
      <c r="E660" s="54">
        <v>0.45694444444444399</v>
      </c>
      <c r="F660" s="56">
        <f t="shared" si="10"/>
        <v>0.45833333333333331</v>
      </c>
    </row>
    <row r="661" spans="5:6" x14ac:dyDescent="0.3">
      <c r="E661" s="54">
        <v>0.45763888888888898</v>
      </c>
      <c r="F661" s="56">
        <f t="shared" si="10"/>
        <v>0.45833333333333331</v>
      </c>
    </row>
    <row r="662" spans="5:6" x14ac:dyDescent="0.3">
      <c r="E662" s="54">
        <v>0.45833333333333298</v>
      </c>
      <c r="F662" s="56">
        <f t="shared" si="10"/>
        <v>0.46875</v>
      </c>
    </row>
    <row r="663" spans="5:6" x14ac:dyDescent="0.3">
      <c r="E663" s="54">
        <v>0.45902777777777798</v>
      </c>
      <c r="F663" s="56">
        <f t="shared" si="10"/>
        <v>0.46875</v>
      </c>
    </row>
    <row r="664" spans="5:6" x14ac:dyDescent="0.3">
      <c r="E664" s="54">
        <v>0.45972222222222198</v>
      </c>
      <c r="F664" s="56">
        <f t="shared" si="10"/>
        <v>0.46875</v>
      </c>
    </row>
    <row r="665" spans="5:6" x14ac:dyDescent="0.3">
      <c r="E665" s="54">
        <v>0.46041666666666697</v>
      </c>
      <c r="F665" s="56">
        <f t="shared" si="10"/>
        <v>0.46875</v>
      </c>
    </row>
    <row r="666" spans="5:6" x14ac:dyDescent="0.3">
      <c r="E666" s="54">
        <v>0.46111111111111103</v>
      </c>
      <c r="F666" s="56">
        <f t="shared" si="10"/>
        <v>0.46875</v>
      </c>
    </row>
    <row r="667" spans="5:6" x14ac:dyDescent="0.3">
      <c r="E667" s="54">
        <v>0.46180555555555602</v>
      </c>
      <c r="F667" s="56">
        <f t="shared" si="10"/>
        <v>0.46875</v>
      </c>
    </row>
    <row r="668" spans="5:6" x14ac:dyDescent="0.3">
      <c r="E668" s="54">
        <v>0.46250000000000002</v>
      </c>
      <c r="F668" s="56">
        <f t="shared" si="10"/>
        <v>0.46875</v>
      </c>
    </row>
    <row r="669" spans="5:6" x14ac:dyDescent="0.3">
      <c r="E669" s="54">
        <v>0.46319444444444402</v>
      </c>
      <c r="F669" s="56">
        <f t="shared" si="10"/>
        <v>0.46875</v>
      </c>
    </row>
    <row r="670" spans="5:6" x14ac:dyDescent="0.3">
      <c r="E670" s="54">
        <v>0.46388888888888902</v>
      </c>
      <c r="F670" s="56">
        <f t="shared" si="10"/>
        <v>0.46875</v>
      </c>
    </row>
    <row r="671" spans="5:6" x14ac:dyDescent="0.3">
      <c r="E671" s="54">
        <v>0.46458333333333302</v>
      </c>
      <c r="F671" s="56">
        <f t="shared" si="10"/>
        <v>0.46875</v>
      </c>
    </row>
    <row r="672" spans="5:6" x14ac:dyDescent="0.3">
      <c r="E672" s="54">
        <v>0.46527777777777801</v>
      </c>
      <c r="F672" s="56">
        <f t="shared" si="10"/>
        <v>0.46875</v>
      </c>
    </row>
    <row r="673" spans="5:6" x14ac:dyDescent="0.3">
      <c r="E673" s="54">
        <v>0.46597222222222201</v>
      </c>
      <c r="F673" s="56">
        <f t="shared" si="10"/>
        <v>0.46875</v>
      </c>
    </row>
    <row r="674" spans="5:6" x14ac:dyDescent="0.3">
      <c r="E674" s="54">
        <v>0.46666666666666701</v>
      </c>
      <c r="F674" s="56">
        <f t="shared" si="10"/>
        <v>0.46875</v>
      </c>
    </row>
    <row r="675" spans="5:6" x14ac:dyDescent="0.3">
      <c r="E675" s="54">
        <v>0.46736111111111101</v>
      </c>
      <c r="F675" s="56">
        <f t="shared" si="10"/>
        <v>0.46875</v>
      </c>
    </row>
    <row r="676" spans="5:6" x14ac:dyDescent="0.3">
      <c r="E676" s="54">
        <v>0.468055555555556</v>
      </c>
      <c r="F676" s="56">
        <f t="shared" si="10"/>
        <v>0.46875</v>
      </c>
    </row>
    <row r="677" spans="5:6" x14ac:dyDescent="0.3">
      <c r="E677" s="54">
        <v>0.46875</v>
      </c>
      <c r="F677" s="56">
        <f t="shared" si="10"/>
        <v>0.47916666666666669</v>
      </c>
    </row>
    <row r="678" spans="5:6" x14ac:dyDescent="0.3">
      <c r="E678" s="54">
        <v>0.469444444444444</v>
      </c>
      <c r="F678" s="56">
        <f t="shared" si="10"/>
        <v>0.47916666666666669</v>
      </c>
    </row>
    <row r="679" spans="5:6" x14ac:dyDescent="0.3">
      <c r="E679" s="54">
        <v>0.47013888888888899</v>
      </c>
      <c r="F679" s="56">
        <f t="shared" si="10"/>
        <v>0.47916666666666669</v>
      </c>
    </row>
    <row r="680" spans="5:6" x14ac:dyDescent="0.3">
      <c r="E680" s="54">
        <v>0.47083333333333299</v>
      </c>
      <c r="F680" s="56">
        <f t="shared" si="10"/>
        <v>0.47916666666666669</v>
      </c>
    </row>
    <row r="681" spans="5:6" x14ac:dyDescent="0.3">
      <c r="E681" s="54">
        <v>0.47152777777777799</v>
      </c>
      <c r="F681" s="56">
        <f t="shared" si="10"/>
        <v>0.47916666666666669</v>
      </c>
    </row>
    <row r="682" spans="5:6" x14ac:dyDescent="0.3">
      <c r="E682" s="54">
        <v>0.47222222222222199</v>
      </c>
      <c r="F682" s="56">
        <f t="shared" si="10"/>
        <v>0.47916666666666669</v>
      </c>
    </row>
    <row r="683" spans="5:6" x14ac:dyDescent="0.3">
      <c r="E683" s="54">
        <v>0.47291666666666698</v>
      </c>
      <c r="F683" s="56">
        <f t="shared" si="10"/>
        <v>0.47916666666666669</v>
      </c>
    </row>
    <row r="684" spans="5:6" x14ac:dyDescent="0.3">
      <c r="E684" s="54">
        <v>0.47361111111111098</v>
      </c>
      <c r="F684" s="56">
        <f t="shared" si="10"/>
        <v>0.47916666666666669</v>
      </c>
    </row>
    <row r="685" spans="5:6" x14ac:dyDescent="0.3">
      <c r="E685" s="54">
        <v>0.47430555555555598</v>
      </c>
      <c r="F685" s="56">
        <f t="shared" si="10"/>
        <v>0.47916666666666669</v>
      </c>
    </row>
    <row r="686" spans="5:6" x14ac:dyDescent="0.3">
      <c r="E686" s="54">
        <v>0.47499999999999998</v>
      </c>
      <c r="F686" s="56">
        <f t="shared" si="10"/>
        <v>0.47916666666666669</v>
      </c>
    </row>
    <row r="687" spans="5:6" x14ac:dyDescent="0.3">
      <c r="E687" s="54">
        <v>0.47569444444444398</v>
      </c>
      <c r="F687" s="56">
        <f t="shared" si="10"/>
        <v>0.47916666666666669</v>
      </c>
    </row>
    <row r="688" spans="5:6" x14ac:dyDescent="0.3">
      <c r="E688" s="54">
        <v>0.47638888888888897</v>
      </c>
      <c r="F688" s="56">
        <f t="shared" si="10"/>
        <v>0.47916666666666669</v>
      </c>
    </row>
    <row r="689" spans="5:6" x14ac:dyDescent="0.3">
      <c r="E689" s="54">
        <v>0.47708333333333303</v>
      </c>
      <c r="F689" s="56">
        <f t="shared" si="10"/>
        <v>0.47916666666666669</v>
      </c>
    </row>
    <row r="690" spans="5:6" x14ac:dyDescent="0.3">
      <c r="E690" s="54">
        <v>0.47777777777777802</v>
      </c>
      <c r="F690" s="56">
        <f t="shared" si="10"/>
        <v>0.47916666666666669</v>
      </c>
    </row>
    <row r="691" spans="5:6" x14ac:dyDescent="0.3">
      <c r="E691" s="54">
        <v>0.47847222222222202</v>
      </c>
      <c r="F691" s="56">
        <f t="shared" si="10"/>
        <v>0.47916666666666669</v>
      </c>
    </row>
    <row r="692" spans="5:6" x14ac:dyDescent="0.3">
      <c r="E692" s="54">
        <v>0.47916666666666702</v>
      </c>
      <c r="F692" s="56">
        <f t="shared" si="10"/>
        <v>0.48958333333333331</v>
      </c>
    </row>
    <row r="693" spans="5:6" x14ac:dyDescent="0.3">
      <c r="E693" s="54">
        <v>0.47986111111111102</v>
      </c>
      <c r="F693" s="56">
        <f t="shared" si="10"/>
        <v>0.48958333333333331</v>
      </c>
    </row>
    <row r="694" spans="5:6" x14ac:dyDescent="0.3">
      <c r="E694" s="54">
        <v>0.48055555555555601</v>
      </c>
      <c r="F694" s="56">
        <f t="shared" si="10"/>
        <v>0.48958333333333331</v>
      </c>
    </row>
    <row r="695" spans="5:6" x14ac:dyDescent="0.3">
      <c r="E695" s="54">
        <v>0.48125000000000001</v>
      </c>
      <c r="F695" s="56">
        <f t="shared" si="10"/>
        <v>0.48958333333333331</v>
      </c>
    </row>
    <row r="696" spans="5:6" x14ac:dyDescent="0.3">
      <c r="E696" s="54">
        <v>0.48194444444444401</v>
      </c>
      <c r="F696" s="56">
        <f t="shared" si="10"/>
        <v>0.48958333333333331</v>
      </c>
    </row>
    <row r="697" spans="5:6" x14ac:dyDescent="0.3">
      <c r="E697" s="54">
        <v>0.48263888888888901</v>
      </c>
      <c r="F697" s="56">
        <f t="shared" si="10"/>
        <v>0.48958333333333331</v>
      </c>
    </row>
    <row r="698" spans="5:6" x14ac:dyDescent="0.3">
      <c r="E698" s="54">
        <v>0.483333333333333</v>
      </c>
      <c r="F698" s="56">
        <f t="shared" si="10"/>
        <v>0.48958333333333331</v>
      </c>
    </row>
    <row r="699" spans="5:6" x14ac:dyDescent="0.3">
      <c r="E699" s="54">
        <v>0.484027777777778</v>
      </c>
      <c r="F699" s="56">
        <f t="shared" si="10"/>
        <v>0.48958333333333331</v>
      </c>
    </row>
    <row r="700" spans="5:6" x14ac:dyDescent="0.3">
      <c r="E700" s="54">
        <v>0.484722222222222</v>
      </c>
      <c r="F700" s="56">
        <f t="shared" si="10"/>
        <v>0.48958333333333331</v>
      </c>
    </row>
    <row r="701" spans="5:6" x14ac:dyDescent="0.3">
      <c r="E701" s="54">
        <v>0.485416666666667</v>
      </c>
      <c r="F701" s="56">
        <f t="shared" si="10"/>
        <v>0.48958333333333331</v>
      </c>
    </row>
    <row r="702" spans="5:6" x14ac:dyDescent="0.3">
      <c r="E702" s="54">
        <v>0.48611111111111099</v>
      </c>
      <c r="F702" s="56">
        <f t="shared" si="10"/>
        <v>0.48958333333333331</v>
      </c>
    </row>
    <row r="703" spans="5:6" x14ac:dyDescent="0.3">
      <c r="E703" s="54">
        <v>0.48680555555555599</v>
      </c>
      <c r="F703" s="56">
        <f t="shared" si="10"/>
        <v>0.48958333333333331</v>
      </c>
    </row>
    <row r="704" spans="5:6" x14ac:dyDescent="0.3">
      <c r="E704" s="54">
        <v>0.48749999999999999</v>
      </c>
      <c r="F704" s="56">
        <f t="shared" si="10"/>
        <v>0.48958333333333331</v>
      </c>
    </row>
    <row r="705" spans="5:6" x14ac:dyDescent="0.3">
      <c r="E705" s="54">
        <v>0.48819444444444399</v>
      </c>
      <c r="F705" s="56">
        <f t="shared" si="10"/>
        <v>0.48958333333333331</v>
      </c>
    </row>
    <row r="706" spans="5:6" x14ac:dyDescent="0.3">
      <c r="E706" s="54">
        <v>0.48888888888888898</v>
      </c>
      <c r="F706" s="56">
        <f t="shared" si="10"/>
        <v>0.48958333333333331</v>
      </c>
    </row>
    <row r="707" spans="5:6" x14ac:dyDescent="0.3">
      <c r="E707" s="54">
        <v>0.48958333333333298</v>
      </c>
      <c r="F707" s="56">
        <f t="shared" ref="F707:F770" si="11">ROUNDUP(E707*4*24+1/60/24,0)/4/24</f>
        <v>0.5</v>
      </c>
    </row>
    <row r="708" spans="5:6" x14ac:dyDescent="0.3">
      <c r="E708" s="54">
        <v>0.49027777777777798</v>
      </c>
      <c r="F708" s="56">
        <f t="shared" si="11"/>
        <v>0.5</v>
      </c>
    </row>
    <row r="709" spans="5:6" x14ac:dyDescent="0.3">
      <c r="E709" s="54">
        <v>0.49097222222222198</v>
      </c>
      <c r="F709" s="56">
        <f t="shared" si="11"/>
        <v>0.5</v>
      </c>
    </row>
    <row r="710" spans="5:6" x14ac:dyDescent="0.3">
      <c r="E710" s="54">
        <v>0.49166666666666697</v>
      </c>
      <c r="F710" s="56">
        <f t="shared" si="11"/>
        <v>0.5</v>
      </c>
    </row>
    <row r="711" spans="5:6" x14ac:dyDescent="0.3">
      <c r="E711" s="54">
        <v>0.49236111111111103</v>
      </c>
      <c r="F711" s="56">
        <f t="shared" si="11"/>
        <v>0.5</v>
      </c>
    </row>
    <row r="712" spans="5:6" x14ac:dyDescent="0.3">
      <c r="E712" s="54">
        <v>0.49305555555555602</v>
      </c>
      <c r="F712" s="56">
        <f t="shared" si="11"/>
        <v>0.5</v>
      </c>
    </row>
    <row r="713" spans="5:6" x14ac:dyDescent="0.3">
      <c r="E713" s="54">
        <v>0.49375000000000002</v>
      </c>
      <c r="F713" s="56">
        <f t="shared" si="11"/>
        <v>0.5</v>
      </c>
    </row>
    <row r="714" spans="5:6" x14ac:dyDescent="0.3">
      <c r="E714" s="54">
        <v>0.49444444444444402</v>
      </c>
      <c r="F714" s="56">
        <f t="shared" si="11"/>
        <v>0.5</v>
      </c>
    </row>
    <row r="715" spans="5:6" x14ac:dyDescent="0.3">
      <c r="E715" s="54">
        <v>0.49513888888888902</v>
      </c>
      <c r="F715" s="56">
        <f t="shared" si="11"/>
        <v>0.5</v>
      </c>
    </row>
    <row r="716" spans="5:6" x14ac:dyDescent="0.3">
      <c r="E716" s="54">
        <v>0.49583333333333302</v>
      </c>
      <c r="F716" s="56">
        <f t="shared" si="11"/>
        <v>0.5</v>
      </c>
    </row>
    <row r="717" spans="5:6" x14ac:dyDescent="0.3">
      <c r="E717" s="54">
        <v>0.49652777777777801</v>
      </c>
      <c r="F717" s="56">
        <f t="shared" si="11"/>
        <v>0.5</v>
      </c>
    </row>
    <row r="718" spans="5:6" x14ac:dyDescent="0.3">
      <c r="E718" s="54">
        <v>0.49722222222222201</v>
      </c>
      <c r="F718" s="56">
        <f t="shared" si="11"/>
        <v>0.5</v>
      </c>
    </row>
    <row r="719" spans="5:6" x14ac:dyDescent="0.3">
      <c r="E719" s="54">
        <v>0.49791666666666701</v>
      </c>
      <c r="F719" s="56">
        <f t="shared" si="11"/>
        <v>0.5</v>
      </c>
    </row>
    <row r="720" spans="5:6" x14ac:dyDescent="0.3">
      <c r="E720" s="54">
        <v>0.49861111111111101</v>
      </c>
      <c r="F720" s="56">
        <f t="shared" si="11"/>
        <v>0.5</v>
      </c>
    </row>
    <row r="721" spans="5:6" x14ac:dyDescent="0.3">
      <c r="E721" s="54">
        <v>0.499305555555556</v>
      </c>
      <c r="F721" s="56">
        <f t="shared" si="11"/>
        <v>0.5</v>
      </c>
    </row>
    <row r="722" spans="5:6" x14ac:dyDescent="0.3">
      <c r="E722" s="54">
        <v>0.5</v>
      </c>
      <c r="F722" s="56">
        <f t="shared" si="11"/>
        <v>0.51041666666666663</v>
      </c>
    </row>
    <row r="723" spans="5:6" x14ac:dyDescent="0.3">
      <c r="E723" s="54">
        <v>0.500694444444444</v>
      </c>
      <c r="F723" s="56">
        <f t="shared" si="11"/>
        <v>0.51041666666666663</v>
      </c>
    </row>
    <row r="724" spans="5:6" x14ac:dyDescent="0.3">
      <c r="E724" s="54">
        <v>0.50138888888888899</v>
      </c>
      <c r="F724" s="56">
        <f t="shared" si="11"/>
        <v>0.51041666666666663</v>
      </c>
    </row>
    <row r="725" spans="5:6" x14ac:dyDescent="0.3">
      <c r="E725" s="54">
        <v>0.50208333333333299</v>
      </c>
      <c r="F725" s="56">
        <f t="shared" si="11"/>
        <v>0.51041666666666663</v>
      </c>
    </row>
    <row r="726" spans="5:6" x14ac:dyDescent="0.3">
      <c r="E726" s="54">
        <v>0.50277777777777799</v>
      </c>
      <c r="F726" s="56">
        <f t="shared" si="11"/>
        <v>0.51041666666666663</v>
      </c>
    </row>
    <row r="727" spans="5:6" x14ac:dyDescent="0.3">
      <c r="E727" s="54">
        <v>0.50347222222222199</v>
      </c>
      <c r="F727" s="56">
        <f t="shared" si="11"/>
        <v>0.51041666666666663</v>
      </c>
    </row>
    <row r="728" spans="5:6" x14ac:dyDescent="0.3">
      <c r="E728" s="54">
        <v>0.50416666666666698</v>
      </c>
      <c r="F728" s="56">
        <f t="shared" si="11"/>
        <v>0.51041666666666663</v>
      </c>
    </row>
    <row r="729" spans="5:6" x14ac:dyDescent="0.3">
      <c r="E729" s="54">
        <v>0.50486111111111098</v>
      </c>
      <c r="F729" s="56">
        <f t="shared" si="11"/>
        <v>0.51041666666666663</v>
      </c>
    </row>
    <row r="730" spans="5:6" x14ac:dyDescent="0.3">
      <c r="E730" s="54">
        <v>0.50555555555555598</v>
      </c>
      <c r="F730" s="56">
        <f t="shared" si="11"/>
        <v>0.51041666666666663</v>
      </c>
    </row>
    <row r="731" spans="5:6" x14ac:dyDescent="0.3">
      <c r="E731" s="54">
        <v>0.50624999999999998</v>
      </c>
      <c r="F731" s="56">
        <f t="shared" si="11"/>
        <v>0.51041666666666663</v>
      </c>
    </row>
    <row r="732" spans="5:6" x14ac:dyDescent="0.3">
      <c r="E732" s="54">
        <v>0.50694444444444398</v>
      </c>
      <c r="F732" s="56">
        <f t="shared" si="11"/>
        <v>0.51041666666666663</v>
      </c>
    </row>
    <row r="733" spans="5:6" x14ac:dyDescent="0.3">
      <c r="E733" s="54">
        <v>0.50763888888888897</v>
      </c>
      <c r="F733" s="56">
        <f t="shared" si="11"/>
        <v>0.51041666666666663</v>
      </c>
    </row>
    <row r="734" spans="5:6" x14ac:dyDescent="0.3">
      <c r="E734" s="54">
        <v>0.50833333333333297</v>
      </c>
      <c r="F734" s="56">
        <f t="shared" si="11"/>
        <v>0.51041666666666663</v>
      </c>
    </row>
    <row r="735" spans="5:6" x14ac:dyDescent="0.3">
      <c r="E735" s="54">
        <v>0.50902777777777797</v>
      </c>
      <c r="F735" s="56">
        <f t="shared" si="11"/>
        <v>0.51041666666666663</v>
      </c>
    </row>
    <row r="736" spans="5:6" x14ac:dyDescent="0.3">
      <c r="E736" s="54">
        <v>0.50972222222222197</v>
      </c>
      <c r="F736" s="56">
        <f t="shared" si="11"/>
        <v>0.51041666666666663</v>
      </c>
    </row>
    <row r="737" spans="5:6" x14ac:dyDescent="0.3">
      <c r="E737" s="54">
        <v>0.51041666666666696</v>
      </c>
      <c r="F737" s="56">
        <f t="shared" si="11"/>
        <v>0.52083333333333337</v>
      </c>
    </row>
    <row r="738" spans="5:6" x14ac:dyDescent="0.3">
      <c r="E738" s="54">
        <v>0.51111111111111096</v>
      </c>
      <c r="F738" s="56">
        <f t="shared" si="11"/>
        <v>0.52083333333333337</v>
      </c>
    </row>
    <row r="739" spans="5:6" x14ac:dyDescent="0.3">
      <c r="E739" s="54">
        <v>0.51180555555555596</v>
      </c>
      <c r="F739" s="56">
        <f t="shared" si="11"/>
        <v>0.52083333333333337</v>
      </c>
    </row>
    <row r="740" spans="5:6" x14ac:dyDescent="0.3">
      <c r="E740" s="54">
        <v>0.51249999999999996</v>
      </c>
      <c r="F740" s="56">
        <f t="shared" si="11"/>
        <v>0.52083333333333337</v>
      </c>
    </row>
    <row r="741" spans="5:6" x14ac:dyDescent="0.3">
      <c r="E741" s="54">
        <v>0.51319444444444495</v>
      </c>
      <c r="F741" s="56">
        <f t="shared" si="11"/>
        <v>0.52083333333333337</v>
      </c>
    </row>
    <row r="742" spans="5:6" x14ac:dyDescent="0.3">
      <c r="E742" s="54">
        <v>0.51388888888888895</v>
      </c>
      <c r="F742" s="56">
        <f t="shared" si="11"/>
        <v>0.52083333333333337</v>
      </c>
    </row>
    <row r="743" spans="5:6" x14ac:dyDescent="0.3">
      <c r="E743" s="54">
        <v>0.51458333333333295</v>
      </c>
      <c r="F743" s="56">
        <f t="shared" si="11"/>
        <v>0.52083333333333337</v>
      </c>
    </row>
    <row r="744" spans="5:6" x14ac:dyDescent="0.3">
      <c r="E744" s="54">
        <v>0.51527777777777795</v>
      </c>
      <c r="F744" s="56">
        <f t="shared" si="11"/>
        <v>0.52083333333333337</v>
      </c>
    </row>
    <row r="745" spans="5:6" x14ac:dyDescent="0.3">
      <c r="E745" s="54">
        <v>0.51597222222222205</v>
      </c>
      <c r="F745" s="56">
        <f t="shared" si="11"/>
        <v>0.52083333333333337</v>
      </c>
    </row>
    <row r="746" spans="5:6" x14ac:dyDescent="0.3">
      <c r="E746" s="54">
        <v>0.51666666666666705</v>
      </c>
      <c r="F746" s="56">
        <f t="shared" si="11"/>
        <v>0.52083333333333337</v>
      </c>
    </row>
    <row r="747" spans="5:6" x14ac:dyDescent="0.3">
      <c r="E747" s="54">
        <v>0.51736111111111105</v>
      </c>
      <c r="F747" s="56">
        <f t="shared" si="11"/>
        <v>0.52083333333333337</v>
      </c>
    </row>
    <row r="748" spans="5:6" x14ac:dyDescent="0.3">
      <c r="E748" s="54">
        <v>0.51805555555555605</v>
      </c>
      <c r="F748" s="56">
        <f t="shared" si="11"/>
        <v>0.52083333333333337</v>
      </c>
    </row>
    <row r="749" spans="5:6" x14ac:dyDescent="0.3">
      <c r="E749" s="54">
        <v>0.51875000000000004</v>
      </c>
      <c r="F749" s="56">
        <f t="shared" si="11"/>
        <v>0.52083333333333337</v>
      </c>
    </row>
    <row r="750" spans="5:6" x14ac:dyDescent="0.3">
      <c r="E750" s="54">
        <v>0.51944444444444404</v>
      </c>
      <c r="F750" s="56">
        <f t="shared" si="11"/>
        <v>0.52083333333333337</v>
      </c>
    </row>
    <row r="751" spans="5:6" x14ac:dyDescent="0.3">
      <c r="E751" s="54">
        <v>0.52013888888888904</v>
      </c>
      <c r="F751" s="56">
        <f t="shared" si="11"/>
        <v>0.52083333333333337</v>
      </c>
    </row>
    <row r="752" spans="5:6" x14ac:dyDescent="0.3">
      <c r="E752" s="54">
        <v>0.52083333333333304</v>
      </c>
      <c r="F752" s="56">
        <f t="shared" si="11"/>
        <v>0.53125</v>
      </c>
    </row>
    <row r="753" spans="5:6" x14ac:dyDescent="0.3">
      <c r="E753" s="54">
        <v>0.52152777777777803</v>
      </c>
      <c r="F753" s="56">
        <f t="shared" si="11"/>
        <v>0.53125</v>
      </c>
    </row>
    <row r="754" spans="5:6" x14ac:dyDescent="0.3">
      <c r="E754" s="54">
        <v>0.52222222222222203</v>
      </c>
      <c r="F754" s="56">
        <f t="shared" si="11"/>
        <v>0.53125</v>
      </c>
    </row>
    <row r="755" spans="5:6" x14ac:dyDescent="0.3">
      <c r="E755" s="54">
        <v>0.52291666666666703</v>
      </c>
      <c r="F755" s="56">
        <f t="shared" si="11"/>
        <v>0.53125</v>
      </c>
    </row>
    <row r="756" spans="5:6" x14ac:dyDescent="0.3">
      <c r="E756" s="54">
        <v>0.52361111111111103</v>
      </c>
      <c r="F756" s="56">
        <f t="shared" si="11"/>
        <v>0.53125</v>
      </c>
    </row>
    <row r="757" spans="5:6" x14ac:dyDescent="0.3">
      <c r="E757" s="54">
        <v>0.52430555555555602</v>
      </c>
      <c r="F757" s="56">
        <f t="shared" si="11"/>
        <v>0.53125</v>
      </c>
    </row>
    <row r="758" spans="5:6" x14ac:dyDescent="0.3">
      <c r="E758" s="54">
        <v>0.52500000000000002</v>
      </c>
      <c r="F758" s="56">
        <f t="shared" si="11"/>
        <v>0.53125</v>
      </c>
    </row>
    <row r="759" spans="5:6" x14ac:dyDescent="0.3">
      <c r="E759" s="54">
        <v>0.52569444444444402</v>
      </c>
      <c r="F759" s="56">
        <f t="shared" si="11"/>
        <v>0.53125</v>
      </c>
    </row>
    <row r="760" spans="5:6" x14ac:dyDescent="0.3">
      <c r="E760" s="54">
        <v>0.52638888888888902</v>
      </c>
      <c r="F760" s="56">
        <f t="shared" si="11"/>
        <v>0.53125</v>
      </c>
    </row>
    <row r="761" spans="5:6" x14ac:dyDescent="0.3">
      <c r="E761" s="54">
        <v>0.52708333333333302</v>
      </c>
      <c r="F761" s="56">
        <f t="shared" si="11"/>
        <v>0.53125</v>
      </c>
    </row>
    <row r="762" spans="5:6" x14ac:dyDescent="0.3">
      <c r="E762" s="54">
        <v>0.52777777777777801</v>
      </c>
      <c r="F762" s="56">
        <f t="shared" si="11"/>
        <v>0.53125</v>
      </c>
    </row>
    <row r="763" spans="5:6" x14ac:dyDescent="0.3">
      <c r="E763" s="54">
        <v>0.52847222222222201</v>
      </c>
      <c r="F763" s="56">
        <f t="shared" si="11"/>
        <v>0.53125</v>
      </c>
    </row>
    <row r="764" spans="5:6" x14ac:dyDescent="0.3">
      <c r="E764" s="54">
        <v>0.52916666666666701</v>
      </c>
      <c r="F764" s="56">
        <f t="shared" si="11"/>
        <v>0.53125</v>
      </c>
    </row>
    <row r="765" spans="5:6" x14ac:dyDescent="0.3">
      <c r="E765" s="54">
        <v>0.52986111111111101</v>
      </c>
      <c r="F765" s="56">
        <f t="shared" si="11"/>
        <v>0.53125</v>
      </c>
    </row>
    <row r="766" spans="5:6" x14ac:dyDescent="0.3">
      <c r="E766" s="54">
        <v>0.530555555555556</v>
      </c>
      <c r="F766" s="56">
        <f t="shared" si="11"/>
        <v>0.53125</v>
      </c>
    </row>
    <row r="767" spans="5:6" x14ac:dyDescent="0.3">
      <c r="E767" s="54">
        <v>0.53125</v>
      </c>
      <c r="F767" s="56">
        <f t="shared" si="11"/>
        <v>0.54166666666666663</v>
      </c>
    </row>
    <row r="768" spans="5:6" x14ac:dyDescent="0.3">
      <c r="E768" s="54">
        <v>0.531944444444444</v>
      </c>
      <c r="F768" s="56">
        <f t="shared" si="11"/>
        <v>0.54166666666666663</v>
      </c>
    </row>
    <row r="769" spans="5:6" x14ac:dyDescent="0.3">
      <c r="E769" s="54">
        <v>0.53263888888888899</v>
      </c>
      <c r="F769" s="56">
        <f t="shared" si="11"/>
        <v>0.54166666666666663</v>
      </c>
    </row>
    <row r="770" spans="5:6" x14ac:dyDescent="0.3">
      <c r="E770" s="54">
        <v>0.53333333333333299</v>
      </c>
      <c r="F770" s="56">
        <f t="shared" si="11"/>
        <v>0.54166666666666663</v>
      </c>
    </row>
    <row r="771" spans="5:6" x14ac:dyDescent="0.3">
      <c r="E771" s="54">
        <v>0.53402777777777799</v>
      </c>
      <c r="F771" s="56">
        <f t="shared" ref="F771:F834" si="12">ROUNDUP(E771*4*24+1/60/24,0)/4/24</f>
        <v>0.54166666666666663</v>
      </c>
    </row>
    <row r="772" spans="5:6" x14ac:dyDescent="0.3">
      <c r="E772" s="54">
        <v>0.53472222222222199</v>
      </c>
      <c r="F772" s="56">
        <f t="shared" si="12"/>
        <v>0.54166666666666663</v>
      </c>
    </row>
    <row r="773" spans="5:6" x14ac:dyDescent="0.3">
      <c r="E773" s="54">
        <v>0.53541666666666698</v>
      </c>
      <c r="F773" s="56">
        <f t="shared" si="12"/>
        <v>0.54166666666666663</v>
      </c>
    </row>
    <row r="774" spans="5:6" x14ac:dyDescent="0.3">
      <c r="E774" s="54">
        <v>0.53611111111111098</v>
      </c>
      <c r="F774" s="56">
        <f t="shared" si="12"/>
        <v>0.54166666666666663</v>
      </c>
    </row>
    <row r="775" spans="5:6" x14ac:dyDescent="0.3">
      <c r="E775" s="54">
        <v>0.53680555555555598</v>
      </c>
      <c r="F775" s="56">
        <f t="shared" si="12"/>
        <v>0.54166666666666663</v>
      </c>
    </row>
    <row r="776" spans="5:6" x14ac:dyDescent="0.3">
      <c r="E776" s="54">
        <v>0.53749999999999998</v>
      </c>
      <c r="F776" s="56">
        <f t="shared" si="12"/>
        <v>0.54166666666666663</v>
      </c>
    </row>
    <row r="777" spans="5:6" x14ac:dyDescent="0.3">
      <c r="E777" s="54">
        <v>0.53819444444444398</v>
      </c>
      <c r="F777" s="56">
        <f t="shared" si="12"/>
        <v>0.54166666666666663</v>
      </c>
    </row>
    <row r="778" spans="5:6" x14ac:dyDescent="0.3">
      <c r="E778" s="54">
        <v>0.53888888888888897</v>
      </c>
      <c r="F778" s="56">
        <f t="shared" si="12"/>
        <v>0.54166666666666663</v>
      </c>
    </row>
    <row r="779" spans="5:6" x14ac:dyDescent="0.3">
      <c r="E779" s="54">
        <v>0.53958333333333297</v>
      </c>
      <c r="F779" s="56">
        <f t="shared" si="12"/>
        <v>0.54166666666666663</v>
      </c>
    </row>
    <row r="780" spans="5:6" x14ac:dyDescent="0.3">
      <c r="E780" s="54">
        <v>0.54027777777777797</v>
      </c>
      <c r="F780" s="56">
        <f t="shared" si="12"/>
        <v>0.54166666666666663</v>
      </c>
    </row>
    <row r="781" spans="5:6" x14ac:dyDescent="0.3">
      <c r="E781" s="54">
        <v>0.54097222222222197</v>
      </c>
      <c r="F781" s="56">
        <f t="shared" si="12"/>
        <v>0.54166666666666663</v>
      </c>
    </row>
    <row r="782" spans="5:6" x14ac:dyDescent="0.3">
      <c r="E782" s="54">
        <v>0.54166666666666696</v>
      </c>
      <c r="F782" s="56">
        <f t="shared" si="12"/>
        <v>0.55208333333333337</v>
      </c>
    </row>
    <row r="783" spans="5:6" x14ac:dyDescent="0.3">
      <c r="E783" s="54">
        <v>0.54236111111111096</v>
      </c>
      <c r="F783" s="56">
        <f t="shared" si="12"/>
        <v>0.55208333333333337</v>
      </c>
    </row>
    <row r="784" spans="5:6" x14ac:dyDescent="0.3">
      <c r="E784" s="54">
        <v>0.54305555555555596</v>
      </c>
      <c r="F784" s="56">
        <f t="shared" si="12"/>
        <v>0.55208333333333337</v>
      </c>
    </row>
    <row r="785" spans="5:6" x14ac:dyDescent="0.3">
      <c r="E785" s="54">
        <v>0.54374999999999996</v>
      </c>
      <c r="F785" s="56">
        <f t="shared" si="12"/>
        <v>0.55208333333333337</v>
      </c>
    </row>
    <row r="786" spans="5:6" x14ac:dyDescent="0.3">
      <c r="E786" s="54">
        <v>0.54444444444444495</v>
      </c>
      <c r="F786" s="56">
        <f t="shared" si="12"/>
        <v>0.55208333333333337</v>
      </c>
    </row>
    <row r="787" spans="5:6" x14ac:dyDescent="0.3">
      <c r="E787" s="54">
        <v>0.54513888888888895</v>
      </c>
      <c r="F787" s="56">
        <f t="shared" si="12"/>
        <v>0.55208333333333337</v>
      </c>
    </row>
    <row r="788" spans="5:6" x14ac:dyDescent="0.3">
      <c r="E788" s="54">
        <v>0.54583333333333295</v>
      </c>
      <c r="F788" s="56">
        <f t="shared" si="12"/>
        <v>0.55208333333333337</v>
      </c>
    </row>
    <row r="789" spans="5:6" x14ac:dyDescent="0.3">
      <c r="E789" s="54">
        <v>0.54652777777777795</v>
      </c>
      <c r="F789" s="56">
        <f t="shared" si="12"/>
        <v>0.55208333333333337</v>
      </c>
    </row>
    <row r="790" spans="5:6" x14ac:dyDescent="0.3">
      <c r="E790" s="54">
        <v>0.54722222222222205</v>
      </c>
      <c r="F790" s="56">
        <f t="shared" si="12"/>
        <v>0.55208333333333337</v>
      </c>
    </row>
    <row r="791" spans="5:6" x14ac:dyDescent="0.3">
      <c r="E791" s="54">
        <v>0.54791666666666705</v>
      </c>
      <c r="F791" s="56">
        <f t="shared" si="12"/>
        <v>0.55208333333333337</v>
      </c>
    </row>
    <row r="792" spans="5:6" x14ac:dyDescent="0.3">
      <c r="E792" s="54">
        <v>0.54861111111111105</v>
      </c>
      <c r="F792" s="56">
        <f t="shared" si="12"/>
        <v>0.55208333333333337</v>
      </c>
    </row>
    <row r="793" spans="5:6" x14ac:dyDescent="0.3">
      <c r="E793" s="54">
        <v>0.54930555555555605</v>
      </c>
      <c r="F793" s="56">
        <f t="shared" si="12"/>
        <v>0.55208333333333337</v>
      </c>
    </row>
    <row r="794" spans="5:6" x14ac:dyDescent="0.3">
      <c r="E794" s="54">
        <v>0.55000000000000004</v>
      </c>
      <c r="F794" s="56">
        <f t="shared" si="12"/>
        <v>0.55208333333333337</v>
      </c>
    </row>
    <row r="795" spans="5:6" x14ac:dyDescent="0.3">
      <c r="E795" s="54">
        <v>0.55069444444444404</v>
      </c>
      <c r="F795" s="56">
        <f t="shared" si="12"/>
        <v>0.55208333333333337</v>
      </c>
    </row>
    <row r="796" spans="5:6" x14ac:dyDescent="0.3">
      <c r="E796" s="54">
        <v>0.55138888888888904</v>
      </c>
      <c r="F796" s="56">
        <f t="shared" si="12"/>
        <v>0.55208333333333337</v>
      </c>
    </row>
    <row r="797" spans="5:6" x14ac:dyDescent="0.3">
      <c r="E797" s="54">
        <v>0.55208333333333304</v>
      </c>
      <c r="F797" s="56">
        <f t="shared" si="12"/>
        <v>0.5625</v>
      </c>
    </row>
    <row r="798" spans="5:6" x14ac:dyDescent="0.3">
      <c r="E798" s="54">
        <v>0.55277777777777803</v>
      </c>
      <c r="F798" s="56">
        <f t="shared" si="12"/>
        <v>0.5625</v>
      </c>
    </row>
    <row r="799" spans="5:6" x14ac:dyDescent="0.3">
      <c r="E799" s="54">
        <v>0.55347222222222203</v>
      </c>
      <c r="F799" s="56">
        <f t="shared" si="12"/>
        <v>0.5625</v>
      </c>
    </row>
    <row r="800" spans="5:6" x14ac:dyDescent="0.3">
      <c r="E800" s="54">
        <v>0.55416666666666703</v>
      </c>
      <c r="F800" s="56">
        <f t="shared" si="12"/>
        <v>0.5625</v>
      </c>
    </row>
    <row r="801" spans="5:6" x14ac:dyDescent="0.3">
      <c r="E801" s="54">
        <v>0.55486111111111103</v>
      </c>
      <c r="F801" s="56">
        <f t="shared" si="12"/>
        <v>0.5625</v>
      </c>
    </row>
    <row r="802" spans="5:6" x14ac:dyDescent="0.3">
      <c r="E802" s="54">
        <v>0.55555555555555602</v>
      </c>
      <c r="F802" s="56">
        <f t="shared" si="12"/>
        <v>0.5625</v>
      </c>
    </row>
    <row r="803" spans="5:6" x14ac:dyDescent="0.3">
      <c r="E803" s="54">
        <v>0.55625000000000002</v>
      </c>
      <c r="F803" s="56">
        <f t="shared" si="12"/>
        <v>0.5625</v>
      </c>
    </row>
    <row r="804" spans="5:6" x14ac:dyDescent="0.3">
      <c r="E804" s="54">
        <v>0.55694444444444402</v>
      </c>
      <c r="F804" s="56">
        <f t="shared" si="12"/>
        <v>0.5625</v>
      </c>
    </row>
    <row r="805" spans="5:6" x14ac:dyDescent="0.3">
      <c r="E805" s="54">
        <v>0.55763888888888902</v>
      </c>
      <c r="F805" s="56">
        <f t="shared" si="12"/>
        <v>0.5625</v>
      </c>
    </row>
    <row r="806" spans="5:6" x14ac:dyDescent="0.3">
      <c r="E806" s="54">
        <v>0.55833333333333302</v>
      </c>
      <c r="F806" s="56">
        <f t="shared" si="12"/>
        <v>0.5625</v>
      </c>
    </row>
    <row r="807" spans="5:6" x14ac:dyDescent="0.3">
      <c r="E807" s="54">
        <v>0.55902777777777801</v>
      </c>
      <c r="F807" s="56">
        <f t="shared" si="12"/>
        <v>0.5625</v>
      </c>
    </row>
    <row r="808" spans="5:6" x14ac:dyDescent="0.3">
      <c r="E808" s="54">
        <v>0.55972222222222201</v>
      </c>
      <c r="F808" s="56">
        <f t="shared" si="12"/>
        <v>0.5625</v>
      </c>
    </row>
    <row r="809" spans="5:6" x14ac:dyDescent="0.3">
      <c r="E809" s="54">
        <v>0.56041666666666701</v>
      </c>
      <c r="F809" s="56">
        <f t="shared" si="12"/>
        <v>0.5625</v>
      </c>
    </row>
    <row r="810" spans="5:6" x14ac:dyDescent="0.3">
      <c r="E810" s="54">
        <v>0.56111111111111101</v>
      </c>
      <c r="F810" s="56">
        <f t="shared" si="12"/>
        <v>0.5625</v>
      </c>
    </row>
    <row r="811" spans="5:6" x14ac:dyDescent="0.3">
      <c r="E811" s="54">
        <v>0.561805555555556</v>
      </c>
      <c r="F811" s="56">
        <f t="shared" si="12"/>
        <v>0.5625</v>
      </c>
    </row>
    <row r="812" spans="5:6" x14ac:dyDescent="0.3">
      <c r="E812" s="54">
        <v>0.5625</v>
      </c>
      <c r="F812" s="56">
        <f t="shared" si="12"/>
        <v>0.57291666666666663</v>
      </c>
    </row>
    <row r="813" spans="5:6" x14ac:dyDescent="0.3">
      <c r="E813" s="54">
        <v>0.563194444444444</v>
      </c>
      <c r="F813" s="56">
        <f t="shared" si="12"/>
        <v>0.57291666666666663</v>
      </c>
    </row>
    <row r="814" spans="5:6" x14ac:dyDescent="0.3">
      <c r="E814" s="54">
        <v>0.56388888888888899</v>
      </c>
      <c r="F814" s="56">
        <f t="shared" si="12"/>
        <v>0.57291666666666663</v>
      </c>
    </row>
    <row r="815" spans="5:6" x14ac:dyDescent="0.3">
      <c r="E815" s="54">
        <v>0.56458333333333299</v>
      </c>
      <c r="F815" s="56">
        <f t="shared" si="12"/>
        <v>0.57291666666666663</v>
      </c>
    </row>
    <row r="816" spans="5:6" x14ac:dyDescent="0.3">
      <c r="E816" s="54">
        <v>0.56527777777777799</v>
      </c>
      <c r="F816" s="56">
        <f t="shared" si="12"/>
        <v>0.57291666666666663</v>
      </c>
    </row>
    <row r="817" spans="5:6" x14ac:dyDescent="0.3">
      <c r="E817" s="54">
        <v>0.56597222222222199</v>
      </c>
      <c r="F817" s="56">
        <f t="shared" si="12"/>
        <v>0.57291666666666663</v>
      </c>
    </row>
    <row r="818" spans="5:6" x14ac:dyDescent="0.3">
      <c r="E818" s="54">
        <v>0.56666666666666698</v>
      </c>
      <c r="F818" s="56">
        <f t="shared" si="12"/>
        <v>0.57291666666666663</v>
      </c>
    </row>
    <row r="819" spans="5:6" x14ac:dyDescent="0.3">
      <c r="E819" s="54">
        <v>0.56736111111111098</v>
      </c>
      <c r="F819" s="56">
        <f t="shared" si="12"/>
        <v>0.57291666666666663</v>
      </c>
    </row>
    <row r="820" spans="5:6" x14ac:dyDescent="0.3">
      <c r="E820" s="54">
        <v>0.56805555555555598</v>
      </c>
      <c r="F820" s="56">
        <f t="shared" si="12"/>
        <v>0.57291666666666663</v>
      </c>
    </row>
    <row r="821" spans="5:6" x14ac:dyDescent="0.3">
      <c r="E821" s="54">
        <v>0.56874999999999998</v>
      </c>
      <c r="F821" s="56">
        <f t="shared" si="12"/>
        <v>0.57291666666666663</v>
      </c>
    </row>
    <row r="822" spans="5:6" x14ac:dyDescent="0.3">
      <c r="E822" s="54">
        <v>0.56944444444444398</v>
      </c>
      <c r="F822" s="56">
        <f t="shared" si="12"/>
        <v>0.57291666666666663</v>
      </c>
    </row>
    <row r="823" spans="5:6" x14ac:dyDescent="0.3">
      <c r="E823" s="54">
        <v>0.57013888888888897</v>
      </c>
      <c r="F823" s="56">
        <f t="shared" si="12"/>
        <v>0.57291666666666663</v>
      </c>
    </row>
    <row r="824" spans="5:6" x14ac:dyDescent="0.3">
      <c r="E824" s="54">
        <v>0.57083333333333297</v>
      </c>
      <c r="F824" s="56">
        <f t="shared" si="12"/>
        <v>0.57291666666666663</v>
      </c>
    </row>
    <row r="825" spans="5:6" x14ac:dyDescent="0.3">
      <c r="E825" s="54">
        <v>0.57152777777777797</v>
      </c>
      <c r="F825" s="56">
        <f t="shared" si="12"/>
        <v>0.57291666666666663</v>
      </c>
    </row>
    <row r="826" spans="5:6" x14ac:dyDescent="0.3">
      <c r="E826" s="54">
        <v>0.57222222222222197</v>
      </c>
      <c r="F826" s="56">
        <f t="shared" si="12"/>
        <v>0.57291666666666663</v>
      </c>
    </row>
    <row r="827" spans="5:6" x14ac:dyDescent="0.3">
      <c r="E827" s="54">
        <v>0.57291666666666696</v>
      </c>
      <c r="F827" s="56">
        <f t="shared" si="12"/>
        <v>0.58333333333333337</v>
      </c>
    </row>
    <row r="828" spans="5:6" x14ac:dyDescent="0.3">
      <c r="E828" s="54">
        <v>0.57361111111111096</v>
      </c>
      <c r="F828" s="56">
        <f t="shared" si="12"/>
        <v>0.58333333333333337</v>
      </c>
    </row>
    <row r="829" spans="5:6" x14ac:dyDescent="0.3">
      <c r="E829" s="54">
        <v>0.57430555555555596</v>
      </c>
      <c r="F829" s="56">
        <f t="shared" si="12"/>
        <v>0.58333333333333337</v>
      </c>
    </row>
    <row r="830" spans="5:6" x14ac:dyDescent="0.3">
      <c r="E830" s="54">
        <v>0.57499999999999996</v>
      </c>
      <c r="F830" s="56">
        <f t="shared" si="12"/>
        <v>0.58333333333333337</v>
      </c>
    </row>
    <row r="831" spans="5:6" x14ac:dyDescent="0.3">
      <c r="E831" s="54">
        <v>0.57569444444444495</v>
      </c>
      <c r="F831" s="56">
        <f t="shared" si="12"/>
        <v>0.58333333333333337</v>
      </c>
    </row>
    <row r="832" spans="5:6" x14ac:dyDescent="0.3">
      <c r="E832" s="54">
        <v>0.57638888888888895</v>
      </c>
      <c r="F832" s="56">
        <f t="shared" si="12"/>
        <v>0.58333333333333337</v>
      </c>
    </row>
    <row r="833" spans="5:6" x14ac:dyDescent="0.3">
      <c r="E833" s="54">
        <v>0.57708333333333295</v>
      </c>
      <c r="F833" s="56">
        <f t="shared" si="12"/>
        <v>0.58333333333333337</v>
      </c>
    </row>
    <row r="834" spans="5:6" x14ac:dyDescent="0.3">
      <c r="E834" s="54">
        <v>0.57777777777777795</v>
      </c>
      <c r="F834" s="56">
        <f t="shared" si="12"/>
        <v>0.58333333333333337</v>
      </c>
    </row>
    <row r="835" spans="5:6" x14ac:dyDescent="0.3">
      <c r="E835" s="54">
        <v>0.57847222222222205</v>
      </c>
      <c r="F835" s="56">
        <f t="shared" ref="F835:F898" si="13">ROUNDUP(E835*4*24+1/60/24,0)/4/24</f>
        <v>0.58333333333333337</v>
      </c>
    </row>
    <row r="836" spans="5:6" x14ac:dyDescent="0.3">
      <c r="E836" s="54">
        <v>0.57916666666666705</v>
      </c>
      <c r="F836" s="56">
        <f t="shared" si="13"/>
        <v>0.58333333333333337</v>
      </c>
    </row>
    <row r="837" spans="5:6" x14ac:dyDescent="0.3">
      <c r="E837" s="54">
        <v>0.57986111111111105</v>
      </c>
      <c r="F837" s="56">
        <f t="shared" si="13"/>
        <v>0.58333333333333337</v>
      </c>
    </row>
    <row r="838" spans="5:6" x14ac:dyDescent="0.3">
      <c r="E838" s="54">
        <v>0.58055555555555605</v>
      </c>
      <c r="F838" s="56">
        <f t="shared" si="13"/>
        <v>0.58333333333333337</v>
      </c>
    </row>
    <row r="839" spans="5:6" x14ac:dyDescent="0.3">
      <c r="E839" s="54">
        <v>0.58125000000000004</v>
      </c>
      <c r="F839" s="56">
        <f t="shared" si="13"/>
        <v>0.58333333333333337</v>
      </c>
    </row>
    <row r="840" spans="5:6" x14ac:dyDescent="0.3">
      <c r="E840" s="54">
        <v>0.58194444444444404</v>
      </c>
      <c r="F840" s="56">
        <f t="shared" si="13"/>
        <v>0.58333333333333337</v>
      </c>
    </row>
    <row r="841" spans="5:6" x14ac:dyDescent="0.3">
      <c r="E841" s="54">
        <v>0.58263888888888904</v>
      </c>
      <c r="F841" s="56">
        <f t="shared" si="13"/>
        <v>0.58333333333333337</v>
      </c>
    </row>
    <row r="842" spans="5:6" x14ac:dyDescent="0.3">
      <c r="E842" s="54">
        <v>0.58333333333333304</v>
      </c>
      <c r="F842" s="56">
        <f t="shared" si="13"/>
        <v>0.59375</v>
      </c>
    </row>
    <row r="843" spans="5:6" x14ac:dyDescent="0.3">
      <c r="E843" s="54">
        <v>0.58402777777777803</v>
      </c>
      <c r="F843" s="56">
        <f t="shared" si="13"/>
        <v>0.59375</v>
      </c>
    </row>
    <row r="844" spans="5:6" x14ac:dyDescent="0.3">
      <c r="E844" s="54">
        <v>0.58472222222222203</v>
      </c>
      <c r="F844" s="56">
        <f t="shared" si="13"/>
        <v>0.59375</v>
      </c>
    </row>
    <row r="845" spans="5:6" x14ac:dyDescent="0.3">
      <c r="E845" s="54">
        <v>0.58541666666666703</v>
      </c>
      <c r="F845" s="56">
        <f t="shared" si="13"/>
        <v>0.59375</v>
      </c>
    </row>
    <row r="846" spans="5:6" x14ac:dyDescent="0.3">
      <c r="E846" s="54">
        <v>0.58611111111111103</v>
      </c>
      <c r="F846" s="56">
        <f t="shared" si="13"/>
        <v>0.59375</v>
      </c>
    </row>
    <row r="847" spans="5:6" x14ac:dyDescent="0.3">
      <c r="E847" s="54">
        <v>0.58680555555555602</v>
      </c>
      <c r="F847" s="56">
        <f t="shared" si="13"/>
        <v>0.59375</v>
      </c>
    </row>
    <row r="848" spans="5:6" x14ac:dyDescent="0.3">
      <c r="E848" s="54">
        <v>0.58750000000000002</v>
      </c>
      <c r="F848" s="56">
        <f t="shared" si="13"/>
        <v>0.59375</v>
      </c>
    </row>
    <row r="849" spans="5:6" x14ac:dyDescent="0.3">
      <c r="E849" s="54">
        <v>0.58819444444444402</v>
      </c>
      <c r="F849" s="56">
        <f t="shared" si="13"/>
        <v>0.59375</v>
      </c>
    </row>
    <row r="850" spans="5:6" x14ac:dyDescent="0.3">
      <c r="E850" s="54">
        <v>0.58888888888888902</v>
      </c>
      <c r="F850" s="56">
        <f t="shared" si="13"/>
        <v>0.59375</v>
      </c>
    </row>
    <row r="851" spans="5:6" x14ac:dyDescent="0.3">
      <c r="E851" s="54">
        <v>0.58958333333333302</v>
      </c>
      <c r="F851" s="56">
        <f t="shared" si="13"/>
        <v>0.59375</v>
      </c>
    </row>
    <row r="852" spans="5:6" x14ac:dyDescent="0.3">
      <c r="E852" s="54">
        <v>0.59027777777777801</v>
      </c>
      <c r="F852" s="56">
        <f t="shared" si="13"/>
        <v>0.59375</v>
      </c>
    </row>
    <row r="853" spans="5:6" x14ac:dyDescent="0.3">
      <c r="E853" s="54">
        <v>0.59097222222222201</v>
      </c>
      <c r="F853" s="56">
        <f t="shared" si="13"/>
        <v>0.59375</v>
      </c>
    </row>
    <row r="854" spans="5:6" x14ac:dyDescent="0.3">
      <c r="E854" s="54">
        <v>0.59166666666666701</v>
      </c>
      <c r="F854" s="56">
        <f t="shared" si="13"/>
        <v>0.59375</v>
      </c>
    </row>
    <row r="855" spans="5:6" x14ac:dyDescent="0.3">
      <c r="E855" s="54">
        <v>0.59236111111111101</v>
      </c>
      <c r="F855" s="56">
        <f t="shared" si="13"/>
        <v>0.59375</v>
      </c>
    </row>
    <row r="856" spans="5:6" x14ac:dyDescent="0.3">
      <c r="E856" s="54">
        <v>0.593055555555556</v>
      </c>
      <c r="F856" s="56">
        <f t="shared" si="13"/>
        <v>0.59375</v>
      </c>
    </row>
    <row r="857" spans="5:6" x14ac:dyDescent="0.3">
      <c r="E857" s="54">
        <v>0.59375</v>
      </c>
      <c r="F857" s="56">
        <f t="shared" si="13"/>
        <v>0.60416666666666663</v>
      </c>
    </row>
    <row r="858" spans="5:6" x14ac:dyDescent="0.3">
      <c r="E858" s="54">
        <v>0.594444444444444</v>
      </c>
      <c r="F858" s="56">
        <f t="shared" si="13"/>
        <v>0.60416666666666663</v>
      </c>
    </row>
    <row r="859" spans="5:6" x14ac:dyDescent="0.3">
      <c r="E859" s="54">
        <v>0.59513888888888899</v>
      </c>
      <c r="F859" s="56">
        <f t="shared" si="13"/>
        <v>0.60416666666666663</v>
      </c>
    </row>
    <row r="860" spans="5:6" x14ac:dyDescent="0.3">
      <c r="E860" s="54">
        <v>0.59583333333333299</v>
      </c>
      <c r="F860" s="56">
        <f t="shared" si="13"/>
        <v>0.60416666666666663</v>
      </c>
    </row>
    <row r="861" spans="5:6" x14ac:dyDescent="0.3">
      <c r="E861" s="54">
        <v>0.59652777777777799</v>
      </c>
      <c r="F861" s="56">
        <f t="shared" si="13"/>
        <v>0.60416666666666663</v>
      </c>
    </row>
    <row r="862" spans="5:6" x14ac:dyDescent="0.3">
      <c r="E862" s="54">
        <v>0.59722222222222199</v>
      </c>
      <c r="F862" s="56">
        <f t="shared" si="13"/>
        <v>0.60416666666666663</v>
      </c>
    </row>
    <row r="863" spans="5:6" x14ac:dyDescent="0.3">
      <c r="E863" s="54">
        <v>0.59791666666666698</v>
      </c>
      <c r="F863" s="56">
        <f t="shared" si="13"/>
        <v>0.60416666666666663</v>
      </c>
    </row>
    <row r="864" spans="5:6" x14ac:dyDescent="0.3">
      <c r="E864" s="54">
        <v>0.59861111111111098</v>
      </c>
      <c r="F864" s="56">
        <f t="shared" si="13"/>
        <v>0.60416666666666663</v>
      </c>
    </row>
    <row r="865" spans="5:6" x14ac:dyDescent="0.3">
      <c r="E865" s="54">
        <v>0.59930555555555598</v>
      </c>
      <c r="F865" s="56">
        <f t="shared" si="13"/>
        <v>0.60416666666666663</v>
      </c>
    </row>
    <row r="866" spans="5:6" x14ac:dyDescent="0.3">
      <c r="E866" s="54">
        <v>0.6</v>
      </c>
      <c r="F866" s="56">
        <f t="shared" si="13"/>
        <v>0.60416666666666663</v>
      </c>
    </row>
    <row r="867" spans="5:6" x14ac:dyDescent="0.3">
      <c r="E867" s="54">
        <v>0.60069444444444398</v>
      </c>
      <c r="F867" s="56">
        <f t="shared" si="13"/>
        <v>0.60416666666666663</v>
      </c>
    </row>
    <row r="868" spans="5:6" x14ac:dyDescent="0.3">
      <c r="E868" s="54">
        <v>0.60138888888888897</v>
      </c>
      <c r="F868" s="56">
        <f t="shared" si="13"/>
        <v>0.60416666666666663</v>
      </c>
    </row>
    <row r="869" spans="5:6" x14ac:dyDescent="0.3">
      <c r="E869" s="54">
        <v>0.60208333333333297</v>
      </c>
      <c r="F869" s="56">
        <f t="shared" si="13"/>
        <v>0.60416666666666663</v>
      </c>
    </row>
    <row r="870" spans="5:6" x14ac:dyDescent="0.3">
      <c r="E870" s="54">
        <v>0.60277777777777797</v>
      </c>
      <c r="F870" s="56">
        <f t="shared" si="13"/>
        <v>0.60416666666666663</v>
      </c>
    </row>
    <row r="871" spans="5:6" x14ac:dyDescent="0.3">
      <c r="E871" s="54">
        <v>0.60347222222222197</v>
      </c>
      <c r="F871" s="56">
        <f t="shared" si="13"/>
        <v>0.60416666666666663</v>
      </c>
    </row>
    <row r="872" spans="5:6" x14ac:dyDescent="0.3">
      <c r="E872" s="54">
        <v>0.60416666666666696</v>
      </c>
      <c r="F872" s="56">
        <f t="shared" si="13"/>
        <v>0.61458333333333337</v>
      </c>
    </row>
    <row r="873" spans="5:6" x14ac:dyDescent="0.3">
      <c r="E873" s="54">
        <v>0.60486111111111096</v>
      </c>
      <c r="F873" s="56">
        <f t="shared" si="13"/>
        <v>0.61458333333333337</v>
      </c>
    </row>
    <row r="874" spans="5:6" x14ac:dyDescent="0.3">
      <c r="E874" s="54">
        <v>0.60555555555555596</v>
      </c>
      <c r="F874" s="56">
        <f t="shared" si="13"/>
        <v>0.61458333333333337</v>
      </c>
    </row>
    <row r="875" spans="5:6" x14ac:dyDescent="0.3">
      <c r="E875" s="54">
        <v>0.60624999999999996</v>
      </c>
      <c r="F875" s="56">
        <f t="shared" si="13"/>
        <v>0.61458333333333337</v>
      </c>
    </row>
    <row r="876" spans="5:6" x14ac:dyDescent="0.3">
      <c r="E876" s="54">
        <v>0.60694444444444495</v>
      </c>
      <c r="F876" s="56">
        <f t="shared" si="13"/>
        <v>0.61458333333333337</v>
      </c>
    </row>
    <row r="877" spans="5:6" x14ac:dyDescent="0.3">
      <c r="E877" s="54">
        <v>0.60763888888888895</v>
      </c>
      <c r="F877" s="56">
        <f t="shared" si="13"/>
        <v>0.61458333333333337</v>
      </c>
    </row>
    <row r="878" spans="5:6" x14ac:dyDescent="0.3">
      <c r="E878" s="54">
        <v>0.60833333333333295</v>
      </c>
      <c r="F878" s="56">
        <f t="shared" si="13"/>
        <v>0.61458333333333337</v>
      </c>
    </row>
    <row r="879" spans="5:6" x14ac:dyDescent="0.3">
      <c r="E879" s="54">
        <v>0.60902777777777795</v>
      </c>
      <c r="F879" s="56">
        <f t="shared" si="13"/>
        <v>0.61458333333333337</v>
      </c>
    </row>
    <row r="880" spans="5:6" x14ac:dyDescent="0.3">
      <c r="E880" s="54">
        <v>0.60972222222222205</v>
      </c>
      <c r="F880" s="56">
        <f t="shared" si="13"/>
        <v>0.61458333333333337</v>
      </c>
    </row>
    <row r="881" spans="5:6" x14ac:dyDescent="0.3">
      <c r="E881" s="54">
        <v>0.61041666666666705</v>
      </c>
      <c r="F881" s="56">
        <f t="shared" si="13"/>
        <v>0.61458333333333337</v>
      </c>
    </row>
    <row r="882" spans="5:6" x14ac:dyDescent="0.3">
      <c r="E882" s="54">
        <v>0.61111111111111105</v>
      </c>
      <c r="F882" s="56">
        <f t="shared" si="13"/>
        <v>0.61458333333333337</v>
      </c>
    </row>
    <row r="883" spans="5:6" x14ac:dyDescent="0.3">
      <c r="E883" s="54">
        <v>0.61180555555555605</v>
      </c>
      <c r="F883" s="56">
        <f t="shared" si="13"/>
        <v>0.61458333333333337</v>
      </c>
    </row>
    <row r="884" spans="5:6" x14ac:dyDescent="0.3">
      <c r="E884" s="54">
        <v>0.61250000000000004</v>
      </c>
      <c r="F884" s="56">
        <f t="shared" si="13"/>
        <v>0.61458333333333337</v>
      </c>
    </row>
    <row r="885" spans="5:6" x14ac:dyDescent="0.3">
      <c r="E885" s="54">
        <v>0.61319444444444404</v>
      </c>
      <c r="F885" s="56">
        <f t="shared" si="13"/>
        <v>0.61458333333333337</v>
      </c>
    </row>
    <row r="886" spans="5:6" x14ac:dyDescent="0.3">
      <c r="E886" s="54">
        <v>0.61388888888888904</v>
      </c>
      <c r="F886" s="56">
        <f t="shared" si="13"/>
        <v>0.61458333333333337</v>
      </c>
    </row>
    <row r="887" spans="5:6" x14ac:dyDescent="0.3">
      <c r="E887" s="54">
        <v>0.61458333333333304</v>
      </c>
      <c r="F887" s="56">
        <f t="shared" si="13"/>
        <v>0.625</v>
      </c>
    </row>
    <row r="888" spans="5:6" x14ac:dyDescent="0.3">
      <c r="E888" s="54">
        <v>0.61527777777777803</v>
      </c>
      <c r="F888" s="56">
        <f t="shared" si="13"/>
        <v>0.625</v>
      </c>
    </row>
    <row r="889" spans="5:6" x14ac:dyDescent="0.3">
      <c r="E889" s="54">
        <v>0.61597222222222203</v>
      </c>
      <c r="F889" s="56">
        <f t="shared" si="13"/>
        <v>0.625</v>
      </c>
    </row>
    <row r="890" spans="5:6" x14ac:dyDescent="0.3">
      <c r="E890" s="54">
        <v>0.61666666666666703</v>
      </c>
      <c r="F890" s="56">
        <f t="shared" si="13"/>
        <v>0.625</v>
      </c>
    </row>
    <row r="891" spans="5:6" x14ac:dyDescent="0.3">
      <c r="E891" s="54">
        <v>0.61736111111111103</v>
      </c>
      <c r="F891" s="56">
        <f t="shared" si="13"/>
        <v>0.625</v>
      </c>
    </row>
    <row r="892" spans="5:6" x14ac:dyDescent="0.3">
      <c r="E892" s="54">
        <v>0.61805555555555602</v>
      </c>
      <c r="F892" s="56">
        <f t="shared" si="13"/>
        <v>0.625</v>
      </c>
    </row>
    <row r="893" spans="5:6" x14ac:dyDescent="0.3">
      <c r="E893" s="54">
        <v>0.61875000000000002</v>
      </c>
      <c r="F893" s="56">
        <f t="shared" si="13"/>
        <v>0.625</v>
      </c>
    </row>
    <row r="894" spans="5:6" x14ac:dyDescent="0.3">
      <c r="E894" s="54">
        <v>0.61944444444444402</v>
      </c>
      <c r="F894" s="56">
        <f t="shared" si="13"/>
        <v>0.625</v>
      </c>
    </row>
    <row r="895" spans="5:6" x14ac:dyDescent="0.3">
      <c r="E895" s="54">
        <v>0.62013888888888902</v>
      </c>
      <c r="F895" s="56">
        <f t="shared" si="13"/>
        <v>0.625</v>
      </c>
    </row>
    <row r="896" spans="5:6" x14ac:dyDescent="0.3">
      <c r="E896" s="54">
        <v>0.62083333333333302</v>
      </c>
      <c r="F896" s="56">
        <f t="shared" si="13"/>
        <v>0.625</v>
      </c>
    </row>
    <row r="897" spans="5:6" x14ac:dyDescent="0.3">
      <c r="E897" s="54">
        <v>0.62152777777777801</v>
      </c>
      <c r="F897" s="56">
        <f t="shared" si="13"/>
        <v>0.625</v>
      </c>
    </row>
    <row r="898" spans="5:6" x14ac:dyDescent="0.3">
      <c r="E898" s="54">
        <v>0.62222222222222201</v>
      </c>
      <c r="F898" s="56">
        <f t="shared" si="13"/>
        <v>0.625</v>
      </c>
    </row>
    <row r="899" spans="5:6" x14ac:dyDescent="0.3">
      <c r="E899" s="54">
        <v>0.62291666666666701</v>
      </c>
      <c r="F899" s="56">
        <f t="shared" ref="F899:F962" si="14">ROUNDUP(E899*4*24+1/60/24,0)/4/24</f>
        <v>0.625</v>
      </c>
    </row>
    <row r="900" spans="5:6" x14ac:dyDescent="0.3">
      <c r="E900" s="54">
        <v>0.62361111111111101</v>
      </c>
      <c r="F900" s="56">
        <f t="shared" si="14"/>
        <v>0.625</v>
      </c>
    </row>
    <row r="901" spans="5:6" x14ac:dyDescent="0.3">
      <c r="E901" s="54">
        <v>0.624305555555556</v>
      </c>
      <c r="F901" s="56">
        <f t="shared" si="14"/>
        <v>0.625</v>
      </c>
    </row>
    <row r="902" spans="5:6" x14ac:dyDescent="0.3">
      <c r="E902" s="54">
        <v>0.625</v>
      </c>
      <c r="F902" s="56">
        <f t="shared" si="14"/>
        <v>0.63541666666666663</v>
      </c>
    </row>
    <row r="903" spans="5:6" x14ac:dyDescent="0.3">
      <c r="E903" s="54">
        <v>0.625694444444444</v>
      </c>
      <c r="F903" s="56">
        <f t="shared" si="14"/>
        <v>0.63541666666666663</v>
      </c>
    </row>
    <row r="904" spans="5:6" x14ac:dyDescent="0.3">
      <c r="E904" s="54">
        <v>0.62638888888888899</v>
      </c>
      <c r="F904" s="56">
        <f t="shared" si="14"/>
        <v>0.63541666666666663</v>
      </c>
    </row>
    <row r="905" spans="5:6" x14ac:dyDescent="0.3">
      <c r="E905" s="54">
        <v>0.62708333333333299</v>
      </c>
      <c r="F905" s="56">
        <f t="shared" si="14"/>
        <v>0.63541666666666663</v>
      </c>
    </row>
    <row r="906" spans="5:6" x14ac:dyDescent="0.3">
      <c r="E906" s="54">
        <v>0.62777777777777799</v>
      </c>
      <c r="F906" s="56">
        <f t="shared" si="14"/>
        <v>0.63541666666666663</v>
      </c>
    </row>
    <row r="907" spans="5:6" x14ac:dyDescent="0.3">
      <c r="E907" s="54">
        <v>0.62847222222222199</v>
      </c>
      <c r="F907" s="56">
        <f t="shared" si="14"/>
        <v>0.63541666666666663</v>
      </c>
    </row>
    <row r="908" spans="5:6" x14ac:dyDescent="0.3">
      <c r="E908" s="54">
        <v>0.62916666666666698</v>
      </c>
      <c r="F908" s="56">
        <f t="shared" si="14"/>
        <v>0.63541666666666663</v>
      </c>
    </row>
    <row r="909" spans="5:6" x14ac:dyDescent="0.3">
      <c r="E909" s="54">
        <v>0.62986111111111098</v>
      </c>
      <c r="F909" s="56">
        <f t="shared" si="14"/>
        <v>0.63541666666666663</v>
      </c>
    </row>
    <row r="910" spans="5:6" x14ac:dyDescent="0.3">
      <c r="E910" s="54">
        <v>0.63055555555555598</v>
      </c>
      <c r="F910" s="56">
        <f t="shared" si="14"/>
        <v>0.63541666666666663</v>
      </c>
    </row>
    <row r="911" spans="5:6" x14ac:dyDescent="0.3">
      <c r="E911" s="54">
        <v>0.63124999999999998</v>
      </c>
      <c r="F911" s="56">
        <f t="shared" si="14"/>
        <v>0.63541666666666663</v>
      </c>
    </row>
    <row r="912" spans="5:6" x14ac:dyDescent="0.3">
      <c r="E912" s="54">
        <v>0.63194444444444398</v>
      </c>
      <c r="F912" s="56">
        <f t="shared" si="14"/>
        <v>0.63541666666666663</v>
      </c>
    </row>
    <row r="913" spans="5:6" x14ac:dyDescent="0.3">
      <c r="E913" s="54">
        <v>0.63263888888888897</v>
      </c>
      <c r="F913" s="56">
        <f t="shared" si="14"/>
        <v>0.63541666666666663</v>
      </c>
    </row>
    <row r="914" spans="5:6" x14ac:dyDescent="0.3">
      <c r="E914" s="54">
        <v>0.63333333333333297</v>
      </c>
      <c r="F914" s="56">
        <f t="shared" si="14"/>
        <v>0.63541666666666663</v>
      </c>
    </row>
    <row r="915" spans="5:6" x14ac:dyDescent="0.3">
      <c r="E915" s="54">
        <v>0.63402777777777797</v>
      </c>
      <c r="F915" s="56">
        <f t="shared" si="14"/>
        <v>0.63541666666666663</v>
      </c>
    </row>
    <row r="916" spans="5:6" x14ac:dyDescent="0.3">
      <c r="E916" s="54">
        <v>0.63472222222222197</v>
      </c>
      <c r="F916" s="56">
        <f t="shared" si="14"/>
        <v>0.63541666666666663</v>
      </c>
    </row>
    <row r="917" spans="5:6" x14ac:dyDescent="0.3">
      <c r="E917" s="54">
        <v>0.63541666666666696</v>
      </c>
      <c r="F917" s="56">
        <f t="shared" si="14"/>
        <v>0.64583333333333337</v>
      </c>
    </row>
    <row r="918" spans="5:6" x14ac:dyDescent="0.3">
      <c r="E918" s="54">
        <v>0.63611111111111096</v>
      </c>
      <c r="F918" s="56">
        <f t="shared" si="14"/>
        <v>0.64583333333333337</v>
      </c>
    </row>
    <row r="919" spans="5:6" x14ac:dyDescent="0.3">
      <c r="E919" s="54">
        <v>0.63680555555555596</v>
      </c>
      <c r="F919" s="56">
        <f t="shared" si="14"/>
        <v>0.64583333333333337</v>
      </c>
    </row>
    <row r="920" spans="5:6" x14ac:dyDescent="0.3">
      <c r="E920" s="54">
        <v>0.63749999999999996</v>
      </c>
      <c r="F920" s="56">
        <f t="shared" si="14"/>
        <v>0.64583333333333337</v>
      </c>
    </row>
    <row r="921" spans="5:6" x14ac:dyDescent="0.3">
      <c r="E921" s="54">
        <v>0.63819444444444495</v>
      </c>
      <c r="F921" s="56">
        <f t="shared" si="14"/>
        <v>0.64583333333333337</v>
      </c>
    </row>
    <row r="922" spans="5:6" x14ac:dyDescent="0.3">
      <c r="E922" s="54">
        <v>0.63888888888888895</v>
      </c>
      <c r="F922" s="56">
        <f t="shared" si="14"/>
        <v>0.64583333333333337</v>
      </c>
    </row>
    <row r="923" spans="5:6" x14ac:dyDescent="0.3">
      <c r="E923" s="54">
        <v>0.63958333333333295</v>
      </c>
      <c r="F923" s="56">
        <f t="shared" si="14"/>
        <v>0.64583333333333337</v>
      </c>
    </row>
    <row r="924" spans="5:6" x14ac:dyDescent="0.3">
      <c r="E924" s="54">
        <v>0.64027777777777795</v>
      </c>
      <c r="F924" s="56">
        <f t="shared" si="14"/>
        <v>0.64583333333333337</v>
      </c>
    </row>
    <row r="925" spans="5:6" x14ac:dyDescent="0.3">
      <c r="E925" s="54">
        <v>0.64097222222222205</v>
      </c>
      <c r="F925" s="56">
        <f t="shared" si="14"/>
        <v>0.64583333333333337</v>
      </c>
    </row>
    <row r="926" spans="5:6" x14ac:dyDescent="0.3">
      <c r="E926" s="54">
        <v>0.64166666666666705</v>
      </c>
      <c r="F926" s="56">
        <f t="shared" si="14"/>
        <v>0.64583333333333337</v>
      </c>
    </row>
    <row r="927" spans="5:6" x14ac:dyDescent="0.3">
      <c r="E927" s="54">
        <v>0.64236111111111105</v>
      </c>
      <c r="F927" s="56">
        <f t="shared" si="14"/>
        <v>0.64583333333333337</v>
      </c>
    </row>
    <row r="928" spans="5:6" x14ac:dyDescent="0.3">
      <c r="E928" s="54">
        <v>0.64305555555555605</v>
      </c>
      <c r="F928" s="56">
        <f t="shared" si="14"/>
        <v>0.64583333333333337</v>
      </c>
    </row>
    <row r="929" spans="5:6" x14ac:dyDescent="0.3">
      <c r="E929" s="54">
        <v>0.64375000000000004</v>
      </c>
      <c r="F929" s="56">
        <f t="shared" si="14"/>
        <v>0.64583333333333337</v>
      </c>
    </row>
    <row r="930" spans="5:6" x14ac:dyDescent="0.3">
      <c r="E930" s="54">
        <v>0.64444444444444404</v>
      </c>
      <c r="F930" s="56">
        <f t="shared" si="14"/>
        <v>0.64583333333333337</v>
      </c>
    </row>
    <row r="931" spans="5:6" x14ac:dyDescent="0.3">
      <c r="E931" s="54">
        <v>0.64513888888888904</v>
      </c>
      <c r="F931" s="56">
        <f t="shared" si="14"/>
        <v>0.64583333333333337</v>
      </c>
    </row>
    <row r="932" spans="5:6" x14ac:dyDescent="0.3">
      <c r="E932" s="54">
        <v>0.64583333333333304</v>
      </c>
      <c r="F932" s="56">
        <f t="shared" si="14"/>
        <v>0.65625</v>
      </c>
    </row>
    <row r="933" spans="5:6" x14ac:dyDescent="0.3">
      <c r="E933" s="54">
        <v>0.64652777777777803</v>
      </c>
      <c r="F933" s="56">
        <f t="shared" si="14"/>
        <v>0.65625</v>
      </c>
    </row>
    <row r="934" spans="5:6" x14ac:dyDescent="0.3">
      <c r="E934" s="54">
        <v>0.64722222222222203</v>
      </c>
      <c r="F934" s="56">
        <f t="shared" si="14"/>
        <v>0.65625</v>
      </c>
    </row>
    <row r="935" spans="5:6" x14ac:dyDescent="0.3">
      <c r="E935" s="54">
        <v>0.64791666666666703</v>
      </c>
      <c r="F935" s="56">
        <f t="shared" si="14"/>
        <v>0.65625</v>
      </c>
    </row>
    <row r="936" spans="5:6" x14ac:dyDescent="0.3">
      <c r="E936" s="54">
        <v>0.64861111111111103</v>
      </c>
      <c r="F936" s="56">
        <f t="shared" si="14"/>
        <v>0.65625</v>
      </c>
    </row>
    <row r="937" spans="5:6" x14ac:dyDescent="0.3">
      <c r="E937" s="54">
        <v>0.64930555555555602</v>
      </c>
      <c r="F937" s="56">
        <f t="shared" si="14"/>
        <v>0.65625</v>
      </c>
    </row>
    <row r="938" spans="5:6" x14ac:dyDescent="0.3">
      <c r="E938" s="54">
        <v>0.65</v>
      </c>
      <c r="F938" s="56">
        <f t="shared" si="14"/>
        <v>0.65625</v>
      </c>
    </row>
    <row r="939" spans="5:6" x14ac:dyDescent="0.3">
      <c r="E939" s="54">
        <v>0.65069444444444402</v>
      </c>
      <c r="F939" s="56">
        <f t="shared" si="14"/>
        <v>0.65625</v>
      </c>
    </row>
    <row r="940" spans="5:6" x14ac:dyDescent="0.3">
      <c r="E940" s="54">
        <v>0.65138888888888902</v>
      </c>
      <c r="F940" s="56">
        <f t="shared" si="14"/>
        <v>0.65625</v>
      </c>
    </row>
    <row r="941" spans="5:6" x14ac:dyDescent="0.3">
      <c r="E941" s="54">
        <v>0.65208333333333302</v>
      </c>
      <c r="F941" s="56">
        <f t="shared" si="14"/>
        <v>0.65625</v>
      </c>
    </row>
    <row r="942" spans="5:6" x14ac:dyDescent="0.3">
      <c r="E942" s="54">
        <v>0.65277777777777801</v>
      </c>
      <c r="F942" s="56">
        <f t="shared" si="14"/>
        <v>0.65625</v>
      </c>
    </row>
    <row r="943" spans="5:6" x14ac:dyDescent="0.3">
      <c r="E943" s="54">
        <v>0.65347222222222201</v>
      </c>
      <c r="F943" s="56">
        <f t="shared" si="14"/>
        <v>0.65625</v>
      </c>
    </row>
    <row r="944" spans="5:6" x14ac:dyDescent="0.3">
      <c r="E944" s="54">
        <v>0.65416666666666701</v>
      </c>
      <c r="F944" s="56">
        <f t="shared" si="14"/>
        <v>0.65625</v>
      </c>
    </row>
    <row r="945" spans="5:6" x14ac:dyDescent="0.3">
      <c r="E945" s="54">
        <v>0.65486111111111101</v>
      </c>
      <c r="F945" s="56">
        <f t="shared" si="14"/>
        <v>0.65625</v>
      </c>
    </row>
    <row r="946" spans="5:6" x14ac:dyDescent="0.3">
      <c r="E946" s="54">
        <v>0.655555555555556</v>
      </c>
      <c r="F946" s="56">
        <f t="shared" si="14"/>
        <v>0.65625</v>
      </c>
    </row>
    <row r="947" spans="5:6" x14ac:dyDescent="0.3">
      <c r="E947" s="54">
        <v>0.65625</v>
      </c>
      <c r="F947" s="56">
        <f t="shared" si="14"/>
        <v>0.66666666666666663</v>
      </c>
    </row>
    <row r="948" spans="5:6" x14ac:dyDescent="0.3">
      <c r="E948" s="54">
        <v>0.656944444444444</v>
      </c>
      <c r="F948" s="56">
        <f t="shared" si="14"/>
        <v>0.66666666666666663</v>
      </c>
    </row>
    <row r="949" spans="5:6" x14ac:dyDescent="0.3">
      <c r="E949" s="54">
        <v>0.65763888888888899</v>
      </c>
      <c r="F949" s="56">
        <f t="shared" si="14"/>
        <v>0.66666666666666663</v>
      </c>
    </row>
    <row r="950" spans="5:6" x14ac:dyDescent="0.3">
      <c r="E950" s="54">
        <v>0.65833333333333299</v>
      </c>
      <c r="F950" s="56">
        <f t="shared" si="14"/>
        <v>0.66666666666666663</v>
      </c>
    </row>
    <row r="951" spans="5:6" x14ac:dyDescent="0.3">
      <c r="E951" s="54">
        <v>0.65902777777777799</v>
      </c>
      <c r="F951" s="56">
        <f t="shared" si="14"/>
        <v>0.66666666666666663</v>
      </c>
    </row>
    <row r="952" spans="5:6" x14ac:dyDescent="0.3">
      <c r="E952" s="54">
        <v>0.65972222222222199</v>
      </c>
      <c r="F952" s="56">
        <f t="shared" si="14"/>
        <v>0.66666666666666663</v>
      </c>
    </row>
    <row r="953" spans="5:6" x14ac:dyDescent="0.3">
      <c r="E953" s="54">
        <v>0.66041666666666698</v>
      </c>
      <c r="F953" s="56">
        <f t="shared" si="14"/>
        <v>0.66666666666666663</v>
      </c>
    </row>
    <row r="954" spans="5:6" x14ac:dyDescent="0.3">
      <c r="E954" s="54">
        <v>0.66111111111111098</v>
      </c>
      <c r="F954" s="56">
        <f t="shared" si="14"/>
        <v>0.66666666666666663</v>
      </c>
    </row>
    <row r="955" spans="5:6" x14ac:dyDescent="0.3">
      <c r="E955" s="54">
        <v>0.66180555555555598</v>
      </c>
      <c r="F955" s="56">
        <f t="shared" si="14"/>
        <v>0.66666666666666663</v>
      </c>
    </row>
    <row r="956" spans="5:6" x14ac:dyDescent="0.3">
      <c r="E956" s="54">
        <v>0.66249999999999998</v>
      </c>
      <c r="F956" s="56">
        <f t="shared" si="14"/>
        <v>0.66666666666666663</v>
      </c>
    </row>
    <row r="957" spans="5:6" x14ac:dyDescent="0.3">
      <c r="E957" s="54">
        <v>0.66319444444444398</v>
      </c>
      <c r="F957" s="56">
        <f t="shared" si="14"/>
        <v>0.66666666666666663</v>
      </c>
    </row>
    <row r="958" spans="5:6" x14ac:dyDescent="0.3">
      <c r="E958" s="54">
        <v>0.66388888888888897</v>
      </c>
      <c r="F958" s="56">
        <f t="shared" si="14"/>
        <v>0.66666666666666663</v>
      </c>
    </row>
    <row r="959" spans="5:6" x14ac:dyDescent="0.3">
      <c r="E959" s="54">
        <v>0.66458333333333297</v>
      </c>
      <c r="F959" s="56">
        <f t="shared" si="14"/>
        <v>0.66666666666666663</v>
      </c>
    </row>
    <row r="960" spans="5:6" x14ac:dyDescent="0.3">
      <c r="E960" s="54">
        <v>0.66527777777777797</v>
      </c>
      <c r="F960" s="56">
        <f t="shared" si="14"/>
        <v>0.66666666666666663</v>
      </c>
    </row>
    <row r="961" spans="5:6" x14ac:dyDescent="0.3">
      <c r="E961" s="54">
        <v>0.66597222222222197</v>
      </c>
      <c r="F961" s="56">
        <f t="shared" si="14"/>
        <v>0.66666666666666663</v>
      </c>
    </row>
    <row r="962" spans="5:6" x14ac:dyDescent="0.3">
      <c r="E962" s="54">
        <v>0.66666666666666696</v>
      </c>
      <c r="F962" s="56">
        <f t="shared" si="14"/>
        <v>0.67708333333333337</v>
      </c>
    </row>
    <row r="963" spans="5:6" x14ac:dyDescent="0.3">
      <c r="E963" s="54">
        <v>0.66736111111111096</v>
      </c>
      <c r="F963" s="56">
        <f t="shared" ref="F963:F1026" si="15">ROUNDUP(E963*4*24+1/60/24,0)/4/24</f>
        <v>0.67708333333333337</v>
      </c>
    </row>
    <row r="964" spans="5:6" x14ac:dyDescent="0.3">
      <c r="E964" s="54">
        <v>0.66805555555555596</v>
      </c>
      <c r="F964" s="56">
        <f t="shared" si="15"/>
        <v>0.67708333333333337</v>
      </c>
    </row>
    <row r="965" spans="5:6" x14ac:dyDescent="0.3">
      <c r="E965" s="54">
        <v>0.66874999999999996</v>
      </c>
      <c r="F965" s="56">
        <f t="shared" si="15"/>
        <v>0.67708333333333337</v>
      </c>
    </row>
    <row r="966" spans="5:6" x14ac:dyDescent="0.3">
      <c r="E966" s="54">
        <v>0.66944444444444495</v>
      </c>
      <c r="F966" s="56">
        <f t="shared" si="15"/>
        <v>0.67708333333333337</v>
      </c>
    </row>
    <row r="967" spans="5:6" x14ac:dyDescent="0.3">
      <c r="E967" s="54">
        <v>0.67013888888888895</v>
      </c>
      <c r="F967" s="56">
        <f t="shared" si="15"/>
        <v>0.67708333333333337</v>
      </c>
    </row>
    <row r="968" spans="5:6" x14ac:dyDescent="0.3">
      <c r="E968" s="54">
        <v>0.67083333333333295</v>
      </c>
      <c r="F968" s="56">
        <f t="shared" si="15"/>
        <v>0.67708333333333337</v>
      </c>
    </row>
    <row r="969" spans="5:6" x14ac:dyDescent="0.3">
      <c r="E969" s="54">
        <v>0.67152777777777795</v>
      </c>
      <c r="F969" s="56">
        <f t="shared" si="15"/>
        <v>0.67708333333333337</v>
      </c>
    </row>
    <row r="970" spans="5:6" x14ac:dyDescent="0.3">
      <c r="E970" s="54">
        <v>0.67222222222222205</v>
      </c>
      <c r="F970" s="56">
        <f t="shared" si="15"/>
        <v>0.67708333333333337</v>
      </c>
    </row>
    <row r="971" spans="5:6" x14ac:dyDescent="0.3">
      <c r="E971" s="54">
        <v>0.67291666666666705</v>
      </c>
      <c r="F971" s="56">
        <f t="shared" si="15"/>
        <v>0.67708333333333337</v>
      </c>
    </row>
    <row r="972" spans="5:6" x14ac:dyDescent="0.3">
      <c r="E972" s="54">
        <v>0.67361111111111105</v>
      </c>
      <c r="F972" s="56">
        <f t="shared" si="15"/>
        <v>0.67708333333333337</v>
      </c>
    </row>
    <row r="973" spans="5:6" x14ac:dyDescent="0.3">
      <c r="E973" s="54">
        <v>0.67430555555555605</v>
      </c>
      <c r="F973" s="56">
        <f t="shared" si="15"/>
        <v>0.67708333333333337</v>
      </c>
    </row>
    <row r="974" spans="5:6" x14ac:dyDescent="0.3">
      <c r="E974" s="54">
        <v>0.67500000000000004</v>
      </c>
      <c r="F974" s="56">
        <f t="shared" si="15"/>
        <v>0.67708333333333337</v>
      </c>
    </row>
    <row r="975" spans="5:6" x14ac:dyDescent="0.3">
      <c r="E975" s="54">
        <v>0.67569444444444404</v>
      </c>
      <c r="F975" s="56">
        <f t="shared" si="15"/>
        <v>0.67708333333333337</v>
      </c>
    </row>
    <row r="976" spans="5:6" x14ac:dyDescent="0.3">
      <c r="E976" s="54">
        <v>0.67638888888888904</v>
      </c>
      <c r="F976" s="56">
        <f t="shared" si="15"/>
        <v>0.67708333333333337</v>
      </c>
    </row>
    <row r="977" spans="5:6" x14ac:dyDescent="0.3">
      <c r="E977" s="54">
        <v>0.67708333333333304</v>
      </c>
      <c r="F977" s="56">
        <f t="shared" si="15"/>
        <v>0.6875</v>
      </c>
    </row>
    <row r="978" spans="5:6" x14ac:dyDescent="0.3">
      <c r="E978" s="54">
        <v>0.67777777777777803</v>
      </c>
      <c r="F978" s="56">
        <f t="shared" si="15"/>
        <v>0.6875</v>
      </c>
    </row>
    <row r="979" spans="5:6" x14ac:dyDescent="0.3">
      <c r="E979" s="54">
        <v>0.67847222222222203</v>
      </c>
      <c r="F979" s="56">
        <f t="shared" si="15"/>
        <v>0.6875</v>
      </c>
    </row>
    <row r="980" spans="5:6" x14ac:dyDescent="0.3">
      <c r="E980" s="54">
        <v>0.67916666666666703</v>
      </c>
      <c r="F980" s="56">
        <f t="shared" si="15"/>
        <v>0.6875</v>
      </c>
    </row>
    <row r="981" spans="5:6" x14ac:dyDescent="0.3">
      <c r="E981" s="54">
        <v>0.67986111111111103</v>
      </c>
      <c r="F981" s="56">
        <f t="shared" si="15"/>
        <v>0.6875</v>
      </c>
    </row>
    <row r="982" spans="5:6" x14ac:dyDescent="0.3">
      <c r="E982" s="54">
        <v>0.68055555555555602</v>
      </c>
      <c r="F982" s="56">
        <f t="shared" si="15"/>
        <v>0.6875</v>
      </c>
    </row>
    <row r="983" spans="5:6" x14ac:dyDescent="0.3">
      <c r="E983" s="54">
        <v>0.68125000000000002</v>
      </c>
      <c r="F983" s="56">
        <f t="shared" si="15"/>
        <v>0.6875</v>
      </c>
    </row>
    <row r="984" spans="5:6" x14ac:dyDescent="0.3">
      <c r="E984" s="54">
        <v>0.68194444444444402</v>
      </c>
      <c r="F984" s="56">
        <f t="shared" si="15"/>
        <v>0.6875</v>
      </c>
    </row>
    <row r="985" spans="5:6" x14ac:dyDescent="0.3">
      <c r="E985" s="54">
        <v>0.68263888888888902</v>
      </c>
      <c r="F985" s="56">
        <f t="shared" si="15"/>
        <v>0.6875</v>
      </c>
    </row>
    <row r="986" spans="5:6" x14ac:dyDescent="0.3">
      <c r="E986" s="54">
        <v>0.68333333333333302</v>
      </c>
      <c r="F986" s="56">
        <f t="shared" si="15"/>
        <v>0.6875</v>
      </c>
    </row>
    <row r="987" spans="5:6" x14ac:dyDescent="0.3">
      <c r="E987" s="54">
        <v>0.68402777777777801</v>
      </c>
      <c r="F987" s="56">
        <f t="shared" si="15"/>
        <v>0.6875</v>
      </c>
    </row>
    <row r="988" spans="5:6" x14ac:dyDescent="0.3">
      <c r="E988" s="54">
        <v>0.68472222222222201</v>
      </c>
      <c r="F988" s="56">
        <f t="shared" si="15"/>
        <v>0.6875</v>
      </c>
    </row>
    <row r="989" spans="5:6" x14ac:dyDescent="0.3">
      <c r="E989" s="54">
        <v>0.68541666666666701</v>
      </c>
      <c r="F989" s="56">
        <f t="shared" si="15"/>
        <v>0.6875</v>
      </c>
    </row>
    <row r="990" spans="5:6" x14ac:dyDescent="0.3">
      <c r="E990" s="54">
        <v>0.68611111111111101</v>
      </c>
      <c r="F990" s="56">
        <f t="shared" si="15"/>
        <v>0.6875</v>
      </c>
    </row>
    <row r="991" spans="5:6" x14ac:dyDescent="0.3">
      <c r="E991" s="54">
        <v>0.686805555555556</v>
      </c>
      <c r="F991" s="56">
        <f t="shared" si="15"/>
        <v>0.6875</v>
      </c>
    </row>
    <row r="992" spans="5:6" x14ac:dyDescent="0.3">
      <c r="E992" s="54">
        <v>0.6875</v>
      </c>
      <c r="F992" s="56">
        <f t="shared" si="15"/>
        <v>0.69791666666666663</v>
      </c>
    </row>
    <row r="993" spans="5:6" x14ac:dyDescent="0.3">
      <c r="E993" s="54">
        <v>0.688194444444444</v>
      </c>
      <c r="F993" s="56">
        <f t="shared" si="15"/>
        <v>0.69791666666666663</v>
      </c>
    </row>
    <row r="994" spans="5:6" x14ac:dyDescent="0.3">
      <c r="E994" s="54">
        <v>0.68888888888888899</v>
      </c>
      <c r="F994" s="56">
        <f t="shared" si="15"/>
        <v>0.69791666666666663</v>
      </c>
    </row>
    <row r="995" spans="5:6" x14ac:dyDescent="0.3">
      <c r="E995" s="54">
        <v>0.68958333333333299</v>
      </c>
      <c r="F995" s="56">
        <f t="shared" si="15"/>
        <v>0.69791666666666663</v>
      </c>
    </row>
    <row r="996" spans="5:6" x14ac:dyDescent="0.3">
      <c r="E996" s="54">
        <v>0.69027777777777799</v>
      </c>
      <c r="F996" s="56">
        <f t="shared" si="15"/>
        <v>0.69791666666666663</v>
      </c>
    </row>
    <row r="997" spans="5:6" x14ac:dyDescent="0.3">
      <c r="E997" s="54">
        <v>0.69097222222222199</v>
      </c>
      <c r="F997" s="56">
        <f t="shared" si="15"/>
        <v>0.69791666666666663</v>
      </c>
    </row>
    <row r="998" spans="5:6" x14ac:dyDescent="0.3">
      <c r="E998" s="54">
        <v>0.69166666666666698</v>
      </c>
      <c r="F998" s="56">
        <f t="shared" si="15"/>
        <v>0.69791666666666663</v>
      </c>
    </row>
    <row r="999" spans="5:6" x14ac:dyDescent="0.3">
      <c r="E999" s="54">
        <v>0.69236111111111098</v>
      </c>
      <c r="F999" s="56">
        <f t="shared" si="15"/>
        <v>0.69791666666666663</v>
      </c>
    </row>
    <row r="1000" spans="5:6" x14ac:dyDescent="0.3">
      <c r="E1000" s="54">
        <v>0.69305555555555598</v>
      </c>
      <c r="F1000" s="56">
        <f t="shared" si="15"/>
        <v>0.69791666666666663</v>
      </c>
    </row>
    <row r="1001" spans="5:6" x14ac:dyDescent="0.3">
      <c r="E1001" s="54">
        <v>0.69374999999999998</v>
      </c>
      <c r="F1001" s="56">
        <f t="shared" si="15"/>
        <v>0.69791666666666663</v>
      </c>
    </row>
    <row r="1002" spans="5:6" x14ac:dyDescent="0.3">
      <c r="E1002" s="54">
        <v>0.69444444444444398</v>
      </c>
      <c r="F1002" s="56">
        <f t="shared" si="15"/>
        <v>0.69791666666666663</v>
      </c>
    </row>
    <row r="1003" spans="5:6" x14ac:dyDescent="0.3">
      <c r="E1003" s="54">
        <v>0.69513888888888897</v>
      </c>
      <c r="F1003" s="56">
        <f t="shared" si="15"/>
        <v>0.69791666666666663</v>
      </c>
    </row>
    <row r="1004" spans="5:6" x14ac:dyDescent="0.3">
      <c r="E1004" s="54">
        <v>0.69583333333333297</v>
      </c>
      <c r="F1004" s="56">
        <f t="shared" si="15"/>
        <v>0.69791666666666663</v>
      </c>
    </row>
    <row r="1005" spans="5:6" x14ac:dyDescent="0.3">
      <c r="E1005" s="54">
        <v>0.69652777777777797</v>
      </c>
      <c r="F1005" s="56">
        <f t="shared" si="15"/>
        <v>0.69791666666666663</v>
      </c>
    </row>
    <row r="1006" spans="5:6" x14ac:dyDescent="0.3">
      <c r="E1006" s="54">
        <v>0.69722222222222197</v>
      </c>
      <c r="F1006" s="56">
        <f t="shared" si="15"/>
        <v>0.69791666666666663</v>
      </c>
    </row>
    <row r="1007" spans="5:6" x14ac:dyDescent="0.3">
      <c r="E1007" s="54">
        <v>0.69791666666666696</v>
      </c>
      <c r="F1007" s="56">
        <f t="shared" si="15"/>
        <v>0.70833333333333337</v>
      </c>
    </row>
    <row r="1008" spans="5:6" x14ac:dyDescent="0.3">
      <c r="E1008" s="54">
        <v>0.69861111111111096</v>
      </c>
      <c r="F1008" s="56">
        <f t="shared" si="15"/>
        <v>0.70833333333333337</v>
      </c>
    </row>
    <row r="1009" spans="5:6" x14ac:dyDescent="0.3">
      <c r="E1009" s="54">
        <v>0.69930555555555596</v>
      </c>
      <c r="F1009" s="56">
        <f t="shared" si="15"/>
        <v>0.70833333333333337</v>
      </c>
    </row>
    <row r="1010" spans="5:6" x14ac:dyDescent="0.3">
      <c r="E1010" s="54">
        <v>0.7</v>
      </c>
      <c r="F1010" s="56">
        <f t="shared" si="15"/>
        <v>0.70833333333333337</v>
      </c>
    </row>
    <row r="1011" spans="5:6" x14ac:dyDescent="0.3">
      <c r="E1011" s="54">
        <v>0.70069444444444495</v>
      </c>
      <c r="F1011" s="56">
        <f t="shared" si="15"/>
        <v>0.70833333333333337</v>
      </c>
    </row>
    <row r="1012" spans="5:6" x14ac:dyDescent="0.3">
      <c r="E1012" s="54">
        <v>0.70138888888888895</v>
      </c>
      <c r="F1012" s="56">
        <f t="shared" si="15"/>
        <v>0.70833333333333337</v>
      </c>
    </row>
    <row r="1013" spans="5:6" x14ac:dyDescent="0.3">
      <c r="E1013" s="54">
        <v>0.70208333333333295</v>
      </c>
      <c r="F1013" s="56">
        <f t="shared" si="15"/>
        <v>0.70833333333333337</v>
      </c>
    </row>
    <row r="1014" spans="5:6" x14ac:dyDescent="0.3">
      <c r="E1014" s="54">
        <v>0.70277777777777795</v>
      </c>
      <c r="F1014" s="56">
        <f t="shared" si="15"/>
        <v>0.70833333333333337</v>
      </c>
    </row>
    <row r="1015" spans="5:6" x14ac:dyDescent="0.3">
      <c r="E1015" s="54">
        <v>0.70347222222222205</v>
      </c>
      <c r="F1015" s="56">
        <f t="shared" si="15"/>
        <v>0.70833333333333337</v>
      </c>
    </row>
    <row r="1016" spans="5:6" x14ac:dyDescent="0.3">
      <c r="E1016" s="54">
        <v>0.70416666666666705</v>
      </c>
      <c r="F1016" s="56">
        <f t="shared" si="15"/>
        <v>0.70833333333333337</v>
      </c>
    </row>
    <row r="1017" spans="5:6" x14ac:dyDescent="0.3">
      <c r="E1017" s="54">
        <v>0.70486111111111105</v>
      </c>
      <c r="F1017" s="56">
        <f t="shared" si="15"/>
        <v>0.70833333333333337</v>
      </c>
    </row>
    <row r="1018" spans="5:6" x14ac:dyDescent="0.3">
      <c r="E1018" s="54">
        <v>0.70555555555555605</v>
      </c>
      <c r="F1018" s="56">
        <f t="shared" si="15"/>
        <v>0.70833333333333337</v>
      </c>
    </row>
    <row r="1019" spans="5:6" x14ac:dyDescent="0.3">
      <c r="E1019" s="54">
        <v>0.70625000000000004</v>
      </c>
      <c r="F1019" s="56">
        <f t="shared" si="15"/>
        <v>0.70833333333333337</v>
      </c>
    </row>
    <row r="1020" spans="5:6" x14ac:dyDescent="0.3">
      <c r="E1020" s="54">
        <v>0.70694444444444404</v>
      </c>
      <c r="F1020" s="56">
        <f t="shared" si="15"/>
        <v>0.70833333333333337</v>
      </c>
    </row>
    <row r="1021" spans="5:6" x14ac:dyDescent="0.3">
      <c r="E1021" s="54">
        <v>0.70763888888888904</v>
      </c>
      <c r="F1021" s="56">
        <f t="shared" si="15"/>
        <v>0.70833333333333337</v>
      </c>
    </row>
    <row r="1022" spans="5:6" x14ac:dyDescent="0.3">
      <c r="E1022" s="54">
        <v>0.70833333333333304</v>
      </c>
      <c r="F1022" s="56">
        <f t="shared" si="15"/>
        <v>0.71875</v>
      </c>
    </row>
    <row r="1023" spans="5:6" x14ac:dyDescent="0.3">
      <c r="E1023" s="54">
        <v>0.70902777777777803</v>
      </c>
      <c r="F1023" s="56">
        <f t="shared" si="15"/>
        <v>0.71875</v>
      </c>
    </row>
    <row r="1024" spans="5:6" x14ac:dyDescent="0.3">
      <c r="E1024" s="54">
        <v>0.70972222222222203</v>
      </c>
      <c r="F1024" s="56">
        <f t="shared" si="15"/>
        <v>0.71875</v>
      </c>
    </row>
    <row r="1025" spans="5:6" x14ac:dyDescent="0.3">
      <c r="E1025" s="54">
        <v>0.71041666666666703</v>
      </c>
      <c r="F1025" s="56">
        <f t="shared" si="15"/>
        <v>0.71875</v>
      </c>
    </row>
    <row r="1026" spans="5:6" x14ac:dyDescent="0.3">
      <c r="E1026" s="54">
        <v>0.71111111111111103</v>
      </c>
      <c r="F1026" s="56">
        <f t="shared" si="15"/>
        <v>0.71875</v>
      </c>
    </row>
    <row r="1027" spans="5:6" x14ac:dyDescent="0.3">
      <c r="E1027" s="54">
        <v>0.71180555555555602</v>
      </c>
      <c r="F1027" s="56">
        <f t="shared" ref="F1027:F1090" si="16">ROUNDUP(E1027*4*24+1/60/24,0)/4/24</f>
        <v>0.71875</v>
      </c>
    </row>
    <row r="1028" spans="5:6" x14ac:dyDescent="0.3">
      <c r="E1028" s="54">
        <v>0.71250000000000002</v>
      </c>
      <c r="F1028" s="56">
        <f t="shared" si="16"/>
        <v>0.71875</v>
      </c>
    </row>
    <row r="1029" spans="5:6" x14ac:dyDescent="0.3">
      <c r="E1029" s="54">
        <v>0.71319444444444402</v>
      </c>
      <c r="F1029" s="56">
        <f t="shared" si="16"/>
        <v>0.71875</v>
      </c>
    </row>
    <row r="1030" spans="5:6" x14ac:dyDescent="0.3">
      <c r="E1030" s="54">
        <v>0.71388888888888902</v>
      </c>
      <c r="F1030" s="56">
        <f t="shared" si="16"/>
        <v>0.71875</v>
      </c>
    </row>
    <row r="1031" spans="5:6" x14ac:dyDescent="0.3">
      <c r="E1031" s="54">
        <v>0.71458333333333302</v>
      </c>
      <c r="F1031" s="56">
        <f t="shared" si="16"/>
        <v>0.71875</v>
      </c>
    </row>
    <row r="1032" spans="5:6" x14ac:dyDescent="0.3">
      <c r="E1032" s="54">
        <v>0.71527777777777801</v>
      </c>
      <c r="F1032" s="56">
        <f t="shared" si="16"/>
        <v>0.71875</v>
      </c>
    </row>
    <row r="1033" spans="5:6" x14ac:dyDescent="0.3">
      <c r="E1033" s="54">
        <v>0.71597222222222201</v>
      </c>
      <c r="F1033" s="56">
        <f t="shared" si="16"/>
        <v>0.71875</v>
      </c>
    </row>
    <row r="1034" spans="5:6" x14ac:dyDescent="0.3">
      <c r="E1034" s="54">
        <v>0.71666666666666701</v>
      </c>
      <c r="F1034" s="56">
        <f t="shared" si="16"/>
        <v>0.71875</v>
      </c>
    </row>
    <row r="1035" spans="5:6" x14ac:dyDescent="0.3">
      <c r="E1035" s="54">
        <v>0.71736111111111101</v>
      </c>
      <c r="F1035" s="56">
        <f t="shared" si="16"/>
        <v>0.71875</v>
      </c>
    </row>
    <row r="1036" spans="5:6" x14ac:dyDescent="0.3">
      <c r="E1036" s="54">
        <v>0.718055555555556</v>
      </c>
      <c r="F1036" s="56">
        <f t="shared" si="16"/>
        <v>0.71875</v>
      </c>
    </row>
    <row r="1037" spans="5:6" x14ac:dyDescent="0.3">
      <c r="E1037" s="54">
        <v>0.71875</v>
      </c>
      <c r="F1037" s="56">
        <f t="shared" si="16"/>
        <v>0.72916666666666663</v>
      </c>
    </row>
    <row r="1038" spans="5:6" x14ac:dyDescent="0.3">
      <c r="E1038" s="54">
        <v>0.719444444444444</v>
      </c>
      <c r="F1038" s="56">
        <f t="shared" si="16"/>
        <v>0.72916666666666663</v>
      </c>
    </row>
    <row r="1039" spans="5:6" x14ac:dyDescent="0.3">
      <c r="E1039" s="54">
        <v>0.72013888888888899</v>
      </c>
      <c r="F1039" s="56">
        <f t="shared" si="16"/>
        <v>0.72916666666666663</v>
      </c>
    </row>
    <row r="1040" spans="5:6" x14ac:dyDescent="0.3">
      <c r="E1040" s="54">
        <v>0.72083333333333299</v>
      </c>
      <c r="F1040" s="56">
        <f t="shared" si="16"/>
        <v>0.72916666666666663</v>
      </c>
    </row>
    <row r="1041" spans="5:6" x14ac:dyDescent="0.3">
      <c r="E1041" s="54">
        <v>0.72152777777777799</v>
      </c>
      <c r="F1041" s="56">
        <f t="shared" si="16"/>
        <v>0.72916666666666663</v>
      </c>
    </row>
    <row r="1042" spans="5:6" x14ac:dyDescent="0.3">
      <c r="E1042" s="54">
        <v>0.72222222222222199</v>
      </c>
      <c r="F1042" s="56">
        <f t="shared" si="16"/>
        <v>0.72916666666666663</v>
      </c>
    </row>
    <row r="1043" spans="5:6" x14ac:dyDescent="0.3">
      <c r="E1043" s="54">
        <v>0.72291666666666698</v>
      </c>
      <c r="F1043" s="56">
        <f t="shared" si="16"/>
        <v>0.72916666666666663</v>
      </c>
    </row>
    <row r="1044" spans="5:6" x14ac:dyDescent="0.3">
      <c r="E1044" s="54">
        <v>0.72361111111111098</v>
      </c>
      <c r="F1044" s="56">
        <f t="shared" si="16"/>
        <v>0.72916666666666663</v>
      </c>
    </row>
    <row r="1045" spans="5:6" x14ac:dyDescent="0.3">
      <c r="E1045" s="54">
        <v>0.72430555555555598</v>
      </c>
      <c r="F1045" s="56">
        <f t="shared" si="16"/>
        <v>0.72916666666666663</v>
      </c>
    </row>
    <row r="1046" spans="5:6" x14ac:dyDescent="0.3">
      <c r="E1046" s="54">
        <v>0.72499999999999998</v>
      </c>
      <c r="F1046" s="56">
        <f t="shared" si="16"/>
        <v>0.72916666666666663</v>
      </c>
    </row>
    <row r="1047" spans="5:6" x14ac:dyDescent="0.3">
      <c r="E1047" s="54">
        <v>0.72569444444444398</v>
      </c>
      <c r="F1047" s="56">
        <f t="shared" si="16"/>
        <v>0.72916666666666663</v>
      </c>
    </row>
    <row r="1048" spans="5:6" x14ac:dyDescent="0.3">
      <c r="E1048" s="54">
        <v>0.72638888888888897</v>
      </c>
      <c r="F1048" s="56">
        <f t="shared" si="16"/>
        <v>0.72916666666666663</v>
      </c>
    </row>
    <row r="1049" spans="5:6" x14ac:dyDescent="0.3">
      <c r="E1049" s="54">
        <v>0.72708333333333297</v>
      </c>
      <c r="F1049" s="56">
        <f t="shared" si="16"/>
        <v>0.72916666666666663</v>
      </c>
    </row>
    <row r="1050" spans="5:6" x14ac:dyDescent="0.3">
      <c r="E1050" s="54">
        <v>0.72777777777777797</v>
      </c>
      <c r="F1050" s="56">
        <f t="shared" si="16"/>
        <v>0.72916666666666663</v>
      </c>
    </row>
    <row r="1051" spans="5:6" x14ac:dyDescent="0.3">
      <c r="E1051" s="54">
        <v>0.72847222222222197</v>
      </c>
      <c r="F1051" s="56">
        <f t="shared" si="16"/>
        <v>0.72916666666666663</v>
      </c>
    </row>
    <row r="1052" spans="5:6" x14ac:dyDescent="0.3">
      <c r="E1052" s="54">
        <v>0.72916666666666696</v>
      </c>
      <c r="F1052" s="56">
        <f t="shared" si="16"/>
        <v>0.73958333333333337</v>
      </c>
    </row>
    <row r="1053" spans="5:6" x14ac:dyDescent="0.3">
      <c r="E1053" s="54">
        <v>0.72986111111111096</v>
      </c>
      <c r="F1053" s="56">
        <f t="shared" si="16"/>
        <v>0.73958333333333337</v>
      </c>
    </row>
    <row r="1054" spans="5:6" x14ac:dyDescent="0.3">
      <c r="E1054" s="54">
        <v>0.73055555555555596</v>
      </c>
      <c r="F1054" s="56">
        <f t="shared" si="16"/>
        <v>0.73958333333333337</v>
      </c>
    </row>
    <row r="1055" spans="5:6" x14ac:dyDescent="0.3">
      <c r="E1055" s="54">
        <v>0.73124999999999996</v>
      </c>
      <c r="F1055" s="56">
        <f t="shared" si="16"/>
        <v>0.73958333333333337</v>
      </c>
    </row>
    <row r="1056" spans="5:6" x14ac:dyDescent="0.3">
      <c r="E1056" s="54">
        <v>0.73194444444444495</v>
      </c>
      <c r="F1056" s="56">
        <f t="shared" si="16"/>
        <v>0.73958333333333337</v>
      </c>
    </row>
    <row r="1057" spans="5:6" x14ac:dyDescent="0.3">
      <c r="E1057" s="54">
        <v>0.73263888888888895</v>
      </c>
      <c r="F1057" s="56">
        <f t="shared" si="16"/>
        <v>0.73958333333333337</v>
      </c>
    </row>
    <row r="1058" spans="5:6" x14ac:dyDescent="0.3">
      <c r="E1058" s="54">
        <v>0.73333333333333295</v>
      </c>
      <c r="F1058" s="56">
        <f t="shared" si="16"/>
        <v>0.73958333333333337</v>
      </c>
    </row>
    <row r="1059" spans="5:6" x14ac:dyDescent="0.3">
      <c r="E1059" s="54">
        <v>0.73402777777777795</v>
      </c>
      <c r="F1059" s="56">
        <f t="shared" si="16"/>
        <v>0.73958333333333337</v>
      </c>
    </row>
    <row r="1060" spans="5:6" x14ac:dyDescent="0.3">
      <c r="E1060" s="54">
        <v>0.73472222222222205</v>
      </c>
      <c r="F1060" s="56">
        <f t="shared" si="16"/>
        <v>0.73958333333333337</v>
      </c>
    </row>
    <row r="1061" spans="5:6" x14ac:dyDescent="0.3">
      <c r="E1061" s="54">
        <v>0.73541666666666705</v>
      </c>
      <c r="F1061" s="56">
        <f t="shared" si="16"/>
        <v>0.73958333333333337</v>
      </c>
    </row>
    <row r="1062" spans="5:6" x14ac:dyDescent="0.3">
      <c r="E1062" s="54">
        <v>0.73611111111111105</v>
      </c>
      <c r="F1062" s="56">
        <f t="shared" si="16"/>
        <v>0.73958333333333337</v>
      </c>
    </row>
    <row r="1063" spans="5:6" x14ac:dyDescent="0.3">
      <c r="E1063" s="54">
        <v>0.73680555555555605</v>
      </c>
      <c r="F1063" s="56">
        <f t="shared" si="16"/>
        <v>0.73958333333333337</v>
      </c>
    </row>
    <row r="1064" spans="5:6" x14ac:dyDescent="0.3">
      <c r="E1064" s="54">
        <v>0.73750000000000004</v>
      </c>
      <c r="F1064" s="56">
        <f t="shared" si="16"/>
        <v>0.73958333333333337</v>
      </c>
    </row>
    <row r="1065" spans="5:6" x14ac:dyDescent="0.3">
      <c r="E1065" s="54">
        <v>0.73819444444444404</v>
      </c>
      <c r="F1065" s="56">
        <f t="shared" si="16"/>
        <v>0.73958333333333337</v>
      </c>
    </row>
    <row r="1066" spans="5:6" x14ac:dyDescent="0.3">
      <c r="E1066" s="54">
        <v>0.73888888888888904</v>
      </c>
      <c r="F1066" s="56">
        <f t="shared" si="16"/>
        <v>0.73958333333333337</v>
      </c>
    </row>
    <row r="1067" spans="5:6" x14ac:dyDescent="0.3">
      <c r="E1067" s="54">
        <v>0.73958333333333304</v>
      </c>
      <c r="F1067" s="56">
        <f t="shared" si="16"/>
        <v>0.75</v>
      </c>
    </row>
    <row r="1068" spans="5:6" x14ac:dyDescent="0.3">
      <c r="E1068" s="54">
        <v>0.74027777777777803</v>
      </c>
      <c r="F1068" s="56">
        <f t="shared" si="16"/>
        <v>0.75</v>
      </c>
    </row>
    <row r="1069" spans="5:6" x14ac:dyDescent="0.3">
      <c r="E1069" s="54">
        <v>0.74097222222222203</v>
      </c>
      <c r="F1069" s="56">
        <f t="shared" si="16"/>
        <v>0.75</v>
      </c>
    </row>
    <row r="1070" spans="5:6" x14ac:dyDescent="0.3">
      <c r="E1070" s="54">
        <v>0.74166666666666703</v>
      </c>
      <c r="F1070" s="56">
        <f t="shared" si="16"/>
        <v>0.75</v>
      </c>
    </row>
    <row r="1071" spans="5:6" x14ac:dyDescent="0.3">
      <c r="E1071" s="54">
        <v>0.74236111111111103</v>
      </c>
      <c r="F1071" s="56">
        <f t="shared" si="16"/>
        <v>0.75</v>
      </c>
    </row>
    <row r="1072" spans="5:6" x14ac:dyDescent="0.3">
      <c r="E1072" s="54">
        <v>0.74305555555555602</v>
      </c>
      <c r="F1072" s="56">
        <f t="shared" si="16"/>
        <v>0.75</v>
      </c>
    </row>
    <row r="1073" spans="5:6" x14ac:dyDescent="0.3">
      <c r="E1073" s="54">
        <v>0.74375000000000002</v>
      </c>
      <c r="F1073" s="56">
        <f t="shared" si="16"/>
        <v>0.75</v>
      </c>
    </row>
    <row r="1074" spans="5:6" x14ac:dyDescent="0.3">
      <c r="E1074" s="54">
        <v>0.74444444444444402</v>
      </c>
      <c r="F1074" s="56">
        <f t="shared" si="16"/>
        <v>0.75</v>
      </c>
    </row>
    <row r="1075" spans="5:6" x14ac:dyDescent="0.3">
      <c r="E1075" s="54">
        <v>0.74513888888888902</v>
      </c>
      <c r="F1075" s="56">
        <f t="shared" si="16"/>
        <v>0.75</v>
      </c>
    </row>
    <row r="1076" spans="5:6" x14ac:dyDescent="0.3">
      <c r="E1076" s="54">
        <v>0.74583333333333302</v>
      </c>
      <c r="F1076" s="56">
        <f t="shared" si="16"/>
        <v>0.75</v>
      </c>
    </row>
    <row r="1077" spans="5:6" x14ac:dyDescent="0.3">
      <c r="E1077" s="54">
        <v>0.74652777777777801</v>
      </c>
      <c r="F1077" s="56">
        <f t="shared" si="16"/>
        <v>0.75</v>
      </c>
    </row>
    <row r="1078" spans="5:6" x14ac:dyDescent="0.3">
      <c r="E1078" s="54">
        <v>0.74722222222222201</v>
      </c>
      <c r="F1078" s="56">
        <f t="shared" si="16"/>
        <v>0.75</v>
      </c>
    </row>
    <row r="1079" spans="5:6" x14ac:dyDescent="0.3">
      <c r="E1079" s="54">
        <v>0.74791666666666701</v>
      </c>
      <c r="F1079" s="56">
        <f t="shared" si="16"/>
        <v>0.75</v>
      </c>
    </row>
    <row r="1080" spans="5:6" x14ac:dyDescent="0.3">
      <c r="E1080" s="54">
        <v>0.74861111111111101</v>
      </c>
      <c r="F1080" s="56">
        <f t="shared" si="16"/>
        <v>0.75</v>
      </c>
    </row>
    <row r="1081" spans="5:6" x14ac:dyDescent="0.3">
      <c r="E1081" s="54">
        <v>0.749305555555556</v>
      </c>
      <c r="F1081" s="56">
        <f t="shared" si="16"/>
        <v>0.75</v>
      </c>
    </row>
    <row r="1082" spans="5:6" x14ac:dyDescent="0.3">
      <c r="E1082" s="54">
        <v>0.75</v>
      </c>
      <c r="F1082" s="56">
        <f t="shared" si="16"/>
        <v>0.76041666666666663</v>
      </c>
    </row>
    <row r="1083" spans="5:6" x14ac:dyDescent="0.3">
      <c r="E1083" s="54">
        <v>0.750694444444444</v>
      </c>
      <c r="F1083" s="56">
        <f t="shared" si="16"/>
        <v>0.76041666666666663</v>
      </c>
    </row>
    <row r="1084" spans="5:6" x14ac:dyDescent="0.3">
      <c r="E1084" s="54">
        <v>0.75138888888888899</v>
      </c>
      <c r="F1084" s="56">
        <f t="shared" si="16"/>
        <v>0.76041666666666663</v>
      </c>
    </row>
    <row r="1085" spans="5:6" x14ac:dyDescent="0.3">
      <c r="E1085" s="54">
        <v>0.75208333333333299</v>
      </c>
      <c r="F1085" s="56">
        <f t="shared" si="16"/>
        <v>0.76041666666666663</v>
      </c>
    </row>
    <row r="1086" spans="5:6" x14ac:dyDescent="0.3">
      <c r="E1086" s="54">
        <v>0.75277777777777799</v>
      </c>
      <c r="F1086" s="56">
        <f t="shared" si="16"/>
        <v>0.76041666666666663</v>
      </c>
    </row>
    <row r="1087" spans="5:6" x14ac:dyDescent="0.3">
      <c r="E1087" s="54">
        <v>0.75347222222222199</v>
      </c>
      <c r="F1087" s="56">
        <f t="shared" si="16"/>
        <v>0.76041666666666663</v>
      </c>
    </row>
    <row r="1088" spans="5:6" x14ac:dyDescent="0.3">
      <c r="E1088" s="54">
        <v>0.75416666666666698</v>
      </c>
      <c r="F1088" s="56">
        <f t="shared" si="16"/>
        <v>0.76041666666666663</v>
      </c>
    </row>
    <row r="1089" spans="5:6" x14ac:dyDescent="0.3">
      <c r="E1089" s="54">
        <v>0.75486111111111098</v>
      </c>
      <c r="F1089" s="56">
        <f t="shared" si="16"/>
        <v>0.76041666666666663</v>
      </c>
    </row>
    <row r="1090" spans="5:6" x14ac:dyDescent="0.3">
      <c r="E1090" s="54">
        <v>0.75555555555555598</v>
      </c>
      <c r="F1090" s="56">
        <f t="shared" si="16"/>
        <v>0.76041666666666663</v>
      </c>
    </row>
    <row r="1091" spans="5:6" x14ac:dyDescent="0.3">
      <c r="E1091" s="54">
        <v>0.75624999999999998</v>
      </c>
      <c r="F1091" s="56">
        <f t="shared" ref="F1091:F1154" si="17">ROUNDUP(E1091*4*24+1/60/24,0)/4/24</f>
        <v>0.76041666666666663</v>
      </c>
    </row>
    <row r="1092" spans="5:6" x14ac:dyDescent="0.3">
      <c r="E1092" s="54">
        <v>0.75694444444444398</v>
      </c>
      <c r="F1092" s="56">
        <f t="shared" si="17"/>
        <v>0.76041666666666663</v>
      </c>
    </row>
    <row r="1093" spans="5:6" x14ac:dyDescent="0.3">
      <c r="E1093" s="54">
        <v>0.75763888888888897</v>
      </c>
      <c r="F1093" s="56">
        <f t="shared" si="17"/>
        <v>0.76041666666666663</v>
      </c>
    </row>
    <row r="1094" spans="5:6" x14ac:dyDescent="0.3">
      <c r="E1094" s="54">
        <v>0.75833333333333297</v>
      </c>
      <c r="F1094" s="56">
        <f t="shared" si="17"/>
        <v>0.76041666666666663</v>
      </c>
    </row>
    <row r="1095" spans="5:6" x14ac:dyDescent="0.3">
      <c r="E1095" s="54">
        <v>0.75902777777777797</v>
      </c>
      <c r="F1095" s="56">
        <f t="shared" si="17"/>
        <v>0.76041666666666663</v>
      </c>
    </row>
    <row r="1096" spans="5:6" x14ac:dyDescent="0.3">
      <c r="E1096" s="54">
        <v>0.75972222222222197</v>
      </c>
      <c r="F1096" s="56">
        <f t="shared" si="17"/>
        <v>0.76041666666666663</v>
      </c>
    </row>
    <row r="1097" spans="5:6" x14ac:dyDescent="0.3">
      <c r="E1097" s="54">
        <v>0.76041666666666696</v>
      </c>
      <c r="F1097" s="56">
        <f t="shared" si="17"/>
        <v>0.77083333333333337</v>
      </c>
    </row>
    <row r="1098" spans="5:6" x14ac:dyDescent="0.3">
      <c r="E1098" s="54">
        <v>0.76111111111111096</v>
      </c>
      <c r="F1098" s="56">
        <f t="shared" si="17"/>
        <v>0.77083333333333337</v>
      </c>
    </row>
    <row r="1099" spans="5:6" x14ac:dyDescent="0.3">
      <c r="E1099" s="54">
        <v>0.76180555555555596</v>
      </c>
      <c r="F1099" s="56">
        <f t="shared" si="17"/>
        <v>0.77083333333333337</v>
      </c>
    </row>
    <row r="1100" spans="5:6" x14ac:dyDescent="0.3">
      <c r="E1100" s="54">
        <v>0.76249999999999996</v>
      </c>
      <c r="F1100" s="56">
        <f t="shared" si="17"/>
        <v>0.77083333333333337</v>
      </c>
    </row>
    <row r="1101" spans="5:6" x14ac:dyDescent="0.3">
      <c r="E1101" s="54">
        <v>0.76319444444444495</v>
      </c>
      <c r="F1101" s="56">
        <f t="shared" si="17"/>
        <v>0.77083333333333337</v>
      </c>
    </row>
    <row r="1102" spans="5:6" x14ac:dyDescent="0.3">
      <c r="E1102" s="54">
        <v>0.76388888888888895</v>
      </c>
      <c r="F1102" s="56">
        <f t="shared" si="17"/>
        <v>0.77083333333333337</v>
      </c>
    </row>
    <row r="1103" spans="5:6" x14ac:dyDescent="0.3">
      <c r="E1103" s="54">
        <v>0.76458333333333295</v>
      </c>
      <c r="F1103" s="56">
        <f t="shared" si="17"/>
        <v>0.77083333333333337</v>
      </c>
    </row>
    <row r="1104" spans="5:6" x14ac:dyDescent="0.3">
      <c r="E1104" s="54">
        <v>0.76527777777777795</v>
      </c>
      <c r="F1104" s="56">
        <f t="shared" si="17"/>
        <v>0.77083333333333337</v>
      </c>
    </row>
    <row r="1105" spans="5:6" x14ac:dyDescent="0.3">
      <c r="E1105" s="54">
        <v>0.76597222222222205</v>
      </c>
      <c r="F1105" s="56">
        <f t="shared" si="17"/>
        <v>0.77083333333333337</v>
      </c>
    </row>
    <row r="1106" spans="5:6" x14ac:dyDescent="0.3">
      <c r="E1106" s="54">
        <v>0.76666666666666705</v>
      </c>
      <c r="F1106" s="56">
        <f t="shared" si="17"/>
        <v>0.77083333333333337</v>
      </c>
    </row>
    <row r="1107" spans="5:6" x14ac:dyDescent="0.3">
      <c r="E1107" s="54">
        <v>0.76736111111111105</v>
      </c>
      <c r="F1107" s="56">
        <f t="shared" si="17"/>
        <v>0.77083333333333337</v>
      </c>
    </row>
    <row r="1108" spans="5:6" x14ac:dyDescent="0.3">
      <c r="E1108" s="54">
        <v>0.76805555555555605</v>
      </c>
      <c r="F1108" s="56">
        <f t="shared" si="17"/>
        <v>0.77083333333333337</v>
      </c>
    </row>
    <row r="1109" spans="5:6" x14ac:dyDescent="0.3">
      <c r="E1109" s="54">
        <v>0.76875000000000004</v>
      </c>
      <c r="F1109" s="56">
        <f t="shared" si="17"/>
        <v>0.77083333333333337</v>
      </c>
    </row>
    <row r="1110" spans="5:6" x14ac:dyDescent="0.3">
      <c r="E1110" s="54">
        <v>0.76944444444444404</v>
      </c>
      <c r="F1110" s="56">
        <f t="shared" si="17"/>
        <v>0.77083333333333337</v>
      </c>
    </row>
    <row r="1111" spans="5:6" x14ac:dyDescent="0.3">
      <c r="E1111" s="54">
        <v>0.77013888888888904</v>
      </c>
      <c r="F1111" s="56">
        <f t="shared" si="17"/>
        <v>0.77083333333333337</v>
      </c>
    </row>
    <row r="1112" spans="5:6" x14ac:dyDescent="0.3">
      <c r="E1112" s="54">
        <v>0.77083333333333304</v>
      </c>
      <c r="F1112" s="56">
        <f t="shared" si="17"/>
        <v>0.78125</v>
      </c>
    </row>
    <row r="1113" spans="5:6" x14ac:dyDescent="0.3">
      <c r="E1113" s="54">
        <v>0.77152777777777803</v>
      </c>
      <c r="F1113" s="56">
        <f t="shared" si="17"/>
        <v>0.78125</v>
      </c>
    </row>
    <row r="1114" spans="5:6" x14ac:dyDescent="0.3">
      <c r="E1114" s="54">
        <v>0.77222222222222203</v>
      </c>
      <c r="F1114" s="56">
        <f t="shared" si="17"/>
        <v>0.78125</v>
      </c>
    </row>
    <row r="1115" spans="5:6" x14ac:dyDescent="0.3">
      <c r="E1115" s="54">
        <v>0.77291666666666703</v>
      </c>
      <c r="F1115" s="56">
        <f t="shared" si="17"/>
        <v>0.78125</v>
      </c>
    </row>
    <row r="1116" spans="5:6" x14ac:dyDescent="0.3">
      <c r="E1116" s="54">
        <v>0.77361111111111103</v>
      </c>
      <c r="F1116" s="56">
        <f t="shared" si="17"/>
        <v>0.78125</v>
      </c>
    </row>
    <row r="1117" spans="5:6" x14ac:dyDescent="0.3">
      <c r="E1117" s="54">
        <v>0.77430555555555602</v>
      </c>
      <c r="F1117" s="56">
        <f t="shared" si="17"/>
        <v>0.78125</v>
      </c>
    </row>
    <row r="1118" spans="5:6" x14ac:dyDescent="0.3">
      <c r="E1118" s="54">
        <v>0.77500000000000002</v>
      </c>
      <c r="F1118" s="56">
        <f t="shared" si="17"/>
        <v>0.78125</v>
      </c>
    </row>
    <row r="1119" spans="5:6" x14ac:dyDescent="0.3">
      <c r="E1119" s="54">
        <v>0.77569444444444402</v>
      </c>
      <c r="F1119" s="56">
        <f t="shared" si="17"/>
        <v>0.78125</v>
      </c>
    </row>
    <row r="1120" spans="5:6" x14ac:dyDescent="0.3">
      <c r="E1120" s="54">
        <v>0.77638888888888902</v>
      </c>
      <c r="F1120" s="56">
        <f t="shared" si="17"/>
        <v>0.78125</v>
      </c>
    </row>
    <row r="1121" spans="5:6" x14ac:dyDescent="0.3">
      <c r="E1121" s="54">
        <v>0.77708333333333302</v>
      </c>
      <c r="F1121" s="56">
        <f t="shared" si="17"/>
        <v>0.78125</v>
      </c>
    </row>
    <row r="1122" spans="5:6" x14ac:dyDescent="0.3">
      <c r="E1122" s="54">
        <v>0.77777777777777801</v>
      </c>
      <c r="F1122" s="56">
        <f t="shared" si="17"/>
        <v>0.78125</v>
      </c>
    </row>
    <row r="1123" spans="5:6" x14ac:dyDescent="0.3">
      <c r="E1123" s="54">
        <v>0.77847222222222201</v>
      </c>
      <c r="F1123" s="56">
        <f t="shared" si="17"/>
        <v>0.78125</v>
      </c>
    </row>
    <row r="1124" spans="5:6" x14ac:dyDescent="0.3">
      <c r="E1124" s="54">
        <v>0.77916666666666701</v>
      </c>
      <c r="F1124" s="56">
        <f t="shared" si="17"/>
        <v>0.78125</v>
      </c>
    </row>
    <row r="1125" spans="5:6" x14ac:dyDescent="0.3">
      <c r="E1125" s="54">
        <v>0.77986111111111101</v>
      </c>
      <c r="F1125" s="56">
        <f t="shared" si="17"/>
        <v>0.78125</v>
      </c>
    </row>
    <row r="1126" spans="5:6" x14ac:dyDescent="0.3">
      <c r="E1126" s="54">
        <v>0.780555555555556</v>
      </c>
      <c r="F1126" s="56">
        <f t="shared" si="17"/>
        <v>0.78125</v>
      </c>
    </row>
    <row r="1127" spans="5:6" x14ac:dyDescent="0.3">
      <c r="E1127" s="54">
        <v>0.78125</v>
      </c>
      <c r="F1127" s="56">
        <f t="shared" si="17"/>
        <v>0.79166666666666663</v>
      </c>
    </row>
    <row r="1128" spans="5:6" x14ac:dyDescent="0.3">
      <c r="E1128" s="54">
        <v>0.781944444444444</v>
      </c>
      <c r="F1128" s="56">
        <f t="shared" si="17"/>
        <v>0.79166666666666663</v>
      </c>
    </row>
    <row r="1129" spans="5:6" x14ac:dyDescent="0.3">
      <c r="E1129" s="54">
        <v>0.78263888888888899</v>
      </c>
      <c r="F1129" s="56">
        <f t="shared" si="17"/>
        <v>0.79166666666666663</v>
      </c>
    </row>
    <row r="1130" spans="5:6" x14ac:dyDescent="0.3">
      <c r="E1130" s="54">
        <v>0.78333333333333299</v>
      </c>
      <c r="F1130" s="56">
        <f t="shared" si="17"/>
        <v>0.79166666666666663</v>
      </c>
    </row>
    <row r="1131" spans="5:6" x14ac:dyDescent="0.3">
      <c r="E1131" s="54">
        <v>0.78402777777777799</v>
      </c>
      <c r="F1131" s="56">
        <f t="shared" si="17"/>
        <v>0.79166666666666663</v>
      </c>
    </row>
    <row r="1132" spans="5:6" x14ac:dyDescent="0.3">
      <c r="E1132" s="54">
        <v>0.78472222222222199</v>
      </c>
      <c r="F1132" s="56">
        <f t="shared" si="17"/>
        <v>0.79166666666666663</v>
      </c>
    </row>
    <row r="1133" spans="5:6" x14ac:dyDescent="0.3">
      <c r="E1133" s="54">
        <v>0.78541666666666698</v>
      </c>
      <c r="F1133" s="56">
        <f t="shared" si="17"/>
        <v>0.79166666666666663</v>
      </c>
    </row>
    <row r="1134" spans="5:6" x14ac:dyDescent="0.3">
      <c r="E1134" s="54">
        <v>0.78611111111111098</v>
      </c>
      <c r="F1134" s="56">
        <f t="shared" si="17"/>
        <v>0.79166666666666663</v>
      </c>
    </row>
    <row r="1135" spans="5:6" x14ac:dyDescent="0.3">
      <c r="E1135" s="54">
        <v>0.78680555555555598</v>
      </c>
      <c r="F1135" s="56">
        <f t="shared" si="17"/>
        <v>0.79166666666666663</v>
      </c>
    </row>
    <row r="1136" spans="5:6" x14ac:dyDescent="0.3">
      <c r="E1136" s="54">
        <v>0.78749999999999998</v>
      </c>
      <c r="F1136" s="56">
        <f t="shared" si="17"/>
        <v>0.79166666666666663</v>
      </c>
    </row>
    <row r="1137" spans="5:6" x14ac:dyDescent="0.3">
      <c r="E1137" s="54">
        <v>0.78819444444444398</v>
      </c>
      <c r="F1137" s="56">
        <f t="shared" si="17"/>
        <v>0.79166666666666663</v>
      </c>
    </row>
    <row r="1138" spans="5:6" x14ac:dyDescent="0.3">
      <c r="E1138" s="54">
        <v>0.78888888888888897</v>
      </c>
      <c r="F1138" s="56">
        <f t="shared" si="17"/>
        <v>0.79166666666666663</v>
      </c>
    </row>
    <row r="1139" spans="5:6" x14ac:dyDescent="0.3">
      <c r="E1139" s="54">
        <v>0.78958333333333297</v>
      </c>
      <c r="F1139" s="56">
        <f t="shared" si="17"/>
        <v>0.79166666666666663</v>
      </c>
    </row>
    <row r="1140" spans="5:6" x14ac:dyDescent="0.3">
      <c r="E1140" s="54">
        <v>0.79027777777777797</v>
      </c>
      <c r="F1140" s="56">
        <f t="shared" si="17"/>
        <v>0.79166666666666663</v>
      </c>
    </row>
    <row r="1141" spans="5:6" x14ac:dyDescent="0.3">
      <c r="E1141" s="54">
        <v>0.79097222222222197</v>
      </c>
      <c r="F1141" s="56">
        <f t="shared" si="17"/>
        <v>0.79166666666666663</v>
      </c>
    </row>
    <row r="1142" spans="5:6" x14ac:dyDescent="0.3">
      <c r="E1142" s="54">
        <v>0.79166666666666696</v>
      </c>
      <c r="F1142" s="56">
        <f t="shared" si="17"/>
        <v>0.80208333333333337</v>
      </c>
    </row>
    <row r="1143" spans="5:6" x14ac:dyDescent="0.3">
      <c r="E1143" s="54">
        <v>0.79236111111111096</v>
      </c>
      <c r="F1143" s="56">
        <f t="shared" si="17"/>
        <v>0.80208333333333337</v>
      </c>
    </row>
    <row r="1144" spans="5:6" x14ac:dyDescent="0.3">
      <c r="E1144" s="54">
        <v>0.79305555555555596</v>
      </c>
      <c r="F1144" s="56">
        <f t="shared" si="17"/>
        <v>0.80208333333333337</v>
      </c>
    </row>
    <row r="1145" spans="5:6" x14ac:dyDescent="0.3">
      <c r="E1145" s="54">
        <v>0.79374999999999996</v>
      </c>
      <c r="F1145" s="56">
        <f t="shared" si="17"/>
        <v>0.80208333333333337</v>
      </c>
    </row>
    <row r="1146" spans="5:6" x14ac:dyDescent="0.3">
      <c r="E1146" s="54">
        <v>0.79444444444444495</v>
      </c>
      <c r="F1146" s="56">
        <f t="shared" si="17"/>
        <v>0.80208333333333337</v>
      </c>
    </row>
    <row r="1147" spans="5:6" x14ac:dyDescent="0.3">
      <c r="E1147" s="54">
        <v>0.79513888888888895</v>
      </c>
      <c r="F1147" s="56">
        <f t="shared" si="17"/>
        <v>0.80208333333333337</v>
      </c>
    </row>
    <row r="1148" spans="5:6" x14ac:dyDescent="0.3">
      <c r="E1148" s="54">
        <v>0.79583333333333295</v>
      </c>
      <c r="F1148" s="56">
        <f t="shared" si="17"/>
        <v>0.80208333333333337</v>
      </c>
    </row>
    <row r="1149" spans="5:6" x14ac:dyDescent="0.3">
      <c r="E1149" s="54">
        <v>0.79652777777777795</v>
      </c>
      <c r="F1149" s="56">
        <f t="shared" si="17"/>
        <v>0.80208333333333337</v>
      </c>
    </row>
    <row r="1150" spans="5:6" x14ac:dyDescent="0.3">
      <c r="E1150" s="54">
        <v>0.79722222222222205</v>
      </c>
      <c r="F1150" s="56">
        <f t="shared" si="17"/>
        <v>0.80208333333333337</v>
      </c>
    </row>
    <row r="1151" spans="5:6" x14ac:dyDescent="0.3">
      <c r="E1151" s="54">
        <v>0.79791666666666705</v>
      </c>
      <c r="F1151" s="56">
        <f t="shared" si="17"/>
        <v>0.80208333333333337</v>
      </c>
    </row>
    <row r="1152" spans="5:6" x14ac:dyDescent="0.3">
      <c r="E1152" s="54">
        <v>0.79861111111111105</v>
      </c>
      <c r="F1152" s="56">
        <f t="shared" si="17"/>
        <v>0.80208333333333337</v>
      </c>
    </row>
    <row r="1153" spans="5:6" x14ac:dyDescent="0.3">
      <c r="E1153" s="54">
        <v>0.79930555555555605</v>
      </c>
      <c r="F1153" s="56">
        <f t="shared" si="17"/>
        <v>0.80208333333333337</v>
      </c>
    </row>
    <row r="1154" spans="5:6" x14ac:dyDescent="0.3">
      <c r="E1154" s="54">
        <v>0.8</v>
      </c>
      <c r="F1154" s="56">
        <f t="shared" si="17"/>
        <v>0.80208333333333337</v>
      </c>
    </row>
    <row r="1155" spans="5:6" x14ac:dyDescent="0.3">
      <c r="E1155" s="54">
        <v>0.80069444444444404</v>
      </c>
      <c r="F1155" s="56">
        <f t="shared" ref="F1155:F1218" si="18">ROUNDUP(E1155*4*24+1/60/24,0)/4/24</f>
        <v>0.80208333333333337</v>
      </c>
    </row>
    <row r="1156" spans="5:6" x14ac:dyDescent="0.3">
      <c r="E1156" s="54">
        <v>0.80138888888888904</v>
      </c>
      <c r="F1156" s="56">
        <f t="shared" si="18"/>
        <v>0.80208333333333337</v>
      </c>
    </row>
    <row r="1157" spans="5:6" x14ac:dyDescent="0.3">
      <c r="E1157" s="54">
        <v>0.80208333333333304</v>
      </c>
      <c r="F1157" s="56">
        <f t="shared" si="18"/>
        <v>0.8125</v>
      </c>
    </row>
    <row r="1158" spans="5:6" x14ac:dyDescent="0.3">
      <c r="E1158" s="54">
        <v>0.80277777777777803</v>
      </c>
      <c r="F1158" s="56">
        <f t="shared" si="18"/>
        <v>0.8125</v>
      </c>
    </row>
    <row r="1159" spans="5:6" x14ac:dyDescent="0.3">
      <c r="E1159" s="54">
        <v>0.80347222222222203</v>
      </c>
      <c r="F1159" s="56">
        <f t="shared" si="18"/>
        <v>0.8125</v>
      </c>
    </row>
    <row r="1160" spans="5:6" x14ac:dyDescent="0.3">
      <c r="E1160" s="54">
        <v>0.80416666666666703</v>
      </c>
      <c r="F1160" s="56">
        <f t="shared" si="18"/>
        <v>0.8125</v>
      </c>
    </row>
    <row r="1161" spans="5:6" x14ac:dyDescent="0.3">
      <c r="E1161" s="54">
        <v>0.80486111111111103</v>
      </c>
      <c r="F1161" s="56">
        <f t="shared" si="18"/>
        <v>0.8125</v>
      </c>
    </row>
    <row r="1162" spans="5:6" x14ac:dyDescent="0.3">
      <c r="E1162" s="54">
        <v>0.80555555555555602</v>
      </c>
      <c r="F1162" s="56">
        <f t="shared" si="18"/>
        <v>0.8125</v>
      </c>
    </row>
    <row r="1163" spans="5:6" x14ac:dyDescent="0.3">
      <c r="E1163" s="54">
        <v>0.80625000000000002</v>
      </c>
      <c r="F1163" s="56">
        <f t="shared" si="18"/>
        <v>0.8125</v>
      </c>
    </row>
    <row r="1164" spans="5:6" x14ac:dyDescent="0.3">
      <c r="E1164" s="54">
        <v>0.80694444444444402</v>
      </c>
      <c r="F1164" s="56">
        <f t="shared" si="18"/>
        <v>0.8125</v>
      </c>
    </row>
    <row r="1165" spans="5:6" x14ac:dyDescent="0.3">
      <c r="E1165" s="54">
        <v>0.80763888888888902</v>
      </c>
      <c r="F1165" s="56">
        <f t="shared" si="18"/>
        <v>0.8125</v>
      </c>
    </row>
    <row r="1166" spans="5:6" x14ac:dyDescent="0.3">
      <c r="E1166" s="54">
        <v>0.80833333333333302</v>
      </c>
      <c r="F1166" s="56">
        <f t="shared" si="18"/>
        <v>0.8125</v>
      </c>
    </row>
    <row r="1167" spans="5:6" x14ac:dyDescent="0.3">
      <c r="E1167" s="54">
        <v>0.80902777777777801</v>
      </c>
      <c r="F1167" s="56">
        <f t="shared" si="18"/>
        <v>0.8125</v>
      </c>
    </row>
    <row r="1168" spans="5:6" x14ac:dyDescent="0.3">
      <c r="E1168" s="54">
        <v>0.80972222222222201</v>
      </c>
      <c r="F1168" s="56">
        <f t="shared" si="18"/>
        <v>0.8125</v>
      </c>
    </row>
    <row r="1169" spans="5:6" x14ac:dyDescent="0.3">
      <c r="E1169" s="54">
        <v>0.81041666666666701</v>
      </c>
      <c r="F1169" s="56">
        <f t="shared" si="18"/>
        <v>0.8125</v>
      </c>
    </row>
    <row r="1170" spans="5:6" x14ac:dyDescent="0.3">
      <c r="E1170" s="54">
        <v>0.81111111111111101</v>
      </c>
      <c r="F1170" s="56">
        <f t="shared" si="18"/>
        <v>0.8125</v>
      </c>
    </row>
    <row r="1171" spans="5:6" x14ac:dyDescent="0.3">
      <c r="E1171" s="54">
        <v>0.811805555555556</v>
      </c>
      <c r="F1171" s="56">
        <f t="shared" si="18"/>
        <v>0.8125</v>
      </c>
    </row>
    <row r="1172" spans="5:6" x14ac:dyDescent="0.3">
      <c r="E1172" s="54">
        <v>0.8125</v>
      </c>
      <c r="F1172" s="56">
        <f t="shared" si="18"/>
        <v>0.82291666666666663</v>
      </c>
    </row>
    <row r="1173" spans="5:6" x14ac:dyDescent="0.3">
      <c r="E1173" s="54">
        <v>0.813194444444444</v>
      </c>
      <c r="F1173" s="56">
        <f t="shared" si="18"/>
        <v>0.82291666666666663</v>
      </c>
    </row>
    <row r="1174" spans="5:6" x14ac:dyDescent="0.3">
      <c r="E1174" s="54">
        <v>0.81388888888888899</v>
      </c>
      <c r="F1174" s="56">
        <f t="shared" si="18"/>
        <v>0.82291666666666663</v>
      </c>
    </row>
    <row r="1175" spans="5:6" x14ac:dyDescent="0.3">
      <c r="E1175" s="54">
        <v>0.81458333333333299</v>
      </c>
      <c r="F1175" s="56">
        <f t="shared" si="18"/>
        <v>0.82291666666666663</v>
      </c>
    </row>
    <row r="1176" spans="5:6" x14ac:dyDescent="0.3">
      <c r="E1176" s="54">
        <v>0.81527777777777799</v>
      </c>
      <c r="F1176" s="56">
        <f t="shared" si="18"/>
        <v>0.82291666666666663</v>
      </c>
    </row>
    <row r="1177" spans="5:6" x14ac:dyDescent="0.3">
      <c r="E1177" s="54">
        <v>0.81597222222222199</v>
      </c>
      <c r="F1177" s="56">
        <f t="shared" si="18"/>
        <v>0.82291666666666663</v>
      </c>
    </row>
    <row r="1178" spans="5:6" x14ac:dyDescent="0.3">
      <c r="E1178" s="54">
        <v>0.81666666666666698</v>
      </c>
      <c r="F1178" s="56">
        <f t="shared" si="18"/>
        <v>0.82291666666666663</v>
      </c>
    </row>
    <row r="1179" spans="5:6" x14ac:dyDescent="0.3">
      <c r="E1179" s="54">
        <v>0.81736111111111098</v>
      </c>
      <c r="F1179" s="56">
        <f t="shared" si="18"/>
        <v>0.82291666666666663</v>
      </c>
    </row>
    <row r="1180" spans="5:6" x14ac:dyDescent="0.3">
      <c r="E1180" s="54">
        <v>0.81805555555555598</v>
      </c>
      <c r="F1180" s="56">
        <f t="shared" si="18"/>
        <v>0.82291666666666663</v>
      </c>
    </row>
    <row r="1181" spans="5:6" x14ac:dyDescent="0.3">
      <c r="E1181" s="54">
        <v>0.81874999999999998</v>
      </c>
      <c r="F1181" s="56">
        <f t="shared" si="18"/>
        <v>0.82291666666666663</v>
      </c>
    </row>
    <row r="1182" spans="5:6" x14ac:dyDescent="0.3">
      <c r="E1182" s="54">
        <v>0.81944444444444497</v>
      </c>
      <c r="F1182" s="56">
        <f t="shared" si="18"/>
        <v>0.82291666666666663</v>
      </c>
    </row>
    <row r="1183" spans="5:6" x14ac:dyDescent="0.3">
      <c r="E1183" s="54">
        <v>0.82013888888888897</v>
      </c>
      <c r="F1183" s="56">
        <f t="shared" si="18"/>
        <v>0.82291666666666663</v>
      </c>
    </row>
    <row r="1184" spans="5:6" x14ac:dyDescent="0.3">
      <c r="E1184" s="54">
        <v>0.82083333333333297</v>
      </c>
      <c r="F1184" s="56">
        <f t="shared" si="18"/>
        <v>0.82291666666666663</v>
      </c>
    </row>
    <row r="1185" spans="5:6" x14ac:dyDescent="0.3">
      <c r="E1185" s="54">
        <v>0.82152777777777797</v>
      </c>
      <c r="F1185" s="56">
        <f t="shared" si="18"/>
        <v>0.82291666666666663</v>
      </c>
    </row>
    <row r="1186" spans="5:6" x14ac:dyDescent="0.3">
      <c r="E1186" s="54">
        <v>0.82222222222222197</v>
      </c>
      <c r="F1186" s="56">
        <f t="shared" si="18"/>
        <v>0.82291666666666663</v>
      </c>
    </row>
    <row r="1187" spans="5:6" x14ac:dyDescent="0.3">
      <c r="E1187" s="54">
        <v>0.82291666666666696</v>
      </c>
      <c r="F1187" s="56">
        <f t="shared" si="18"/>
        <v>0.83333333333333337</v>
      </c>
    </row>
    <row r="1188" spans="5:6" x14ac:dyDescent="0.3">
      <c r="E1188" s="54">
        <v>0.82361111111111096</v>
      </c>
      <c r="F1188" s="56">
        <f t="shared" si="18"/>
        <v>0.83333333333333337</v>
      </c>
    </row>
    <row r="1189" spans="5:6" x14ac:dyDescent="0.3">
      <c r="E1189" s="54">
        <v>0.82430555555555596</v>
      </c>
      <c r="F1189" s="56">
        <f t="shared" si="18"/>
        <v>0.83333333333333337</v>
      </c>
    </row>
    <row r="1190" spans="5:6" x14ac:dyDescent="0.3">
      <c r="E1190" s="54">
        <v>0.82499999999999996</v>
      </c>
      <c r="F1190" s="56">
        <f t="shared" si="18"/>
        <v>0.83333333333333337</v>
      </c>
    </row>
    <row r="1191" spans="5:6" x14ac:dyDescent="0.3">
      <c r="E1191" s="54">
        <v>0.82569444444444495</v>
      </c>
      <c r="F1191" s="56">
        <f t="shared" si="18"/>
        <v>0.83333333333333337</v>
      </c>
    </row>
    <row r="1192" spans="5:6" x14ac:dyDescent="0.3">
      <c r="E1192" s="54">
        <v>0.82638888888888895</v>
      </c>
      <c r="F1192" s="56">
        <f t="shared" si="18"/>
        <v>0.83333333333333337</v>
      </c>
    </row>
    <row r="1193" spans="5:6" x14ac:dyDescent="0.3">
      <c r="E1193" s="54">
        <v>0.82708333333333295</v>
      </c>
      <c r="F1193" s="56">
        <f t="shared" si="18"/>
        <v>0.83333333333333337</v>
      </c>
    </row>
    <row r="1194" spans="5:6" x14ac:dyDescent="0.3">
      <c r="E1194" s="54">
        <v>0.82777777777777795</v>
      </c>
      <c r="F1194" s="56">
        <f t="shared" si="18"/>
        <v>0.83333333333333337</v>
      </c>
    </row>
    <row r="1195" spans="5:6" x14ac:dyDescent="0.3">
      <c r="E1195" s="54">
        <v>0.82847222222222205</v>
      </c>
      <c r="F1195" s="56">
        <f t="shared" si="18"/>
        <v>0.83333333333333337</v>
      </c>
    </row>
    <row r="1196" spans="5:6" x14ac:dyDescent="0.3">
      <c r="E1196" s="54">
        <v>0.82916666666666705</v>
      </c>
      <c r="F1196" s="56">
        <f t="shared" si="18"/>
        <v>0.83333333333333337</v>
      </c>
    </row>
    <row r="1197" spans="5:6" x14ac:dyDescent="0.3">
      <c r="E1197" s="54">
        <v>0.82986111111111105</v>
      </c>
      <c r="F1197" s="56">
        <f t="shared" si="18"/>
        <v>0.83333333333333337</v>
      </c>
    </row>
    <row r="1198" spans="5:6" x14ac:dyDescent="0.3">
      <c r="E1198" s="54">
        <v>0.83055555555555605</v>
      </c>
      <c r="F1198" s="56">
        <f t="shared" si="18"/>
        <v>0.83333333333333337</v>
      </c>
    </row>
    <row r="1199" spans="5:6" x14ac:dyDescent="0.3">
      <c r="E1199" s="54">
        <v>0.83125000000000004</v>
      </c>
      <c r="F1199" s="56">
        <f t="shared" si="18"/>
        <v>0.83333333333333337</v>
      </c>
    </row>
    <row r="1200" spans="5:6" x14ac:dyDescent="0.3">
      <c r="E1200" s="54">
        <v>0.83194444444444404</v>
      </c>
      <c r="F1200" s="56">
        <f t="shared" si="18"/>
        <v>0.83333333333333337</v>
      </c>
    </row>
    <row r="1201" spans="5:6" x14ac:dyDescent="0.3">
      <c r="E1201" s="54">
        <v>0.83263888888888904</v>
      </c>
      <c r="F1201" s="56">
        <f t="shared" si="18"/>
        <v>0.83333333333333337</v>
      </c>
    </row>
    <row r="1202" spans="5:6" x14ac:dyDescent="0.3">
      <c r="E1202" s="54">
        <v>0.83333333333333304</v>
      </c>
      <c r="F1202" s="56">
        <f t="shared" si="18"/>
        <v>0.84375</v>
      </c>
    </row>
    <row r="1203" spans="5:6" x14ac:dyDescent="0.3">
      <c r="E1203" s="54">
        <v>0.83402777777777803</v>
      </c>
      <c r="F1203" s="56">
        <f t="shared" si="18"/>
        <v>0.84375</v>
      </c>
    </row>
    <row r="1204" spans="5:6" x14ac:dyDescent="0.3">
      <c r="E1204" s="54">
        <v>0.83472222222222203</v>
      </c>
      <c r="F1204" s="56">
        <f t="shared" si="18"/>
        <v>0.84375</v>
      </c>
    </row>
    <row r="1205" spans="5:6" x14ac:dyDescent="0.3">
      <c r="E1205" s="54">
        <v>0.83541666666666703</v>
      </c>
      <c r="F1205" s="56">
        <f t="shared" si="18"/>
        <v>0.84375</v>
      </c>
    </row>
    <row r="1206" spans="5:6" x14ac:dyDescent="0.3">
      <c r="E1206" s="54">
        <v>0.83611111111111103</v>
      </c>
      <c r="F1206" s="56">
        <f t="shared" si="18"/>
        <v>0.84375</v>
      </c>
    </row>
    <row r="1207" spans="5:6" x14ac:dyDescent="0.3">
      <c r="E1207" s="54">
        <v>0.83680555555555602</v>
      </c>
      <c r="F1207" s="56">
        <f t="shared" si="18"/>
        <v>0.84375</v>
      </c>
    </row>
    <row r="1208" spans="5:6" x14ac:dyDescent="0.3">
      <c r="E1208" s="54">
        <v>0.83750000000000002</v>
      </c>
      <c r="F1208" s="56">
        <f t="shared" si="18"/>
        <v>0.84375</v>
      </c>
    </row>
    <row r="1209" spans="5:6" x14ac:dyDescent="0.3">
      <c r="E1209" s="54">
        <v>0.83819444444444402</v>
      </c>
      <c r="F1209" s="56">
        <f t="shared" si="18"/>
        <v>0.84375</v>
      </c>
    </row>
    <row r="1210" spans="5:6" x14ac:dyDescent="0.3">
      <c r="E1210" s="54">
        <v>0.83888888888888902</v>
      </c>
      <c r="F1210" s="56">
        <f t="shared" si="18"/>
        <v>0.84375</v>
      </c>
    </row>
    <row r="1211" spans="5:6" x14ac:dyDescent="0.3">
      <c r="E1211" s="54">
        <v>0.83958333333333302</v>
      </c>
      <c r="F1211" s="56">
        <f t="shared" si="18"/>
        <v>0.84375</v>
      </c>
    </row>
    <row r="1212" spans="5:6" x14ac:dyDescent="0.3">
      <c r="E1212" s="54">
        <v>0.84027777777777801</v>
      </c>
      <c r="F1212" s="56">
        <f t="shared" si="18"/>
        <v>0.84375</v>
      </c>
    </row>
    <row r="1213" spans="5:6" x14ac:dyDescent="0.3">
      <c r="E1213" s="54">
        <v>0.84097222222222201</v>
      </c>
      <c r="F1213" s="56">
        <f t="shared" si="18"/>
        <v>0.84375</v>
      </c>
    </row>
    <row r="1214" spans="5:6" x14ac:dyDescent="0.3">
      <c r="E1214" s="54">
        <v>0.84166666666666701</v>
      </c>
      <c r="F1214" s="56">
        <f t="shared" si="18"/>
        <v>0.84375</v>
      </c>
    </row>
    <row r="1215" spans="5:6" x14ac:dyDescent="0.3">
      <c r="E1215" s="54">
        <v>0.84236111111111101</v>
      </c>
      <c r="F1215" s="56">
        <f t="shared" si="18"/>
        <v>0.84375</v>
      </c>
    </row>
    <row r="1216" spans="5:6" x14ac:dyDescent="0.3">
      <c r="E1216" s="54">
        <v>0.843055555555556</v>
      </c>
      <c r="F1216" s="56">
        <f t="shared" si="18"/>
        <v>0.84375</v>
      </c>
    </row>
    <row r="1217" spans="5:6" x14ac:dyDescent="0.3">
      <c r="E1217" s="54">
        <v>0.84375</v>
      </c>
      <c r="F1217" s="56">
        <f t="shared" si="18"/>
        <v>0.85416666666666663</v>
      </c>
    </row>
    <row r="1218" spans="5:6" x14ac:dyDescent="0.3">
      <c r="E1218" s="54">
        <v>0.844444444444444</v>
      </c>
      <c r="F1218" s="56">
        <f t="shared" si="18"/>
        <v>0.85416666666666663</v>
      </c>
    </row>
    <row r="1219" spans="5:6" x14ac:dyDescent="0.3">
      <c r="E1219" s="54">
        <v>0.84513888888888899</v>
      </c>
      <c r="F1219" s="56">
        <f t="shared" ref="F1219:F1282" si="19">ROUNDUP(E1219*4*24+1/60/24,0)/4/24</f>
        <v>0.85416666666666663</v>
      </c>
    </row>
    <row r="1220" spans="5:6" x14ac:dyDescent="0.3">
      <c r="E1220" s="54">
        <v>0.84583333333333299</v>
      </c>
      <c r="F1220" s="56">
        <f t="shared" si="19"/>
        <v>0.85416666666666663</v>
      </c>
    </row>
    <row r="1221" spans="5:6" x14ac:dyDescent="0.3">
      <c r="E1221" s="54">
        <v>0.84652777777777799</v>
      </c>
      <c r="F1221" s="56">
        <f t="shared" si="19"/>
        <v>0.85416666666666663</v>
      </c>
    </row>
    <row r="1222" spans="5:6" x14ac:dyDescent="0.3">
      <c r="E1222" s="54">
        <v>0.84722222222222199</v>
      </c>
      <c r="F1222" s="56">
        <f t="shared" si="19"/>
        <v>0.85416666666666663</v>
      </c>
    </row>
    <row r="1223" spans="5:6" x14ac:dyDescent="0.3">
      <c r="E1223" s="54">
        <v>0.84791666666666698</v>
      </c>
      <c r="F1223" s="56">
        <f t="shared" si="19"/>
        <v>0.85416666666666663</v>
      </c>
    </row>
    <row r="1224" spans="5:6" x14ac:dyDescent="0.3">
      <c r="E1224" s="54">
        <v>0.84861111111111098</v>
      </c>
      <c r="F1224" s="56">
        <f t="shared" si="19"/>
        <v>0.85416666666666663</v>
      </c>
    </row>
    <row r="1225" spans="5:6" x14ac:dyDescent="0.3">
      <c r="E1225" s="54">
        <v>0.84930555555555598</v>
      </c>
      <c r="F1225" s="56">
        <f t="shared" si="19"/>
        <v>0.85416666666666663</v>
      </c>
    </row>
    <row r="1226" spans="5:6" x14ac:dyDescent="0.3">
      <c r="E1226" s="54">
        <v>0.85</v>
      </c>
      <c r="F1226" s="56">
        <f t="shared" si="19"/>
        <v>0.85416666666666663</v>
      </c>
    </row>
    <row r="1227" spans="5:6" x14ac:dyDescent="0.3">
      <c r="E1227" s="54">
        <v>0.85069444444444497</v>
      </c>
      <c r="F1227" s="56">
        <f t="shared" si="19"/>
        <v>0.85416666666666663</v>
      </c>
    </row>
    <row r="1228" spans="5:6" x14ac:dyDescent="0.3">
      <c r="E1228" s="54">
        <v>0.85138888888888897</v>
      </c>
      <c r="F1228" s="56">
        <f t="shared" si="19"/>
        <v>0.85416666666666663</v>
      </c>
    </row>
    <row r="1229" spans="5:6" x14ac:dyDescent="0.3">
      <c r="E1229" s="54">
        <v>0.85208333333333297</v>
      </c>
      <c r="F1229" s="56">
        <f t="shared" si="19"/>
        <v>0.85416666666666663</v>
      </c>
    </row>
    <row r="1230" spans="5:6" x14ac:dyDescent="0.3">
      <c r="E1230" s="54">
        <v>0.85277777777777797</v>
      </c>
      <c r="F1230" s="56">
        <f t="shared" si="19"/>
        <v>0.85416666666666663</v>
      </c>
    </row>
    <row r="1231" spans="5:6" x14ac:dyDescent="0.3">
      <c r="E1231" s="54">
        <v>0.85347222222222197</v>
      </c>
      <c r="F1231" s="56">
        <f t="shared" si="19"/>
        <v>0.85416666666666663</v>
      </c>
    </row>
    <row r="1232" spans="5:6" x14ac:dyDescent="0.3">
      <c r="E1232" s="54">
        <v>0.85416666666666696</v>
      </c>
      <c r="F1232" s="56">
        <f t="shared" si="19"/>
        <v>0.86458333333333337</v>
      </c>
    </row>
    <row r="1233" spans="5:6" x14ac:dyDescent="0.3">
      <c r="E1233" s="54">
        <v>0.85486111111111096</v>
      </c>
      <c r="F1233" s="56">
        <f t="shared" si="19"/>
        <v>0.86458333333333337</v>
      </c>
    </row>
    <row r="1234" spans="5:6" x14ac:dyDescent="0.3">
      <c r="E1234" s="54">
        <v>0.85555555555555596</v>
      </c>
      <c r="F1234" s="56">
        <f t="shared" si="19"/>
        <v>0.86458333333333337</v>
      </c>
    </row>
    <row r="1235" spans="5:6" x14ac:dyDescent="0.3">
      <c r="E1235" s="54">
        <v>0.85624999999999996</v>
      </c>
      <c r="F1235" s="56">
        <f t="shared" si="19"/>
        <v>0.86458333333333337</v>
      </c>
    </row>
    <row r="1236" spans="5:6" x14ac:dyDescent="0.3">
      <c r="E1236" s="54">
        <v>0.85694444444444495</v>
      </c>
      <c r="F1236" s="56">
        <f t="shared" si="19"/>
        <v>0.86458333333333337</v>
      </c>
    </row>
    <row r="1237" spans="5:6" x14ac:dyDescent="0.3">
      <c r="E1237" s="54">
        <v>0.85763888888888895</v>
      </c>
      <c r="F1237" s="56">
        <f t="shared" si="19"/>
        <v>0.86458333333333337</v>
      </c>
    </row>
    <row r="1238" spans="5:6" x14ac:dyDescent="0.3">
      <c r="E1238" s="54">
        <v>0.85833333333333295</v>
      </c>
      <c r="F1238" s="56">
        <f t="shared" si="19"/>
        <v>0.86458333333333337</v>
      </c>
    </row>
    <row r="1239" spans="5:6" x14ac:dyDescent="0.3">
      <c r="E1239" s="54">
        <v>0.85902777777777795</v>
      </c>
      <c r="F1239" s="56">
        <f t="shared" si="19"/>
        <v>0.86458333333333337</v>
      </c>
    </row>
    <row r="1240" spans="5:6" x14ac:dyDescent="0.3">
      <c r="E1240" s="54">
        <v>0.85972222222222205</v>
      </c>
      <c r="F1240" s="56">
        <f t="shared" si="19"/>
        <v>0.86458333333333337</v>
      </c>
    </row>
    <row r="1241" spans="5:6" x14ac:dyDescent="0.3">
      <c r="E1241" s="54">
        <v>0.86041666666666705</v>
      </c>
      <c r="F1241" s="56">
        <f t="shared" si="19"/>
        <v>0.86458333333333337</v>
      </c>
    </row>
    <row r="1242" spans="5:6" x14ac:dyDescent="0.3">
      <c r="E1242" s="54">
        <v>0.86111111111111105</v>
      </c>
      <c r="F1242" s="56">
        <f t="shared" si="19"/>
        <v>0.86458333333333337</v>
      </c>
    </row>
    <row r="1243" spans="5:6" x14ac:dyDescent="0.3">
      <c r="E1243" s="54">
        <v>0.86180555555555605</v>
      </c>
      <c r="F1243" s="56">
        <f t="shared" si="19"/>
        <v>0.86458333333333337</v>
      </c>
    </row>
    <row r="1244" spans="5:6" x14ac:dyDescent="0.3">
      <c r="E1244" s="54">
        <v>0.86250000000000004</v>
      </c>
      <c r="F1244" s="56">
        <f t="shared" si="19"/>
        <v>0.86458333333333337</v>
      </c>
    </row>
    <row r="1245" spans="5:6" x14ac:dyDescent="0.3">
      <c r="E1245" s="54">
        <v>0.86319444444444404</v>
      </c>
      <c r="F1245" s="56">
        <f t="shared" si="19"/>
        <v>0.86458333333333337</v>
      </c>
    </row>
    <row r="1246" spans="5:6" x14ac:dyDescent="0.3">
      <c r="E1246" s="54">
        <v>0.86388888888888904</v>
      </c>
      <c r="F1246" s="56">
        <f t="shared" si="19"/>
        <v>0.86458333333333337</v>
      </c>
    </row>
    <row r="1247" spans="5:6" x14ac:dyDescent="0.3">
      <c r="E1247" s="54">
        <v>0.86458333333333304</v>
      </c>
      <c r="F1247" s="56">
        <f t="shared" si="19"/>
        <v>0.875</v>
      </c>
    </row>
    <row r="1248" spans="5:6" x14ac:dyDescent="0.3">
      <c r="E1248" s="54">
        <v>0.86527777777777803</v>
      </c>
      <c r="F1248" s="56">
        <f t="shared" si="19"/>
        <v>0.875</v>
      </c>
    </row>
    <row r="1249" spans="5:6" x14ac:dyDescent="0.3">
      <c r="E1249" s="54">
        <v>0.86597222222222203</v>
      </c>
      <c r="F1249" s="56">
        <f t="shared" si="19"/>
        <v>0.875</v>
      </c>
    </row>
    <row r="1250" spans="5:6" x14ac:dyDescent="0.3">
      <c r="E1250" s="54">
        <v>0.86666666666666703</v>
      </c>
      <c r="F1250" s="56">
        <f t="shared" si="19"/>
        <v>0.875</v>
      </c>
    </row>
    <row r="1251" spans="5:6" x14ac:dyDescent="0.3">
      <c r="E1251" s="54">
        <v>0.86736111111111103</v>
      </c>
      <c r="F1251" s="56">
        <f t="shared" si="19"/>
        <v>0.875</v>
      </c>
    </row>
    <row r="1252" spans="5:6" x14ac:dyDescent="0.3">
      <c r="E1252" s="54">
        <v>0.86805555555555602</v>
      </c>
      <c r="F1252" s="56">
        <f t="shared" si="19"/>
        <v>0.875</v>
      </c>
    </row>
    <row r="1253" spans="5:6" x14ac:dyDescent="0.3">
      <c r="E1253" s="54">
        <v>0.86875000000000002</v>
      </c>
      <c r="F1253" s="56">
        <f t="shared" si="19"/>
        <v>0.875</v>
      </c>
    </row>
    <row r="1254" spans="5:6" x14ac:dyDescent="0.3">
      <c r="E1254" s="54">
        <v>0.86944444444444402</v>
      </c>
      <c r="F1254" s="56">
        <f t="shared" si="19"/>
        <v>0.875</v>
      </c>
    </row>
    <row r="1255" spans="5:6" x14ac:dyDescent="0.3">
      <c r="E1255" s="54">
        <v>0.87013888888888902</v>
      </c>
      <c r="F1255" s="56">
        <f t="shared" si="19"/>
        <v>0.875</v>
      </c>
    </row>
    <row r="1256" spans="5:6" x14ac:dyDescent="0.3">
      <c r="E1256" s="54">
        <v>0.87083333333333302</v>
      </c>
      <c r="F1256" s="56">
        <f t="shared" si="19"/>
        <v>0.875</v>
      </c>
    </row>
    <row r="1257" spans="5:6" x14ac:dyDescent="0.3">
      <c r="E1257" s="54">
        <v>0.87152777777777801</v>
      </c>
      <c r="F1257" s="56">
        <f t="shared" si="19"/>
        <v>0.875</v>
      </c>
    </row>
    <row r="1258" spans="5:6" x14ac:dyDescent="0.3">
      <c r="E1258" s="54">
        <v>0.87222222222222201</v>
      </c>
      <c r="F1258" s="56">
        <f t="shared" si="19"/>
        <v>0.875</v>
      </c>
    </row>
    <row r="1259" spans="5:6" x14ac:dyDescent="0.3">
      <c r="E1259" s="54">
        <v>0.87291666666666701</v>
      </c>
      <c r="F1259" s="56">
        <f t="shared" si="19"/>
        <v>0.875</v>
      </c>
    </row>
    <row r="1260" spans="5:6" x14ac:dyDescent="0.3">
      <c r="E1260" s="54">
        <v>0.87361111111111101</v>
      </c>
      <c r="F1260" s="56">
        <f t="shared" si="19"/>
        <v>0.875</v>
      </c>
    </row>
    <row r="1261" spans="5:6" x14ac:dyDescent="0.3">
      <c r="E1261" s="54">
        <v>0.874305555555556</v>
      </c>
      <c r="F1261" s="56">
        <f t="shared" si="19"/>
        <v>0.875</v>
      </c>
    </row>
    <row r="1262" spans="5:6" x14ac:dyDescent="0.3">
      <c r="E1262" s="54">
        <v>0.875</v>
      </c>
      <c r="F1262" s="56">
        <f t="shared" si="19"/>
        <v>0.88541666666666663</v>
      </c>
    </row>
    <row r="1263" spans="5:6" x14ac:dyDescent="0.3">
      <c r="E1263" s="54">
        <v>0.875694444444444</v>
      </c>
      <c r="F1263" s="56">
        <f t="shared" si="19"/>
        <v>0.88541666666666663</v>
      </c>
    </row>
    <row r="1264" spans="5:6" x14ac:dyDescent="0.3">
      <c r="E1264" s="54">
        <v>0.87638888888888899</v>
      </c>
      <c r="F1264" s="56">
        <f t="shared" si="19"/>
        <v>0.88541666666666663</v>
      </c>
    </row>
    <row r="1265" spans="5:6" x14ac:dyDescent="0.3">
      <c r="E1265" s="54">
        <v>0.87708333333333299</v>
      </c>
      <c r="F1265" s="56">
        <f t="shared" si="19"/>
        <v>0.88541666666666663</v>
      </c>
    </row>
    <row r="1266" spans="5:6" x14ac:dyDescent="0.3">
      <c r="E1266" s="54">
        <v>0.87777777777777799</v>
      </c>
      <c r="F1266" s="56">
        <f t="shared" si="19"/>
        <v>0.88541666666666663</v>
      </c>
    </row>
    <row r="1267" spans="5:6" x14ac:dyDescent="0.3">
      <c r="E1267" s="54">
        <v>0.87847222222222199</v>
      </c>
      <c r="F1267" s="56">
        <f t="shared" si="19"/>
        <v>0.88541666666666663</v>
      </c>
    </row>
    <row r="1268" spans="5:6" x14ac:dyDescent="0.3">
      <c r="E1268" s="54">
        <v>0.87916666666666698</v>
      </c>
      <c r="F1268" s="56">
        <f t="shared" si="19"/>
        <v>0.88541666666666663</v>
      </c>
    </row>
    <row r="1269" spans="5:6" x14ac:dyDescent="0.3">
      <c r="E1269" s="54">
        <v>0.87986111111111098</v>
      </c>
      <c r="F1269" s="56">
        <f t="shared" si="19"/>
        <v>0.88541666666666663</v>
      </c>
    </row>
    <row r="1270" spans="5:6" x14ac:dyDescent="0.3">
      <c r="E1270" s="54">
        <v>0.88055555555555598</v>
      </c>
      <c r="F1270" s="56">
        <f t="shared" si="19"/>
        <v>0.88541666666666663</v>
      </c>
    </row>
    <row r="1271" spans="5:6" x14ac:dyDescent="0.3">
      <c r="E1271" s="54">
        <v>0.88124999999999998</v>
      </c>
      <c r="F1271" s="56">
        <f t="shared" si="19"/>
        <v>0.88541666666666663</v>
      </c>
    </row>
    <row r="1272" spans="5:6" x14ac:dyDescent="0.3">
      <c r="E1272" s="54">
        <v>0.88194444444444497</v>
      </c>
      <c r="F1272" s="56">
        <f t="shared" si="19"/>
        <v>0.88541666666666663</v>
      </c>
    </row>
    <row r="1273" spans="5:6" x14ac:dyDescent="0.3">
      <c r="E1273" s="54">
        <v>0.88263888888888897</v>
      </c>
      <c r="F1273" s="56">
        <f t="shared" si="19"/>
        <v>0.88541666666666663</v>
      </c>
    </row>
    <row r="1274" spans="5:6" x14ac:dyDescent="0.3">
      <c r="E1274" s="54">
        <v>0.88333333333333297</v>
      </c>
      <c r="F1274" s="56">
        <f t="shared" si="19"/>
        <v>0.88541666666666663</v>
      </c>
    </row>
    <row r="1275" spans="5:6" x14ac:dyDescent="0.3">
      <c r="E1275" s="54">
        <v>0.88402777777777797</v>
      </c>
      <c r="F1275" s="56">
        <f t="shared" si="19"/>
        <v>0.88541666666666663</v>
      </c>
    </row>
    <row r="1276" spans="5:6" x14ac:dyDescent="0.3">
      <c r="E1276" s="54">
        <v>0.88472222222222197</v>
      </c>
      <c r="F1276" s="56">
        <f t="shared" si="19"/>
        <v>0.88541666666666663</v>
      </c>
    </row>
    <row r="1277" spans="5:6" x14ac:dyDescent="0.3">
      <c r="E1277" s="54">
        <v>0.88541666666666696</v>
      </c>
      <c r="F1277" s="56">
        <f t="shared" si="19"/>
        <v>0.89583333333333337</v>
      </c>
    </row>
    <row r="1278" spans="5:6" x14ac:dyDescent="0.3">
      <c r="E1278" s="54">
        <v>0.88611111111111096</v>
      </c>
      <c r="F1278" s="56">
        <f t="shared" si="19"/>
        <v>0.89583333333333337</v>
      </c>
    </row>
    <row r="1279" spans="5:6" x14ac:dyDescent="0.3">
      <c r="E1279" s="54">
        <v>0.88680555555555596</v>
      </c>
      <c r="F1279" s="56">
        <f t="shared" si="19"/>
        <v>0.89583333333333337</v>
      </c>
    </row>
    <row r="1280" spans="5:6" x14ac:dyDescent="0.3">
      <c r="E1280" s="54">
        <v>0.88749999999999996</v>
      </c>
      <c r="F1280" s="56">
        <f t="shared" si="19"/>
        <v>0.89583333333333337</v>
      </c>
    </row>
    <row r="1281" spans="5:6" x14ac:dyDescent="0.3">
      <c r="E1281" s="54">
        <v>0.88819444444444495</v>
      </c>
      <c r="F1281" s="56">
        <f t="shared" si="19"/>
        <v>0.89583333333333337</v>
      </c>
    </row>
    <row r="1282" spans="5:6" x14ac:dyDescent="0.3">
      <c r="E1282" s="54">
        <v>0.88888888888888895</v>
      </c>
      <c r="F1282" s="56">
        <f t="shared" si="19"/>
        <v>0.89583333333333337</v>
      </c>
    </row>
    <row r="1283" spans="5:6" x14ac:dyDescent="0.3">
      <c r="E1283" s="54">
        <v>0.88958333333333295</v>
      </c>
      <c r="F1283" s="56">
        <f t="shared" ref="F1283:F1346" si="20">ROUNDUP(E1283*4*24+1/60/24,0)/4/24</f>
        <v>0.89583333333333337</v>
      </c>
    </row>
    <row r="1284" spans="5:6" x14ac:dyDescent="0.3">
      <c r="E1284" s="54">
        <v>0.89027777777777795</v>
      </c>
      <c r="F1284" s="56">
        <f t="shared" si="20"/>
        <v>0.89583333333333337</v>
      </c>
    </row>
    <row r="1285" spans="5:6" x14ac:dyDescent="0.3">
      <c r="E1285" s="54">
        <v>0.89097222222222205</v>
      </c>
      <c r="F1285" s="56">
        <f t="shared" si="20"/>
        <v>0.89583333333333337</v>
      </c>
    </row>
    <row r="1286" spans="5:6" x14ac:dyDescent="0.3">
      <c r="E1286" s="54">
        <v>0.89166666666666705</v>
      </c>
      <c r="F1286" s="56">
        <f t="shared" si="20"/>
        <v>0.89583333333333337</v>
      </c>
    </row>
    <row r="1287" spans="5:6" x14ac:dyDescent="0.3">
      <c r="E1287" s="54">
        <v>0.89236111111111105</v>
      </c>
      <c r="F1287" s="56">
        <f t="shared" si="20"/>
        <v>0.89583333333333337</v>
      </c>
    </row>
    <row r="1288" spans="5:6" x14ac:dyDescent="0.3">
      <c r="E1288" s="54">
        <v>0.89305555555555605</v>
      </c>
      <c r="F1288" s="56">
        <f t="shared" si="20"/>
        <v>0.89583333333333337</v>
      </c>
    </row>
    <row r="1289" spans="5:6" x14ac:dyDescent="0.3">
      <c r="E1289" s="54">
        <v>0.89375000000000004</v>
      </c>
      <c r="F1289" s="56">
        <f t="shared" si="20"/>
        <v>0.89583333333333337</v>
      </c>
    </row>
    <row r="1290" spans="5:6" x14ac:dyDescent="0.3">
      <c r="E1290" s="54">
        <v>0.89444444444444404</v>
      </c>
      <c r="F1290" s="56">
        <f t="shared" si="20"/>
        <v>0.89583333333333337</v>
      </c>
    </row>
    <row r="1291" spans="5:6" x14ac:dyDescent="0.3">
      <c r="E1291" s="54">
        <v>0.89513888888888904</v>
      </c>
      <c r="F1291" s="56">
        <f t="shared" si="20"/>
        <v>0.89583333333333337</v>
      </c>
    </row>
    <row r="1292" spans="5:6" x14ac:dyDescent="0.3">
      <c r="E1292" s="54">
        <v>0.89583333333333304</v>
      </c>
      <c r="F1292" s="56">
        <f t="shared" si="20"/>
        <v>0.90625</v>
      </c>
    </row>
    <row r="1293" spans="5:6" x14ac:dyDescent="0.3">
      <c r="E1293" s="54">
        <v>0.89652777777777803</v>
      </c>
      <c r="F1293" s="56">
        <f t="shared" si="20"/>
        <v>0.90625</v>
      </c>
    </row>
    <row r="1294" spans="5:6" x14ac:dyDescent="0.3">
      <c r="E1294" s="54">
        <v>0.89722222222222203</v>
      </c>
      <c r="F1294" s="56">
        <f t="shared" si="20"/>
        <v>0.90625</v>
      </c>
    </row>
    <row r="1295" spans="5:6" x14ac:dyDescent="0.3">
      <c r="E1295" s="54">
        <v>0.89791666666666703</v>
      </c>
      <c r="F1295" s="56">
        <f t="shared" si="20"/>
        <v>0.90625</v>
      </c>
    </row>
    <row r="1296" spans="5:6" x14ac:dyDescent="0.3">
      <c r="E1296" s="54">
        <v>0.89861111111111103</v>
      </c>
      <c r="F1296" s="56">
        <f t="shared" si="20"/>
        <v>0.90625</v>
      </c>
    </row>
    <row r="1297" spans="5:6" x14ac:dyDescent="0.3">
      <c r="E1297" s="54">
        <v>0.89930555555555602</v>
      </c>
      <c r="F1297" s="56">
        <f t="shared" si="20"/>
        <v>0.90625</v>
      </c>
    </row>
    <row r="1298" spans="5:6" x14ac:dyDescent="0.3">
      <c r="E1298" s="54">
        <v>0.9</v>
      </c>
      <c r="F1298" s="56">
        <f t="shared" si="20"/>
        <v>0.90625</v>
      </c>
    </row>
    <row r="1299" spans="5:6" x14ac:dyDescent="0.3">
      <c r="E1299" s="54">
        <v>0.90069444444444402</v>
      </c>
      <c r="F1299" s="56">
        <f t="shared" si="20"/>
        <v>0.90625</v>
      </c>
    </row>
    <row r="1300" spans="5:6" x14ac:dyDescent="0.3">
      <c r="E1300" s="54">
        <v>0.90138888888888902</v>
      </c>
      <c r="F1300" s="56">
        <f t="shared" si="20"/>
        <v>0.90625</v>
      </c>
    </row>
    <row r="1301" spans="5:6" x14ac:dyDescent="0.3">
      <c r="E1301" s="54">
        <v>0.90208333333333302</v>
      </c>
      <c r="F1301" s="56">
        <f t="shared" si="20"/>
        <v>0.90625</v>
      </c>
    </row>
    <row r="1302" spans="5:6" x14ac:dyDescent="0.3">
      <c r="E1302" s="54">
        <v>0.90277777777777801</v>
      </c>
      <c r="F1302" s="56">
        <f t="shared" si="20"/>
        <v>0.90625</v>
      </c>
    </row>
    <row r="1303" spans="5:6" x14ac:dyDescent="0.3">
      <c r="E1303" s="54">
        <v>0.90347222222222201</v>
      </c>
      <c r="F1303" s="56">
        <f t="shared" si="20"/>
        <v>0.90625</v>
      </c>
    </row>
    <row r="1304" spans="5:6" x14ac:dyDescent="0.3">
      <c r="E1304" s="54">
        <v>0.90416666666666701</v>
      </c>
      <c r="F1304" s="56">
        <f t="shared" si="20"/>
        <v>0.90625</v>
      </c>
    </row>
    <row r="1305" spans="5:6" x14ac:dyDescent="0.3">
      <c r="E1305" s="54">
        <v>0.90486111111111101</v>
      </c>
      <c r="F1305" s="56">
        <f t="shared" si="20"/>
        <v>0.90625</v>
      </c>
    </row>
    <row r="1306" spans="5:6" x14ac:dyDescent="0.3">
      <c r="E1306" s="54">
        <v>0.905555555555556</v>
      </c>
      <c r="F1306" s="56">
        <f t="shared" si="20"/>
        <v>0.90625</v>
      </c>
    </row>
    <row r="1307" spans="5:6" x14ac:dyDescent="0.3">
      <c r="E1307" s="54">
        <v>0.90625</v>
      </c>
      <c r="F1307" s="56">
        <f t="shared" si="20"/>
        <v>0.91666666666666663</v>
      </c>
    </row>
    <row r="1308" spans="5:6" x14ac:dyDescent="0.3">
      <c r="E1308" s="54">
        <v>0.906944444444444</v>
      </c>
      <c r="F1308" s="56">
        <f t="shared" si="20"/>
        <v>0.91666666666666663</v>
      </c>
    </row>
    <row r="1309" spans="5:6" x14ac:dyDescent="0.3">
      <c r="E1309" s="54">
        <v>0.90763888888888899</v>
      </c>
      <c r="F1309" s="56">
        <f t="shared" si="20"/>
        <v>0.91666666666666663</v>
      </c>
    </row>
    <row r="1310" spans="5:6" x14ac:dyDescent="0.3">
      <c r="E1310" s="54">
        <v>0.90833333333333299</v>
      </c>
      <c r="F1310" s="56">
        <f t="shared" si="20"/>
        <v>0.91666666666666663</v>
      </c>
    </row>
    <row r="1311" spans="5:6" x14ac:dyDescent="0.3">
      <c r="E1311" s="54">
        <v>0.90902777777777799</v>
      </c>
      <c r="F1311" s="56">
        <f t="shared" si="20"/>
        <v>0.91666666666666663</v>
      </c>
    </row>
    <row r="1312" spans="5:6" x14ac:dyDescent="0.3">
      <c r="E1312" s="54">
        <v>0.90972222222222199</v>
      </c>
      <c r="F1312" s="56">
        <f t="shared" si="20"/>
        <v>0.91666666666666663</v>
      </c>
    </row>
    <row r="1313" spans="5:6" x14ac:dyDescent="0.3">
      <c r="E1313" s="54">
        <v>0.91041666666666698</v>
      </c>
      <c r="F1313" s="56">
        <f t="shared" si="20"/>
        <v>0.91666666666666663</v>
      </c>
    </row>
    <row r="1314" spans="5:6" x14ac:dyDescent="0.3">
      <c r="E1314" s="54">
        <v>0.91111111111111098</v>
      </c>
      <c r="F1314" s="56">
        <f t="shared" si="20"/>
        <v>0.91666666666666663</v>
      </c>
    </row>
    <row r="1315" spans="5:6" x14ac:dyDescent="0.3">
      <c r="E1315" s="54">
        <v>0.91180555555555598</v>
      </c>
      <c r="F1315" s="56">
        <f t="shared" si="20"/>
        <v>0.91666666666666663</v>
      </c>
    </row>
    <row r="1316" spans="5:6" x14ac:dyDescent="0.3">
      <c r="E1316" s="54">
        <v>0.91249999999999998</v>
      </c>
      <c r="F1316" s="56">
        <f t="shared" si="20"/>
        <v>0.91666666666666663</v>
      </c>
    </row>
    <row r="1317" spans="5:6" x14ac:dyDescent="0.3">
      <c r="E1317" s="54">
        <v>0.91319444444444497</v>
      </c>
      <c r="F1317" s="56">
        <f t="shared" si="20"/>
        <v>0.91666666666666663</v>
      </c>
    </row>
    <row r="1318" spans="5:6" x14ac:dyDescent="0.3">
      <c r="E1318" s="54">
        <v>0.91388888888888897</v>
      </c>
      <c r="F1318" s="56">
        <f t="shared" si="20"/>
        <v>0.91666666666666663</v>
      </c>
    </row>
    <row r="1319" spans="5:6" x14ac:dyDescent="0.3">
      <c r="E1319" s="54">
        <v>0.91458333333333297</v>
      </c>
      <c r="F1319" s="56">
        <f t="shared" si="20"/>
        <v>0.91666666666666663</v>
      </c>
    </row>
    <row r="1320" spans="5:6" x14ac:dyDescent="0.3">
      <c r="E1320" s="54">
        <v>0.91527777777777797</v>
      </c>
      <c r="F1320" s="56">
        <f t="shared" si="20"/>
        <v>0.91666666666666663</v>
      </c>
    </row>
    <row r="1321" spans="5:6" x14ac:dyDescent="0.3">
      <c r="E1321" s="54">
        <v>0.91597222222222197</v>
      </c>
      <c r="F1321" s="56">
        <f t="shared" si="20"/>
        <v>0.91666666666666663</v>
      </c>
    </row>
    <row r="1322" spans="5:6" x14ac:dyDescent="0.3">
      <c r="E1322" s="54">
        <v>0.91666666666666696</v>
      </c>
      <c r="F1322" s="56">
        <f t="shared" si="20"/>
        <v>0.92708333333333337</v>
      </c>
    </row>
    <row r="1323" spans="5:6" x14ac:dyDescent="0.3">
      <c r="E1323" s="54">
        <v>0.91736111111111096</v>
      </c>
      <c r="F1323" s="56">
        <f t="shared" si="20"/>
        <v>0.92708333333333337</v>
      </c>
    </row>
    <row r="1324" spans="5:6" x14ac:dyDescent="0.3">
      <c r="E1324" s="54">
        <v>0.91805555555555596</v>
      </c>
      <c r="F1324" s="56">
        <f t="shared" si="20"/>
        <v>0.92708333333333337</v>
      </c>
    </row>
    <row r="1325" spans="5:6" x14ac:dyDescent="0.3">
      <c r="E1325" s="54">
        <v>0.91874999999999996</v>
      </c>
      <c r="F1325" s="56">
        <f t="shared" si="20"/>
        <v>0.92708333333333337</v>
      </c>
    </row>
    <row r="1326" spans="5:6" x14ac:dyDescent="0.3">
      <c r="E1326" s="54">
        <v>0.91944444444444495</v>
      </c>
      <c r="F1326" s="56">
        <f t="shared" si="20"/>
        <v>0.92708333333333337</v>
      </c>
    </row>
    <row r="1327" spans="5:6" x14ac:dyDescent="0.3">
      <c r="E1327" s="54">
        <v>0.92013888888888895</v>
      </c>
      <c r="F1327" s="56">
        <f t="shared" si="20"/>
        <v>0.92708333333333337</v>
      </c>
    </row>
    <row r="1328" spans="5:6" x14ac:dyDescent="0.3">
      <c r="E1328" s="54">
        <v>0.92083333333333295</v>
      </c>
      <c r="F1328" s="56">
        <f t="shared" si="20"/>
        <v>0.92708333333333337</v>
      </c>
    </row>
    <row r="1329" spans="5:6" x14ac:dyDescent="0.3">
      <c r="E1329" s="54">
        <v>0.92152777777777795</v>
      </c>
      <c r="F1329" s="56">
        <f t="shared" si="20"/>
        <v>0.92708333333333337</v>
      </c>
    </row>
    <row r="1330" spans="5:6" x14ac:dyDescent="0.3">
      <c r="E1330" s="54">
        <v>0.92222222222222205</v>
      </c>
      <c r="F1330" s="56">
        <f t="shared" si="20"/>
        <v>0.92708333333333337</v>
      </c>
    </row>
    <row r="1331" spans="5:6" x14ac:dyDescent="0.3">
      <c r="E1331" s="54">
        <v>0.92291666666666705</v>
      </c>
      <c r="F1331" s="56">
        <f t="shared" si="20"/>
        <v>0.92708333333333337</v>
      </c>
    </row>
    <row r="1332" spans="5:6" x14ac:dyDescent="0.3">
      <c r="E1332" s="54">
        <v>0.92361111111111105</v>
      </c>
      <c r="F1332" s="56">
        <f t="shared" si="20"/>
        <v>0.92708333333333337</v>
      </c>
    </row>
    <row r="1333" spans="5:6" x14ac:dyDescent="0.3">
      <c r="E1333" s="54">
        <v>0.92430555555555605</v>
      </c>
      <c r="F1333" s="56">
        <f t="shared" si="20"/>
        <v>0.92708333333333337</v>
      </c>
    </row>
    <row r="1334" spans="5:6" x14ac:dyDescent="0.3">
      <c r="E1334" s="54">
        <v>0.92500000000000004</v>
      </c>
      <c r="F1334" s="56">
        <f t="shared" si="20"/>
        <v>0.92708333333333337</v>
      </c>
    </row>
    <row r="1335" spans="5:6" x14ac:dyDescent="0.3">
      <c r="E1335" s="54">
        <v>0.92569444444444404</v>
      </c>
      <c r="F1335" s="56">
        <f t="shared" si="20"/>
        <v>0.92708333333333337</v>
      </c>
    </row>
    <row r="1336" spans="5:6" x14ac:dyDescent="0.3">
      <c r="E1336" s="54">
        <v>0.92638888888888904</v>
      </c>
      <c r="F1336" s="56">
        <f t="shared" si="20"/>
        <v>0.92708333333333337</v>
      </c>
    </row>
    <row r="1337" spans="5:6" x14ac:dyDescent="0.3">
      <c r="E1337" s="54">
        <v>0.92708333333333304</v>
      </c>
      <c r="F1337" s="56">
        <f t="shared" si="20"/>
        <v>0.9375</v>
      </c>
    </row>
    <row r="1338" spans="5:6" x14ac:dyDescent="0.3">
      <c r="E1338" s="54">
        <v>0.92777777777777803</v>
      </c>
      <c r="F1338" s="56">
        <f t="shared" si="20"/>
        <v>0.9375</v>
      </c>
    </row>
    <row r="1339" spans="5:6" x14ac:dyDescent="0.3">
      <c r="E1339" s="54">
        <v>0.92847222222222203</v>
      </c>
      <c r="F1339" s="56">
        <f t="shared" si="20"/>
        <v>0.9375</v>
      </c>
    </row>
    <row r="1340" spans="5:6" x14ac:dyDescent="0.3">
      <c r="E1340" s="54">
        <v>0.92916666666666703</v>
      </c>
      <c r="F1340" s="56">
        <f t="shared" si="20"/>
        <v>0.9375</v>
      </c>
    </row>
    <row r="1341" spans="5:6" x14ac:dyDescent="0.3">
      <c r="E1341" s="54">
        <v>0.92986111111111103</v>
      </c>
      <c r="F1341" s="56">
        <f t="shared" si="20"/>
        <v>0.9375</v>
      </c>
    </row>
    <row r="1342" spans="5:6" x14ac:dyDescent="0.3">
      <c r="E1342" s="54">
        <v>0.93055555555555602</v>
      </c>
      <c r="F1342" s="56">
        <f t="shared" si="20"/>
        <v>0.9375</v>
      </c>
    </row>
    <row r="1343" spans="5:6" x14ac:dyDescent="0.3">
      <c r="E1343" s="54">
        <v>0.93125000000000002</v>
      </c>
      <c r="F1343" s="56">
        <f t="shared" si="20"/>
        <v>0.9375</v>
      </c>
    </row>
    <row r="1344" spans="5:6" x14ac:dyDescent="0.3">
      <c r="E1344" s="54">
        <v>0.93194444444444402</v>
      </c>
      <c r="F1344" s="56">
        <f t="shared" si="20"/>
        <v>0.9375</v>
      </c>
    </row>
    <row r="1345" spans="5:6" x14ac:dyDescent="0.3">
      <c r="E1345" s="54">
        <v>0.93263888888888902</v>
      </c>
      <c r="F1345" s="56">
        <f t="shared" si="20"/>
        <v>0.9375</v>
      </c>
    </row>
    <row r="1346" spans="5:6" x14ac:dyDescent="0.3">
      <c r="E1346" s="54">
        <v>0.93333333333333302</v>
      </c>
      <c r="F1346" s="56">
        <f t="shared" si="20"/>
        <v>0.9375</v>
      </c>
    </row>
    <row r="1347" spans="5:6" x14ac:dyDescent="0.3">
      <c r="E1347" s="54">
        <v>0.93402777777777801</v>
      </c>
      <c r="F1347" s="56">
        <f t="shared" ref="F1347:F1410" si="21">ROUNDUP(E1347*4*24+1/60/24,0)/4/24</f>
        <v>0.9375</v>
      </c>
    </row>
    <row r="1348" spans="5:6" x14ac:dyDescent="0.3">
      <c r="E1348" s="54">
        <v>0.93472222222222201</v>
      </c>
      <c r="F1348" s="56">
        <f t="shared" si="21"/>
        <v>0.9375</v>
      </c>
    </row>
    <row r="1349" spans="5:6" x14ac:dyDescent="0.3">
      <c r="E1349" s="54">
        <v>0.93541666666666701</v>
      </c>
      <c r="F1349" s="56">
        <f t="shared" si="21"/>
        <v>0.9375</v>
      </c>
    </row>
    <row r="1350" spans="5:6" x14ac:dyDescent="0.3">
      <c r="E1350" s="54">
        <v>0.93611111111111101</v>
      </c>
      <c r="F1350" s="56">
        <f t="shared" si="21"/>
        <v>0.9375</v>
      </c>
    </row>
    <row r="1351" spans="5:6" x14ac:dyDescent="0.3">
      <c r="E1351" s="54">
        <v>0.936805555555556</v>
      </c>
      <c r="F1351" s="56">
        <f t="shared" si="21"/>
        <v>0.9375</v>
      </c>
    </row>
    <row r="1352" spans="5:6" x14ac:dyDescent="0.3">
      <c r="E1352" s="54">
        <v>0.9375</v>
      </c>
      <c r="F1352" s="56">
        <f t="shared" si="21"/>
        <v>0.94791666666666663</v>
      </c>
    </row>
    <row r="1353" spans="5:6" x14ac:dyDescent="0.3">
      <c r="E1353" s="54">
        <v>0.938194444444444</v>
      </c>
      <c r="F1353" s="56">
        <f t="shared" si="21"/>
        <v>0.94791666666666663</v>
      </c>
    </row>
    <row r="1354" spans="5:6" x14ac:dyDescent="0.3">
      <c r="E1354" s="54">
        <v>0.93888888888888899</v>
      </c>
      <c r="F1354" s="56">
        <f t="shared" si="21"/>
        <v>0.94791666666666663</v>
      </c>
    </row>
    <row r="1355" spans="5:6" x14ac:dyDescent="0.3">
      <c r="E1355" s="54">
        <v>0.93958333333333299</v>
      </c>
      <c r="F1355" s="56">
        <f t="shared" si="21"/>
        <v>0.94791666666666663</v>
      </c>
    </row>
    <row r="1356" spans="5:6" x14ac:dyDescent="0.3">
      <c r="E1356" s="54">
        <v>0.94027777777777799</v>
      </c>
      <c r="F1356" s="56">
        <f t="shared" si="21"/>
        <v>0.94791666666666663</v>
      </c>
    </row>
    <row r="1357" spans="5:6" x14ac:dyDescent="0.3">
      <c r="E1357" s="54">
        <v>0.94097222222222199</v>
      </c>
      <c r="F1357" s="56">
        <f t="shared" si="21"/>
        <v>0.94791666666666663</v>
      </c>
    </row>
    <row r="1358" spans="5:6" x14ac:dyDescent="0.3">
      <c r="E1358" s="54">
        <v>0.94166666666666698</v>
      </c>
      <c r="F1358" s="56">
        <f t="shared" si="21"/>
        <v>0.94791666666666663</v>
      </c>
    </row>
    <row r="1359" spans="5:6" x14ac:dyDescent="0.3">
      <c r="E1359" s="54">
        <v>0.94236111111111098</v>
      </c>
      <c r="F1359" s="56">
        <f t="shared" si="21"/>
        <v>0.94791666666666663</v>
      </c>
    </row>
    <row r="1360" spans="5:6" x14ac:dyDescent="0.3">
      <c r="E1360" s="54">
        <v>0.94305555555555598</v>
      </c>
      <c r="F1360" s="56">
        <f t="shared" si="21"/>
        <v>0.94791666666666663</v>
      </c>
    </row>
    <row r="1361" spans="5:6" x14ac:dyDescent="0.3">
      <c r="E1361" s="54">
        <v>0.94374999999999998</v>
      </c>
      <c r="F1361" s="56">
        <f t="shared" si="21"/>
        <v>0.94791666666666663</v>
      </c>
    </row>
    <row r="1362" spans="5:6" x14ac:dyDescent="0.3">
      <c r="E1362" s="54">
        <v>0.94444444444444497</v>
      </c>
      <c r="F1362" s="56">
        <f t="shared" si="21"/>
        <v>0.94791666666666663</v>
      </c>
    </row>
    <row r="1363" spans="5:6" x14ac:dyDescent="0.3">
      <c r="E1363" s="54">
        <v>0.94513888888888897</v>
      </c>
      <c r="F1363" s="56">
        <f t="shared" si="21"/>
        <v>0.94791666666666663</v>
      </c>
    </row>
    <row r="1364" spans="5:6" x14ac:dyDescent="0.3">
      <c r="E1364" s="54">
        <v>0.94583333333333297</v>
      </c>
      <c r="F1364" s="56">
        <f t="shared" si="21"/>
        <v>0.94791666666666663</v>
      </c>
    </row>
    <row r="1365" spans="5:6" x14ac:dyDescent="0.3">
      <c r="E1365" s="54">
        <v>0.94652777777777797</v>
      </c>
      <c r="F1365" s="56">
        <f t="shared" si="21"/>
        <v>0.94791666666666663</v>
      </c>
    </row>
    <row r="1366" spans="5:6" x14ac:dyDescent="0.3">
      <c r="E1366" s="54">
        <v>0.94722222222222197</v>
      </c>
      <c r="F1366" s="56">
        <f t="shared" si="21"/>
        <v>0.94791666666666663</v>
      </c>
    </row>
    <row r="1367" spans="5:6" x14ac:dyDescent="0.3">
      <c r="E1367" s="54">
        <v>0.94791666666666696</v>
      </c>
      <c r="F1367" s="56">
        <f t="shared" si="21"/>
        <v>0.95833333333333337</v>
      </c>
    </row>
    <row r="1368" spans="5:6" x14ac:dyDescent="0.3">
      <c r="E1368" s="54">
        <v>0.94861111111111096</v>
      </c>
      <c r="F1368" s="56">
        <f t="shared" si="21"/>
        <v>0.95833333333333337</v>
      </c>
    </row>
    <row r="1369" spans="5:6" x14ac:dyDescent="0.3">
      <c r="E1369" s="54">
        <v>0.94930555555555596</v>
      </c>
      <c r="F1369" s="56">
        <f t="shared" si="21"/>
        <v>0.95833333333333337</v>
      </c>
    </row>
    <row r="1370" spans="5:6" x14ac:dyDescent="0.3">
      <c r="E1370" s="54">
        <v>0.95</v>
      </c>
      <c r="F1370" s="56">
        <f t="shared" si="21"/>
        <v>0.95833333333333337</v>
      </c>
    </row>
    <row r="1371" spans="5:6" x14ac:dyDescent="0.3">
      <c r="E1371" s="54">
        <v>0.95069444444444495</v>
      </c>
      <c r="F1371" s="56">
        <f t="shared" si="21"/>
        <v>0.95833333333333337</v>
      </c>
    </row>
    <row r="1372" spans="5:6" x14ac:dyDescent="0.3">
      <c r="E1372" s="54">
        <v>0.95138888888888895</v>
      </c>
      <c r="F1372" s="56">
        <f t="shared" si="21"/>
        <v>0.95833333333333337</v>
      </c>
    </row>
    <row r="1373" spans="5:6" x14ac:dyDescent="0.3">
      <c r="E1373" s="54">
        <v>0.95208333333333295</v>
      </c>
      <c r="F1373" s="56">
        <f t="shared" si="21"/>
        <v>0.95833333333333337</v>
      </c>
    </row>
    <row r="1374" spans="5:6" x14ac:dyDescent="0.3">
      <c r="E1374" s="54">
        <v>0.95277777777777795</v>
      </c>
      <c r="F1374" s="56">
        <f t="shared" si="21"/>
        <v>0.95833333333333337</v>
      </c>
    </row>
    <row r="1375" spans="5:6" x14ac:dyDescent="0.3">
      <c r="E1375" s="54">
        <v>0.95347222222222205</v>
      </c>
      <c r="F1375" s="56">
        <f t="shared" si="21"/>
        <v>0.95833333333333337</v>
      </c>
    </row>
    <row r="1376" spans="5:6" x14ac:dyDescent="0.3">
      <c r="E1376" s="54">
        <v>0.95416666666666705</v>
      </c>
      <c r="F1376" s="56">
        <f t="shared" si="21"/>
        <v>0.95833333333333337</v>
      </c>
    </row>
    <row r="1377" spans="5:6" x14ac:dyDescent="0.3">
      <c r="E1377" s="54">
        <v>0.95486111111111105</v>
      </c>
      <c r="F1377" s="56">
        <f t="shared" si="21"/>
        <v>0.95833333333333337</v>
      </c>
    </row>
    <row r="1378" spans="5:6" x14ac:dyDescent="0.3">
      <c r="E1378" s="54">
        <v>0.95555555555555605</v>
      </c>
      <c r="F1378" s="56">
        <f t="shared" si="21"/>
        <v>0.95833333333333337</v>
      </c>
    </row>
    <row r="1379" spans="5:6" x14ac:dyDescent="0.3">
      <c r="E1379" s="54">
        <v>0.95625000000000004</v>
      </c>
      <c r="F1379" s="56">
        <f t="shared" si="21"/>
        <v>0.95833333333333337</v>
      </c>
    </row>
    <row r="1380" spans="5:6" x14ac:dyDescent="0.3">
      <c r="E1380" s="54">
        <v>0.95694444444444404</v>
      </c>
      <c r="F1380" s="56">
        <f t="shared" si="21"/>
        <v>0.95833333333333337</v>
      </c>
    </row>
    <row r="1381" spans="5:6" x14ac:dyDescent="0.3">
      <c r="E1381" s="54">
        <v>0.95763888888888904</v>
      </c>
      <c r="F1381" s="56">
        <f t="shared" si="21"/>
        <v>0.95833333333333337</v>
      </c>
    </row>
    <row r="1382" spans="5:6" x14ac:dyDescent="0.3">
      <c r="E1382" s="54">
        <v>0.95833333333333304</v>
      </c>
      <c r="F1382" s="56">
        <f t="shared" si="21"/>
        <v>0.96875</v>
      </c>
    </row>
    <row r="1383" spans="5:6" x14ac:dyDescent="0.3">
      <c r="E1383" s="54">
        <v>0.95902777777777803</v>
      </c>
      <c r="F1383" s="56">
        <f t="shared" si="21"/>
        <v>0.96875</v>
      </c>
    </row>
    <row r="1384" spans="5:6" x14ac:dyDescent="0.3">
      <c r="E1384" s="54">
        <v>0.95972222222222203</v>
      </c>
      <c r="F1384" s="56">
        <f t="shared" si="21"/>
        <v>0.96875</v>
      </c>
    </row>
    <row r="1385" spans="5:6" x14ac:dyDescent="0.3">
      <c r="E1385" s="54">
        <v>0.96041666666666703</v>
      </c>
      <c r="F1385" s="56">
        <f t="shared" si="21"/>
        <v>0.96875</v>
      </c>
    </row>
    <row r="1386" spans="5:6" x14ac:dyDescent="0.3">
      <c r="E1386" s="54">
        <v>0.96111111111111103</v>
      </c>
      <c r="F1386" s="56">
        <f t="shared" si="21"/>
        <v>0.96875</v>
      </c>
    </row>
    <row r="1387" spans="5:6" x14ac:dyDescent="0.3">
      <c r="E1387" s="54">
        <v>0.96180555555555602</v>
      </c>
      <c r="F1387" s="56">
        <f t="shared" si="21"/>
        <v>0.96875</v>
      </c>
    </row>
    <row r="1388" spans="5:6" x14ac:dyDescent="0.3">
      <c r="E1388" s="54">
        <v>0.96250000000000002</v>
      </c>
      <c r="F1388" s="56">
        <f t="shared" si="21"/>
        <v>0.96875</v>
      </c>
    </row>
    <row r="1389" spans="5:6" x14ac:dyDescent="0.3">
      <c r="E1389" s="54">
        <v>0.96319444444444402</v>
      </c>
      <c r="F1389" s="56">
        <f t="shared" si="21"/>
        <v>0.96875</v>
      </c>
    </row>
    <row r="1390" spans="5:6" x14ac:dyDescent="0.3">
      <c r="E1390" s="54">
        <v>0.96388888888888902</v>
      </c>
      <c r="F1390" s="56">
        <f t="shared" si="21"/>
        <v>0.96875</v>
      </c>
    </row>
    <row r="1391" spans="5:6" x14ac:dyDescent="0.3">
      <c r="E1391" s="54">
        <v>0.96458333333333302</v>
      </c>
      <c r="F1391" s="56">
        <f t="shared" si="21"/>
        <v>0.96875</v>
      </c>
    </row>
    <row r="1392" spans="5:6" x14ac:dyDescent="0.3">
      <c r="E1392" s="54">
        <v>0.96527777777777801</v>
      </c>
      <c r="F1392" s="56">
        <f t="shared" si="21"/>
        <v>0.96875</v>
      </c>
    </row>
    <row r="1393" spans="5:6" x14ac:dyDescent="0.3">
      <c r="E1393" s="54">
        <v>0.96597222222222201</v>
      </c>
      <c r="F1393" s="56">
        <f t="shared" si="21"/>
        <v>0.96875</v>
      </c>
    </row>
    <row r="1394" spans="5:6" x14ac:dyDescent="0.3">
      <c r="E1394" s="54">
        <v>0.96666666666666701</v>
      </c>
      <c r="F1394" s="56">
        <f t="shared" si="21"/>
        <v>0.96875</v>
      </c>
    </row>
    <row r="1395" spans="5:6" x14ac:dyDescent="0.3">
      <c r="E1395" s="54">
        <v>0.96736111111111101</v>
      </c>
      <c r="F1395" s="56">
        <f t="shared" si="21"/>
        <v>0.96875</v>
      </c>
    </row>
    <row r="1396" spans="5:6" x14ac:dyDescent="0.3">
      <c r="E1396" s="54">
        <v>0.968055555555556</v>
      </c>
      <c r="F1396" s="56">
        <f t="shared" si="21"/>
        <v>0.96875</v>
      </c>
    </row>
    <row r="1397" spans="5:6" x14ac:dyDescent="0.3">
      <c r="E1397" s="54">
        <v>0.96875</v>
      </c>
      <c r="F1397" s="56">
        <f t="shared" si="21"/>
        <v>0.97916666666666663</v>
      </c>
    </row>
    <row r="1398" spans="5:6" x14ac:dyDescent="0.3">
      <c r="E1398" s="54">
        <v>0.969444444444444</v>
      </c>
      <c r="F1398" s="56">
        <f t="shared" si="21"/>
        <v>0.97916666666666663</v>
      </c>
    </row>
    <row r="1399" spans="5:6" x14ac:dyDescent="0.3">
      <c r="E1399" s="54">
        <v>0.97013888888888899</v>
      </c>
      <c r="F1399" s="56">
        <f t="shared" si="21"/>
        <v>0.97916666666666663</v>
      </c>
    </row>
    <row r="1400" spans="5:6" x14ac:dyDescent="0.3">
      <c r="E1400" s="54">
        <v>0.97083333333333299</v>
      </c>
      <c r="F1400" s="56">
        <f t="shared" si="21"/>
        <v>0.97916666666666663</v>
      </c>
    </row>
    <row r="1401" spans="5:6" x14ac:dyDescent="0.3">
      <c r="E1401" s="54">
        <v>0.97152777777777799</v>
      </c>
      <c r="F1401" s="56">
        <f t="shared" si="21"/>
        <v>0.97916666666666663</v>
      </c>
    </row>
    <row r="1402" spans="5:6" x14ac:dyDescent="0.3">
      <c r="E1402" s="54">
        <v>0.97222222222222199</v>
      </c>
      <c r="F1402" s="56">
        <f t="shared" si="21"/>
        <v>0.97916666666666663</v>
      </c>
    </row>
    <row r="1403" spans="5:6" x14ac:dyDescent="0.3">
      <c r="E1403" s="54">
        <v>0.97291666666666698</v>
      </c>
      <c r="F1403" s="56">
        <f t="shared" si="21"/>
        <v>0.97916666666666663</v>
      </c>
    </row>
    <row r="1404" spans="5:6" x14ac:dyDescent="0.3">
      <c r="E1404" s="54">
        <v>0.97361111111111098</v>
      </c>
      <c r="F1404" s="56">
        <f t="shared" si="21"/>
        <v>0.97916666666666663</v>
      </c>
    </row>
    <row r="1405" spans="5:6" x14ac:dyDescent="0.3">
      <c r="E1405" s="54">
        <v>0.97430555555555598</v>
      </c>
      <c r="F1405" s="56">
        <f t="shared" si="21"/>
        <v>0.97916666666666663</v>
      </c>
    </row>
    <row r="1406" spans="5:6" x14ac:dyDescent="0.3">
      <c r="E1406" s="54">
        <v>0.97499999999999998</v>
      </c>
      <c r="F1406" s="56">
        <f t="shared" si="21"/>
        <v>0.97916666666666663</v>
      </c>
    </row>
    <row r="1407" spans="5:6" x14ac:dyDescent="0.3">
      <c r="E1407" s="54">
        <v>0.97569444444444497</v>
      </c>
      <c r="F1407" s="56">
        <f t="shared" si="21"/>
        <v>0.97916666666666663</v>
      </c>
    </row>
    <row r="1408" spans="5:6" x14ac:dyDescent="0.3">
      <c r="E1408" s="54">
        <v>0.97638888888888897</v>
      </c>
      <c r="F1408" s="56">
        <f t="shared" si="21"/>
        <v>0.97916666666666663</v>
      </c>
    </row>
    <row r="1409" spans="5:6" x14ac:dyDescent="0.3">
      <c r="E1409" s="54">
        <v>0.97708333333333297</v>
      </c>
      <c r="F1409" s="56">
        <f t="shared" si="21"/>
        <v>0.97916666666666663</v>
      </c>
    </row>
    <row r="1410" spans="5:6" x14ac:dyDescent="0.3">
      <c r="E1410" s="54">
        <v>0.97777777777777797</v>
      </c>
      <c r="F1410" s="56">
        <f t="shared" si="21"/>
        <v>0.97916666666666663</v>
      </c>
    </row>
    <row r="1411" spans="5:6" x14ac:dyDescent="0.3">
      <c r="E1411" s="54">
        <v>0.97847222222222197</v>
      </c>
      <c r="F1411" s="56">
        <f t="shared" ref="F1411:F1441" si="22">ROUNDUP(E1411*4*24+1/60/24,0)/4/24</f>
        <v>0.97916666666666663</v>
      </c>
    </row>
    <row r="1412" spans="5:6" x14ac:dyDescent="0.3">
      <c r="E1412" s="54">
        <v>0.97916666666666696</v>
      </c>
      <c r="F1412" s="56">
        <f t="shared" si="22"/>
        <v>0.98958333333333337</v>
      </c>
    </row>
    <row r="1413" spans="5:6" x14ac:dyDescent="0.3">
      <c r="E1413" s="54">
        <v>0.97986111111111096</v>
      </c>
      <c r="F1413" s="56">
        <f t="shared" si="22"/>
        <v>0.98958333333333337</v>
      </c>
    </row>
    <row r="1414" spans="5:6" x14ac:dyDescent="0.3">
      <c r="E1414" s="54">
        <v>0.98055555555555596</v>
      </c>
      <c r="F1414" s="56">
        <f t="shared" si="22"/>
        <v>0.98958333333333337</v>
      </c>
    </row>
    <row r="1415" spans="5:6" x14ac:dyDescent="0.3">
      <c r="E1415" s="54">
        <v>0.98124999999999996</v>
      </c>
      <c r="F1415" s="56">
        <f t="shared" si="22"/>
        <v>0.98958333333333337</v>
      </c>
    </row>
    <row r="1416" spans="5:6" x14ac:dyDescent="0.3">
      <c r="E1416" s="54">
        <v>0.98194444444444495</v>
      </c>
      <c r="F1416" s="56">
        <f t="shared" si="22"/>
        <v>0.98958333333333337</v>
      </c>
    </row>
    <row r="1417" spans="5:6" x14ac:dyDescent="0.3">
      <c r="E1417" s="54">
        <v>0.98263888888888895</v>
      </c>
      <c r="F1417" s="56">
        <f t="shared" si="22"/>
        <v>0.98958333333333337</v>
      </c>
    </row>
    <row r="1418" spans="5:6" x14ac:dyDescent="0.3">
      <c r="E1418" s="54">
        <v>0.98333333333333295</v>
      </c>
      <c r="F1418" s="56">
        <f t="shared" si="22"/>
        <v>0.98958333333333337</v>
      </c>
    </row>
    <row r="1419" spans="5:6" x14ac:dyDescent="0.3">
      <c r="E1419" s="54">
        <v>0.98402777777777795</v>
      </c>
      <c r="F1419" s="56">
        <f t="shared" si="22"/>
        <v>0.98958333333333337</v>
      </c>
    </row>
    <row r="1420" spans="5:6" x14ac:dyDescent="0.3">
      <c r="E1420" s="54">
        <v>0.98472222222222205</v>
      </c>
      <c r="F1420" s="56">
        <f t="shared" si="22"/>
        <v>0.98958333333333337</v>
      </c>
    </row>
    <row r="1421" spans="5:6" x14ac:dyDescent="0.3">
      <c r="E1421" s="54">
        <v>0.98541666666666705</v>
      </c>
      <c r="F1421" s="56">
        <f t="shared" si="22"/>
        <v>0.98958333333333337</v>
      </c>
    </row>
    <row r="1422" spans="5:6" x14ac:dyDescent="0.3">
      <c r="E1422" s="54">
        <v>0.98611111111111105</v>
      </c>
      <c r="F1422" s="56">
        <f t="shared" si="22"/>
        <v>0.98958333333333337</v>
      </c>
    </row>
    <row r="1423" spans="5:6" x14ac:dyDescent="0.3">
      <c r="E1423" s="54">
        <v>0.98680555555555605</v>
      </c>
      <c r="F1423" s="56">
        <f t="shared" si="22"/>
        <v>0.98958333333333337</v>
      </c>
    </row>
    <row r="1424" spans="5:6" x14ac:dyDescent="0.3">
      <c r="E1424" s="54">
        <v>0.98750000000000004</v>
      </c>
      <c r="F1424" s="56">
        <f t="shared" si="22"/>
        <v>0.98958333333333337</v>
      </c>
    </row>
    <row r="1425" spans="5:6" x14ac:dyDescent="0.3">
      <c r="E1425" s="54">
        <v>0.98819444444444404</v>
      </c>
      <c r="F1425" s="56">
        <f t="shared" si="22"/>
        <v>0.98958333333333337</v>
      </c>
    </row>
    <row r="1426" spans="5:6" x14ac:dyDescent="0.3">
      <c r="E1426" s="54">
        <v>0.98888888888888904</v>
      </c>
      <c r="F1426" s="56">
        <f t="shared" si="22"/>
        <v>0.98958333333333337</v>
      </c>
    </row>
    <row r="1427" spans="5:6" x14ac:dyDescent="0.3">
      <c r="E1427" s="54">
        <v>0.98958333333333304</v>
      </c>
      <c r="F1427" s="56">
        <f t="shared" si="22"/>
        <v>1</v>
      </c>
    </row>
    <row r="1428" spans="5:6" x14ac:dyDescent="0.3">
      <c r="E1428" s="54">
        <v>0.99027777777777803</v>
      </c>
      <c r="F1428" s="56">
        <f t="shared" si="22"/>
        <v>1</v>
      </c>
    </row>
    <row r="1429" spans="5:6" x14ac:dyDescent="0.3">
      <c r="E1429" s="54">
        <v>0.99097222222222203</v>
      </c>
      <c r="F1429" s="56">
        <f t="shared" si="22"/>
        <v>1</v>
      </c>
    </row>
    <row r="1430" spans="5:6" x14ac:dyDescent="0.3">
      <c r="E1430" s="54">
        <v>0.99166666666666703</v>
      </c>
      <c r="F1430" s="56">
        <f t="shared" si="22"/>
        <v>1</v>
      </c>
    </row>
    <row r="1431" spans="5:6" x14ac:dyDescent="0.3">
      <c r="E1431" s="54">
        <v>0.99236111111111103</v>
      </c>
      <c r="F1431" s="56">
        <f t="shared" si="22"/>
        <v>1</v>
      </c>
    </row>
    <row r="1432" spans="5:6" x14ac:dyDescent="0.3">
      <c r="E1432" s="54">
        <v>0.99305555555555602</v>
      </c>
      <c r="F1432" s="56">
        <f t="shared" si="22"/>
        <v>1</v>
      </c>
    </row>
    <row r="1433" spans="5:6" x14ac:dyDescent="0.3">
      <c r="E1433" s="54">
        <v>0.99375000000000002</v>
      </c>
      <c r="F1433" s="56">
        <f t="shared" si="22"/>
        <v>1</v>
      </c>
    </row>
    <row r="1434" spans="5:6" x14ac:dyDescent="0.3">
      <c r="E1434" s="54">
        <v>0.99444444444444402</v>
      </c>
      <c r="F1434" s="56">
        <f t="shared" si="22"/>
        <v>1</v>
      </c>
    </row>
    <row r="1435" spans="5:6" x14ac:dyDescent="0.3">
      <c r="E1435" s="54">
        <v>0.99513888888888902</v>
      </c>
      <c r="F1435" s="56">
        <f t="shared" si="22"/>
        <v>1</v>
      </c>
    </row>
    <row r="1436" spans="5:6" x14ac:dyDescent="0.3">
      <c r="E1436" s="54">
        <v>0.99583333333333302</v>
      </c>
      <c r="F1436" s="56">
        <f t="shared" si="22"/>
        <v>1</v>
      </c>
    </row>
    <row r="1437" spans="5:6" x14ac:dyDescent="0.3">
      <c r="E1437" s="54">
        <v>0.99652777777777801</v>
      </c>
      <c r="F1437" s="56">
        <f t="shared" si="22"/>
        <v>1</v>
      </c>
    </row>
    <row r="1438" spans="5:6" x14ac:dyDescent="0.3">
      <c r="E1438" s="54">
        <v>0.99722222222222201</v>
      </c>
      <c r="F1438" s="56">
        <f t="shared" si="22"/>
        <v>1</v>
      </c>
    </row>
    <row r="1439" spans="5:6" x14ac:dyDescent="0.3">
      <c r="E1439" s="54">
        <v>0.99791666666666701</v>
      </c>
      <c r="F1439" s="56">
        <f t="shared" si="22"/>
        <v>1</v>
      </c>
    </row>
    <row r="1440" spans="5:6" x14ac:dyDescent="0.3">
      <c r="E1440" s="54">
        <v>0.99861111111111101</v>
      </c>
      <c r="F1440" s="56">
        <f t="shared" si="22"/>
        <v>1</v>
      </c>
    </row>
    <row r="1441" spans="5:6" x14ac:dyDescent="0.3">
      <c r="E1441" s="55">
        <v>0.999305555555556</v>
      </c>
      <c r="F1441" s="56">
        <f t="shared" si="22"/>
        <v>1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Q13"/>
  <sheetViews>
    <sheetView topLeftCell="L1" workbookViewId="0">
      <selection activeCell="R7" sqref="R7"/>
    </sheetView>
  </sheetViews>
  <sheetFormatPr baseColWidth="10" defaultRowHeight="14.4" x14ac:dyDescent="0.3"/>
  <cols>
    <col min="1" max="1" width="18.33203125" bestFit="1" customWidth="1"/>
  </cols>
  <sheetData>
    <row r="1" spans="1:17" x14ac:dyDescent="0.3">
      <c r="A1" s="12" t="s">
        <v>10</v>
      </c>
      <c r="B1" s="13">
        <v>2018</v>
      </c>
      <c r="C1" s="13">
        <v>2019</v>
      </c>
      <c r="D1" s="13">
        <v>2020</v>
      </c>
      <c r="E1" s="13">
        <v>2021</v>
      </c>
      <c r="F1" s="13">
        <v>2022</v>
      </c>
      <c r="G1" s="13">
        <v>2023</v>
      </c>
      <c r="H1" s="13">
        <v>2024</v>
      </c>
      <c r="I1" s="13">
        <v>2025</v>
      </c>
      <c r="J1" s="13">
        <v>2026</v>
      </c>
      <c r="K1" s="13">
        <v>2027</v>
      </c>
      <c r="L1" s="13">
        <v>2028</v>
      </c>
      <c r="M1" s="13">
        <v>2029</v>
      </c>
      <c r="N1" s="13">
        <v>2030</v>
      </c>
      <c r="O1" s="13">
        <v>2031</v>
      </c>
      <c r="P1" s="13">
        <v>2032</v>
      </c>
      <c r="Q1" s="13">
        <v>2033</v>
      </c>
    </row>
    <row r="2" spans="1:17" x14ac:dyDescent="0.3">
      <c r="A2" s="1" t="s">
        <v>34</v>
      </c>
      <c r="B2" s="1">
        <f>DATE(B1,1,1)</f>
        <v>43101</v>
      </c>
      <c r="C2" s="1">
        <f>DATE(C1,1,1)</f>
        <v>43466</v>
      </c>
      <c r="D2" s="1">
        <f t="shared" ref="D2:Q2" si="0">DATE(D1,1,1)</f>
        <v>43831</v>
      </c>
      <c r="E2" s="1">
        <f t="shared" si="0"/>
        <v>44197</v>
      </c>
      <c r="F2" s="1">
        <f t="shared" si="0"/>
        <v>44562</v>
      </c>
      <c r="G2" s="1">
        <f t="shared" si="0"/>
        <v>44927</v>
      </c>
      <c r="H2" s="1">
        <f t="shared" si="0"/>
        <v>45292</v>
      </c>
      <c r="I2" s="1">
        <f t="shared" si="0"/>
        <v>45658</v>
      </c>
      <c r="J2" s="1">
        <f t="shared" si="0"/>
        <v>46023</v>
      </c>
      <c r="K2" s="1">
        <f t="shared" si="0"/>
        <v>46388</v>
      </c>
      <c r="L2" s="1">
        <f t="shared" si="0"/>
        <v>46753</v>
      </c>
      <c r="M2" s="1">
        <f t="shared" si="0"/>
        <v>47119</v>
      </c>
      <c r="N2" s="1">
        <f t="shared" si="0"/>
        <v>47484</v>
      </c>
      <c r="O2" s="1">
        <f t="shared" si="0"/>
        <v>47849</v>
      </c>
      <c r="P2" s="1">
        <f t="shared" si="0"/>
        <v>48214</v>
      </c>
      <c r="Q2" s="1">
        <f t="shared" si="0"/>
        <v>48580</v>
      </c>
    </row>
    <row r="3" spans="1:17" x14ac:dyDescent="0.3">
      <c r="A3" s="1" t="s">
        <v>35</v>
      </c>
      <c r="B3" s="1">
        <f>ROUND(DATE(B1,4,MOD(234-11*MOD(B1,19),30))/7,0)*7-6</f>
        <v>43191</v>
      </c>
      <c r="C3" s="1">
        <f>ROUND(DATE(C1,4,MOD(234-11*MOD(C1,19),30))/7,0)*7-6</f>
        <v>43576</v>
      </c>
      <c r="D3" s="1">
        <f t="shared" ref="D3:Q3" si="1">ROUND(DATE(D1,4,MOD(234-11*MOD(D1,19),30))/7,0)*7-6</f>
        <v>43933</v>
      </c>
      <c r="E3" s="1">
        <f t="shared" si="1"/>
        <v>44290</v>
      </c>
      <c r="F3" s="1">
        <f t="shared" si="1"/>
        <v>44668</v>
      </c>
      <c r="G3" s="1">
        <f t="shared" si="1"/>
        <v>45025</v>
      </c>
      <c r="H3" s="1">
        <f t="shared" si="1"/>
        <v>45382</v>
      </c>
      <c r="I3" s="1">
        <f t="shared" si="1"/>
        <v>45767</v>
      </c>
      <c r="J3" s="1">
        <f t="shared" si="1"/>
        <v>46117</v>
      </c>
      <c r="K3" s="1">
        <f t="shared" si="1"/>
        <v>46474</v>
      </c>
      <c r="L3" s="1">
        <f t="shared" si="1"/>
        <v>46859</v>
      </c>
      <c r="M3" s="1">
        <f t="shared" si="1"/>
        <v>47209</v>
      </c>
      <c r="N3" s="1">
        <f t="shared" si="1"/>
        <v>47594</v>
      </c>
      <c r="O3" s="1">
        <f t="shared" si="1"/>
        <v>47951</v>
      </c>
      <c r="P3" s="1">
        <f t="shared" si="1"/>
        <v>48301</v>
      </c>
      <c r="Q3" s="1">
        <f t="shared" si="1"/>
        <v>48686</v>
      </c>
    </row>
    <row r="4" spans="1:17" x14ac:dyDescent="0.3">
      <c r="A4" s="1" t="s">
        <v>6</v>
      </c>
      <c r="B4" s="1">
        <f>B3+1</f>
        <v>43192</v>
      </c>
      <c r="C4" s="1">
        <f>C3+1</f>
        <v>43577</v>
      </c>
      <c r="D4" s="1">
        <f t="shared" ref="D4:Q4" si="2">D3+1</f>
        <v>43934</v>
      </c>
      <c r="E4" s="1">
        <f t="shared" si="2"/>
        <v>44291</v>
      </c>
      <c r="F4" s="1">
        <f t="shared" si="2"/>
        <v>44669</v>
      </c>
      <c r="G4" s="1">
        <f t="shared" si="2"/>
        <v>45026</v>
      </c>
      <c r="H4" s="1">
        <f t="shared" si="2"/>
        <v>45383</v>
      </c>
      <c r="I4" s="1">
        <f t="shared" si="2"/>
        <v>45768</v>
      </c>
      <c r="J4" s="1">
        <f t="shared" si="2"/>
        <v>46118</v>
      </c>
      <c r="K4" s="1">
        <f t="shared" si="2"/>
        <v>46475</v>
      </c>
      <c r="L4" s="1">
        <f t="shared" si="2"/>
        <v>46860</v>
      </c>
      <c r="M4" s="1">
        <f t="shared" si="2"/>
        <v>47210</v>
      </c>
      <c r="N4" s="1">
        <f t="shared" si="2"/>
        <v>47595</v>
      </c>
      <c r="O4" s="1">
        <f t="shared" si="2"/>
        <v>47952</v>
      </c>
      <c r="P4" s="1">
        <f t="shared" si="2"/>
        <v>48302</v>
      </c>
      <c r="Q4" s="1">
        <f t="shared" si="2"/>
        <v>48687</v>
      </c>
    </row>
    <row r="5" spans="1:17" x14ac:dyDescent="0.3">
      <c r="A5" s="1" t="s">
        <v>36</v>
      </c>
      <c r="B5" s="1">
        <f>DATE(B1,5,1)</f>
        <v>43221</v>
      </c>
      <c r="C5" s="1">
        <f>DATE(C1,5,1)</f>
        <v>43586</v>
      </c>
      <c r="D5" s="1">
        <f t="shared" ref="D5:Q5" si="3">DATE(D1,5,1)</f>
        <v>43952</v>
      </c>
      <c r="E5" s="1">
        <f t="shared" si="3"/>
        <v>44317</v>
      </c>
      <c r="F5" s="1">
        <f t="shared" si="3"/>
        <v>44682</v>
      </c>
      <c r="G5" s="1">
        <f t="shared" si="3"/>
        <v>45047</v>
      </c>
      <c r="H5" s="1">
        <f t="shared" si="3"/>
        <v>45413</v>
      </c>
      <c r="I5" s="1">
        <f t="shared" si="3"/>
        <v>45778</v>
      </c>
      <c r="J5" s="1">
        <f t="shared" si="3"/>
        <v>46143</v>
      </c>
      <c r="K5" s="1">
        <f t="shared" si="3"/>
        <v>46508</v>
      </c>
      <c r="L5" s="1">
        <f t="shared" si="3"/>
        <v>46874</v>
      </c>
      <c r="M5" s="1">
        <f t="shared" si="3"/>
        <v>47239</v>
      </c>
      <c r="N5" s="1">
        <f t="shared" si="3"/>
        <v>47604</v>
      </c>
      <c r="O5" s="1">
        <f t="shared" si="3"/>
        <v>47969</v>
      </c>
      <c r="P5" s="1">
        <f t="shared" si="3"/>
        <v>48335</v>
      </c>
      <c r="Q5" s="1">
        <f t="shared" si="3"/>
        <v>48700</v>
      </c>
    </row>
    <row r="6" spans="1:17" x14ac:dyDescent="0.3">
      <c r="A6" s="1" t="s">
        <v>37</v>
      </c>
      <c r="B6" s="1">
        <f>DATE(B1,5,8)</f>
        <v>43228</v>
      </c>
      <c r="C6" s="1">
        <f>DATE(C1,5,8)</f>
        <v>43593</v>
      </c>
      <c r="D6" s="1">
        <f t="shared" ref="D6:Q6" si="4">DATE(D1,5,8)</f>
        <v>43959</v>
      </c>
      <c r="E6" s="1">
        <f t="shared" si="4"/>
        <v>44324</v>
      </c>
      <c r="F6" s="1">
        <f t="shared" si="4"/>
        <v>44689</v>
      </c>
      <c r="G6" s="1">
        <f t="shared" si="4"/>
        <v>45054</v>
      </c>
      <c r="H6" s="1">
        <f t="shared" si="4"/>
        <v>45420</v>
      </c>
      <c r="I6" s="1">
        <f t="shared" si="4"/>
        <v>45785</v>
      </c>
      <c r="J6" s="1">
        <f t="shared" si="4"/>
        <v>46150</v>
      </c>
      <c r="K6" s="1">
        <f t="shared" si="4"/>
        <v>46515</v>
      </c>
      <c r="L6" s="1">
        <f t="shared" si="4"/>
        <v>46881</v>
      </c>
      <c r="M6" s="1">
        <f t="shared" si="4"/>
        <v>47246</v>
      </c>
      <c r="N6" s="1">
        <f t="shared" si="4"/>
        <v>47611</v>
      </c>
      <c r="O6" s="1">
        <f t="shared" si="4"/>
        <v>47976</v>
      </c>
      <c r="P6" s="1">
        <f t="shared" si="4"/>
        <v>48342</v>
      </c>
      <c r="Q6" s="1">
        <f t="shared" si="4"/>
        <v>48707</v>
      </c>
    </row>
    <row r="7" spans="1:17" x14ac:dyDescent="0.3">
      <c r="A7" s="1" t="s">
        <v>38</v>
      </c>
      <c r="B7" s="1">
        <f>B3+39</f>
        <v>43230</v>
      </c>
      <c r="C7" s="1">
        <f>C3+39</f>
        <v>43615</v>
      </c>
      <c r="D7" s="1">
        <f t="shared" ref="D7:Q7" si="5">D3+39</f>
        <v>43972</v>
      </c>
      <c r="E7" s="1">
        <f t="shared" si="5"/>
        <v>44329</v>
      </c>
      <c r="F7" s="1">
        <f t="shared" si="5"/>
        <v>44707</v>
      </c>
      <c r="G7" s="1">
        <f t="shared" si="5"/>
        <v>45064</v>
      </c>
      <c r="H7" s="1">
        <f t="shared" si="5"/>
        <v>45421</v>
      </c>
      <c r="I7" s="1">
        <f t="shared" si="5"/>
        <v>45806</v>
      </c>
      <c r="J7" s="1">
        <f t="shared" si="5"/>
        <v>46156</v>
      </c>
      <c r="K7" s="1">
        <f t="shared" si="5"/>
        <v>46513</v>
      </c>
      <c r="L7" s="1">
        <f t="shared" si="5"/>
        <v>46898</v>
      </c>
      <c r="M7" s="1">
        <f t="shared" si="5"/>
        <v>47248</v>
      </c>
      <c r="N7" s="1">
        <f t="shared" si="5"/>
        <v>47633</v>
      </c>
      <c r="O7" s="1">
        <f t="shared" si="5"/>
        <v>47990</v>
      </c>
      <c r="P7" s="1">
        <f t="shared" si="5"/>
        <v>48340</v>
      </c>
      <c r="Q7" s="1">
        <f t="shared" si="5"/>
        <v>48725</v>
      </c>
    </row>
    <row r="8" spans="1:17" x14ac:dyDescent="0.3">
      <c r="A8" s="1" t="s">
        <v>39</v>
      </c>
      <c r="B8" s="1">
        <f>B3+50</f>
        <v>43241</v>
      </c>
      <c r="C8" s="1">
        <f>C3+50</f>
        <v>43626</v>
      </c>
      <c r="D8" s="1">
        <f t="shared" ref="D8:Q8" si="6">D3+50</f>
        <v>43983</v>
      </c>
      <c r="E8" s="1">
        <f t="shared" si="6"/>
        <v>44340</v>
      </c>
      <c r="F8" s="1">
        <f t="shared" si="6"/>
        <v>44718</v>
      </c>
      <c r="G8" s="1">
        <f t="shared" si="6"/>
        <v>45075</v>
      </c>
      <c r="H8" s="1">
        <f t="shared" si="6"/>
        <v>45432</v>
      </c>
      <c r="I8" s="1">
        <f t="shared" si="6"/>
        <v>45817</v>
      </c>
      <c r="J8" s="1">
        <f t="shared" si="6"/>
        <v>46167</v>
      </c>
      <c r="K8" s="1">
        <f t="shared" si="6"/>
        <v>46524</v>
      </c>
      <c r="L8" s="1">
        <f t="shared" si="6"/>
        <v>46909</v>
      </c>
      <c r="M8" s="1">
        <f t="shared" si="6"/>
        <v>47259</v>
      </c>
      <c r="N8" s="1">
        <f t="shared" si="6"/>
        <v>47644</v>
      </c>
      <c r="O8" s="1">
        <f t="shared" si="6"/>
        <v>48001</v>
      </c>
      <c r="P8" s="1">
        <f t="shared" si="6"/>
        <v>48351</v>
      </c>
      <c r="Q8" s="1">
        <f t="shared" si="6"/>
        <v>48736</v>
      </c>
    </row>
    <row r="9" spans="1:17" x14ac:dyDescent="0.3">
      <c r="A9" s="1" t="s">
        <v>40</v>
      </c>
      <c r="B9" s="1">
        <f>DATE(B1,7,14)</f>
        <v>43295</v>
      </c>
      <c r="C9" s="1">
        <f>DATE(C1,7,14)</f>
        <v>43660</v>
      </c>
      <c r="D9" s="1">
        <f t="shared" ref="D9:Q9" si="7">DATE(D1,7,14)</f>
        <v>44026</v>
      </c>
      <c r="E9" s="1">
        <f t="shared" si="7"/>
        <v>44391</v>
      </c>
      <c r="F9" s="1">
        <f t="shared" si="7"/>
        <v>44756</v>
      </c>
      <c r="G9" s="1">
        <f t="shared" si="7"/>
        <v>45121</v>
      </c>
      <c r="H9" s="1">
        <f t="shared" si="7"/>
        <v>45487</v>
      </c>
      <c r="I9" s="1">
        <f t="shared" si="7"/>
        <v>45852</v>
      </c>
      <c r="J9" s="1">
        <f t="shared" si="7"/>
        <v>46217</v>
      </c>
      <c r="K9" s="1">
        <f t="shared" si="7"/>
        <v>46582</v>
      </c>
      <c r="L9" s="1">
        <f t="shared" si="7"/>
        <v>46948</v>
      </c>
      <c r="M9" s="1">
        <f t="shared" si="7"/>
        <v>47313</v>
      </c>
      <c r="N9" s="1">
        <f t="shared" si="7"/>
        <v>47678</v>
      </c>
      <c r="O9" s="1">
        <f t="shared" si="7"/>
        <v>48043</v>
      </c>
      <c r="P9" s="1">
        <f t="shared" si="7"/>
        <v>48409</v>
      </c>
      <c r="Q9" s="1">
        <f t="shared" si="7"/>
        <v>48774</v>
      </c>
    </row>
    <row r="10" spans="1:17" x14ac:dyDescent="0.3">
      <c r="A10" s="1" t="s">
        <v>7</v>
      </c>
      <c r="B10" s="1">
        <f>DATE(B1,8,15)</f>
        <v>43327</v>
      </c>
      <c r="C10" s="1">
        <f>DATE(C1,8,15)</f>
        <v>43692</v>
      </c>
      <c r="D10" s="1">
        <f t="shared" ref="D10:Q10" si="8">DATE(D1,8,15)</f>
        <v>44058</v>
      </c>
      <c r="E10" s="1">
        <f t="shared" si="8"/>
        <v>44423</v>
      </c>
      <c r="F10" s="1">
        <f t="shared" si="8"/>
        <v>44788</v>
      </c>
      <c r="G10" s="1">
        <f t="shared" si="8"/>
        <v>45153</v>
      </c>
      <c r="H10" s="1">
        <f t="shared" si="8"/>
        <v>45519</v>
      </c>
      <c r="I10" s="1">
        <f t="shared" si="8"/>
        <v>45884</v>
      </c>
      <c r="J10" s="1">
        <f t="shared" si="8"/>
        <v>46249</v>
      </c>
      <c r="K10" s="1">
        <f t="shared" si="8"/>
        <v>46614</v>
      </c>
      <c r="L10" s="1">
        <f t="shared" si="8"/>
        <v>46980</v>
      </c>
      <c r="M10" s="1">
        <f t="shared" si="8"/>
        <v>47345</v>
      </c>
      <c r="N10" s="1">
        <f t="shared" si="8"/>
        <v>47710</v>
      </c>
      <c r="O10" s="1">
        <f t="shared" si="8"/>
        <v>48075</v>
      </c>
      <c r="P10" s="1">
        <f t="shared" si="8"/>
        <v>48441</v>
      </c>
      <c r="Q10" s="1">
        <f t="shared" si="8"/>
        <v>48806</v>
      </c>
    </row>
    <row r="11" spans="1:17" x14ac:dyDescent="0.3">
      <c r="A11" s="1" t="s">
        <v>41</v>
      </c>
      <c r="B11" s="1">
        <f>DATE(B1,11,1)</f>
        <v>43405</v>
      </c>
      <c r="C11" s="1">
        <f>DATE(C1,11,1)</f>
        <v>43770</v>
      </c>
      <c r="D11" s="1">
        <f t="shared" ref="D11:Q11" si="9">DATE(D1,11,1)</f>
        <v>44136</v>
      </c>
      <c r="E11" s="1">
        <f t="shared" si="9"/>
        <v>44501</v>
      </c>
      <c r="F11" s="1">
        <f t="shared" si="9"/>
        <v>44866</v>
      </c>
      <c r="G11" s="1">
        <f t="shared" si="9"/>
        <v>45231</v>
      </c>
      <c r="H11" s="1">
        <f t="shared" si="9"/>
        <v>45597</v>
      </c>
      <c r="I11" s="1">
        <f t="shared" si="9"/>
        <v>45962</v>
      </c>
      <c r="J11" s="1">
        <f t="shared" si="9"/>
        <v>46327</v>
      </c>
      <c r="K11" s="1">
        <f t="shared" si="9"/>
        <v>46692</v>
      </c>
      <c r="L11" s="1">
        <f t="shared" si="9"/>
        <v>47058</v>
      </c>
      <c r="M11" s="1">
        <f t="shared" si="9"/>
        <v>47423</v>
      </c>
      <c r="N11" s="1">
        <f t="shared" si="9"/>
        <v>47788</v>
      </c>
      <c r="O11" s="1">
        <f t="shared" si="9"/>
        <v>48153</v>
      </c>
      <c r="P11" s="1">
        <f t="shared" si="9"/>
        <v>48519</v>
      </c>
      <c r="Q11" s="1">
        <f t="shared" si="9"/>
        <v>48884</v>
      </c>
    </row>
    <row r="12" spans="1:17" x14ac:dyDescent="0.3">
      <c r="A12" s="1" t="s">
        <v>8</v>
      </c>
      <c r="B12" s="1">
        <f>DATE(B1,11,11)</f>
        <v>43415</v>
      </c>
      <c r="C12" s="1">
        <f>DATE(C1,11,11)</f>
        <v>43780</v>
      </c>
      <c r="D12" s="1">
        <f t="shared" ref="D12:Q12" si="10">DATE(D1,11,11)</f>
        <v>44146</v>
      </c>
      <c r="E12" s="1">
        <f t="shared" si="10"/>
        <v>44511</v>
      </c>
      <c r="F12" s="1">
        <f t="shared" si="10"/>
        <v>44876</v>
      </c>
      <c r="G12" s="1">
        <f t="shared" si="10"/>
        <v>45241</v>
      </c>
      <c r="H12" s="1">
        <f t="shared" si="10"/>
        <v>45607</v>
      </c>
      <c r="I12" s="1">
        <f t="shared" si="10"/>
        <v>45972</v>
      </c>
      <c r="J12" s="1">
        <f t="shared" si="10"/>
        <v>46337</v>
      </c>
      <c r="K12" s="1">
        <f t="shared" si="10"/>
        <v>46702</v>
      </c>
      <c r="L12" s="1">
        <f t="shared" si="10"/>
        <v>47068</v>
      </c>
      <c r="M12" s="1">
        <f t="shared" si="10"/>
        <v>47433</v>
      </c>
      <c r="N12" s="1">
        <f t="shared" si="10"/>
        <v>47798</v>
      </c>
      <c r="O12" s="1">
        <f t="shared" si="10"/>
        <v>48163</v>
      </c>
      <c r="P12" s="1">
        <f t="shared" si="10"/>
        <v>48529</v>
      </c>
      <c r="Q12" s="1">
        <f t="shared" si="10"/>
        <v>48894</v>
      </c>
    </row>
    <row r="13" spans="1:17" x14ac:dyDescent="0.3">
      <c r="A13" s="1" t="s">
        <v>9</v>
      </c>
      <c r="B13" s="1">
        <f>DATE(B1,12,25)</f>
        <v>43459</v>
      </c>
      <c r="C13" s="1">
        <f>DATE(C1,12,25)</f>
        <v>43824</v>
      </c>
      <c r="D13" s="1">
        <f t="shared" ref="D13:Q13" si="11">DATE(D1,12,25)</f>
        <v>44190</v>
      </c>
      <c r="E13" s="1">
        <f t="shared" si="11"/>
        <v>44555</v>
      </c>
      <c r="F13" s="1">
        <f t="shared" si="11"/>
        <v>44920</v>
      </c>
      <c r="G13" s="1">
        <f t="shared" si="11"/>
        <v>45285</v>
      </c>
      <c r="H13" s="1">
        <f t="shared" si="11"/>
        <v>45651</v>
      </c>
      <c r="I13" s="1">
        <f t="shared" si="11"/>
        <v>46016</v>
      </c>
      <c r="J13" s="1">
        <f t="shared" si="11"/>
        <v>46381</v>
      </c>
      <c r="K13" s="1">
        <f t="shared" si="11"/>
        <v>46746</v>
      </c>
      <c r="L13" s="1">
        <f t="shared" si="11"/>
        <v>47112</v>
      </c>
      <c r="M13" s="1">
        <f t="shared" si="11"/>
        <v>47477</v>
      </c>
      <c r="N13" s="1">
        <f t="shared" si="11"/>
        <v>47842</v>
      </c>
      <c r="O13" s="1">
        <f t="shared" si="11"/>
        <v>48207</v>
      </c>
      <c r="P13" s="1">
        <f t="shared" si="11"/>
        <v>48573</v>
      </c>
      <c r="Q13" s="1">
        <f t="shared" si="11"/>
        <v>48938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B43C9-F605-4F1A-ABEC-76D4262E50E7}">
  <dimension ref="A1:C18"/>
  <sheetViews>
    <sheetView workbookViewId="0">
      <selection activeCell="H17" sqref="H17"/>
    </sheetView>
  </sheetViews>
  <sheetFormatPr baseColWidth="10" defaultRowHeight="14.4" x14ac:dyDescent="0.3"/>
  <sheetData>
    <row r="1" spans="1:3" x14ac:dyDescent="0.3">
      <c r="A1" s="111"/>
      <c r="B1" s="112"/>
      <c r="C1" s="113"/>
    </row>
    <row r="2" spans="1:3" x14ac:dyDescent="0.3">
      <c r="A2" s="114"/>
      <c r="B2" s="115"/>
      <c r="C2" s="116"/>
    </row>
    <row r="3" spans="1:3" x14ac:dyDescent="0.3">
      <c r="A3" s="114"/>
      <c r="B3" s="115"/>
      <c r="C3" s="116"/>
    </row>
    <row r="4" spans="1:3" x14ac:dyDescent="0.3">
      <c r="A4" s="114"/>
      <c r="B4" s="115"/>
      <c r="C4" s="116"/>
    </row>
    <row r="5" spans="1:3" x14ac:dyDescent="0.3">
      <c r="A5" s="114"/>
      <c r="B5" s="115"/>
      <c r="C5" s="116"/>
    </row>
    <row r="6" spans="1:3" x14ac:dyDescent="0.3">
      <c r="A6" s="114"/>
      <c r="B6" s="115"/>
      <c r="C6" s="116"/>
    </row>
    <row r="7" spans="1:3" x14ac:dyDescent="0.3">
      <c r="A7" s="114"/>
      <c r="B7" s="115"/>
      <c r="C7" s="116"/>
    </row>
    <row r="8" spans="1:3" x14ac:dyDescent="0.3">
      <c r="A8" s="114"/>
      <c r="B8" s="115"/>
      <c r="C8" s="116"/>
    </row>
    <row r="9" spans="1:3" x14ac:dyDescent="0.3">
      <c r="A9" s="114"/>
      <c r="B9" s="115"/>
      <c r="C9" s="116"/>
    </row>
    <row r="10" spans="1:3" x14ac:dyDescent="0.3">
      <c r="A10" s="114"/>
      <c r="B10" s="115"/>
      <c r="C10" s="116"/>
    </row>
    <row r="11" spans="1:3" x14ac:dyDescent="0.3">
      <c r="A11" s="114"/>
      <c r="B11" s="115"/>
      <c r="C11" s="116"/>
    </row>
    <row r="12" spans="1:3" x14ac:dyDescent="0.3">
      <c r="A12" s="114"/>
      <c r="B12" s="115"/>
      <c r="C12" s="116"/>
    </row>
    <row r="13" spans="1:3" x14ac:dyDescent="0.3">
      <c r="A13" s="114"/>
      <c r="B13" s="115"/>
      <c r="C13" s="116"/>
    </row>
    <row r="14" spans="1:3" x14ac:dyDescent="0.3">
      <c r="A14" s="114"/>
      <c r="B14" s="115"/>
      <c r="C14" s="116"/>
    </row>
    <row r="15" spans="1:3" x14ac:dyDescent="0.3">
      <c r="A15" s="114"/>
      <c r="B15" s="115"/>
      <c r="C15" s="116"/>
    </row>
    <row r="16" spans="1:3" x14ac:dyDescent="0.3">
      <c r="A16" s="114"/>
      <c r="B16" s="115"/>
      <c r="C16" s="116"/>
    </row>
    <row r="17" spans="1:3" x14ac:dyDescent="0.3">
      <c r="A17" s="114"/>
      <c r="B17" s="115"/>
      <c r="C17" s="116"/>
    </row>
    <row r="18" spans="1:3" x14ac:dyDescent="0.3">
      <c r="A18" s="117"/>
      <c r="B18" s="118"/>
      <c r="C18" s="1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</vt:i4>
      </vt:variant>
    </vt:vector>
  </HeadingPairs>
  <TitlesOfParts>
    <vt:vector size="17" baseType="lpstr">
      <vt:lpstr>Données</vt:lpstr>
      <vt:lpstr>Test sur jour nuit</vt:lpstr>
      <vt:lpstr>Calcul indemnités mensuelles</vt:lpstr>
      <vt:lpstr>Paramètres</vt:lpstr>
      <vt:lpstr>Jours Fériés</vt:lpstr>
      <vt:lpstr>Feuil1</vt:lpstr>
      <vt:lpstr>DebNuit</vt:lpstr>
      <vt:lpstr>FinNuit</vt:lpstr>
      <vt:lpstr>Heures</vt:lpstr>
      <vt:lpstr>JF</vt:lpstr>
      <vt:lpstr>Motifs</vt:lpstr>
      <vt:lpstr>réponses</vt:lpstr>
      <vt:lpstr>TAUX1</vt:lpstr>
      <vt:lpstr>TAUX2</vt:lpstr>
      <vt:lpstr>TAUX3</vt:lpstr>
      <vt:lpstr>TAUX4</vt:lpstr>
      <vt:lpstr>véhicule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HAFIZOU Christopher</cp:lastModifiedBy>
  <cp:lastPrinted>2018-11-01T10:12:43Z</cp:lastPrinted>
  <dcterms:created xsi:type="dcterms:W3CDTF">2015-06-05T18:19:34Z</dcterms:created>
  <dcterms:modified xsi:type="dcterms:W3CDTF">2019-05-31T18:26:44Z</dcterms:modified>
</cp:coreProperties>
</file>