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/>
  <workbookPr filterPrivacy="1"/>
  <xr:revisionPtr revIDLastSave="0" documentId="13_ncr:1_{4B31D167-C1C3-4521-B549-2FEEBC504324}" xr6:coauthVersionLast="33" xr6:coauthVersionMax="33" xr10:uidLastSave="{00000000-0000-0000-0000-000000000000}"/>
  <bookViews>
    <workbookView xWindow="0" yWindow="0" windowWidth="19200" windowHeight="8028" tabRatio="715" activeTab="3" xr2:uid="{00000000-000D-0000-FFFF-FFFF00000000}"/>
  </bookViews>
  <sheets>
    <sheet name="Données" sheetId="3" r:id="rId1"/>
    <sheet name="Test sur jour nuit" sheetId="7" state="hidden" r:id="rId2"/>
    <sheet name="Synthèse" sheetId="6" r:id="rId3"/>
    <sheet name="Calcul indemnités mensuelles" sheetId="8" r:id="rId4"/>
    <sheet name="Jours Fériés" sheetId="5" r:id="rId5"/>
    <sheet name="Paramètres" sheetId="2" r:id="rId6"/>
  </sheets>
  <definedNames>
    <definedName name="_xlnm._FilterDatabase" localSheetId="3" hidden="1">'Calcul indemnités mensuelles'!$A$1:$C$14</definedName>
    <definedName name="DebNuit">Paramètres!$B$2</definedName>
    <definedName name="FinNuit">Paramètres!$B$1</definedName>
    <definedName name="JF">'Jours Fériés'!$B$2:$Q$13</definedName>
    <definedName name="TAUX1">Paramètres!$B$4</definedName>
    <definedName name="TAUX2">Paramètres!$B$5</definedName>
    <definedName name="TAUX3">Paramètres!$B$6</definedName>
    <definedName name="TAUX4">Paramètres!$B$7</definedName>
    <definedName name="véhicule">Paramètres!$B$9:$B$14</definedName>
  </definedNames>
  <calcPr calcId="179017"/>
  <pivotCaches>
    <pivotCache cacheId="52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3" l="1"/>
  <c r="B11" i="3" s="1"/>
  <c r="J11" i="3"/>
  <c r="P11" i="3" s="1"/>
  <c r="K11" i="3"/>
  <c r="M11" i="3"/>
  <c r="Q11" i="3"/>
  <c r="R11" i="3"/>
  <c r="I9" i="3"/>
  <c r="B9" i="3" s="1"/>
  <c r="J9" i="3"/>
  <c r="O9" i="3" s="1"/>
  <c r="K9" i="3"/>
  <c r="M9" i="3"/>
  <c r="I7" i="3"/>
  <c r="B7" i="3" s="1"/>
  <c r="J7" i="3"/>
  <c r="N7" i="3" s="1"/>
  <c r="K7" i="3"/>
  <c r="M7" i="3"/>
  <c r="I13" i="3"/>
  <c r="J13" i="3"/>
  <c r="R13" i="3" s="1"/>
  <c r="K13" i="3"/>
  <c r="I6" i="3"/>
  <c r="I8" i="3"/>
  <c r="I10" i="3"/>
  <c r="I12" i="3"/>
  <c r="J6" i="3"/>
  <c r="J8" i="3"/>
  <c r="O8" i="3" s="1"/>
  <c r="J10" i="3"/>
  <c r="O10" i="3" s="1"/>
  <c r="J12" i="3"/>
  <c r="R12" i="3" s="1"/>
  <c r="B6" i="3"/>
  <c r="B8" i="3"/>
  <c r="B10" i="3"/>
  <c r="K6" i="3"/>
  <c r="K8" i="3"/>
  <c r="K10" i="3"/>
  <c r="K12" i="3"/>
  <c r="M6" i="3"/>
  <c r="M8" i="3"/>
  <c r="M10" i="3"/>
  <c r="M12" i="3"/>
  <c r="I5" i="3"/>
  <c r="B5" i="3" s="1"/>
  <c r="J5" i="3"/>
  <c r="R5" i="3" s="1"/>
  <c r="K5" i="3"/>
  <c r="M5" i="3"/>
  <c r="T11" i="3" l="1"/>
  <c r="W11" i="3"/>
  <c r="O11" i="3"/>
  <c r="R9" i="3"/>
  <c r="N11" i="3"/>
  <c r="L11" i="3" s="1"/>
  <c r="Q9" i="3"/>
  <c r="P9" i="3" s="1"/>
  <c r="T9" i="3"/>
  <c r="R7" i="3"/>
  <c r="N9" i="3"/>
  <c r="W9" i="3" s="1"/>
  <c r="Q7" i="3"/>
  <c r="L9" i="3"/>
  <c r="T7" i="3"/>
  <c r="O7" i="3"/>
  <c r="L7" i="3"/>
  <c r="M13" i="3"/>
  <c r="Q13" i="3"/>
  <c r="P13" i="3" s="1"/>
  <c r="Q10" i="3"/>
  <c r="P10" i="3" s="1"/>
  <c r="R10" i="3"/>
  <c r="O13" i="3"/>
  <c r="N13" i="3"/>
  <c r="B13" i="3"/>
  <c r="Q6" i="3"/>
  <c r="N12" i="3"/>
  <c r="L12" i="3" s="1"/>
  <c r="O12" i="3"/>
  <c r="Q12" i="3"/>
  <c r="B12" i="3"/>
  <c r="N10" i="3"/>
  <c r="W10" i="3" s="1"/>
  <c r="R8" i="3"/>
  <c r="Q8" i="3"/>
  <c r="R6" i="3"/>
  <c r="P6" i="3" s="1"/>
  <c r="N8" i="3"/>
  <c r="O6" i="3"/>
  <c r="N6" i="3"/>
  <c r="Q5" i="3"/>
  <c r="P5" i="3" s="1"/>
  <c r="O5" i="3"/>
  <c r="N5" i="3"/>
  <c r="T5" i="3"/>
  <c r="B2" i="8"/>
  <c r="B13" i="8"/>
  <c r="B3" i="8"/>
  <c r="B4" i="8"/>
  <c r="B5" i="8"/>
  <c r="B6" i="8"/>
  <c r="B7" i="8"/>
  <c r="B8" i="8"/>
  <c r="B9" i="8"/>
  <c r="B10" i="8"/>
  <c r="B11" i="8"/>
  <c r="B12" i="8"/>
  <c r="C6" i="8"/>
  <c r="C8" i="8"/>
  <c r="C4" i="8"/>
  <c r="C12" i="8"/>
  <c r="C3" i="8"/>
  <c r="C5" i="8"/>
  <c r="C7" i="8"/>
  <c r="C13" i="8"/>
  <c r="C11" i="8"/>
  <c r="C10" i="8"/>
  <c r="C9" i="8"/>
  <c r="C2" i="8"/>
  <c r="U11" i="3" l="1"/>
  <c r="U9" i="3"/>
  <c r="P7" i="3"/>
  <c r="V7" i="3" s="1"/>
  <c r="V11" i="3"/>
  <c r="W7" i="3"/>
  <c r="V9" i="3"/>
  <c r="U7" i="3"/>
  <c r="L13" i="3"/>
  <c r="U13" i="3" s="1"/>
  <c r="T13" i="3"/>
  <c r="W13" i="3"/>
  <c r="W12" i="3"/>
  <c r="P12" i="3"/>
  <c r="V12" i="3" s="1"/>
  <c r="L10" i="3"/>
  <c r="U10" i="3" s="1"/>
  <c r="W6" i="3"/>
  <c r="P8" i="3"/>
  <c r="W8" i="3"/>
  <c r="L6" i="3"/>
  <c r="V6" i="3" s="1"/>
  <c r="V8" i="3"/>
  <c r="W5" i="3"/>
  <c r="L8" i="3"/>
  <c r="U8" i="3" s="1"/>
  <c r="L5" i="3"/>
  <c r="V5" i="3" s="1"/>
  <c r="C14" i="8"/>
  <c r="J2" i="3"/>
  <c r="J3" i="3"/>
  <c r="J4" i="3"/>
  <c r="V13" i="3" l="1"/>
  <c r="U12" i="3"/>
  <c r="V10" i="3"/>
  <c r="U6" i="3"/>
  <c r="U5" i="3"/>
  <c r="G2" i="7"/>
  <c r="G3" i="7"/>
  <c r="G4" i="7"/>
  <c r="G5" i="7"/>
  <c r="G6" i="7"/>
  <c r="G7" i="7"/>
  <c r="G8" i="7"/>
  <c r="G9" i="7"/>
  <c r="H2" i="7"/>
  <c r="H3" i="7"/>
  <c r="H4" i="7"/>
  <c r="H5" i="7"/>
  <c r="H6" i="7"/>
  <c r="H7" i="7"/>
  <c r="H8" i="7"/>
  <c r="H9" i="7"/>
  <c r="M2" i="3"/>
  <c r="D2" i="7"/>
  <c r="D3" i="7"/>
  <c r="D4" i="7"/>
  <c r="D5" i="7"/>
  <c r="D6" i="7"/>
  <c r="D7" i="7"/>
  <c r="D8" i="7"/>
  <c r="D9" i="7"/>
  <c r="E4" i="7" l="1"/>
  <c r="E5" i="7"/>
  <c r="E6" i="7"/>
  <c r="E7" i="7"/>
  <c r="E8" i="7"/>
  <c r="E9" i="7"/>
  <c r="F7" i="7" l="1"/>
  <c r="F6" i="7"/>
  <c r="F9" i="7"/>
  <c r="F5" i="7"/>
  <c r="F8" i="7"/>
  <c r="F4" i="7"/>
  <c r="C7" i="7"/>
  <c r="C6" i="7"/>
  <c r="C8" i="7"/>
  <c r="C4" i="7"/>
  <c r="C9" i="7"/>
  <c r="C5" i="7"/>
  <c r="E3" i="7"/>
  <c r="F3" i="7"/>
  <c r="F2" i="7"/>
  <c r="E2" i="7"/>
  <c r="R4" i="3" l="1"/>
  <c r="R2" i="3"/>
  <c r="C3" i="7"/>
  <c r="C2" i="7"/>
  <c r="I2" i="3"/>
  <c r="I3" i="3"/>
  <c r="B3" i="3" s="1"/>
  <c r="I4" i="3"/>
  <c r="B2" i="3"/>
  <c r="S11" i="3" s="1"/>
  <c r="B4" i="3"/>
  <c r="S7" i="3" l="1"/>
  <c r="S9" i="3"/>
  <c r="S13" i="3"/>
  <c r="S5" i="3"/>
  <c r="S12" i="3"/>
  <c r="S10" i="3"/>
  <c r="S8" i="3"/>
  <c r="S6" i="3"/>
  <c r="Q4" i="3"/>
  <c r="P4" i="3" s="1"/>
  <c r="Q2" i="3"/>
  <c r="P2" i="3" s="1"/>
  <c r="N2" i="3"/>
  <c r="L2" i="3" s="1"/>
  <c r="R3" i="3" l="1"/>
  <c r="Q3" i="3"/>
  <c r="P3" i="3" l="1"/>
  <c r="D2" i="5"/>
  <c r="E2" i="5"/>
  <c r="F2" i="5"/>
  <c r="G2" i="5"/>
  <c r="H2" i="5"/>
  <c r="I2" i="5"/>
  <c r="J2" i="5"/>
  <c r="K2" i="5"/>
  <c r="L2" i="5"/>
  <c r="M2" i="5"/>
  <c r="N2" i="5"/>
  <c r="O2" i="5"/>
  <c r="P2" i="5"/>
  <c r="Q2" i="5"/>
  <c r="D3" i="5"/>
  <c r="D4" i="5" s="1"/>
  <c r="E3" i="5"/>
  <c r="E8" i="5" s="1"/>
  <c r="F3" i="5"/>
  <c r="G3" i="5"/>
  <c r="G4" i="5" s="1"/>
  <c r="H3" i="5"/>
  <c r="H4" i="5" s="1"/>
  <c r="I3" i="5"/>
  <c r="I8" i="5" s="1"/>
  <c r="J3" i="5"/>
  <c r="J4" i="5" s="1"/>
  <c r="K3" i="5"/>
  <c r="K8" i="5" s="1"/>
  <c r="L3" i="5"/>
  <c r="L4" i="5" s="1"/>
  <c r="M3" i="5"/>
  <c r="M8" i="5" s="1"/>
  <c r="N3" i="5"/>
  <c r="N7" i="5" s="1"/>
  <c r="O3" i="5"/>
  <c r="O7" i="5" s="1"/>
  <c r="P3" i="5"/>
  <c r="P4" i="5" s="1"/>
  <c r="Q3" i="5"/>
  <c r="Q4" i="5" s="1"/>
  <c r="F4" i="5"/>
  <c r="N4" i="5"/>
  <c r="D5" i="5"/>
  <c r="E5" i="5"/>
  <c r="F5" i="5"/>
  <c r="G5" i="5"/>
  <c r="H5" i="5"/>
  <c r="I5" i="5"/>
  <c r="J5" i="5"/>
  <c r="K5" i="5"/>
  <c r="L5" i="5"/>
  <c r="M5" i="5"/>
  <c r="N5" i="5"/>
  <c r="O5" i="5"/>
  <c r="P5" i="5"/>
  <c r="Q5" i="5"/>
  <c r="D6" i="5"/>
  <c r="E6" i="5"/>
  <c r="F6" i="5"/>
  <c r="G6" i="5"/>
  <c r="H6" i="5"/>
  <c r="I6" i="5"/>
  <c r="J6" i="5"/>
  <c r="K6" i="5"/>
  <c r="L6" i="5"/>
  <c r="M6" i="5"/>
  <c r="N6" i="5"/>
  <c r="O6" i="5"/>
  <c r="P6" i="5"/>
  <c r="Q6" i="5"/>
  <c r="F7" i="5"/>
  <c r="K7" i="5"/>
  <c r="F8" i="5"/>
  <c r="H8" i="5"/>
  <c r="N8" i="5"/>
  <c r="D9" i="5"/>
  <c r="E9" i="5"/>
  <c r="F9" i="5"/>
  <c r="G9" i="5"/>
  <c r="H9" i="5"/>
  <c r="I9" i="5"/>
  <c r="J9" i="5"/>
  <c r="K9" i="5"/>
  <c r="L9" i="5"/>
  <c r="M9" i="5"/>
  <c r="N9" i="5"/>
  <c r="O9" i="5"/>
  <c r="P9" i="5"/>
  <c r="Q9" i="5"/>
  <c r="D10" i="5"/>
  <c r="E10" i="5"/>
  <c r="F10" i="5"/>
  <c r="G10" i="5"/>
  <c r="H10" i="5"/>
  <c r="I10" i="5"/>
  <c r="J10" i="5"/>
  <c r="K10" i="5"/>
  <c r="L10" i="5"/>
  <c r="M10" i="5"/>
  <c r="N10" i="5"/>
  <c r="O10" i="5"/>
  <c r="P10" i="5"/>
  <c r="Q10" i="5"/>
  <c r="D11" i="5"/>
  <c r="E11" i="5"/>
  <c r="F11" i="5"/>
  <c r="G11" i="5"/>
  <c r="H11" i="5"/>
  <c r="I11" i="5"/>
  <c r="J11" i="5"/>
  <c r="K11" i="5"/>
  <c r="L11" i="5"/>
  <c r="M11" i="5"/>
  <c r="N11" i="5"/>
  <c r="O11" i="5"/>
  <c r="P11" i="5"/>
  <c r="Q11" i="5"/>
  <c r="D12" i="5"/>
  <c r="E12" i="5"/>
  <c r="F12" i="5"/>
  <c r="G12" i="5"/>
  <c r="H12" i="5"/>
  <c r="I12" i="5"/>
  <c r="J12" i="5"/>
  <c r="K12" i="5"/>
  <c r="L12" i="5"/>
  <c r="M12" i="5"/>
  <c r="N12" i="5"/>
  <c r="O12" i="5"/>
  <c r="P12" i="5"/>
  <c r="Q12" i="5"/>
  <c r="D13" i="5"/>
  <c r="E13" i="5"/>
  <c r="F13" i="5"/>
  <c r="G13" i="5"/>
  <c r="H13" i="5"/>
  <c r="I13" i="5"/>
  <c r="J13" i="5"/>
  <c r="K13" i="5"/>
  <c r="L13" i="5"/>
  <c r="M13" i="5"/>
  <c r="N13" i="5"/>
  <c r="O13" i="5"/>
  <c r="P13" i="5"/>
  <c r="Q13" i="5"/>
  <c r="C2" i="5"/>
  <c r="C3" i="5"/>
  <c r="C7" i="5" s="1"/>
  <c r="C5" i="5"/>
  <c r="C6" i="5"/>
  <c r="C9" i="5"/>
  <c r="C10" i="5"/>
  <c r="C11" i="5"/>
  <c r="C12" i="5"/>
  <c r="C13" i="5"/>
  <c r="B13" i="5"/>
  <c r="G8" i="5" l="1"/>
  <c r="O4" i="5"/>
  <c r="J8" i="5"/>
  <c r="J7" i="5"/>
  <c r="O8" i="5"/>
  <c r="G7" i="5"/>
  <c r="K4" i="5"/>
  <c r="L8" i="5"/>
  <c r="P8" i="5"/>
  <c r="D8" i="5"/>
  <c r="Q7" i="5"/>
  <c r="P7" i="5"/>
  <c r="L7" i="5"/>
  <c r="H7" i="5"/>
  <c r="D7" i="5"/>
  <c r="M4" i="5"/>
  <c r="I4" i="5"/>
  <c r="E4" i="5"/>
  <c r="M7" i="5"/>
  <c r="I7" i="5"/>
  <c r="E7" i="5"/>
  <c r="Q8" i="5"/>
  <c r="C8" i="5"/>
  <c r="C4" i="5"/>
  <c r="B2" i="5"/>
  <c r="B10" i="5"/>
  <c r="B3" i="5"/>
  <c r="B11" i="5"/>
  <c r="B6" i="5"/>
  <c r="B12" i="5"/>
  <c r="B5" i="5"/>
  <c r="B9" i="5"/>
  <c r="B8" i="5" l="1"/>
  <c r="B4" i="5"/>
  <c r="B7" i="5"/>
  <c r="K2" i="3" l="1"/>
  <c r="K3" i="3"/>
  <c r="K4" i="3"/>
  <c r="O4" i="3" l="1"/>
  <c r="N4" i="3"/>
  <c r="O3" i="3"/>
  <c r="N3" i="3"/>
  <c r="O2" i="3"/>
  <c r="M4" i="3"/>
  <c r="M3" i="3"/>
  <c r="L3" i="3" l="1"/>
  <c r="L4" i="3"/>
  <c r="W4" i="3"/>
  <c r="S4" i="3"/>
  <c r="S2" i="3"/>
  <c r="S3" i="3"/>
  <c r="U2" i="3"/>
  <c r="W2" i="3"/>
  <c r="V4" i="3"/>
  <c r="U4" i="3"/>
  <c r="V2" i="3"/>
  <c r="W3" i="3" l="1"/>
  <c r="U3" i="3" l="1"/>
  <c r="T8" i="3" s="1"/>
  <c r="V3" i="3"/>
  <c r="T12" i="3" s="1"/>
  <c r="T10" i="3" l="1"/>
  <c r="T3" i="3"/>
  <c r="T6" i="3"/>
  <c r="T2" i="3"/>
  <c r="T4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I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  <comment ref="J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  <comment ref="B1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</commentList>
</comments>
</file>

<file path=xl/sharedStrings.xml><?xml version="1.0" encoding="utf-8"?>
<sst xmlns="http://schemas.openxmlformats.org/spreadsheetml/2006/main" count="76" uniqueCount="64">
  <si>
    <t>Date</t>
  </si>
  <si>
    <t>Motif</t>
  </si>
  <si>
    <t>Véhicule</t>
  </si>
  <si>
    <t>VSAV</t>
  </si>
  <si>
    <t>FPTL</t>
  </si>
  <si>
    <t>CCF</t>
  </si>
  <si>
    <t>VLOD</t>
  </si>
  <si>
    <t>Lundi de Pâques</t>
  </si>
  <si>
    <t>Assomption</t>
  </si>
  <si>
    <t>Armistice</t>
  </si>
  <si>
    <t>Noël</t>
  </si>
  <si>
    <t>Jours fériés</t>
  </si>
  <si>
    <t>Début Dim ou Férié</t>
  </si>
  <si>
    <t>Fin Dim ou Férié</t>
  </si>
  <si>
    <t>Hfin corrigée</t>
  </si>
  <si>
    <t>Durée sans interv.</t>
  </si>
  <si>
    <t>Durée interv. dim ou férié</t>
  </si>
  <si>
    <t>Durée interv. nuit</t>
  </si>
  <si>
    <t>Durée interv. jour</t>
  </si>
  <si>
    <t>Hdébut interv.</t>
  </si>
  <si>
    <t>Hfin Interv.</t>
  </si>
  <si>
    <t>JOUR1</t>
  </si>
  <si>
    <t>NUIT1.1</t>
  </si>
  <si>
    <t>NUIT1.2</t>
  </si>
  <si>
    <t>JOUR2</t>
  </si>
  <si>
    <t>NUIT2.1</t>
  </si>
  <si>
    <t>NUIT2.2</t>
  </si>
  <si>
    <t>Hdébut corrigé</t>
  </si>
  <si>
    <t>Véhicules</t>
  </si>
  <si>
    <t>Fin Nuit</t>
  </si>
  <si>
    <t>Début Nuit</t>
  </si>
  <si>
    <t>Taux sans interv.</t>
  </si>
  <si>
    <t>Taux interv. jour</t>
  </si>
  <si>
    <t>Taux interv. dim ou férié</t>
  </si>
  <si>
    <t>Taux interv. nuit</t>
  </si>
  <si>
    <t>Interv. hors poste</t>
  </si>
  <si>
    <t>Total général</t>
  </si>
  <si>
    <t>Valeurs</t>
  </si>
  <si>
    <t>Premier de l'AN</t>
  </si>
  <si>
    <t>Pâques</t>
  </si>
  <si>
    <t>Fête du travail</t>
  </si>
  <si>
    <t>Victoire de 1945</t>
  </si>
  <si>
    <t>Ascension</t>
  </si>
  <si>
    <t>Pentecôte</t>
  </si>
  <si>
    <t>Fête nationale</t>
  </si>
  <si>
    <t>Toussaint</t>
  </si>
  <si>
    <t>Hdébut garde</t>
  </si>
  <si>
    <t>Hfin garde</t>
  </si>
  <si>
    <t>Garde / Interv.</t>
  </si>
  <si>
    <t>Somme de Durée sans interv.</t>
  </si>
  <si>
    <t>Somme de Durée interv. jour</t>
  </si>
  <si>
    <t>Somme de Durée interv. dim ou férié</t>
  </si>
  <si>
    <t>Somme de Durée interv. nuit</t>
  </si>
  <si>
    <t>Somme de Arrondi sans interv.</t>
  </si>
  <si>
    <t>Somme de Arrondi interv. jour</t>
  </si>
  <si>
    <t>Somme de Arrondi interv. dim ou férié</t>
  </si>
  <si>
    <t>Somme de Arrondi interv. nuit</t>
  </si>
  <si>
    <t>mois</t>
  </si>
  <si>
    <t>indemnités</t>
  </si>
  <si>
    <t>année</t>
  </si>
  <si>
    <t>Total</t>
  </si>
  <si>
    <t>STANDARD</t>
  </si>
  <si>
    <t>CCGC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</si>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</sst>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ddd\ dd\-mm"/>
    <numFmt numFmtId="165" formatCode="[$-40C]General"/>
    <numFmt numFmtId="166" formatCode="[hh]:mm"/>
    <numFmt numFmtId="167" formatCode="ddd\ dd\-mmm\-yyyy"/>
    <numFmt numFmtId="168" formatCode="d\ hh:mm"/>
    <numFmt numFmtId="169" formatCode="d\ * hh:mm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Courier New"/>
      <family val="3"/>
    </font>
    <font>
      <sz val="10"/>
      <color rgb="FF00000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i/>
      <sz val="11"/>
      <color theme="0" tint="-0.49998474074526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1"/>
      <name val="Calibri"/>
      <family val="2"/>
      <scheme val="minor"/>
    </font>
    <font>
      <i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8" tint="-0.249977111117893"/>
      <name val="Calibri"/>
      <family val="2"/>
      <scheme val="minor"/>
    </font>
    <font>
      <sz val="11"/>
      <color theme="8" tint="-0.249977111117893"/>
      <name val="Calibri"/>
      <scheme val="minor"/>
    </font>
    <font>
      <i/>
      <sz val="11"/>
      <color theme="8" tint="-0.249977111117893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3">
    <xf numFmtId="0" fontId="0" fillId="0" borderId="0"/>
    <xf numFmtId="44" fontId="1" fillId="0" borderId="0" applyFont="0" applyFill="0" applyBorder="0" applyAlignment="0" applyProtection="0"/>
    <xf numFmtId="0" fontId="4" fillId="0" borderId="0">
      <alignment horizontal="left" vertical="center"/>
    </xf>
    <xf numFmtId="1" fontId="4" fillId="0" borderId="0" applyBorder="0" applyProtection="0">
      <alignment horizontal="center" vertical="center"/>
    </xf>
    <xf numFmtId="0" fontId="5" fillId="0" borderId="0"/>
    <xf numFmtId="0" fontId="1" fillId="0" borderId="0"/>
    <xf numFmtId="165" fontId="4" fillId="0" borderId="0"/>
    <xf numFmtId="165" fontId="6" fillId="0" borderId="0"/>
    <xf numFmtId="165" fontId="6" fillId="0" borderId="0"/>
    <xf numFmtId="0" fontId="7" fillId="0" borderId="0"/>
    <xf numFmtId="0" fontId="8" fillId="0" borderId="0"/>
    <xf numFmtId="0" fontId="2" fillId="0" borderId="0"/>
    <xf numFmtId="0" fontId="4" fillId="0" borderId="0">
      <alignment horizontal="left" vertical="center"/>
    </xf>
  </cellStyleXfs>
  <cellXfs count="60">
    <xf numFmtId="0" fontId="0" fillId="0" borderId="0" xfId="0"/>
    <xf numFmtId="164" fontId="5" fillId="0" borderId="0" xfId="4" applyNumberFormat="1"/>
    <xf numFmtId="166" fontId="0" fillId="0" borderId="0" xfId="0" applyNumberFormat="1"/>
    <xf numFmtId="167" fontId="0" fillId="0" borderId="0" xfId="0" applyNumberFormat="1"/>
    <xf numFmtId="166" fontId="9" fillId="0" borderId="0" xfId="0" applyNumberFormat="1" applyFont="1"/>
    <xf numFmtId="44" fontId="9" fillId="0" borderId="0" xfId="1" applyFont="1"/>
    <xf numFmtId="166" fontId="13" fillId="0" borderId="0" xfId="0" applyNumberFormat="1" applyFont="1" applyAlignment="1">
      <alignment vertical="center" wrapText="1"/>
    </xf>
    <xf numFmtId="166" fontId="12" fillId="0" borderId="0" xfId="0" applyNumberFormat="1" applyFont="1" applyAlignment="1"/>
    <xf numFmtId="0" fontId="14" fillId="0" borderId="0" xfId="0" applyFont="1" applyAlignment="1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0" fillId="0" borderId="0" xfId="0" pivotButton="1"/>
    <xf numFmtId="0" fontId="3" fillId="0" borderId="0" xfId="4" applyFont="1" applyFill="1"/>
    <xf numFmtId="0" fontId="15" fillId="0" borderId="0" xfId="0" applyFont="1" applyFill="1" applyBorder="1" applyAlignment="1">
      <alignment horizontal="center"/>
    </xf>
    <xf numFmtId="0" fontId="0" fillId="0" borderId="0" xfId="0" applyFill="1"/>
    <xf numFmtId="166" fontId="16" fillId="0" borderId="0" xfId="0" applyNumberFormat="1" applyFont="1"/>
    <xf numFmtId="169" fontId="13" fillId="0" borderId="0" xfId="0" applyNumberFormat="1" applyFont="1" applyAlignment="1">
      <alignment vertical="center" wrapText="1"/>
    </xf>
    <xf numFmtId="167" fontId="17" fillId="0" borderId="0" xfId="0" applyNumberFormat="1" applyFont="1" applyAlignment="1">
      <alignment vertical="center" wrapText="1"/>
    </xf>
    <xf numFmtId="0" fontId="17" fillId="0" borderId="0" xfId="0" applyFont="1" applyAlignment="1">
      <alignment vertical="center" wrapText="1"/>
    </xf>
    <xf numFmtId="166" fontId="17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166" fontId="13" fillId="0" borderId="0" xfId="0" applyNumberFormat="1" applyFont="1" applyBorder="1" applyAlignment="1">
      <alignment vertical="center" wrapText="1"/>
    </xf>
    <xf numFmtId="0" fontId="14" fillId="0" borderId="0" xfId="0" applyFont="1" applyAlignment="1">
      <alignment vertical="center" wrapText="1"/>
    </xf>
    <xf numFmtId="0" fontId="14" fillId="0" borderId="0" xfId="0" applyFont="1"/>
    <xf numFmtId="169" fontId="14" fillId="0" borderId="0" xfId="0" applyNumberFormat="1" applyFont="1"/>
    <xf numFmtId="166" fontId="14" fillId="0" borderId="0" xfId="0" applyNumberFormat="1" applyFont="1" applyBorder="1" applyAlignment="1"/>
    <xf numFmtId="166" fontId="14" fillId="0" borderId="0" xfId="0" applyNumberFormat="1" applyFont="1" applyAlignment="1"/>
    <xf numFmtId="166" fontId="14" fillId="0" borderId="0" xfId="0" applyNumberFormat="1" applyFont="1"/>
    <xf numFmtId="44" fontId="14" fillId="0" borderId="0" xfId="1" applyFont="1"/>
    <xf numFmtId="169" fontId="17" fillId="0" borderId="0" xfId="0" applyNumberFormat="1" applyFont="1" applyAlignment="1">
      <alignment vertical="center" wrapText="1"/>
    </xf>
    <xf numFmtId="166" fontId="17" fillId="0" borderId="0" xfId="0" applyNumberFormat="1" applyFont="1" applyBorder="1" applyAlignment="1">
      <alignment vertical="center" wrapText="1"/>
    </xf>
    <xf numFmtId="0" fontId="0" fillId="0" borderId="0" xfId="0" pivotButton="1" applyAlignment="1">
      <alignment wrapText="1"/>
    </xf>
    <xf numFmtId="0" fontId="0" fillId="0" borderId="0" xfId="0" applyAlignment="1">
      <alignment wrapText="1"/>
    </xf>
    <xf numFmtId="167" fontId="16" fillId="0" borderId="0" xfId="0" applyNumberFormat="1" applyFont="1"/>
    <xf numFmtId="0" fontId="16" fillId="0" borderId="0" xfId="0" applyFont="1" applyAlignment="1">
      <alignment horizontal="center" vertical="center"/>
    </xf>
    <xf numFmtId="0" fontId="16" fillId="0" borderId="0" xfId="0" applyFont="1"/>
    <xf numFmtId="169" fontId="18" fillId="0" borderId="0" xfId="0" applyNumberFormat="1" applyFont="1"/>
    <xf numFmtId="0" fontId="18" fillId="0" borderId="0" xfId="0" applyFont="1" applyAlignment="1"/>
    <xf numFmtId="166" fontId="18" fillId="0" borderId="0" xfId="0" applyNumberFormat="1" applyFont="1" applyBorder="1" applyAlignment="1"/>
    <xf numFmtId="166" fontId="18" fillId="0" borderId="0" xfId="0" applyNumberFormat="1" applyFont="1" applyAlignment="1"/>
    <xf numFmtId="169" fontId="16" fillId="0" borderId="0" xfId="0" applyNumberFormat="1" applyFont="1"/>
    <xf numFmtId="168" fontId="18" fillId="0" borderId="0" xfId="0" applyNumberFormat="1" applyFont="1"/>
    <xf numFmtId="0" fontId="16" fillId="0" borderId="0" xfId="0" applyFont="1" applyAlignment="1"/>
    <xf numFmtId="167" fontId="19" fillId="0" borderId="0" xfId="0" applyNumberFormat="1" applyFont="1"/>
    <xf numFmtId="167" fontId="19" fillId="0" borderId="0" xfId="0" applyNumberFormat="1" applyFont="1" applyAlignment="1">
      <alignment horizontal="center" vertical="center"/>
    </xf>
    <xf numFmtId="166" fontId="19" fillId="0" borderId="0" xfId="0" applyNumberFormat="1" applyFont="1"/>
    <xf numFmtId="169" fontId="20" fillId="0" borderId="0" xfId="0" applyNumberFormat="1" applyFont="1"/>
    <xf numFmtId="0" fontId="20" fillId="0" borderId="0" xfId="0" applyNumberFormat="1" applyFont="1" applyAlignment="1"/>
    <xf numFmtId="166" fontId="20" fillId="0" borderId="0" xfId="0" applyNumberFormat="1" applyFont="1" applyAlignment="1"/>
    <xf numFmtId="0" fontId="3" fillId="2" borderId="5" xfId="0" applyFont="1" applyFill="1" applyBorder="1" applyAlignment="1">
      <alignment wrapText="1"/>
    </xf>
    <xf numFmtId="44" fontId="0" fillId="0" borderId="0" xfId="1" applyFont="1"/>
    <xf numFmtId="44" fontId="3" fillId="2" borderId="5" xfId="1" applyFont="1" applyFill="1" applyBorder="1" applyAlignment="1">
      <alignment wrapText="1"/>
    </xf>
    <xf numFmtId="0" fontId="0" fillId="0" borderId="0" xfId="0" applyNumberFormat="1"/>
  </cellXfs>
  <cellStyles count="13">
    <cellStyle name="Excel Built-in Normal" xfId="6" xr:uid="{00000000-0005-0000-0000-000000000000}"/>
    <cellStyle name="Monétaire" xfId="1" builtinId="4"/>
    <cellStyle name="Normal" xfId="0" builtinId="0"/>
    <cellStyle name="Normal 2" xfId="7" xr:uid="{00000000-0005-0000-0000-000003000000}"/>
    <cellStyle name="Normal 2 2" xfId="8" xr:uid="{00000000-0005-0000-0000-000004000000}"/>
    <cellStyle name="Normal 2 3" xfId="4" xr:uid="{00000000-0005-0000-0000-000005000000}"/>
    <cellStyle name="Normal 3" xfId="9" xr:uid="{00000000-0005-0000-0000-000006000000}"/>
    <cellStyle name="Normal 4" xfId="10" xr:uid="{00000000-0005-0000-0000-000007000000}"/>
    <cellStyle name="Normal 5" xfId="11" xr:uid="{00000000-0005-0000-0000-000008000000}"/>
    <cellStyle name="Normal 6" xfId="5" xr:uid="{00000000-0005-0000-0000-000009000000}"/>
    <cellStyle name="Normal 7" xfId="12" xr:uid="{00000000-0005-0000-0000-00000A000000}"/>
    <cellStyle name="Normal 8" xfId="2" xr:uid="{00000000-0005-0000-0000-00000B000000}"/>
    <cellStyle name="Texte explicatif 2" xfId="3" xr:uid="{00000000-0005-0000-0000-00000C000000}"/>
  </cellStyles>
  <dxfs count="86"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9" formatCode="d\ * 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9" formatCode="d\ * hh:mm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i val="0"/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general" vertical="center" textRotation="0" wrapText="1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general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general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general" textRotation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general" textRotation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0" formatCode="General"/>
      <alignment horizontal="general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9" formatCode="d\ * hh:mm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9" formatCode="d\ * hh:mm"/>
    </dxf>
    <dxf>
      <font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</dxf>
    <dxf>
      <font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</dxf>
    <dxf>
      <font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7" formatCode="ddd\ dd\-mmm\-yyyy"/>
    </dxf>
    <dxf>
      <font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7" formatCode="ddd\ dd\-mmm\-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7" formatCode="ddd\ dd\-mmm\-yyyy"/>
    </dxf>
    <dxf>
      <font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231140</xdr:colOff>
      <xdr:row>21</xdr:row>
      <xdr:rowOff>1270</xdr:rowOff>
    </xdr:from>
    <xdr:to>
      <xdr:col>11</xdr:col>
      <xdr:colOff>313690</xdr:colOff>
      <xdr:row>30</xdr:row>
      <xdr:rowOff>171450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6418580" y="4390390"/>
          <a:ext cx="3282950" cy="1816100"/>
        </a:xfrm>
        <a:prstGeom prst="round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21299999" rev="0"/>
          </a:camera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Attention : si le fichier a été copié, les données source n'ont pas forcément suivi et l'actualisation de la synthèse</a:t>
          </a:r>
          <a:r>
            <a:rPr lang="fr-FR" sz="1100" b="1" baseline="0"/>
            <a:t> ne se fait pas.</a:t>
          </a:r>
        </a:p>
        <a:p>
          <a:pPr algn="l"/>
          <a:endParaRPr lang="fr-FR" sz="1100" b="1" baseline="0"/>
        </a:p>
        <a:p>
          <a:pPr algn="l"/>
          <a:r>
            <a:rPr lang="fr-FR" sz="1100" b="1" baseline="0"/>
            <a:t>Dans ce cas,</a:t>
          </a:r>
        </a:p>
        <a:p>
          <a:pPr algn="l"/>
          <a:r>
            <a:rPr lang="fr-FR" sz="1100" b="1" baseline="0"/>
            <a:t>- se mettre sur une valeur du tableau</a:t>
          </a:r>
        </a:p>
        <a:p>
          <a:pPr algn="l"/>
          <a:r>
            <a:rPr lang="fr-FR" sz="1100" b="1" baseline="0"/>
            <a:t>- choisir "Outils de Tableau Croisé Dynamique"</a:t>
          </a:r>
        </a:p>
        <a:p>
          <a:pPr algn="l"/>
          <a:r>
            <a:rPr lang="fr-FR" sz="1100" b="1" baseline="0"/>
            <a:t>- changer la source des données</a:t>
          </a:r>
        </a:p>
        <a:p>
          <a:pPr algn="l"/>
          <a:r>
            <a:rPr lang="fr-FR" sz="1100" b="1" baseline="0"/>
            <a:t>- mettre data tout seul</a:t>
          </a:r>
          <a:endParaRPr lang="fr-FR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501650</xdr:colOff>
      <xdr:row>2</xdr:row>
      <xdr:rowOff>57150</xdr:rowOff>
    </xdr:from>
    <xdr:to>
      <xdr:col>8</xdr:col>
      <xdr:colOff>488950</xdr:colOff>
      <xdr:row>5</xdr:row>
      <xdr:rowOff>50800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3708400" y="425450"/>
          <a:ext cx="3035300" cy="546100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Actualiser le tableau croisé dynamique</a:t>
          </a:r>
          <a:r>
            <a:rPr lang="fr-FR" sz="1100" b="1" baseline="0"/>
            <a:t> dans onglet Synthèse pour mettre à jour les valeurs !</a:t>
          </a:r>
          <a:endParaRPr lang="fr-FR" sz="1100" b="1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3253.986490277777" createdVersion="6" refreshedVersion="6" minRefreshableVersion="3" recordCount="12" xr:uid="{23265F2A-2CF5-4706-BEDC-46578CFCADC7}">
  <cacheSource type="worksheet">
    <worksheetSource name="data"/>
  </cacheSource>
  <cacheFields count="28">
    <cacheField name="Date" numFmtId="167">
      <sharedItems containsNonDate="0" containsDate="1" containsString="0" containsBlank="1" minDate="2018-01-01T00:00:00" maxDate="2018-06-29T00:00:00" count="8">
        <d v="2018-05-19T00:00:00"/>
        <d v="2018-06-02T00:00:00"/>
        <d v="2018-06-07T00:00:00"/>
        <m/>
        <d v="2018-06-14T00:00:00"/>
        <d v="2018-06-21T00:00:00"/>
        <d v="2018-06-28T00:00:00"/>
        <d v="2018-01-01T00:00:00" u="1"/>
      </sharedItems>
    </cacheField>
    <cacheField name="Garde / Interv." numFmtId="0">
      <sharedItems/>
    </cacheField>
    <cacheField name="Véhicule" numFmtId="0">
      <sharedItems containsBlank="1"/>
    </cacheField>
    <cacheField name="Motif" numFmtId="0">
      <sharedItems containsNonDate="0" containsString="0" containsBlank="1"/>
    </cacheField>
    <cacheField name="Hdébut garde" numFmtId="166">
      <sharedItems containsNonDate="0" containsDate="1" containsString="0" containsBlank="1" minDate="1899-12-30T08:00:00" maxDate="1899-12-30T20:00:00"/>
    </cacheField>
    <cacheField name="Hfin garde" numFmtId="166">
      <sharedItems containsNonDate="0" containsDate="1" containsString="0" containsBlank="1" minDate="1899-12-30T08:00:00" maxDate="1899-12-30T08:00:00"/>
    </cacheField>
    <cacheField name="Hdébut interv." numFmtId="166">
      <sharedItems containsNonDate="0" containsDate="1" containsString="0" containsBlank="1" minDate="1899-12-30T15:40:00" maxDate="1899-12-30T20:00:00"/>
    </cacheField>
    <cacheField name="Hfin Interv." numFmtId="166">
      <sharedItems containsNonDate="0" containsDate="1" containsString="0" containsBlank="1" minDate="1899-12-30T17:00:00" maxDate="1899-12-30T23:00:00"/>
    </cacheField>
    <cacheField name="Hdébut corrigé" numFmtId="169">
      <sharedItems containsSemiMixedTypes="0" containsNonDate="0" containsDate="1" containsString="0" minDate="1899-12-30T00:00:00" maxDate="1900-01-01T00:00:00"/>
    </cacheField>
    <cacheField name="Hfin corrigée" numFmtId="169">
      <sharedItems containsSemiMixedTypes="0" containsNonDate="0" containsDate="1" containsString="0" minDate="1899-12-30T00:00:00" maxDate="1899-12-31T08:00:00"/>
    </cacheField>
    <cacheField name="Début Dim ou Férié" numFmtId="0">
      <sharedItems/>
    </cacheField>
    <cacheField name="JOUR1" numFmtId="166">
      <sharedItems containsSemiMixedTypes="0" containsNonDate="0" containsDate="1" containsString="0" minDate="1899-12-30T00:00:00" maxDate="1899-12-30T14:00:00"/>
    </cacheField>
    <cacheField name="NUIT1.1" numFmtId="166">
      <sharedItems containsSemiMixedTypes="0" containsNonDate="0" containsDate="1" containsString="0" minDate="1899-12-30T00:00:00" maxDate="1899-12-31T00:00:00"/>
    </cacheField>
    <cacheField name="NUIT1.2" numFmtId="166">
      <sharedItems containsSemiMixedTypes="0" containsNonDate="0" containsDate="1" containsString="0" minDate="1899-12-30T00:00:00" maxDate="1899-12-30T02:00:00"/>
    </cacheField>
    <cacheField name="Fin Dim ou Férié" numFmtId="0">
      <sharedItems/>
    </cacheField>
    <cacheField name="JOUR2" numFmtId="166">
      <sharedItems containsSemiMixedTypes="0" containsNonDate="0" containsDate="1" containsString="0" minDate="1899-12-30T00:00:00" maxDate="1899-12-30T01:00:00"/>
    </cacheField>
    <cacheField name="NUIT2.1" numFmtId="166">
      <sharedItems containsSemiMixedTypes="0" containsNonDate="0" containsDate="1" containsString="0" minDate="1899-12-30T00:00:00" maxDate="1899-12-30T07:00:00"/>
    </cacheField>
    <cacheField name="NUIT2.2" numFmtId="166">
      <sharedItems containsSemiMixedTypes="0" containsNonDate="0" containsDate="1" containsString="0" minDate="1899-12-30T00:00:00" maxDate="1899-12-31T00:00:00"/>
    </cacheField>
    <cacheField name="Interv. hors poste" numFmtId="166">
      <sharedItems containsSemiMixedTypes="0" containsNonDate="0" containsDate="1" containsString="0" minDate="1899-12-30T00:00:00" maxDate="1899-12-31T00:00:00"/>
    </cacheField>
    <cacheField name="Durée sans interv." numFmtId="166">
      <sharedItems containsSemiMixedTypes="0" containsNonDate="0" containsDate="1" containsString="0" minDate="1899-12-30T00:00:00" maxDate="1900-01-01T00:00:00"/>
    </cacheField>
    <cacheField name="Durée interv. jour" numFmtId="166">
      <sharedItems containsSemiMixedTypes="0" containsNonDate="0" containsDate="1" containsString="0" minDate="1899-12-30T00:00:00" maxDate="1899-12-31T00:00:00"/>
    </cacheField>
    <cacheField name="Durée interv. dim ou férié" numFmtId="166">
      <sharedItems containsSemiMixedTypes="0" containsNonDate="0" containsDate="1" containsString="0" minDate="1899-12-30T00:00:00" maxDate="1899-12-31T00:00:00"/>
    </cacheField>
    <cacheField name="Durée interv. nuit" numFmtId="166">
      <sharedItems containsSemiMixedTypes="0" containsNonDate="0" containsDate="1" containsString="0" minDate="1899-12-30T00:00:00" maxDate="1899-12-31T00:00:00"/>
    </cacheField>
    <cacheField name="Total" numFmtId="0" formula="#NAME?+#NAME?" databaseField="0"/>
    <cacheField name="Arrondi sans interv." numFmtId="0" formula=" ROUNDUP('Durée sans interv.'*4*24,0)/4/24" databaseField="0"/>
    <cacheField name="Arrondi interv. jour" numFmtId="0" formula=" ROUNDUP('Durée interv. jour'*4*24,0)/4/24" databaseField="0"/>
    <cacheField name="Arrondi interv. dim ou férié" numFmtId="0" formula=" ROUNDUP('Durée interv. dim ou férié'*4*24,0)/4/24" databaseField="0"/>
    <cacheField name="Arrondi interv. nuit" numFmtId="0" formula=" ROUNDUP('Durée interv. nuit'*4*24,0)/4/24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s v="Garde"/>
    <m/>
    <m/>
    <d v="1899-12-30T12:00:00"/>
    <d v="1899-12-30T08:00:00"/>
    <m/>
    <m/>
    <d v="1899-12-30T12:00:00"/>
    <d v="1899-12-31T08:00:00"/>
    <s v="non"/>
    <d v="1899-12-30T10:00:00"/>
    <d v="1899-12-30T00:00:00"/>
    <d v="1899-12-30T02:00:00"/>
    <s v="oui"/>
    <d v="1899-12-30T01:00:00"/>
    <d v="1899-12-30T07:00:00"/>
    <d v="1899-12-30T00:00:00"/>
    <d v="1899-12-30T00:00:00"/>
    <d v="1899-12-30T18:40:00"/>
    <d v="1899-12-30T00:00:00"/>
    <d v="1899-12-30T00:00:00"/>
    <d v="1899-12-30T00:00:00"/>
  </r>
  <r>
    <x v="0"/>
    <s v="Intervention"/>
    <s v="VSAV"/>
    <m/>
    <m/>
    <m/>
    <d v="1899-12-30T15:40:00"/>
    <d v="1899-12-30T17:00:00"/>
    <d v="1899-12-30T15:40:00"/>
    <d v="1899-12-30T17:00:00"/>
    <s v="non"/>
    <d v="1899-12-30T01:20:00"/>
    <d v="1899-12-30T00:00:00"/>
    <d v="1899-12-30T00:00:00"/>
    <s v="non"/>
    <d v="1899-12-30T00:00:00"/>
    <d v="1899-12-30T00:00:00"/>
    <d v="1899-12-30T00:00:00"/>
    <d v="1899-12-30T00:00:00"/>
    <d v="1899-12-30T00:00:00"/>
    <d v="1899-12-30T01:20:00"/>
    <d v="1899-12-30T00:00:00"/>
    <d v="1899-12-30T00:00:00"/>
  </r>
  <r>
    <x v="1"/>
    <s v="Garde"/>
    <m/>
    <m/>
    <d v="1899-12-30T20:00:00"/>
    <d v="1899-12-30T08:00:00"/>
    <m/>
    <m/>
    <d v="1899-12-30T20:00:00"/>
    <d v="1899-12-31T08:00:00"/>
    <s v="non"/>
    <d v="1899-12-30T02:00:00"/>
    <d v="1899-12-30T00:00:00"/>
    <d v="1899-12-30T02:00:00"/>
    <s v="oui"/>
    <d v="1899-12-30T01:00:00"/>
    <d v="1899-12-30T07:00:00"/>
    <d v="1899-12-30T00:00:00"/>
    <d v="1899-12-30T00:00:00"/>
    <d v="1899-12-30T12:00:00"/>
    <d v="1899-12-30T00:00:00"/>
    <d v="1899-12-30T00:00:00"/>
    <d v="1899-12-30T00:00:00"/>
  </r>
  <r>
    <x v="1"/>
    <s v="Intervention"/>
    <s v="STANDARD"/>
    <m/>
    <m/>
    <m/>
    <m/>
    <m/>
    <d v="1899-12-31T00:00:00"/>
    <d v="1899-12-31T00:00:00"/>
    <s v="non"/>
    <d v="1899-12-30T00:00:00"/>
    <d v="1899-12-30T00:00:00"/>
    <d v="1899-12-30T00:00:00"/>
    <s v="oui"/>
    <d v="1899-12-30T00:00:00"/>
    <d v="1899-12-30T00:00:00"/>
    <d v="1899-12-30T00:00:00"/>
    <d v="1899-12-30T00:00:00"/>
    <d v="1899-12-30T00:00:00"/>
    <d v="1899-12-30T00:00:00"/>
    <d v="1899-12-30T00:00:00"/>
    <d v="1899-12-30T00:00:00"/>
  </r>
  <r>
    <x v="2"/>
    <s v="Garde"/>
    <m/>
    <m/>
    <d v="1899-12-30T08:00:00"/>
    <d v="1899-12-30T08:00:00"/>
    <m/>
    <m/>
    <d v="1899-12-30T08:00:00"/>
    <d v="1899-12-31T08:00:00"/>
    <s v="non"/>
    <d v="1899-12-30T14:00:00"/>
    <d v="1899-12-30T00:00:00"/>
    <d v="1899-12-30T02:00:00"/>
    <s v="non"/>
    <d v="1899-12-30T01:00:00"/>
    <d v="1899-12-30T07:00:00"/>
    <d v="1899-12-30T00:00:00"/>
    <d v="1899-12-30T00:00:00"/>
    <d v="1899-12-31T00:00:00"/>
    <d v="1899-12-30T00:00:00"/>
    <d v="1899-12-30T00:00:00"/>
    <d v="1899-12-30T00:00:00"/>
  </r>
  <r>
    <x v="3"/>
    <s v="Intervention"/>
    <m/>
    <m/>
    <m/>
    <m/>
    <m/>
    <m/>
    <d v="1899-12-30T00:00:00"/>
    <d v="1899-12-30T00:00:00"/>
    <s v="non"/>
    <d v="1899-12-30T00:00:00"/>
    <d v="1899-12-30T00:00:00"/>
    <d v="1899-12-30T00:00:00"/>
    <s v="non"/>
    <d v="1899-12-30T00:00:00"/>
    <d v="1899-12-30T00:00:00"/>
    <d v="1899-12-30T00:00:00"/>
    <d v="1899-12-30T00:00:00"/>
    <d v="1899-12-30T00:00:00"/>
    <d v="1899-12-30T00:00:00"/>
    <d v="1899-12-30T00:00:00"/>
    <d v="1899-12-30T00:00:00"/>
  </r>
  <r>
    <x v="4"/>
    <s v="Garde"/>
    <m/>
    <m/>
    <d v="1899-12-30T08:00:00"/>
    <d v="1899-12-30T08:00:00"/>
    <m/>
    <m/>
    <d v="1899-12-30T08:00:00"/>
    <d v="1899-12-31T08:00:00"/>
    <s v="non"/>
    <d v="1899-12-30T14:00:00"/>
    <d v="1899-12-30T00:00:00"/>
    <d v="1899-12-30T02:00:00"/>
    <s v="non"/>
    <d v="1899-12-30T01:00:00"/>
    <d v="1899-12-30T07:00:00"/>
    <d v="1899-12-30T00:00:00"/>
    <d v="1899-12-30T00:00:00"/>
    <d v="1899-12-31T00:00:00"/>
    <d v="1899-12-30T00:00:00"/>
    <d v="1899-12-30T00:00:00"/>
    <d v="1899-12-30T00:00:00"/>
  </r>
  <r>
    <x v="3"/>
    <s v="Intervention"/>
    <m/>
    <m/>
    <m/>
    <m/>
    <m/>
    <m/>
    <d v="1899-12-30T00:00:00"/>
    <d v="1899-12-30T00:00:00"/>
    <s v="non"/>
    <d v="1899-12-30T00:00:00"/>
    <d v="1899-12-30T00:00:00"/>
    <d v="1899-12-30T00:00:00"/>
    <s v="non"/>
    <d v="1899-12-30T00:00:00"/>
    <d v="1899-12-30T00:00:00"/>
    <d v="1899-12-30T00:00:00"/>
    <d v="1899-12-30T00:00:00"/>
    <d v="1899-12-30T00:00:00"/>
    <d v="1899-12-30T00:00:00"/>
    <d v="1899-12-30T00:00:00"/>
    <d v="1899-12-30T00:00:00"/>
  </r>
  <r>
    <x v="5"/>
    <s v="Garde"/>
    <m/>
    <m/>
    <d v="1899-12-30T08:00:00"/>
    <d v="1899-12-30T08:00:00"/>
    <m/>
    <m/>
    <d v="1899-12-30T08:00:00"/>
    <d v="1899-12-31T08:00:00"/>
    <s v="non"/>
    <d v="1899-12-30T14:00:00"/>
    <d v="1899-12-30T00:00:00"/>
    <d v="1899-12-30T02:00:00"/>
    <s v="non"/>
    <d v="1899-12-30T01:00:00"/>
    <d v="1899-12-30T07:00:00"/>
    <d v="1899-12-30T00:00:00"/>
    <d v="1899-12-30T00:00:00"/>
    <d v="1899-12-31T00:00:00"/>
    <d v="1899-12-30T00:00:00"/>
    <d v="1899-12-30T00:00:00"/>
    <d v="1899-12-30T00:00:00"/>
  </r>
  <r>
    <x v="3"/>
    <s v="Intervention"/>
    <m/>
    <m/>
    <m/>
    <m/>
    <m/>
    <m/>
    <d v="1899-12-30T00:00:00"/>
    <d v="1899-12-30T00:00:00"/>
    <s v="non"/>
    <d v="1899-12-30T00:00:00"/>
    <d v="1899-12-30T00:00:00"/>
    <d v="1899-12-30T00:00:00"/>
    <s v="non"/>
    <d v="1899-12-30T00:00:00"/>
    <d v="1899-12-30T00:00:00"/>
    <d v="1899-12-30T00:00:00"/>
    <d v="1899-12-30T00:00:00"/>
    <d v="1899-12-30T00:00:00"/>
    <d v="1899-12-30T00:00:00"/>
    <d v="1899-12-30T00:00:00"/>
    <d v="1899-12-30T00:00:00"/>
  </r>
  <r>
    <x v="6"/>
    <s v="Garde"/>
    <m/>
    <m/>
    <d v="1899-12-30T08:00:00"/>
    <d v="1899-12-30T08:00:00"/>
    <m/>
    <m/>
    <d v="1899-12-30T08:00:00"/>
    <d v="1899-12-31T08:00:00"/>
    <s v="non"/>
    <d v="1899-12-30T14:00:00"/>
    <d v="1899-12-30T00:00:00"/>
    <d v="1899-12-30T02:00:00"/>
    <s v="non"/>
    <d v="1899-12-30T01:00:00"/>
    <d v="1899-12-30T07:00:00"/>
    <d v="1899-12-30T00:00:00"/>
    <d v="1899-12-30T00:00:00"/>
    <d v="1899-12-30T21:00:00"/>
    <d v="1899-12-30T00:00:00"/>
    <d v="1899-12-30T00:00:00"/>
    <d v="1899-12-30T00:00:00"/>
  </r>
  <r>
    <x v="6"/>
    <s v="Intervention"/>
    <s v="VSAV"/>
    <m/>
    <m/>
    <m/>
    <d v="1899-12-30T20:00:00"/>
    <d v="1899-12-30T23:00:00"/>
    <d v="1899-12-30T20:00:00"/>
    <d v="1899-12-30T23:00:00"/>
    <s v="non"/>
    <d v="1899-12-30T02:00:00"/>
    <d v="1899-12-30T00:00:00"/>
    <d v="1899-12-30T01:00:00"/>
    <s v="non"/>
    <d v="1899-12-30T00:00:00"/>
    <d v="1899-12-30T00:00:00"/>
    <d v="1899-12-30T00:00:00"/>
    <d v="1899-12-30T00:00:00"/>
    <d v="1899-12-30T00:00:00"/>
    <d v="1899-12-30T02:00:00"/>
    <d v="1899-12-30T00:00:00"/>
    <d v="1899-12-30T01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6F8F77A-68FE-4F2E-A142-046C8B9F8E51}" name="Tableau croisé dynamique1" cacheId="52" applyNumberFormats="0" applyBorderFormats="0" applyFontFormats="0" applyPatternFormats="0" applyAlignmentFormats="0" applyWidthHeightFormats="1" dataCaption="Valeurs" updatedVersion="6" minRefreshableVersion="3" itemPrintTitles="1" createdVersion="5" indent="0" compact="0" compactData="0" gridDropZones="1" multipleFieldFilters="0">
  <location ref="A3:I12" firstHeaderRow="1" firstDataRow="2" firstDataCol="1"/>
  <pivotFields count="28">
    <pivotField axis="axisRow" compact="0" numFmtId="167" outline="0" showAll="0">
      <items count="9">
        <item m="1" x="7"/>
        <item x="0"/>
        <item x="1"/>
        <item x="2"/>
        <item x="4"/>
        <item x="5"/>
        <item x="6"/>
        <item x="3"/>
        <item t="default"/>
      </items>
    </pivotField>
    <pivotField compact="0" outline="0" showAll="0" defaultSubtotal="0"/>
    <pivotField compact="0" outline="0" showAll="0"/>
    <pivotField compact="0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numFmtId="166" outline="0" showAll="0" defaultSubtotal="0"/>
    <pivotField compact="0" outline="0" showAll="0"/>
    <pivotField compact="0" outline="0" showAll="0"/>
    <pivotField compact="0" numFmtId="166" outline="0" showAll="0" defaultSubtotal="0"/>
    <pivotField compact="0" numFmtId="166" outline="0" showAll="0" defaultSubtotal="0"/>
    <pivotField compact="0" numFmtId="166" outline="0" showAll="0" defaultSubtotal="0"/>
    <pivotField compact="0" outline="0" showAll="0"/>
    <pivotField compact="0" numFmtId="166" outline="0" showAll="0" defaultSubtotal="0"/>
    <pivotField compact="0" numFmtId="166" outline="0" showAll="0" defaultSubtotal="0"/>
    <pivotField compact="0" numFmtId="166" outline="0" showAll="0" defaultSubtotal="0"/>
    <pivotField compact="0" numFmtId="166" outline="0" showAll="0" defaultSubtota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compact="0" outline="0" dragToRow="0" dragToCol="0" dragToPage="0" showAll="0" defaultSubtotal="0"/>
    <pivotField dataField="1" compact="0" outline="0" dragToRow="0" dragToCol="0" dragToPage="0" showAll="0" defaultSubtotal="0"/>
    <pivotField dataField="1" compact="0" outline="0" dragToRow="0" dragToCol="0" dragToPage="0" showAll="0" defaultSubtotal="0"/>
    <pivotField dataField="1" compact="0" outline="0" dragToRow="0" dragToCol="0" dragToPage="0" showAll="0" defaultSubtotal="0"/>
    <pivotField dataField="1" compact="0" outline="0" dragToRow="0" dragToCol="0" dragToPage="0" showAll="0" defaultSubtotal="0"/>
  </pivotFields>
  <rowFields count="1">
    <field x="0"/>
  </rowFields>
  <rowItems count="8"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-2"/>
  </colFields>
  <colItems count="8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</colItems>
  <dataFields count="8">
    <dataField name="Somme de Durée sans interv." fld="19" baseField="0" baseItem="0" numFmtId="166"/>
    <dataField name="Somme de Durée interv. jour" fld="20" baseField="0" baseItem="0" numFmtId="166"/>
    <dataField name="Somme de Durée interv. dim ou férié" fld="21" baseField="0" baseItem="0" numFmtId="166"/>
    <dataField name="Somme de Durée interv. nuit" fld="22" baseField="0" baseItem="0" numFmtId="166"/>
    <dataField name="Somme de Arrondi sans interv." fld="24" baseField="0" baseItem="0" numFmtId="166"/>
    <dataField name="Somme de Arrondi interv. jour" fld="25" baseField="0" baseItem="0" numFmtId="166"/>
    <dataField name="Somme de Arrondi interv. dim ou férié" fld="26" baseField="0" baseItem="0" numFmtId="166"/>
    <dataField name="Somme de Arrondi interv. nuit" fld="27" baseField="0" baseItem="0" numFmtId="166"/>
  </dataFields>
  <formats count="2">
    <format dxfId="51">
      <pivotArea field="0" type="button" dataOnly="0" labelOnly="1" outline="0" axis="axisRow" fieldPosition="0"/>
    </format>
    <format dxfId="50">
      <pivotArea dataOnly="0" labelOnly="1" outline="0" fieldPosition="0">
        <references count="1">
          <reference field="4294967294" count="8">
            <x v="0"/>
            <x v="1"/>
            <x v="2"/>
            <x v="3"/>
            <x v="4"/>
            <x v="5"/>
            <x v="6"/>
            <x v="7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ata" displayName="data" ref="A1:W13" totalsRowShown="0" headerRowDxfId="85" dataDxfId="84">
  <autoFilter ref="A1:W13" xr:uid="{00000000-0009-0000-0100-000001000000}"/>
  <sortState ref="A2:W4">
    <sortCondition ref="A2:A4"/>
    <sortCondition ref="G2:G4"/>
  </sortState>
  <tableColumns count="23">
    <tableColumn id="1" xr3:uid="{00000000-0010-0000-0000-000001000000}" name="Date" dataDxfId="83"/>
    <tableColumn id="7" xr3:uid="{00000000-0010-0000-0000-000007000000}" name="Garde / Interv." dataDxfId="10">
      <calculatedColumnFormula>IF(data[[#This Row],[Hdébut garde]]&lt;&gt;"","Garde",IF(data[[#This Row],[Hdébut corrigé]]&lt;&gt;"","Intervention",""))</calculatedColumnFormula>
    </tableColumn>
    <tableColumn id="5" xr3:uid="{00000000-0010-0000-0000-000005000000}" name="Véhicule" dataDxfId="82"/>
    <tableColumn id="6" xr3:uid="{00000000-0010-0000-0000-000006000000}" name="Motif" dataDxfId="81"/>
    <tableColumn id="25" xr3:uid="{00000000-0010-0000-0000-000019000000}" name="Hdébut garde" dataDxfId="80"/>
    <tableColumn id="26" xr3:uid="{00000000-0010-0000-0000-00001A000000}" name="Hfin garde" dataDxfId="79"/>
    <tableColumn id="3" xr3:uid="{00000000-0010-0000-0000-000003000000}" name="Hdébut interv." dataDxfId="78"/>
    <tableColumn id="4" xr3:uid="{00000000-0010-0000-0000-000004000000}" name="Hfin Interv." dataDxfId="77"/>
    <tableColumn id="23" xr3:uid="{00000000-0010-0000-0000-000017000000}" name="Hdébut corrigé" dataDxfId="76">
      <calculatedColumnFormula>IF(data[[#This Row],[Hdébut garde]]&lt;&gt;"",
data[[#This Row],[Hdébut garde]],
data[[#This Row],[Hdébut interv.]]+IF(data[[#This Row],[Hdébut interv.]]&lt;SUMPRODUCT((data[Date]=data[[#This Row],[Date]])*data[Hdébut garde]),1,0)
)</calculatedColumnFormula>
    </tableColumn>
    <tableColumn id="12" xr3:uid="{00000000-0010-0000-0000-00000C000000}" name="Hfin corrigée" dataDxfId="75">
      <calculatedColumnFormula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calculatedColumnFormula>
    </tableColumn>
    <tableColumn id="8" xr3:uid="{00000000-0010-0000-0000-000008000000}" name="Début Dim ou Férié" dataDxfId="74">
      <calculatedColumnFormula>IF(OR(WEEKDAY(data[[#This Row],[Date]],2)=7,COUNTIF(JF,data[[#This Row],[Date]])=1),"oui","non")</calculatedColumnFormula>
    </tableColumn>
    <tableColumn id="10" xr3:uid="{00000000-0010-0000-0000-00000A000000}" name="JOUR1" dataDxfId="73">
      <calculatedColumnFormula>MAX(0,(MIN(1,data[[#This Row],[Hfin corrigée]])-data[[#This Row],[Hdébut corrigé]])-data[[#This Row],[NUIT1.1]]-data[[#This Row],[NUIT1.2]])</calculatedColumnFormula>
    </tableColumn>
    <tableColumn id="11" xr3:uid="{00000000-0010-0000-0000-00000B000000}" name="NUIT1.1" dataDxfId="72">
      <calculatedColumnFormula>IF(data[[#This Row],[Hfin Interv.]]="",0,(
MIN(FinNuit,MIN(1,data[[#This Row],[Hfin corrigée]]))-MIN(FinNuit,data[[#This Row],[Hdébut corrigé]])
))</calculatedColumnFormula>
    </tableColumn>
    <tableColumn id="18" xr3:uid="{00000000-0010-0000-0000-000012000000}" name="NUIT1.2" dataDxfId="71">
      <calculatedColumnFormula>MAX(0,(MAX(0,(MIN(1,data[[#This Row],[Hfin corrigée]])-DebNuit))-MAX(0,(data[[#This Row],[Hdébut corrigé]]-DebNuit))))</calculatedColumnFormula>
    </tableColumn>
    <tableColumn id="9" xr3:uid="{00000000-0010-0000-0000-000009000000}" name="Fin Dim ou Férié" dataDxfId="70">
      <calculatedColumnFormula>IF(OR(WEEKDAY(data[[#This Row],[Date]]+data[[#This Row],[Hfin corrigée]],2)=7,COUNTIF(JF,INT(data[[#This Row],[Date]]+data[[#This Row],[Hfin corrigée]]))=1),"oui","non")</calculatedColumnFormula>
    </tableColumn>
    <tableColumn id="19" xr3:uid="{00000000-0010-0000-0000-000013000000}" name="JOUR2" dataDxfId="69">
      <calculatedColumnFormula>MAX(0,data[[#This Row],[Hfin corrigée]]-MAX(1,data[[#This Row],[Hdébut corrigé]]))-data[[#This Row],[NUIT2.1]]-data[[#This Row],[NUIT2.2]]</calculatedColumnFormula>
    </tableColumn>
    <tableColumn id="20" xr3:uid="{00000000-0010-0000-0000-000014000000}" name="NUIT2.1" dataDxfId="68">
      <calculatedColumnFormula>MAX(0,MIN(1+FinNuit,data[[#This Row],[Hfin corrigée]])-MAX(1,data[[#This Row],[Hdébut corrigé]]))</calculatedColumnFormula>
    </tableColumn>
    <tableColumn id="21" xr3:uid="{00000000-0010-0000-0000-000015000000}" name="NUIT2.2" dataDxfId="67">
      <calculatedColumnFormula>MAX(0,(data[[#This Row],[Hfin corrigée]]-DebNuit-1))</calculatedColumnFormula>
    </tableColumn>
    <tableColumn id="22" xr3:uid="{00000000-0010-0000-0000-000016000000}" name="Interv. hors poste" dataDxfId="66">
      <calculatedColumnFormula>IF(data[[#This Row],[Garde / Interv.]]="Intervention",MAX(0,data[[#This Row],[Hfin corrigée]]-SUMPRODUCT((data[Date]=data[[#This Row],[Date]])*(data[Garde / Interv.]="Garde")*data[Hfin corrigée])),0)</calculatedColumnFormula>
    </tableColumn>
    <tableColumn id="16" xr3:uid="{00000000-0010-0000-0000-000010000000}" name="Durée sans interv." dataDxfId="65">
      <calculatedColumnFormula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calculatedColumnFormula>
    </tableColumn>
    <tableColumn id="13" xr3:uid="{00000000-0010-0000-0000-00000D000000}" name="Durée interv. jour" dataDxfId="64">
      <calculatedColumnFormula>MAX(0,IF(data[[#This Row],[Garde / Interv.]]="Intervention",(data[[#This Row],[Fin Dim ou Férié]]="non")*data[[#This Row],[JOUR2]]+(data[[#This Row],[Début Dim ou Férié]]="non")*data[[#This Row],[JOUR1]],0))</calculatedColumnFormula>
    </tableColumn>
    <tableColumn id="14" xr3:uid="{00000000-0010-0000-0000-00000E000000}" name="Durée interv. dim ou férié" dataDxfId="63">
      <calculatedColumnFormula>IF(data[[#This Row],[Garde / Interv.]]="Intervention",(data[[#This Row],[Fin Dim ou Férié]]="oui")*data[[#This Row],[JOUR2]]+(data[[#This Row],[Début Dim ou Férié]]="oui")*data[[#This Row],[JOUR1]],0)</calculatedColumnFormula>
    </tableColumn>
    <tableColumn id="15" xr3:uid="{00000000-0010-0000-0000-00000F000000}" name="Durée interv. nuit" dataDxfId="62">
      <calculatedColumnFormula>MAX(0,IF(data[[#This Row],[Garde / Interv.]]="Intervention",data[[#This Row],[NUIT1.1]]+data[[#This Row],[NUIT1.2]]+data[[#This Row],[NUIT2.1]]+data[[#This Row],[NUIT2.2]],0))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est" displayName="test" ref="A1:H9" totalsRowShown="0" headerRowDxfId="61" dataDxfId="60">
  <autoFilter ref="A1:H9" xr:uid="{00000000-0009-0000-0100-000002000000}"/>
  <tableColumns count="8">
    <tableColumn id="23" xr3:uid="{00000000-0010-0000-0100-000017000000}" name="Hdébut corrigé" dataDxfId="59"/>
    <tableColumn id="12" xr3:uid="{00000000-0010-0000-0100-00000C000000}" name="Hfin corrigée" dataDxfId="58"/>
    <tableColumn id="10" xr3:uid="{00000000-0010-0000-0100-00000A000000}" name="JOUR1" dataDxfId="57">
      <calculatedColumnFormula>MAX(0,(MIN(1,test[[#This Row],[Hfin corrigée]])-test[[#This Row],[Hdébut corrigé]])-test[[#This Row],[NUIT1.1]]-test[[#This Row],[NUIT1.2]])</calculatedColumnFormula>
    </tableColumn>
    <tableColumn id="11" xr3:uid="{00000000-0010-0000-0100-00000B000000}" name="NUIT1.1" dataDxfId="56">
      <calculatedColumnFormula>MIN(FinNuit,MIN(1,test[[#This Row],[Hfin corrigée]]))-MIN(FinNuit,test[[#This Row],[Hdébut corrigé]])</calculatedColumnFormula>
    </tableColumn>
    <tableColumn id="18" xr3:uid="{00000000-0010-0000-0100-000012000000}" name="NUIT1.2" dataDxfId="55">
      <calculatedColumnFormula>MAX(0,(MAX(0,(MIN(1,test[[#This Row],[Hfin corrigée]])-DebNuit))-MAX(0,(test[[#This Row],[Hdébut corrigé]]-DebNuit))))</calculatedColumnFormula>
    </tableColumn>
    <tableColumn id="19" xr3:uid="{00000000-0010-0000-0100-000013000000}" name="JOUR2" dataDxfId="54">
      <calculatedColumnFormula>MAX(0,test[[#This Row],[Hfin corrigée]]-MAX(1,test[[#This Row],[Hdébut corrigé]]))-test[[#This Row],[NUIT2.1]]-test[[#This Row],[NUIT2.2]]</calculatedColumnFormula>
    </tableColumn>
    <tableColumn id="20" xr3:uid="{00000000-0010-0000-0100-000014000000}" name="NUIT2.1" dataDxfId="53">
      <calculatedColumnFormula>MAX(0,MIN(1+FinNuit,test[[#This Row],[Hfin corrigée]])-MAX(1,test[[#This Row],[Hdébut corrigé]]))</calculatedColumnFormula>
    </tableColumn>
    <tableColumn id="21" xr3:uid="{00000000-0010-0000-0100-000015000000}" name="NUIT2.2" dataDxfId="52">
      <calculatedColumnFormula>MAX(0,(test[[#This Row],[Hfin corrigée]]-DebNuit-1))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3"/>
  <sheetViews>
    <sheetView showZeros="0" zoomScaleNormal="100" workbookViewId="0">
      <selection activeCell="D14" sqref="D14"/>
    </sheetView>
  </sheetViews>
  <sheetFormatPr baseColWidth="10" defaultRowHeight="14.4" x14ac:dyDescent="0.3"/>
  <cols>
    <col min="1" max="1" width="16.77734375" style="40" customWidth="1"/>
    <col min="2" max="2" width="10.77734375" style="48" customWidth="1"/>
    <col min="3" max="3" width="9.88671875" style="42" customWidth="1"/>
    <col min="4" max="4" width="23.88671875" style="42" customWidth="1"/>
    <col min="6" max="9" width="9.109375" style="22" customWidth="1"/>
    <col min="10" max="11" width="11.5546875" style="47" customWidth="1"/>
    <col min="12" max="12" width="0" hidden="1" customWidth="1"/>
    <col min="13" max="13" width="10.77734375" style="48" hidden="1" customWidth="1"/>
    <col min="14" max="15" width="10.88671875" style="42" hidden="1" customWidth="1"/>
    <col min="16" max="16" width="13.6640625" style="49" hidden="1" customWidth="1"/>
    <col min="17" max="17" width="7.21875" style="44" hidden="1" customWidth="1"/>
    <col min="18" max="18" width="9.77734375" style="44" hidden="1" customWidth="1"/>
    <col min="19" max="20" width="8.5546875" style="49" customWidth="1"/>
    <col min="21" max="21" width="7.21875" style="49" customWidth="1"/>
    <col min="22" max="22" width="9.77734375" style="44" customWidth="1"/>
    <col min="23" max="25" width="8.5546875" style="49" customWidth="1"/>
    <col min="26" max="26" width="10.88671875" style="8"/>
    <col min="27" max="27" width="9.77734375" style="7" customWidth="1"/>
    <col min="28" max="28" width="10" style="7" customWidth="1"/>
    <col min="29" max="29" width="10.88671875" style="7"/>
    <col min="30" max="30" width="10" style="4" customWidth="1"/>
    <col min="31" max="31" width="10.88671875" style="5"/>
  </cols>
  <sheetData>
    <row r="1" spans="1:31" s="25" customFormat="1" ht="57.6" x14ac:dyDescent="0.3">
      <c r="A1" s="24" t="s">
        <v>0</v>
      </c>
      <c r="B1" s="27" t="s">
        <v>48</v>
      </c>
      <c r="C1" s="25" t="s">
        <v>2</v>
      </c>
      <c r="D1" s="25" t="s">
        <v>1</v>
      </c>
      <c r="E1" s="26" t="s">
        <v>46</v>
      </c>
      <c r="F1" s="26" t="s">
        <v>47</v>
      </c>
      <c r="G1" s="26" t="s">
        <v>19</v>
      </c>
      <c r="H1" s="26" t="s">
        <v>20</v>
      </c>
      <c r="I1" s="23" t="s">
        <v>27</v>
      </c>
      <c r="J1" s="23" t="s">
        <v>14</v>
      </c>
      <c r="K1" s="27" t="s">
        <v>12</v>
      </c>
      <c r="L1" s="28" t="s">
        <v>21</v>
      </c>
      <c r="M1" s="28" t="s">
        <v>22</v>
      </c>
      <c r="N1" s="28" t="s">
        <v>23</v>
      </c>
      <c r="O1" s="27" t="s">
        <v>13</v>
      </c>
      <c r="P1" s="28" t="s">
        <v>24</v>
      </c>
      <c r="Q1" s="28" t="s">
        <v>25</v>
      </c>
      <c r="R1" s="28" t="s">
        <v>26</v>
      </c>
      <c r="S1" s="28" t="s">
        <v>35</v>
      </c>
      <c r="T1" s="6" t="s">
        <v>15</v>
      </c>
      <c r="U1" s="6" t="s">
        <v>18</v>
      </c>
      <c r="V1" s="6" t="s">
        <v>16</v>
      </c>
      <c r="W1" s="6" t="s">
        <v>17</v>
      </c>
    </row>
    <row r="2" spans="1:31" x14ac:dyDescent="0.3">
      <c r="A2" s="40">
        <v>43239</v>
      </c>
      <c r="B2" s="44" t="str">
        <f>IF(data[[#This Row],[Hdébut garde]]&lt;&gt;"","Garde",IF(data[[#This Row],[Hdébut corrigé]]&lt;&gt;"","Intervention",""))</f>
        <v>Garde</v>
      </c>
      <c r="C2" s="41"/>
      <c r="E2" s="22">
        <v>0.5</v>
      </c>
      <c r="F2" s="22">
        <v>0.33333333333333331</v>
      </c>
      <c r="I2" s="43">
        <f>IF(data[[#This Row],[Hdébut garde]]&lt;&gt;"",
data[[#This Row],[Hdébut garde]],
data[[#This Row],[Hdébut interv.]]+IF(data[[#This Row],[Hdébut interv.]]&lt;SUMPRODUCT((data[Date]=data[[#This Row],[Date]])*data[Hdébut garde]),1,0)
)</f>
        <v>0.5</v>
      </c>
      <c r="J2" s="43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1.3333333333333333</v>
      </c>
      <c r="K2" s="44" t="str">
        <f>IF(OR(WEEKDAY(data[[#This Row],[Date]],2)=7,COUNTIF(JF,data[[#This Row],[Date]])=1),"oui","non")</f>
        <v>non</v>
      </c>
      <c r="L2" s="45">
        <f>MAX(0,(MIN(1,data[[#This Row],[Hfin corrigée]])-data[[#This Row],[Hdébut corrigé]])-data[[#This Row],[NUIT1.1]]-data[[#This Row],[NUIT1.2]])</f>
        <v>0.41666666666666663</v>
      </c>
      <c r="M2" s="45">
        <f>IF(data[[#This Row],[Hfin Interv.]]="",0,(
MIN(FinNuit,MIN(1,data[[#This Row],[Hfin corrigée]]))-MIN(FinNuit,data[[#This Row],[Hdébut corrigé]])
))</f>
        <v>0</v>
      </c>
      <c r="N2" s="45">
        <f>MAX(0,(MAX(0,(MIN(1,data[[#This Row],[Hfin corrigée]])-DebNuit))-MAX(0,(data[[#This Row],[Hdébut corrigé]]-DebNuit))))</f>
        <v>8.333333333333337E-2</v>
      </c>
      <c r="O2" s="44" t="str">
        <f>IF(OR(WEEKDAY(data[[#This Row],[Date]]+data[[#This Row],[Hfin corrigée]],2)=7,COUNTIF(JF,INT(data[[#This Row],[Date]]+data[[#This Row],[Hfin corrigée]]))=1),"oui","non")</f>
        <v>oui</v>
      </c>
      <c r="P2" s="45">
        <f>MAX(0,data[[#This Row],[Hfin corrigée]]-MAX(1,data[[#This Row],[Hdébut corrigé]]))-data[[#This Row],[NUIT2.1]]-data[[#This Row],[NUIT2.2]]</f>
        <v>4.1666666666666519E-2</v>
      </c>
      <c r="Q2" s="45">
        <f>MAX(0,MIN(1+FinNuit,data[[#This Row],[Hfin corrigée]])-MAX(1,data[[#This Row],[Hdébut corrigé]]))</f>
        <v>0.29166666666666674</v>
      </c>
      <c r="R2" s="45">
        <f>MAX(0,(data[[#This Row],[Hfin corrigée]]-DebNuit-1))</f>
        <v>0</v>
      </c>
      <c r="S2" s="45">
        <f>IF(data[[#This Row],[Garde / Interv.]]="Intervention",MAX(0,data[[#This Row],[Hfin corrigée]]-SUMPRODUCT((data[Date]=data[[#This Row],[Date]])*(data[Garde / Interv.]="Garde")*data[Hfin corrigée])),0)</f>
        <v>0</v>
      </c>
      <c r="T2" s="46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0.77777777777777768</v>
      </c>
      <c r="U2" s="46">
        <f>MAX(0,IF(data[[#This Row],[Garde / Interv.]]="Intervention",(data[[#This Row],[Fin Dim ou Férié]]="non")*data[[#This Row],[JOUR2]]+(data[[#This Row],[Début Dim ou Férié]]="non")*data[[#This Row],[JOUR1]],0))</f>
        <v>0</v>
      </c>
      <c r="V2" s="46">
        <f>IF(data[[#This Row],[Garde / Interv.]]="Intervention",(data[[#This Row],[Fin Dim ou Férié]]="oui")*data[[#This Row],[JOUR2]]+(data[[#This Row],[Début Dim ou Férié]]="oui")*data[[#This Row],[JOUR1]],0)</f>
        <v>0</v>
      </c>
      <c r="W2" s="46">
        <f>MAX(0,IF(data[[#This Row],[Garde / Interv.]]="Intervention",data[[#This Row],[NUIT1.1]]+data[[#This Row],[NUIT1.2]]+data[[#This Row],[NUIT2.1]]+data[[#This Row],[NUIT2.2]],0))</f>
        <v>0</v>
      </c>
      <c r="X2"/>
      <c r="Y2"/>
      <c r="Z2"/>
      <c r="AA2"/>
      <c r="AB2"/>
      <c r="AC2"/>
      <c r="AD2"/>
      <c r="AE2"/>
    </row>
    <row r="3" spans="1:31" x14ac:dyDescent="0.3">
      <c r="A3" s="40">
        <v>43239</v>
      </c>
      <c r="B3" s="44" t="str">
        <f>IF(data[[#This Row],[Hdébut garde]]&lt;&gt;"","Garde",IF(data[[#This Row],[Hdébut corrigé]]&lt;&gt;"","Intervention",""))</f>
        <v>Intervention</v>
      </c>
      <c r="C3" s="41" t="s">
        <v>3</v>
      </c>
      <c r="D3" s="41"/>
      <c r="E3" s="22"/>
      <c r="G3" s="22">
        <v>0.65277777777777779</v>
      </c>
      <c r="H3" s="22">
        <v>0.70833333333333337</v>
      </c>
      <c r="I3" s="43">
        <f>IF(data[[#This Row],[Hdébut garde]]&lt;&gt;"",
data[[#This Row],[Hdébut garde]],
data[[#This Row],[Hdébut interv.]]+IF(data[[#This Row],[Hdébut interv.]]&lt;SUMPRODUCT((data[Date]=data[[#This Row],[Date]])*data[Hdébut garde]),1,0)
)</f>
        <v>0.65277777777777779</v>
      </c>
      <c r="J3" s="43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0.70833333333333337</v>
      </c>
      <c r="K3" s="44" t="str">
        <f>IF(OR(WEEKDAY(data[[#This Row],[Date]],2)=7,COUNTIF(JF,data[[#This Row],[Date]])=1),"oui","non")</f>
        <v>non</v>
      </c>
      <c r="L3" s="45">
        <f>MAX(0,(MIN(1,data[[#This Row],[Hfin corrigée]])-data[[#This Row],[Hdébut corrigé]])-data[[#This Row],[NUIT1.1]]-data[[#This Row],[NUIT1.2]])</f>
        <v>5.555555555555558E-2</v>
      </c>
      <c r="M3" s="45">
        <f>IF(data[[#This Row],[Hfin Interv.]]="",0,(
MIN(FinNuit,MIN(1,data[[#This Row],[Hfin corrigée]]))-MIN(FinNuit,data[[#This Row],[Hdébut corrigé]])
))</f>
        <v>0</v>
      </c>
      <c r="N3" s="45">
        <f>MAX(0,(MAX(0,(MIN(1,data[[#This Row],[Hfin corrigée]])-DebNuit))-MAX(0,(data[[#This Row],[Hdébut corrigé]]-DebNuit))))</f>
        <v>0</v>
      </c>
      <c r="O3" s="44" t="str">
        <f>IF(OR(WEEKDAY(data[[#This Row],[Date]]+data[[#This Row],[Hfin corrigée]],2)=7,COUNTIF(JF,INT(data[[#This Row],[Date]]+data[[#This Row],[Hfin corrigée]]))=1),"oui","non")</f>
        <v>non</v>
      </c>
      <c r="P3" s="45">
        <f>MAX(0,data[[#This Row],[Hfin corrigée]]-MAX(1,data[[#This Row],[Hdébut corrigé]]))-data[[#This Row],[NUIT2.1]]-data[[#This Row],[NUIT2.2]]</f>
        <v>0</v>
      </c>
      <c r="Q3" s="45">
        <f>MAX(0,MIN(1+FinNuit,data[[#This Row],[Hfin corrigée]])-MAX(1,data[[#This Row],[Hdébut corrigé]]))</f>
        <v>0</v>
      </c>
      <c r="R3" s="45">
        <f>MAX(0,(data[[#This Row],[Hfin corrigée]]-DebNuit-1))</f>
        <v>0</v>
      </c>
      <c r="S3" s="45">
        <f>IF(data[[#This Row],[Garde / Interv.]]="Intervention",MAX(0,data[[#This Row],[Hfin corrigée]]-SUMPRODUCT((data[Date]=data[[#This Row],[Date]])*(data[Garde / Interv.]="Garde")*data[Hfin corrigée])),0)</f>
        <v>0</v>
      </c>
      <c r="T3" s="46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3" s="46">
        <f>MAX(0,IF(data[[#This Row],[Garde / Interv.]]="Intervention",(data[[#This Row],[Fin Dim ou Férié]]="non")*data[[#This Row],[JOUR2]]+(data[[#This Row],[Début Dim ou Férié]]="non")*data[[#This Row],[JOUR1]],0))</f>
        <v>5.555555555555558E-2</v>
      </c>
      <c r="V3" s="46">
        <f>IF(data[[#This Row],[Garde / Interv.]]="Intervention",(data[[#This Row],[Fin Dim ou Férié]]="oui")*data[[#This Row],[JOUR2]]+(data[[#This Row],[Début Dim ou Férié]]="oui")*data[[#This Row],[JOUR1]],0)</f>
        <v>0</v>
      </c>
      <c r="W3" s="46">
        <f>MAX(0,IF(data[[#This Row],[Garde / Interv.]]="Intervention",data[[#This Row],[NUIT1.1]]+data[[#This Row],[NUIT1.2]]+data[[#This Row],[NUIT2.1]]+data[[#This Row],[NUIT2.2]],0))</f>
        <v>0</v>
      </c>
      <c r="X3"/>
      <c r="Y3"/>
      <c r="Z3"/>
      <c r="AA3"/>
      <c r="AB3"/>
      <c r="AC3"/>
      <c r="AD3"/>
      <c r="AE3"/>
    </row>
    <row r="4" spans="1:31" x14ac:dyDescent="0.3">
      <c r="A4" s="40">
        <v>43253</v>
      </c>
      <c r="B4" s="44" t="str">
        <f>IF(data[[#This Row],[Hdébut garde]]&lt;&gt;"","Garde",IF(data[[#This Row],[Hdébut corrigé]]&lt;&gt;"","Intervention",""))</f>
        <v>Garde</v>
      </c>
      <c r="C4" s="41"/>
      <c r="D4" s="41"/>
      <c r="E4" s="22">
        <v>0.83333333333333337</v>
      </c>
      <c r="F4" s="22">
        <v>0.33333333333333331</v>
      </c>
      <c r="I4" s="43">
        <f>IF(data[[#This Row],[Hdébut garde]]&lt;&gt;"",
data[[#This Row],[Hdébut garde]],
data[[#This Row],[Hdébut interv.]]+IF(data[[#This Row],[Hdébut interv.]]&lt;SUMPRODUCT((data[Date]=data[[#This Row],[Date]])*data[Hdébut garde]),1,0)
)</f>
        <v>0.83333333333333337</v>
      </c>
      <c r="J4" s="43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1.3333333333333333</v>
      </c>
      <c r="K4" s="44" t="str">
        <f>IF(OR(WEEKDAY(data[[#This Row],[Date]],2)=7,COUNTIF(JF,data[[#This Row],[Date]])=1),"oui","non")</f>
        <v>non</v>
      </c>
      <c r="L4" s="45">
        <f>MAX(0,(MIN(1,data[[#This Row],[Hfin corrigée]])-data[[#This Row],[Hdébut corrigé]])-data[[#This Row],[NUIT1.1]]-data[[#This Row],[NUIT1.2]])</f>
        <v>8.3333333333333259E-2</v>
      </c>
      <c r="M4" s="45">
        <f>IF(data[[#This Row],[Hfin Interv.]]="",0,(
MIN(FinNuit,MIN(1,data[[#This Row],[Hfin corrigée]]))-MIN(FinNuit,data[[#This Row],[Hdébut corrigé]])
))</f>
        <v>0</v>
      </c>
      <c r="N4" s="45">
        <f>MAX(0,(MAX(0,(MIN(1,data[[#This Row],[Hfin corrigée]])-DebNuit))-MAX(0,(data[[#This Row],[Hdébut corrigé]]-DebNuit))))</f>
        <v>8.333333333333337E-2</v>
      </c>
      <c r="O4" s="44" t="str">
        <f>IF(OR(WEEKDAY(data[[#This Row],[Date]]+data[[#This Row],[Hfin corrigée]],2)=7,COUNTIF(JF,INT(data[[#This Row],[Date]]+data[[#This Row],[Hfin corrigée]]))=1),"oui","non")</f>
        <v>oui</v>
      </c>
      <c r="P4" s="45">
        <f>MAX(0,data[[#This Row],[Hfin corrigée]]-MAX(1,data[[#This Row],[Hdébut corrigé]]))-data[[#This Row],[NUIT2.1]]-data[[#This Row],[NUIT2.2]]</f>
        <v>4.1666666666666519E-2</v>
      </c>
      <c r="Q4" s="45">
        <f>MAX(0,MIN(1+FinNuit,data[[#This Row],[Hfin corrigée]])-MAX(1,data[[#This Row],[Hdébut corrigé]]))</f>
        <v>0.29166666666666674</v>
      </c>
      <c r="R4" s="45">
        <f>MAX(0,(data[[#This Row],[Hfin corrigée]]-DebNuit-1))</f>
        <v>0</v>
      </c>
      <c r="S4" s="45">
        <f>IF(data[[#This Row],[Garde / Interv.]]="Intervention",MAX(0,data[[#This Row],[Hfin corrigée]]-SUMPRODUCT((data[Date]=data[[#This Row],[Date]])*(data[Garde / Interv.]="Garde")*data[Hfin corrigée])),0)</f>
        <v>0</v>
      </c>
      <c r="T4" s="46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0.49999999999999989</v>
      </c>
      <c r="U4" s="46">
        <f>MAX(0,IF(data[[#This Row],[Garde / Interv.]]="Intervention",(data[[#This Row],[Fin Dim ou Férié]]="non")*data[[#This Row],[JOUR2]]+(data[[#This Row],[Début Dim ou Férié]]="non")*data[[#This Row],[JOUR1]],0))</f>
        <v>0</v>
      </c>
      <c r="V4" s="46">
        <f>IF(data[[#This Row],[Garde / Interv.]]="Intervention",(data[[#This Row],[Fin Dim ou Férié]]="oui")*data[[#This Row],[JOUR2]]+(data[[#This Row],[Début Dim ou Férié]]="oui")*data[[#This Row],[JOUR1]],0)</f>
        <v>0</v>
      </c>
      <c r="W4" s="46">
        <f>MAX(0,IF(data[[#This Row],[Garde / Interv.]]="Intervention",data[[#This Row],[NUIT1.1]]+data[[#This Row],[NUIT1.2]]+data[[#This Row],[NUIT2.1]]+data[[#This Row],[NUIT2.2]],0))</f>
        <v>0</v>
      </c>
      <c r="X4" s="7"/>
      <c r="Y4" s="7"/>
      <c r="Z4" s="4"/>
      <c r="AA4" s="5"/>
      <c r="AB4"/>
      <c r="AC4"/>
      <c r="AD4"/>
      <c r="AE4"/>
    </row>
    <row r="5" spans="1:31" x14ac:dyDescent="0.3">
      <c r="A5" s="50">
        <v>43253</v>
      </c>
      <c r="B5" s="54" t="str">
        <f>IF(data[[#This Row],[Hdébut garde]]&lt;&gt;"","Garde",IF(data[[#This Row],[Hdébut corrigé]]&lt;&gt;"","Intervention",""))</f>
        <v>Intervention</v>
      </c>
      <c r="C5" s="51" t="s">
        <v>61</v>
      </c>
      <c r="D5" s="50"/>
      <c r="E5" s="52"/>
      <c r="F5" s="52"/>
      <c r="G5" s="52"/>
      <c r="H5" s="52"/>
      <c r="I5" s="53">
        <f>IF(data[[#This Row],[Hdébut garde]]&lt;&gt;"",
data[[#This Row],[Hdébut garde]],
data[[#This Row],[Hdébut interv.]]+IF(data[[#This Row],[Hdébut interv.]]&lt;SUMPRODUCT((data[Date]=data[[#This Row],[Date]])*data[Hdébut garde]),1,0)
)</f>
        <v>1</v>
      </c>
      <c r="J5" s="53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</v>
      </c>
      <c r="K5" s="54" t="str">
        <f>IF(OR(WEEKDAY(data[[#This Row],[Date]],2)=7,COUNTIF(JF,data[[#This Row],[Date]])=1),"oui","non")</f>
        <v>non</v>
      </c>
      <c r="L5" s="55">
        <f>MAX(0,(MIN(1,data[[#This Row],[Hfin corrigée]])-data[[#This Row],[Hdébut corrigé]])-data[[#This Row],[NUIT1.1]]-data[[#This Row],[NUIT1.2]])</f>
        <v>0</v>
      </c>
      <c r="M5" s="55">
        <f>IF(data[[#This Row],[Hfin Interv.]]="",0,(
MIN(FinNuit,MIN(1,data[[#This Row],[Hfin corrigée]]))-MIN(FinNuit,data[[#This Row],[Hdébut corrigé]])
))</f>
        <v>0</v>
      </c>
      <c r="N5" s="55">
        <f>MAX(0,(MAX(0,(MIN(1,data[[#This Row],[Hfin corrigée]])-DebNuit))-MAX(0,(data[[#This Row],[Hdébut corrigé]]-DebNuit))))</f>
        <v>0</v>
      </c>
      <c r="O5" s="54" t="str">
        <f>IF(OR(WEEKDAY(data[[#This Row],[Date]]+data[[#This Row],[Hfin corrigée]],2)=7,COUNTIF(JF,INT(data[[#This Row],[Date]]+data[[#This Row],[Hfin corrigée]]))=1),"oui","non")</f>
        <v>oui</v>
      </c>
      <c r="P5" s="55">
        <f>MAX(0,data[[#This Row],[Hfin corrigée]]-MAX(1,data[[#This Row],[Hdébut corrigé]]))-data[[#This Row],[NUIT2.1]]-data[[#This Row],[NUIT2.2]]</f>
        <v>0</v>
      </c>
      <c r="Q5" s="55">
        <f>MAX(0,MIN(1+FinNuit,data[[#This Row],[Hfin corrigée]])-MAX(1,data[[#This Row],[Hdébut corrigé]]))</f>
        <v>0</v>
      </c>
      <c r="R5" s="55">
        <f>MAX(0,(data[[#This Row],[Hfin corrigée]]-DebNuit-1))</f>
        <v>0</v>
      </c>
      <c r="S5" s="55">
        <f>IF(data[[#This Row],[Garde / Interv.]]="Intervention",MAX(0,data[[#This Row],[Hfin corrigée]]-SUMPRODUCT((data[Date]=data[[#This Row],[Date]])*(data[Garde / Interv.]="Garde")*data[Hfin corrigée])),0)</f>
        <v>0</v>
      </c>
      <c r="T5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5" s="55">
        <f>MAX(0,IF(data[[#This Row],[Garde / Interv.]]="Intervention",(data[[#This Row],[Fin Dim ou Férié]]="non")*data[[#This Row],[JOUR2]]+(data[[#This Row],[Début Dim ou Férié]]="non")*data[[#This Row],[JOUR1]],0))</f>
        <v>0</v>
      </c>
      <c r="V5" s="55">
        <f>IF(data[[#This Row],[Garde / Interv.]]="Intervention",(data[[#This Row],[Fin Dim ou Férié]]="oui")*data[[#This Row],[JOUR2]]+(data[[#This Row],[Début Dim ou Férié]]="oui")*data[[#This Row],[JOUR1]],0)</f>
        <v>0</v>
      </c>
      <c r="W5" s="55">
        <f>MAX(0,IF(data[[#This Row],[Garde / Interv.]]="Intervention",data[[#This Row],[NUIT1.1]]+data[[#This Row],[NUIT1.2]]+data[[#This Row],[NUIT2.1]]+data[[#This Row],[NUIT2.2]],0))</f>
        <v>0</v>
      </c>
      <c r="X5" s="8"/>
      <c r="Y5" s="7"/>
      <c r="Z5" s="7"/>
      <c r="AB5" s="4"/>
      <c r="AC5" s="5"/>
      <c r="AD5"/>
      <c r="AE5"/>
    </row>
    <row r="6" spans="1:31" x14ac:dyDescent="0.3">
      <c r="A6" s="50">
        <v>43258</v>
      </c>
      <c r="B6" s="54" t="str">
        <f>IF(data[[#This Row],[Hdébut garde]]&lt;&gt;"","Garde",IF(data[[#This Row],[Hdébut corrigé]]&lt;&gt;"","Intervention",""))</f>
        <v>Garde</v>
      </c>
      <c r="C6" s="51"/>
      <c r="D6" s="50"/>
      <c r="E6" s="52">
        <v>0.33333333333333331</v>
      </c>
      <c r="F6" s="52">
        <v>0.33333333333333331</v>
      </c>
      <c r="G6" s="52"/>
      <c r="H6" s="52"/>
      <c r="I6" s="53">
        <f>IF(data[[#This Row],[Hdébut garde]]&lt;&gt;"",
data[[#This Row],[Hdébut garde]],
data[[#This Row],[Hdébut interv.]]+IF(data[[#This Row],[Hdébut interv.]]&lt;SUMPRODUCT((data[Date]=data[[#This Row],[Date]])*data[Hdébut garde]),1,0)
)</f>
        <v>0.33333333333333331</v>
      </c>
      <c r="J6" s="53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1.3333333333333333</v>
      </c>
      <c r="K6" s="54" t="str">
        <f>IF(OR(WEEKDAY(data[[#This Row],[Date]],2)=7,COUNTIF(JF,data[[#This Row],[Date]])=1),"oui","non")</f>
        <v>non</v>
      </c>
      <c r="L6" s="55">
        <f>MAX(0,(MIN(1,data[[#This Row],[Hfin corrigée]])-data[[#This Row],[Hdébut corrigé]])-data[[#This Row],[NUIT1.1]]-data[[#This Row],[NUIT1.2]])</f>
        <v>0.58333333333333337</v>
      </c>
      <c r="M6" s="55">
        <f>IF(data[[#This Row],[Hfin Interv.]]="",0,(
MIN(FinNuit,MIN(1,data[[#This Row],[Hfin corrigée]]))-MIN(FinNuit,data[[#This Row],[Hdébut corrigé]])
))</f>
        <v>0</v>
      </c>
      <c r="N6" s="55">
        <f>MAX(0,(MAX(0,(MIN(1,data[[#This Row],[Hfin corrigée]])-DebNuit))-MAX(0,(data[[#This Row],[Hdébut corrigé]]-DebNuit))))</f>
        <v>8.333333333333337E-2</v>
      </c>
      <c r="O6" s="54" t="str">
        <f>IF(OR(WEEKDAY(data[[#This Row],[Date]]+data[[#This Row],[Hfin corrigée]],2)=7,COUNTIF(JF,INT(data[[#This Row],[Date]]+data[[#This Row],[Hfin corrigée]]))=1),"oui","non")</f>
        <v>non</v>
      </c>
      <c r="P6" s="55">
        <f>MAX(0,data[[#This Row],[Hfin corrigée]]-MAX(1,data[[#This Row],[Hdébut corrigé]]))-data[[#This Row],[NUIT2.1]]-data[[#This Row],[NUIT2.2]]</f>
        <v>4.1666666666666519E-2</v>
      </c>
      <c r="Q6" s="55">
        <f>MAX(0,MIN(1+FinNuit,data[[#This Row],[Hfin corrigée]])-MAX(1,data[[#This Row],[Hdébut corrigé]]))</f>
        <v>0.29166666666666674</v>
      </c>
      <c r="R6" s="55">
        <f>MAX(0,(data[[#This Row],[Hfin corrigée]]-DebNuit-1))</f>
        <v>0</v>
      </c>
      <c r="S6" s="55">
        <f>IF(data[[#This Row],[Garde / Interv.]]="Intervention",MAX(0,data[[#This Row],[Hfin corrigée]]-SUMPRODUCT((data[Date]=data[[#This Row],[Date]])*(data[Garde / Interv.]="Garde")*data[Hfin corrigée])),0)</f>
        <v>0</v>
      </c>
      <c r="T6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1</v>
      </c>
      <c r="U6" s="55">
        <f>MAX(0,IF(data[[#This Row],[Garde / Interv.]]="Intervention",(data[[#This Row],[Fin Dim ou Férié]]="non")*data[[#This Row],[JOUR2]]+(data[[#This Row],[Début Dim ou Férié]]="non")*data[[#This Row],[JOUR1]],0))</f>
        <v>0</v>
      </c>
      <c r="V6" s="55">
        <f>IF(data[[#This Row],[Garde / Interv.]]="Intervention",(data[[#This Row],[Fin Dim ou Férié]]="oui")*data[[#This Row],[JOUR2]]+(data[[#This Row],[Début Dim ou Férié]]="oui")*data[[#This Row],[JOUR1]],0)</f>
        <v>0</v>
      </c>
      <c r="W6" s="55">
        <f>MAX(0,IF(data[[#This Row],[Garde / Interv.]]="Intervention",data[[#This Row],[NUIT1.1]]+data[[#This Row],[NUIT1.2]]+data[[#This Row],[NUIT2.1]]+data[[#This Row],[NUIT2.2]],0))</f>
        <v>0</v>
      </c>
      <c r="X6" s="8"/>
      <c r="Y6" s="7"/>
      <c r="Z6" s="7"/>
      <c r="AB6" s="4"/>
      <c r="AC6" s="5"/>
      <c r="AD6"/>
      <c r="AE6"/>
    </row>
    <row r="7" spans="1:31" x14ac:dyDescent="0.3">
      <c r="A7" s="50"/>
      <c r="B7" s="54" t="str">
        <f>IF(data[[#This Row],[Hdébut garde]]&lt;&gt;"","Garde",IF(data[[#This Row],[Hdébut corrigé]]&lt;&gt;"","Intervention",""))</f>
        <v>Intervention</v>
      </c>
      <c r="C7" s="51"/>
      <c r="D7" s="50"/>
      <c r="E7" s="52"/>
      <c r="F7" s="52"/>
      <c r="G7" s="52"/>
      <c r="H7" s="52"/>
      <c r="I7" s="53">
        <f>IF(data[[#This Row],[Hdébut garde]]&lt;&gt;"",
data[[#This Row],[Hdébut garde]],
data[[#This Row],[Hdébut interv.]]+IF(data[[#This Row],[Hdébut interv.]]&lt;SUMPRODUCT((data[Date]=data[[#This Row],[Date]])*data[Hdébut garde]),1,0)
)</f>
        <v>0</v>
      </c>
      <c r="J7" s="53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</v>
      </c>
      <c r="K7" s="54" t="str">
        <f>IF(OR(WEEKDAY(data[[#This Row],[Date]],2)=7,COUNTIF(JF,data[[#This Row],[Date]])=1),"oui","non")</f>
        <v>non</v>
      </c>
      <c r="L7" s="55">
        <f>MAX(0,(MIN(1,data[[#This Row],[Hfin corrigée]])-data[[#This Row],[Hdébut corrigé]])-data[[#This Row],[NUIT1.1]]-data[[#This Row],[NUIT1.2]])</f>
        <v>0</v>
      </c>
      <c r="M7" s="55">
        <f>IF(data[[#This Row],[Hfin Interv.]]="",0,(
MIN(FinNuit,MIN(1,data[[#This Row],[Hfin corrigée]]))-MIN(FinNuit,data[[#This Row],[Hdébut corrigé]])
))</f>
        <v>0</v>
      </c>
      <c r="N7" s="55">
        <f>MAX(0,(MAX(0,(MIN(1,data[[#This Row],[Hfin corrigée]])-DebNuit))-MAX(0,(data[[#This Row],[Hdébut corrigé]]-DebNuit))))</f>
        <v>0</v>
      </c>
      <c r="O7" s="54" t="str">
        <f>IF(OR(WEEKDAY(data[[#This Row],[Date]]+data[[#This Row],[Hfin corrigée]],2)=7,COUNTIF(JF,INT(data[[#This Row],[Date]]+data[[#This Row],[Hfin corrigée]]))=1),"oui","non")</f>
        <v>non</v>
      </c>
      <c r="P7" s="55">
        <f>MAX(0,data[[#This Row],[Hfin corrigée]]-MAX(1,data[[#This Row],[Hdébut corrigé]]))-data[[#This Row],[NUIT2.1]]-data[[#This Row],[NUIT2.2]]</f>
        <v>0</v>
      </c>
      <c r="Q7" s="55">
        <f>MAX(0,MIN(1+FinNuit,data[[#This Row],[Hfin corrigée]])-MAX(1,data[[#This Row],[Hdébut corrigé]]))</f>
        <v>0</v>
      </c>
      <c r="R7" s="55">
        <f>MAX(0,(data[[#This Row],[Hfin corrigée]]-DebNuit-1))</f>
        <v>0</v>
      </c>
      <c r="S7" s="55">
        <f>IF(data[[#This Row],[Garde / Interv.]]="Intervention",MAX(0,data[[#This Row],[Hfin corrigée]]-SUMPRODUCT((data[Date]=data[[#This Row],[Date]])*(data[Garde / Interv.]="Garde")*data[Hfin corrigée])),0)</f>
        <v>0</v>
      </c>
      <c r="T7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7" s="55">
        <f>MAX(0,IF(data[[#This Row],[Garde / Interv.]]="Intervention",(data[[#This Row],[Fin Dim ou Férié]]="non")*data[[#This Row],[JOUR2]]+(data[[#This Row],[Début Dim ou Férié]]="non")*data[[#This Row],[JOUR1]],0))</f>
        <v>0</v>
      </c>
      <c r="V7" s="55">
        <f>IF(data[[#This Row],[Garde / Interv.]]="Intervention",(data[[#This Row],[Fin Dim ou Férié]]="oui")*data[[#This Row],[JOUR2]]+(data[[#This Row],[Début Dim ou Férié]]="oui")*data[[#This Row],[JOUR1]],0)</f>
        <v>0</v>
      </c>
      <c r="W7" s="55">
        <f>MAX(0,IF(data[[#This Row],[Garde / Interv.]]="Intervention",data[[#This Row],[NUIT1.1]]+data[[#This Row],[NUIT1.2]]+data[[#This Row],[NUIT2.1]]+data[[#This Row],[NUIT2.2]],0))</f>
        <v>0</v>
      </c>
      <c r="X7" s="8"/>
      <c r="Y7" s="7"/>
      <c r="Z7" s="7"/>
      <c r="AB7" s="4"/>
      <c r="AC7" s="5"/>
      <c r="AD7"/>
      <c r="AE7"/>
    </row>
    <row r="8" spans="1:31" x14ac:dyDescent="0.3">
      <c r="A8" s="50">
        <v>43265</v>
      </c>
      <c r="B8" s="54" t="str">
        <f>IF(data[[#This Row],[Hdébut garde]]&lt;&gt;"","Garde",IF(data[[#This Row],[Hdébut corrigé]]&lt;&gt;"","Intervention",""))</f>
        <v>Garde</v>
      </c>
      <c r="C8" s="51"/>
      <c r="D8" s="50"/>
      <c r="E8" s="52">
        <v>0.33333333333333331</v>
      </c>
      <c r="F8" s="52">
        <v>0.33333333333333331</v>
      </c>
      <c r="G8" s="52"/>
      <c r="H8" s="52"/>
      <c r="I8" s="53">
        <f>IF(data[[#This Row],[Hdébut garde]]&lt;&gt;"",
data[[#This Row],[Hdébut garde]],
data[[#This Row],[Hdébut interv.]]+IF(data[[#This Row],[Hdébut interv.]]&lt;SUMPRODUCT((data[Date]=data[[#This Row],[Date]])*data[Hdébut garde]),1,0)
)</f>
        <v>0.33333333333333331</v>
      </c>
      <c r="J8" s="53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1.3333333333333333</v>
      </c>
      <c r="K8" s="54" t="str">
        <f>IF(OR(WEEKDAY(data[[#This Row],[Date]],2)=7,COUNTIF(JF,data[[#This Row],[Date]])=1),"oui","non")</f>
        <v>non</v>
      </c>
      <c r="L8" s="55">
        <f>MAX(0,(MIN(1,data[[#This Row],[Hfin corrigée]])-data[[#This Row],[Hdébut corrigé]])-data[[#This Row],[NUIT1.1]]-data[[#This Row],[NUIT1.2]])</f>
        <v>0.58333333333333337</v>
      </c>
      <c r="M8" s="55">
        <f>IF(data[[#This Row],[Hfin Interv.]]="",0,(
MIN(FinNuit,MIN(1,data[[#This Row],[Hfin corrigée]]))-MIN(FinNuit,data[[#This Row],[Hdébut corrigé]])
))</f>
        <v>0</v>
      </c>
      <c r="N8" s="55">
        <f>MAX(0,(MAX(0,(MIN(1,data[[#This Row],[Hfin corrigée]])-DebNuit))-MAX(0,(data[[#This Row],[Hdébut corrigé]]-DebNuit))))</f>
        <v>8.333333333333337E-2</v>
      </c>
      <c r="O8" s="54" t="str">
        <f>IF(OR(WEEKDAY(data[[#This Row],[Date]]+data[[#This Row],[Hfin corrigée]],2)=7,COUNTIF(JF,INT(data[[#This Row],[Date]]+data[[#This Row],[Hfin corrigée]]))=1),"oui","non")</f>
        <v>non</v>
      </c>
      <c r="P8" s="55">
        <f>MAX(0,data[[#This Row],[Hfin corrigée]]-MAX(1,data[[#This Row],[Hdébut corrigé]]))-data[[#This Row],[NUIT2.1]]-data[[#This Row],[NUIT2.2]]</f>
        <v>4.1666666666666519E-2</v>
      </c>
      <c r="Q8" s="55">
        <f>MAX(0,MIN(1+FinNuit,data[[#This Row],[Hfin corrigée]])-MAX(1,data[[#This Row],[Hdébut corrigé]]))</f>
        <v>0.29166666666666674</v>
      </c>
      <c r="R8" s="55">
        <f>MAX(0,(data[[#This Row],[Hfin corrigée]]-DebNuit-1))</f>
        <v>0</v>
      </c>
      <c r="S8" s="55">
        <f>IF(data[[#This Row],[Garde / Interv.]]="Intervention",MAX(0,data[[#This Row],[Hfin corrigée]]-SUMPRODUCT((data[Date]=data[[#This Row],[Date]])*(data[Garde / Interv.]="Garde")*data[Hfin corrigée])),0)</f>
        <v>0</v>
      </c>
      <c r="T8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1</v>
      </c>
      <c r="U8" s="55">
        <f>MAX(0,IF(data[[#This Row],[Garde / Interv.]]="Intervention",(data[[#This Row],[Fin Dim ou Férié]]="non")*data[[#This Row],[JOUR2]]+(data[[#This Row],[Début Dim ou Férié]]="non")*data[[#This Row],[JOUR1]],0))</f>
        <v>0</v>
      </c>
      <c r="V8" s="55">
        <f>IF(data[[#This Row],[Garde / Interv.]]="Intervention",(data[[#This Row],[Fin Dim ou Férié]]="oui")*data[[#This Row],[JOUR2]]+(data[[#This Row],[Début Dim ou Férié]]="oui")*data[[#This Row],[JOUR1]],0)</f>
        <v>0</v>
      </c>
      <c r="W8" s="55">
        <f>MAX(0,IF(data[[#This Row],[Garde / Interv.]]="Intervention",data[[#This Row],[NUIT1.1]]+data[[#This Row],[NUIT1.2]]+data[[#This Row],[NUIT2.1]]+data[[#This Row],[NUIT2.2]],0))</f>
        <v>0</v>
      </c>
      <c r="X8" s="8"/>
      <c r="Y8" s="7"/>
      <c r="Z8" s="7"/>
      <c r="AB8" s="4"/>
      <c r="AC8" s="5"/>
      <c r="AD8"/>
      <c r="AE8"/>
    </row>
    <row r="9" spans="1:31" x14ac:dyDescent="0.3">
      <c r="A9" s="50"/>
      <c r="B9" s="54" t="str">
        <f>IF(data[[#This Row],[Hdébut garde]]&lt;&gt;"","Garde",IF(data[[#This Row],[Hdébut corrigé]]&lt;&gt;"","Intervention",""))</f>
        <v>Intervention</v>
      </c>
      <c r="C9" s="51"/>
      <c r="D9" s="50"/>
      <c r="E9" s="52"/>
      <c r="F9" s="52"/>
      <c r="G9" s="52"/>
      <c r="H9" s="52"/>
      <c r="I9" s="53">
        <f>IF(data[[#This Row],[Hdébut garde]]&lt;&gt;"",
data[[#This Row],[Hdébut garde]],
data[[#This Row],[Hdébut interv.]]+IF(data[[#This Row],[Hdébut interv.]]&lt;SUMPRODUCT((data[Date]=data[[#This Row],[Date]])*data[Hdébut garde]),1,0)
)</f>
        <v>0</v>
      </c>
      <c r="J9" s="53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</v>
      </c>
      <c r="K9" s="54" t="str">
        <f>IF(OR(WEEKDAY(data[[#This Row],[Date]],2)=7,COUNTIF(JF,data[[#This Row],[Date]])=1),"oui","non")</f>
        <v>non</v>
      </c>
      <c r="L9" s="55">
        <f>MAX(0,(MIN(1,data[[#This Row],[Hfin corrigée]])-data[[#This Row],[Hdébut corrigé]])-data[[#This Row],[NUIT1.1]]-data[[#This Row],[NUIT1.2]])</f>
        <v>0</v>
      </c>
      <c r="M9" s="55">
        <f>IF(data[[#This Row],[Hfin Interv.]]="",0,(
MIN(FinNuit,MIN(1,data[[#This Row],[Hfin corrigée]]))-MIN(FinNuit,data[[#This Row],[Hdébut corrigé]])
))</f>
        <v>0</v>
      </c>
      <c r="N9" s="55">
        <f>MAX(0,(MAX(0,(MIN(1,data[[#This Row],[Hfin corrigée]])-DebNuit))-MAX(0,(data[[#This Row],[Hdébut corrigé]]-DebNuit))))</f>
        <v>0</v>
      </c>
      <c r="O9" s="54" t="str">
        <f>IF(OR(WEEKDAY(data[[#This Row],[Date]]+data[[#This Row],[Hfin corrigée]],2)=7,COUNTIF(JF,INT(data[[#This Row],[Date]]+data[[#This Row],[Hfin corrigée]]))=1),"oui","non")</f>
        <v>non</v>
      </c>
      <c r="P9" s="55">
        <f>MAX(0,data[[#This Row],[Hfin corrigée]]-MAX(1,data[[#This Row],[Hdébut corrigé]]))-data[[#This Row],[NUIT2.1]]-data[[#This Row],[NUIT2.2]]</f>
        <v>0</v>
      </c>
      <c r="Q9" s="55">
        <f>MAX(0,MIN(1+FinNuit,data[[#This Row],[Hfin corrigée]])-MAX(1,data[[#This Row],[Hdébut corrigé]]))</f>
        <v>0</v>
      </c>
      <c r="R9" s="55">
        <f>MAX(0,(data[[#This Row],[Hfin corrigée]]-DebNuit-1))</f>
        <v>0</v>
      </c>
      <c r="S9" s="55">
        <f>IF(data[[#This Row],[Garde / Interv.]]="Intervention",MAX(0,data[[#This Row],[Hfin corrigée]]-SUMPRODUCT((data[Date]=data[[#This Row],[Date]])*(data[Garde / Interv.]="Garde")*data[Hfin corrigée])),0)</f>
        <v>0</v>
      </c>
      <c r="T9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9" s="55">
        <f>MAX(0,IF(data[[#This Row],[Garde / Interv.]]="Intervention",(data[[#This Row],[Fin Dim ou Férié]]="non")*data[[#This Row],[JOUR2]]+(data[[#This Row],[Début Dim ou Férié]]="non")*data[[#This Row],[JOUR1]],0))</f>
        <v>0</v>
      </c>
      <c r="V9" s="55">
        <f>IF(data[[#This Row],[Garde / Interv.]]="Intervention",(data[[#This Row],[Fin Dim ou Férié]]="oui")*data[[#This Row],[JOUR2]]+(data[[#This Row],[Début Dim ou Férié]]="oui")*data[[#This Row],[JOUR1]],0)</f>
        <v>0</v>
      </c>
      <c r="W9" s="55">
        <f>MAX(0,IF(data[[#This Row],[Garde / Interv.]]="Intervention",data[[#This Row],[NUIT1.1]]+data[[#This Row],[NUIT1.2]]+data[[#This Row],[NUIT2.1]]+data[[#This Row],[NUIT2.2]],0))</f>
        <v>0</v>
      </c>
      <c r="X9" s="8"/>
      <c r="Y9" s="7"/>
      <c r="Z9" s="7"/>
      <c r="AB9" s="4"/>
      <c r="AC9" s="5"/>
      <c r="AD9"/>
      <c r="AE9"/>
    </row>
    <row r="10" spans="1:31" x14ac:dyDescent="0.3">
      <c r="A10" s="40">
        <v>43272</v>
      </c>
      <c r="B10" s="54" t="str">
        <f>IF(data[[#This Row],[Hdébut garde]]&lt;&gt;"","Garde",IF(data[[#This Row],[Hdébut corrigé]]&lt;&gt;"","Intervention",""))</f>
        <v>Garde</v>
      </c>
      <c r="C10" s="51"/>
      <c r="D10" s="50"/>
      <c r="E10" s="52">
        <v>0.33333333333333331</v>
      </c>
      <c r="F10" s="52">
        <v>0.33333333333333331</v>
      </c>
      <c r="G10" s="52"/>
      <c r="H10" s="52"/>
      <c r="I10" s="53">
        <f>IF(data[[#This Row],[Hdébut garde]]&lt;&gt;"",
data[[#This Row],[Hdébut garde]],
data[[#This Row],[Hdébut interv.]]+IF(data[[#This Row],[Hdébut interv.]]&lt;SUMPRODUCT((data[Date]=data[[#This Row],[Date]])*data[Hdébut garde]),1,0)
)</f>
        <v>0.33333333333333331</v>
      </c>
      <c r="J10" s="53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1.3333333333333333</v>
      </c>
      <c r="K10" s="54" t="str">
        <f>IF(OR(WEEKDAY(data[[#This Row],[Date]],2)=7,COUNTIF(JF,data[[#This Row],[Date]])=1),"oui","non")</f>
        <v>non</v>
      </c>
      <c r="L10" s="55">
        <f>MAX(0,(MIN(1,data[[#This Row],[Hfin corrigée]])-data[[#This Row],[Hdébut corrigé]])-data[[#This Row],[NUIT1.1]]-data[[#This Row],[NUIT1.2]])</f>
        <v>0.58333333333333337</v>
      </c>
      <c r="M10" s="55">
        <f>IF(data[[#This Row],[Hfin Interv.]]="",0,(
MIN(FinNuit,MIN(1,data[[#This Row],[Hfin corrigée]]))-MIN(FinNuit,data[[#This Row],[Hdébut corrigé]])
))</f>
        <v>0</v>
      </c>
      <c r="N10" s="55">
        <f>MAX(0,(MAX(0,(MIN(1,data[[#This Row],[Hfin corrigée]])-DebNuit))-MAX(0,(data[[#This Row],[Hdébut corrigé]]-DebNuit))))</f>
        <v>8.333333333333337E-2</v>
      </c>
      <c r="O10" s="54" t="str">
        <f>IF(OR(WEEKDAY(data[[#This Row],[Date]]+data[[#This Row],[Hfin corrigée]],2)=7,COUNTIF(JF,INT(data[[#This Row],[Date]]+data[[#This Row],[Hfin corrigée]]))=1),"oui","non")</f>
        <v>non</v>
      </c>
      <c r="P10" s="55">
        <f>MAX(0,data[[#This Row],[Hfin corrigée]]-MAX(1,data[[#This Row],[Hdébut corrigé]]))-data[[#This Row],[NUIT2.1]]-data[[#This Row],[NUIT2.2]]</f>
        <v>4.1666666666666519E-2</v>
      </c>
      <c r="Q10" s="55">
        <f>MAX(0,MIN(1+FinNuit,data[[#This Row],[Hfin corrigée]])-MAX(1,data[[#This Row],[Hdébut corrigé]]))</f>
        <v>0.29166666666666674</v>
      </c>
      <c r="R10" s="55">
        <f>MAX(0,(data[[#This Row],[Hfin corrigée]]-DebNuit-1))</f>
        <v>0</v>
      </c>
      <c r="S10" s="55">
        <f>IF(data[[#This Row],[Garde / Interv.]]="Intervention",MAX(0,data[[#This Row],[Hfin corrigée]]-SUMPRODUCT((data[Date]=data[[#This Row],[Date]])*(data[Garde / Interv.]="Garde")*data[Hfin corrigée])),0)</f>
        <v>0</v>
      </c>
      <c r="T10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1</v>
      </c>
      <c r="U10" s="55">
        <f>MAX(0,IF(data[[#This Row],[Garde / Interv.]]="Intervention",(data[[#This Row],[Fin Dim ou Férié]]="non")*data[[#This Row],[JOUR2]]+(data[[#This Row],[Début Dim ou Férié]]="non")*data[[#This Row],[JOUR1]],0))</f>
        <v>0</v>
      </c>
      <c r="V10" s="55">
        <f>IF(data[[#This Row],[Garde / Interv.]]="Intervention",(data[[#This Row],[Fin Dim ou Férié]]="oui")*data[[#This Row],[JOUR2]]+(data[[#This Row],[Début Dim ou Férié]]="oui")*data[[#This Row],[JOUR1]],0)</f>
        <v>0</v>
      </c>
      <c r="W10" s="55">
        <f>MAX(0,IF(data[[#This Row],[Garde / Interv.]]="Intervention",data[[#This Row],[NUIT1.1]]+data[[#This Row],[NUIT1.2]]+data[[#This Row],[NUIT2.1]]+data[[#This Row],[NUIT2.2]],0))</f>
        <v>0</v>
      </c>
      <c r="X10" s="8"/>
      <c r="Y10" s="7"/>
      <c r="Z10" s="7"/>
      <c r="AB10" s="4"/>
      <c r="AC10" s="5"/>
      <c r="AD10"/>
      <c r="AE10"/>
    </row>
    <row r="11" spans="1:31" x14ac:dyDescent="0.3">
      <c r="A11" s="50"/>
      <c r="B11" s="54" t="str">
        <f>IF(data[[#This Row],[Hdébut garde]]&lt;&gt;"","Garde",IF(data[[#This Row],[Hdébut corrigé]]&lt;&gt;"","Intervention",""))</f>
        <v>Intervention</v>
      </c>
      <c r="C11" s="51"/>
      <c r="D11" s="50"/>
      <c r="E11" s="52"/>
      <c r="F11" s="52"/>
      <c r="G11" s="52"/>
      <c r="H11" s="52"/>
      <c r="I11" s="53">
        <f>IF(data[[#This Row],[Hdébut garde]]&lt;&gt;"",
data[[#This Row],[Hdébut garde]],
data[[#This Row],[Hdébut interv.]]+IF(data[[#This Row],[Hdébut interv.]]&lt;SUMPRODUCT((data[Date]=data[[#This Row],[Date]])*data[Hdébut garde]),1,0)
)</f>
        <v>0</v>
      </c>
      <c r="J11" s="53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</v>
      </c>
      <c r="K11" s="54" t="str">
        <f>IF(OR(WEEKDAY(data[[#This Row],[Date]],2)=7,COUNTIF(JF,data[[#This Row],[Date]])=1),"oui","non")</f>
        <v>non</v>
      </c>
      <c r="L11" s="55">
        <f>MAX(0,(MIN(1,data[[#This Row],[Hfin corrigée]])-data[[#This Row],[Hdébut corrigé]])-data[[#This Row],[NUIT1.1]]-data[[#This Row],[NUIT1.2]])</f>
        <v>0</v>
      </c>
      <c r="M11" s="55">
        <f>IF(data[[#This Row],[Hfin Interv.]]="",0,(
MIN(FinNuit,MIN(1,data[[#This Row],[Hfin corrigée]]))-MIN(FinNuit,data[[#This Row],[Hdébut corrigé]])
))</f>
        <v>0</v>
      </c>
      <c r="N11" s="55">
        <f>MAX(0,(MAX(0,(MIN(1,data[[#This Row],[Hfin corrigée]])-DebNuit))-MAX(0,(data[[#This Row],[Hdébut corrigé]]-DebNuit))))</f>
        <v>0</v>
      </c>
      <c r="O11" s="54" t="str">
        <f>IF(OR(WEEKDAY(data[[#This Row],[Date]]+data[[#This Row],[Hfin corrigée]],2)=7,COUNTIF(JF,INT(data[[#This Row],[Date]]+data[[#This Row],[Hfin corrigée]]))=1),"oui","non")</f>
        <v>non</v>
      </c>
      <c r="P11" s="55">
        <f>MAX(0,data[[#This Row],[Hfin corrigée]]-MAX(1,data[[#This Row],[Hdébut corrigé]]))-data[[#This Row],[NUIT2.1]]-data[[#This Row],[NUIT2.2]]</f>
        <v>0</v>
      </c>
      <c r="Q11" s="55">
        <f>MAX(0,MIN(1+FinNuit,data[[#This Row],[Hfin corrigée]])-MAX(1,data[[#This Row],[Hdébut corrigé]]))</f>
        <v>0</v>
      </c>
      <c r="R11" s="55">
        <f>MAX(0,(data[[#This Row],[Hfin corrigée]]-DebNuit-1))</f>
        <v>0</v>
      </c>
      <c r="S11" s="55">
        <f>IF(data[[#This Row],[Garde / Interv.]]="Intervention",MAX(0,data[[#This Row],[Hfin corrigée]]-SUMPRODUCT((data[Date]=data[[#This Row],[Date]])*(data[Garde / Interv.]="Garde")*data[Hfin corrigée])),0)</f>
        <v>0</v>
      </c>
      <c r="T11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11" s="55">
        <f>MAX(0,IF(data[[#This Row],[Garde / Interv.]]="Intervention",(data[[#This Row],[Fin Dim ou Férié]]="non")*data[[#This Row],[JOUR2]]+(data[[#This Row],[Début Dim ou Férié]]="non")*data[[#This Row],[JOUR1]],0))</f>
        <v>0</v>
      </c>
      <c r="V11" s="55">
        <f>IF(data[[#This Row],[Garde / Interv.]]="Intervention",(data[[#This Row],[Fin Dim ou Férié]]="oui")*data[[#This Row],[JOUR2]]+(data[[#This Row],[Début Dim ou Férié]]="oui")*data[[#This Row],[JOUR1]],0)</f>
        <v>0</v>
      </c>
      <c r="W11" s="55">
        <f>MAX(0,IF(data[[#This Row],[Garde / Interv.]]="Intervention",data[[#This Row],[NUIT1.1]]+data[[#This Row],[NUIT1.2]]+data[[#This Row],[NUIT2.1]]+data[[#This Row],[NUIT2.2]],0))</f>
        <v>0</v>
      </c>
      <c r="X11" s="8"/>
      <c r="Y11" s="7"/>
      <c r="Z11" s="7"/>
      <c r="AB11" s="4"/>
      <c r="AC11" s="5"/>
      <c r="AD11"/>
      <c r="AE11"/>
    </row>
    <row r="12" spans="1:31" x14ac:dyDescent="0.3">
      <c r="A12" s="50">
        <v>43279</v>
      </c>
      <c r="B12" s="54" t="str">
        <f>IF(data[[#This Row],[Hdébut garde]]&lt;&gt;"","Garde",IF(data[[#This Row],[Hdébut corrigé]]&lt;&gt;"","Intervention",""))</f>
        <v>Garde</v>
      </c>
      <c r="C12" s="51"/>
      <c r="D12" s="50"/>
      <c r="E12" s="52">
        <v>0.33333333333333331</v>
      </c>
      <c r="F12" s="52">
        <v>0.33333333333333331</v>
      </c>
      <c r="G12" s="52"/>
      <c r="H12" s="52"/>
      <c r="I12" s="53">
        <f>IF(data[[#This Row],[Hdébut garde]]&lt;&gt;"",
data[[#This Row],[Hdébut garde]],
data[[#This Row],[Hdébut interv.]]+IF(data[[#This Row],[Hdébut interv.]]&lt;SUMPRODUCT((data[Date]=data[[#This Row],[Date]])*data[Hdébut garde]),1,0)
)</f>
        <v>0.33333333333333331</v>
      </c>
      <c r="J12" s="53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1.3333333333333333</v>
      </c>
      <c r="K12" s="54" t="str">
        <f>IF(OR(WEEKDAY(data[[#This Row],[Date]],2)=7,COUNTIF(JF,data[[#This Row],[Date]])=1),"oui","non")</f>
        <v>non</v>
      </c>
      <c r="L12" s="55">
        <f>MAX(0,(MIN(1,data[[#This Row],[Hfin corrigée]])-data[[#This Row],[Hdébut corrigé]])-data[[#This Row],[NUIT1.1]]-data[[#This Row],[NUIT1.2]])</f>
        <v>0.58333333333333337</v>
      </c>
      <c r="M12" s="55">
        <f>IF(data[[#This Row],[Hfin Interv.]]="",0,(
MIN(FinNuit,MIN(1,data[[#This Row],[Hfin corrigée]]))-MIN(FinNuit,data[[#This Row],[Hdébut corrigé]])
))</f>
        <v>0</v>
      </c>
      <c r="N12" s="55">
        <f>MAX(0,(MAX(0,(MIN(1,data[[#This Row],[Hfin corrigée]])-DebNuit))-MAX(0,(data[[#This Row],[Hdébut corrigé]]-DebNuit))))</f>
        <v>8.333333333333337E-2</v>
      </c>
      <c r="O12" s="54" t="str">
        <f>IF(OR(WEEKDAY(data[[#This Row],[Date]]+data[[#This Row],[Hfin corrigée]],2)=7,COUNTIF(JF,INT(data[[#This Row],[Date]]+data[[#This Row],[Hfin corrigée]]))=1),"oui","non")</f>
        <v>non</v>
      </c>
      <c r="P12" s="55">
        <f>MAX(0,data[[#This Row],[Hfin corrigée]]-MAX(1,data[[#This Row],[Hdébut corrigé]]))-data[[#This Row],[NUIT2.1]]-data[[#This Row],[NUIT2.2]]</f>
        <v>4.1666666666666519E-2</v>
      </c>
      <c r="Q12" s="55">
        <f>MAX(0,MIN(1+FinNuit,data[[#This Row],[Hfin corrigée]])-MAX(1,data[[#This Row],[Hdébut corrigé]]))</f>
        <v>0.29166666666666674</v>
      </c>
      <c r="R12" s="55">
        <f>MAX(0,(data[[#This Row],[Hfin corrigée]]-DebNuit-1))</f>
        <v>0</v>
      </c>
      <c r="S12" s="55">
        <f>IF(data[[#This Row],[Garde / Interv.]]="Intervention",MAX(0,data[[#This Row],[Hfin corrigée]]-SUMPRODUCT((data[Date]=data[[#This Row],[Date]])*(data[Garde / Interv.]="Garde")*data[Hfin corrigée])),0)</f>
        <v>0</v>
      </c>
      <c r="T12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0.875</v>
      </c>
      <c r="U12" s="55">
        <f>MAX(0,IF(data[[#This Row],[Garde / Interv.]]="Intervention",(data[[#This Row],[Fin Dim ou Férié]]="non")*data[[#This Row],[JOUR2]]+(data[[#This Row],[Début Dim ou Férié]]="non")*data[[#This Row],[JOUR1]],0))</f>
        <v>0</v>
      </c>
      <c r="V12" s="55">
        <f>IF(data[[#This Row],[Garde / Interv.]]="Intervention",(data[[#This Row],[Fin Dim ou Férié]]="oui")*data[[#This Row],[JOUR2]]+(data[[#This Row],[Début Dim ou Férié]]="oui")*data[[#This Row],[JOUR1]],0)</f>
        <v>0</v>
      </c>
      <c r="W12" s="55">
        <f>MAX(0,IF(data[[#This Row],[Garde / Interv.]]="Intervention",data[[#This Row],[NUIT1.1]]+data[[#This Row],[NUIT1.2]]+data[[#This Row],[NUIT2.1]]+data[[#This Row],[NUIT2.2]],0))</f>
        <v>0</v>
      </c>
      <c r="X12" s="8"/>
      <c r="Y12" s="7"/>
      <c r="Z12" s="7"/>
      <c r="AB12" s="4"/>
      <c r="AC12" s="5"/>
      <c r="AD12"/>
      <c r="AE12"/>
    </row>
    <row r="13" spans="1:31" x14ac:dyDescent="0.3">
      <c r="A13" s="50">
        <v>43279</v>
      </c>
      <c r="B13" s="54" t="str">
        <f>IF(data[[#This Row],[Hdébut garde]]&lt;&gt;"","Garde",IF(data[[#This Row],[Hdébut corrigé]]&lt;&gt;"","Intervention",""))</f>
        <v>Intervention</v>
      </c>
      <c r="C13" s="51" t="s">
        <v>3</v>
      </c>
      <c r="D13" s="50"/>
      <c r="E13" s="52"/>
      <c r="F13" s="52"/>
      <c r="G13" s="52">
        <v>0.83333333333333337</v>
      </c>
      <c r="H13" s="22">
        <v>0.95833333333333337</v>
      </c>
      <c r="I13" s="53">
        <f>IF(data[[#This Row],[Hdébut garde]]&lt;&gt;"",
data[[#This Row],[Hdébut garde]],
data[[#This Row],[Hdébut interv.]]+IF(data[[#This Row],[Hdébut interv.]]&lt;SUMPRODUCT((data[Date]=data[[#This Row],[Date]])*data[Hdébut garde]),1,0)
)</f>
        <v>0.83333333333333337</v>
      </c>
      <c r="J13" s="53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0.95833333333333337</v>
      </c>
      <c r="K13" s="54" t="str">
        <f>IF(OR(WEEKDAY(data[[#This Row],[Date]],2)=7,COUNTIF(JF,data[[#This Row],[Date]])=1),"oui","non")</f>
        <v>non</v>
      </c>
      <c r="L13" s="55">
        <f>MAX(0,(MIN(1,data[[#This Row],[Hfin corrigée]])-data[[#This Row],[Hdébut corrigé]])-data[[#This Row],[NUIT1.1]]-data[[#This Row],[NUIT1.2]])</f>
        <v>8.3333333333333259E-2</v>
      </c>
      <c r="M13" s="55">
        <f>IF(data[[#This Row],[Hfin Interv.]]="",0,(
MIN(FinNuit,MIN(1,data[[#This Row],[Hfin corrigée]]))-MIN(FinNuit,data[[#This Row],[Hdébut corrigé]])
))</f>
        <v>0</v>
      </c>
      <c r="N13" s="55">
        <f>MAX(0,(MAX(0,(MIN(1,data[[#This Row],[Hfin corrigée]])-DebNuit))-MAX(0,(data[[#This Row],[Hdébut corrigé]]-DebNuit))))</f>
        <v>4.1666666666666741E-2</v>
      </c>
      <c r="O13" s="54" t="str">
        <f>IF(OR(WEEKDAY(data[[#This Row],[Date]]+data[[#This Row],[Hfin corrigée]],2)=7,COUNTIF(JF,INT(data[[#This Row],[Date]]+data[[#This Row],[Hfin corrigée]]))=1),"oui","non")</f>
        <v>non</v>
      </c>
      <c r="P13" s="55">
        <f>MAX(0,data[[#This Row],[Hfin corrigée]]-MAX(1,data[[#This Row],[Hdébut corrigé]]))-data[[#This Row],[NUIT2.1]]-data[[#This Row],[NUIT2.2]]</f>
        <v>0</v>
      </c>
      <c r="Q13" s="55">
        <f>MAX(0,MIN(1+FinNuit,data[[#This Row],[Hfin corrigée]])-MAX(1,data[[#This Row],[Hdébut corrigé]]))</f>
        <v>0</v>
      </c>
      <c r="R13" s="55">
        <f>MAX(0,(data[[#This Row],[Hfin corrigée]]-DebNuit-1))</f>
        <v>0</v>
      </c>
      <c r="S13" s="55">
        <f>IF(data[[#This Row],[Garde / Interv.]]="Intervention",MAX(0,data[[#This Row],[Hfin corrigée]]-SUMPRODUCT((data[Date]=data[[#This Row],[Date]])*(data[Garde / Interv.]="Garde")*data[Hfin corrigée])),0)</f>
        <v>0</v>
      </c>
      <c r="T13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13" s="55">
        <f>MAX(0,IF(data[[#This Row],[Garde / Interv.]]="Intervention",(data[[#This Row],[Fin Dim ou Férié]]="non")*data[[#This Row],[JOUR2]]+(data[[#This Row],[Début Dim ou Férié]]="non")*data[[#This Row],[JOUR1]],0))</f>
        <v>8.3333333333333259E-2</v>
      </c>
      <c r="V13" s="55">
        <f>IF(data[[#This Row],[Garde / Interv.]]="Intervention",(data[[#This Row],[Fin Dim ou Férié]]="oui")*data[[#This Row],[JOUR2]]+(data[[#This Row],[Début Dim ou Férié]]="oui")*data[[#This Row],[JOUR1]],0)</f>
        <v>0</v>
      </c>
      <c r="W13" s="55">
        <f>MAX(0,IF(data[[#This Row],[Garde / Interv.]]="Intervention",data[[#This Row],[NUIT1.1]]+data[[#This Row],[NUIT1.2]]+data[[#This Row],[NUIT2.1]]+data[[#This Row],[NUIT2.2]],0))</f>
        <v>4.1666666666666741E-2</v>
      </c>
      <c r="X13" s="8"/>
      <c r="Y13" s="7"/>
      <c r="Z13" s="7"/>
      <c r="AB13" s="4"/>
      <c r="AC13" s="5"/>
      <c r="AD13"/>
      <c r="AE13"/>
    </row>
  </sheetData>
  <dataValidations count="1">
    <dataValidation type="list" allowBlank="1" showInputMessage="1" showErrorMessage="1" sqref="C2:C13" xr:uid="{00000000-0002-0000-0000-000000000000}">
      <formula1>véhicule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"/>
  <sheetViews>
    <sheetView workbookViewId="0"/>
  </sheetViews>
  <sheetFormatPr baseColWidth="10" defaultColWidth="16" defaultRowHeight="14.4" x14ac:dyDescent="0.3"/>
  <cols>
    <col min="1" max="2" width="16" style="31"/>
    <col min="3" max="4" width="16" style="30"/>
    <col min="5" max="9" width="16" style="8"/>
    <col min="10" max="12" width="16" style="33"/>
    <col min="13" max="13" width="16" style="34"/>
    <col min="14" max="14" width="16" style="35"/>
    <col min="15" max="16384" width="16" style="30"/>
  </cols>
  <sheetData>
    <row r="1" spans="1:14" s="29" customFormat="1" x14ac:dyDescent="0.3">
      <c r="A1" s="36" t="s">
        <v>27</v>
      </c>
      <c r="B1" s="36" t="s">
        <v>14</v>
      </c>
      <c r="C1" s="37" t="s">
        <v>21</v>
      </c>
      <c r="D1" s="37" t="s">
        <v>22</v>
      </c>
      <c r="E1" s="37" t="s">
        <v>23</v>
      </c>
      <c r="F1" s="37" t="s">
        <v>24</v>
      </c>
      <c r="G1" s="37" t="s">
        <v>25</v>
      </c>
      <c r="H1" s="37" t="s">
        <v>26</v>
      </c>
    </row>
    <row r="2" spans="1:14" x14ac:dyDescent="0.3">
      <c r="A2" s="31">
        <v>0.16666666666666666</v>
      </c>
      <c r="B2" s="31">
        <v>0.20833333333333334</v>
      </c>
      <c r="C2" s="32">
        <f>MAX(0,(MIN(1,test[[#This Row],[Hfin corrigée]])-test[[#This Row],[Hdébut corrigé]])-test[[#This Row],[NUIT1.1]]-test[[#This Row],[NUIT1.2]])</f>
        <v>0</v>
      </c>
      <c r="D2" s="32">
        <f>MIN(FinNuit,MIN(1,test[[#This Row],[Hfin corrigée]]))-MIN(FinNuit,test[[#This Row],[Hdébut corrigé]])</f>
        <v>4.1666666666666685E-2</v>
      </c>
      <c r="E2" s="32">
        <f>MAX(0,(MAX(0,(MIN(1,test[[#This Row],[Hfin corrigée]])-DebNuit))-MAX(0,(test[[#This Row],[Hdébut corrigé]]-DebNuit))))</f>
        <v>0</v>
      </c>
      <c r="F2" s="32">
        <f>MAX(0,test[[#This Row],[Hfin corrigée]]-MAX(1,test[[#This Row],[Hdébut corrigé]]))-test[[#This Row],[NUIT2.1]]-test[[#This Row],[NUIT2.2]]</f>
        <v>0</v>
      </c>
      <c r="G2" s="32">
        <f>MAX(0,MIN(1+FinNuit,test[[#This Row],[Hfin corrigée]])-MAX(1,test[[#This Row],[Hdébut corrigé]]))</f>
        <v>0</v>
      </c>
      <c r="H2" s="32">
        <f>MAX(0,(test[[#This Row],[Hfin corrigée]]-DebNuit-1))</f>
        <v>0</v>
      </c>
      <c r="I2" s="30"/>
      <c r="J2" s="30"/>
      <c r="K2" s="30"/>
      <c r="L2" s="30"/>
      <c r="M2" s="30"/>
      <c r="N2" s="30"/>
    </row>
    <row r="3" spans="1:14" x14ac:dyDescent="0.3">
      <c r="A3" s="31">
        <v>0.16666666666666666</v>
      </c>
      <c r="B3" s="31">
        <v>0.375</v>
      </c>
      <c r="C3" s="32">
        <f>MAX(0,(MIN(1,test[[#This Row],[Hfin corrigée]])-test[[#This Row],[Hdébut corrigé]])-test[[#This Row],[NUIT1.1]]-test[[#This Row],[NUIT1.2]])</f>
        <v>8.3333333333333315E-2</v>
      </c>
      <c r="D3" s="32">
        <f>MIN(FinNuit,MIN(1,test[[#This Row],[Hfin corrigée]]))-MIN(FinNuit,test[[#This Row],[Hdébut corrigé]])</f>
        <v>0.12500000000000003</v>
      </c>
      <c r="E3" s="32">
        <f>MAX(0,(MAX(0,(MIN(1,test[[#This Row],[Hfin corrigée]])-DebNuit))-MAX(0,(test[[#This Row],[Hdébut corrigé]]-DebNuit))))</f>
        <v>0</v>
      </c>
      <c r="F3" s="32">
        <f>MAX(0,test[[#This Row],[Hfin corrigée]]-MAX(1,test[[#This Row],[Hdébut corrigé]]))-test[[#This Row],[NUIT2.1]]-test[[#This Row],[NUIT2.2]]</f>
        <v>0</v>
      </c>
      <c r="G3" s="32">
        <f>MAX(0,MIN(1+FinNuit,test[[#This Row],[Hfin corrigée]])-MAX(1,test[[#This Row],[Hdébut corrigé]]))</f>
        <v>0</v>
      </c>
      <c r="H3" s="32">
        <f>MAX(0,(test[[#This Row],[Hfin corrigée]]-DebNuit-1))</f>
        <v>0</v>
      </c>
      <c r="I3" s="30"/>
      <c r="J3" s="30"/>
      <c r="K3" s="30"/>
      <c r="L3" s="30"/>
      <c r="M3" s="30"/>
      <c r="N3" s="30"/>
    </row>
    <row r="4" spans="1:14" x14ac:dyDescent="0.3">
      <c r="A4" s="31">
        <v>0.16666666666666666</v>
      </c>
      <c r="B4" s="31">
        <v>0.75</v>
      </c>
      <c r="C4" s="33">
        <f>MAX(0,(MIN(1,test[[#This Row],[Hfin corrigée]])-test[[#This Row],[Hdébut corrigé]])-test[[#This Row],[NUIT1.1]]-test[[#This Row],[NUIT1.2]])</f>
        <v>0.45833333333333337</v>
      </c>
      <c r="D4" s="33">
        <f>MIN(FinNuit,MIN(1,test[[#This Row],[Hfin corrigée]]))-MIN(FinNuit,test[[#This Row],[Hdébut corrigé]])</f>
        <v>0.12500000000000003</v>
      </c>
      <c r="E4" s="33">
        <f>MAX(0,(MAX(0,(MIN(1,test[[#This Row],[Hfin corrigée]])-DebNuit))-MAX(0,(test[[#This Row],[Hdébut corrigé]]-DebNuit))))</f>
        <v>0</v>
      </c>
      <c r="F4" s="33">
        <f>MAX(0,test[[#This Row],[Hfin corrigée]]-MAX(1,test[[#This Row],[Hdébut corrigé]]))-test[[#This Row],[NUIT2.1]]-test[[#This Row],[NUIT2.2]]</f>
        <v>0</v>
      </c>
      <c r="G4" s="33">
        <f>MAX(0,MIN(1+FinNuit,test[[#This Row],[Hfin corrigée]])-MAX(1,test[[#This Row],[Hdébut corrigé]]))</f>
        <v>0</v>
      </c>
      <c r="H4" s="33">
        <f>MAX(0,(test[[#This Row],[Hfin corrigée]]-DebNuit-1))</f>
        <v>0</v>
      </c>
    </row>
    <row r="5" spans="1:14" x14ac:dyDescent="0.3">
      <c r="A5" s="31">
        <v>0.33333333333333331</v>
      </c>
      <c r="B5" s="31">
        <v>0.95833333333333337</v>
      </c>
      <c r="C5" s="33">
        <f>MAX(0,(MIN(1,test[[#This Row],[Hfin corrigée]])-test[[#This Row],[Hdébut corrigé]])-test[[#This Row],[NUIT1.1]]-test[[#This Row],[NUIT1.2]])</f>
        <v>0.58333333333333326</v>
      </c>
      <c r="D5" s="33">
        <f>MIN(FinNuit,MIN(1,test[[#This Row],[Hfin corrigée]]))-MIN(FinNuit,test[[#This Row],[Hdébut corrigé]])</f>
        <v>0</v>
      </c>
      <c r="E5" s="33">
        <f>MAX(0,(MAX(0,(MIN(1,test[[#This Row],[Hfin corrigée]])-DebNuit))-MAX(0,(test[[#This Row],[Hdébut corrigé]]-DebNuit))))</f>
        <v>4.1666666666666741E-2</v>
      </c>
      <c r="F5" s="33">
        <f>MAX(0,test[[#This Row],[Hfin corrigée]]-MAX(1,test[[#This Row],[Hdébut corrigé]]))-test[[#This Row],[NUIT2.1]]-test[[#This Row],[NUIT2.2]]</f>
        <v>0</v>
      </c>
      <c r="G5" s="33">
        <f>MAX(0,MIN(1+FinNuit,test[[#This Row],[Hfin corrigée]])-MAX(1,test[[#This Row],[Hdébut corrigé]]))</f>
        <v>0</v>
      </c>
      <c r="H5" s="33">
        <f>MAX(0,(test[[#This Row],[Hfin corrigée]]-DebNuit-1))</f>
        <v>0</v>
      </c>
    </row>
    <row r="6" spans="1:14" x14ac:dyDescent="0.3">
      <c r="A6" s="31">
        <v>1.0416666666666667</v>
      </c>
      <c r="B6" s="31">
        <v>1.3333333333333333</v>
      </c>
      <c r="C6" s="33">
        <f>MAX(0,(MIN(1,test[[#This Row],[Hfin corrigée]])-test[[#This Row],[Hdébut corrigé]])-test[[#This Row],[NUIT1.1]]-test[[#This Row],[NUIT1.2]])</f>
        <v>0</v>
      </c>
      <c r="D6" s="33">
        <f>MIN(FinNuit,MIN(1,test[[#This Row],[Hfin corrigée]]))-MIN(FinNuit,test[[#This Row],[Hdébut corrigé]])</f>
        <v>0</v>
      </c>
      <c r="E6" s="33">
        <f>MAX(0,(MAX(0,(MIN(1,test[[#This Row],[Hfin corrigée]])-DebNuit))-MAX(0,(test[[#This Row],[Hdébut corrigé]]-DebNuit))))</f>
        <v>0</v>
      </c>
      <c r="F6" s="33">
        <f>MAX(0,test[[#This Row],[Hfin corrigée]]-MAX(1,test[[#This Row],[Hdébut corrigé]]))-test[[#This Row],[NUIT2.1]]-test[[#This Row],[NUIT2.2]]</f>
        <v>4.1666666666666519E-2</v>
      </c>
      <c r="G6" s="33">
        <f>MAX(0,MIN(1+FinNuit,test[[#This Row],[Hfin corrigée]])-MAX(1,test[[#This Row],[Hdébut corrigé]]))</f>
        <v>0.25</v>
      </c>
      <c r="H6" s="33">
        <f>MAX(0,(test[[#This Row],[Hfin corrigée]]-DebNuit-1))</f>
        <v>0</v>
      </c>
    </row>
    <row r="7" spans="1:14" x14ac:dyDescent="0.3">
      <c r="A7" s="31">
        <v>0.16666666666666666</v>
      </c>
      <c r="B7" s="31">
        <v>0.95833333333333337</v>
      </c>
      <c r="C7" s="33">
        <f>MAX(0,(MIN(1,test[[#This Row],[Hfin corrigée]])-test[[#This Row],[Hdébut corrigé]])-test[[#This Row],[NUIT1.1]]-test[[#This Row],[NUIT1.2]])</f>
        <v>0.625</v>
      </c>
      <c r="D7" s="33">
        <f>MIN(FinNuit,MIN(1,test[[#This Row],[Hfin corrigée]]))-MIN(FinNuit,test[[#This Row],[Hdébut corrigé]])</f>
        <v>0.12500000000000003</v>
      </c>
      <c r="E7" s="33">
        <f>MAX(0,(MAX(0,(MIN(1,test[[#This Row],[Hfin corrigée]])-DebNuit))-MAX(0,(test[[#This Row],[Hdébut corrigé]]-DebNuit))))</f>
        <v>4.1666666666666741E-2</v>
      </c>
      <c r="F7" s="33">
        <f>MAX(0,test[[#This Row],[Hfin corrigée]]-MAX(1,test[[#This Row],[Hdébut corrigé]]))-test[[#This Row],[NUIT2.1]]-test[[#This Row],[NUIT2.2]]</f>
        <v>0</v>
      </c>
      <c r="G7" s="33">
        <f>MAX(0,MIN(1+FinNuit,test[[#This Row],[Hfin corrigée]])-MAX(1,test[[#This Row],[Hdébut corrigé]]))</f>
        <v>0</v>
      </c>
      <c r="H7" s="33">
        <f>MAX(0,(test[[#This Row],[Hfin corrigée]]-DebNuit-1))</f>
        <v>0</v>
      </c>
    </row>
    <row r="8" spans="1:14" x14ac:dyDescent="0.3">
      <c r="A8" s="31">
        <v>0.5</v>
      </c>
      <c r="B8" s="31">
        <v>1.6666666666666667</v>
      </c>
      <c r="C8" s="33">
        <f>MAX(0,(MIN(1,test[[#This Row],[Hfin corrigée]])-test[[#This Row],[Hdébut corrigé]])-test[[#This Row],[NUIT1.1]]-test[[#This Row],[NUIT1.2]])</f>
        <v>0.41666666666666663</v>
      </c>
      <c r="D8" s="33">
        <f>MIN(FinNuit,MIN(1,test[[#This Row],[Hfin corrigée]]))-MIN(FinNuit,test[[#This Row],[Hdébut corrigé]])</f>
        <v>0</v>
      </c>
      <c r="E8" s="33">
        <f>MAX(0,(MAX(0,(MIN(1,test[[#This Row],[Hfin corrigée]])-DebNuit))-MAX(0,(test[[#This Row],[Hdébut corrigé]]-DebNuit))))</f>
        <v>8.333333333333337E-2</v>
      </c>
      <c r="F8" s="33">
        <f>MAX(0,test[[#This Row],[Hfin corrigée]]-MAX(1,test[[#This Row],[Hdébut corrigé]]))-test[[#This Row],[NUIT2.1]]-test[[#This Row],[NUIT2.2]]</f>
        <v>0.375</v>
      </c>
      <c r="G8" s="33">
        <f>MAX(0,MIN(1+FinNuit,test[[#This Row],[Hfin corrigée]])-MAX(1,test[[#This Row],[Hdébut corrigé]]))</f>
        <v>0.29166666666666674</v>
      </c>
      <c r="H8" s="33">
        <f>MAX(0,(test[[#This Row],[Hfin corrigée]]-DebNuit-1))</f>
        <v>0</v>
      </c>
    </row>
    <row r="9" spans="1:14" x14ac:dyDescent="0.3">
      <c r="A9" s="31">
        <v>0</v>
      </c>
      <c r="B9" s="31">
        <v>2</v>
      </c>
      <c r="C9" s="33">
        <f>MAX(0,(MIN(1,test[[#This Row],[Hfin corrigée]])-test[[#This Row],[Hdébut corrigé]])-test[[#This Row],[NUIT1.1]]-test[[#This Row],[NUIT1.2]])</f>
        <v>0.62499999999999989</v>
      </c>
      <c r="D9" s="33">
        <f>MIN(FinNuit,MIN(1,test[[#This Row],[Hfin corrigée]]))-MIN(FinNuit,test[[#This Row],[Hdébut corrigé]])</f>
        <v>0.29166666666666669</v>
      </c>
      <c r="E9" s="33">
        <f>MAX(0,(MAX(0,(MIN(1,test[[#This Row],[Hfin corrigée]])-DebNuit))-MAX(0,(test[[#This Row],[Hdébut corrigé]]-DebNuit))))</f>
        <v>8.333333333333337E-2</v>
      </c>
      <c r="F9" s="33">
        <f>MAX(0,test[[#This Row],[Hfin corrigée]]-MAX(1,test[[#This Row],[Hdébut corrigé]]))-test[[#This Row],[NUIT2.1]]-test[[#This Row],[NUIT2.2]]</f>
        <v>0.62499999999999978</v>
      </c>
      <c r="G9" s="33">
        <f>MAX(0,MIN(1+FinNuit,test[[#This Row],[Hfin corrigée]])-MAX(1,test[[#This Row],[Hdébut corrigé]]))</f>
        <v>0.29166666666666674</v>
      </c>
      <c r="H9" s="33">
        <f>MAX(0,(test[[#This Row],[Hfin corrigée]]-DebNuit-1))</f>
        <v>8.3333333333333481E-2</v>
      </c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K12"/>
  <sheetViews>
    <sheetView topLeftCell="A3" workbookViewId="0">
      <selection activeCell="E5" sqref="E5"/>
    </sheetView>
  </sheetViews>
  <sheetFormatPr baseColWidth="10" defaultColWidth="11.6640625" defaultRowHeight="14.4" x14ac:dyDescent="0.3"/>
  <cols>
    <col min="1" max="1" width="20.21875" bestFit="1" customWidth="1"/>
  </cols>
  <sheetData>
    <row r="3" spans="1:11" x14ac:dyDescent="0.3">
      <c r="B3" s="18" t="s">
        <v>37</v>
      </c>
    </row>
    <row r="4" spans="1:11" s="39" customFormat="1" ht="57.6" x14ac:dyDescent="0.3">
      <c r="A4" s="38" t="s">
        <v>0</v>
      </c>
      <c r="B4" s="39" t="s">
        <v>49</v>
      </c>
      <c r="C4" s="39" t="s">
        <v>50</v>
      </c>
      <c r="D4" s="39" t="s">
        <v>51</v>
      </c>
      <c r="E4" s="39" t="s">
        <v>52</v>
      </c>
      <c r="F4" s="39" t="s">
        <v>53</v>
      </c>
      <c r="G4" s="39" t="s">
        <v>54</v>
      </c>
      <c r="H4" s="39" t="s">
        <v>55</v>
      </c>
      <c r="I4" s="39" t="s">
        <v>56</v>
      </c>
      <c r="J4"/>
      <c r="K4"/>
    </row>
    <row r="5" spans="1:11" x14ac:dyDescent="0.3">
      <c r="A5" s="3">
        <v>43239</v>
      </c>
      <c r="B5" s="2">
        <v>0.77777777777777779</v>
      </c>
      <c r="C5" s="2">
        <v>5.5555555555555552E-2</v>
      </c>
      <c r="D5" s="2">
        <v>0</v>
      </c>
      <c r="E5" s="2">
        <v>0</v>
      </c>
      <c r="F5" s="2">
        <v>0.78125</v>
      </c>
      <c r="G5" s="2">
        <v>6.25E-2</v>
      </c>
      <c r="H5" s="2">
        <v>0</v>
      </c>
      <c r="I5" s="2">
        <v>0</v>
      </c>
    </row>
    <row r="6" spans="1:11" x14ac:dyDescent="0.3">
      <c r="A6" s="3">
        <v>43253</v>
      </c>
      <c r="B6" s="2">
        <v>0.5</v>
      </c>
      <c r="C6" s="2">
        <v>0</v>
      </c>
      <c r="D6" s="2">
        <v>0</v>
      </c>
      <c r="E6" s="2">
        <v>0</v>
      </c>
      <c r="F6" s="2">
        <v>0.5</v>
      </c>
      <c r="G6" s="2">
        <v>0</v>
      </c>
      <c r="H6" s="2">
        <v>0</v>
      </c>
      <c r="I6" s="2">
        <v>0</v>
      </c>
    </row>
    <row r="7" spans="1:11" x14ac:dyDescent="0.3">
      <c r="A7" s="3">
        <v>43258</v>
      </c>
      <c r="B7" s="2">
        <v>1</v>
      </c>
      <c r="C7" s="2">
        <v>0</v>
      </c>
      <c r="D7" s="2">
        <v>0</v>
      </c>
      <c r="E7" s="2">
        <v>0</v>
      </c>
      <c r="F7" s="2">
        <v>1</v>
      </c>
      <c r="G7" s="2">
        <v>0</v>
      </c>
      <c r="H7" s="2">
        <v>0</v>
      </c>
      <c r="I7" s="2">
        <v>0</v>
      </c>
    </row>
    <row r="8" spans="1:11" x14ac:dyDescent="0.3">
      <c r="A8" s="3">
        <v>43265</v>
      </c>
      <c r="B8" s="2">
        <v>1</v>
      </c>
      <c r="C8" s="2">
        <v>0</v>
      </c>
      <c r="D8" s="2">
        <v>0</v>
      </c>
      <c r="E8" s="2">
        <v>0</v>
      </c>
      <c r="F8" s="2">
        <v>1</v>
      </c>
      <c r="G8" s="2">
        <v>0</v>
      </c>
      <c r="H8" s="2">
        <v>0</v>
      </c>
      <c r="I8" s="2">
        <v>0</v>
      </c>
    </row>
    <row r="9" spans="1:11" x14ac:dyDescent="0.3">
      <c r="A9" s="3">
        <v>43272</v>
      </c>
      <c r="B9" s="2">
        <v>1</v>
      </c>
      <c r="C9" s="2">
        <v>0</v>
      </c>
      <c r="D9" s="2">
        <v>0</v>
      </c>
      <c r="E9" s="2">
        <v>0</v>
      </c>
      <c r="F9" s="2">
        <v>1</v>
      </c>
      <c r="G9" s="2">
        <v>0</v>
      </c>
      <c r="H9" s="2">
        <v>0</v>
      </c>
      <c r="I9" s="2">
        <v>0</v>
      </c>
    </row>
    <row r="10" spans="1:11" x14ac:dyDescent="0.3">
      <c r="A10" s="3">
        <v>43279</v>
      </c>
      <c r="B10" s="2">
        <v>0.875</v>
      </c>
      <c r="C10" s="2">
        <v>8.3333333333333329E-2</v>
      </c>
      <c r="D10" s="2">
        <v>0</v>
      </c>
      <c r="E10" s="2">
        <v>4.1666666666666664E-2</v>
      </c>
      <c r="F10" s="2">
        <v>0.875</v>
      </c>
      <c r="G10" s="2">
        <v>8.3333333333333329E-2</v>
      </c>
      <c r="H10" s="2">
        <v>0</v>
      </c>
      <c r="I10" s="2">
        <v>4.1666666666666664E-2</v>
      </c>
    </row>
    <row r="11" spans="1:11" x14ac:dyDescent="0.3">
      <c r="A11" s="3" t="s">
        <v>63</v>
      </c>
      <c r="B11" s="2">
        <v>0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</row>
    <row r="12" spans="1:11" x14ac:dyDescent="0.3">
      <c r="A12" s="3" t="s">
        <v>36</v>
      </c>
      <c r="B12" s="2">
        <v>5.1527777777777777</v>
      </c>
      <c r="C12" s="2">
        <v>0.1388888888888889</v>
      </c>
      <c r="D12" s="2">
        <v>0</v>
      </c>
      <c r="E12" s="2">
        <v>4.1666666666666664E-2</v>
      </c>
      <c r="F12" s="2">
        <v>5.15625</v>
      </c>
      <c r="G12" s="2">
        <v>0.14583333333333334</v>
      </c>
      <c r="H12" s="2">
        <v>0</v>
      </c>
      <c r="I12" s="2">
        <v>4.1666666666666664E-2</v>
      </c>
    </row>
  </sheetData>
  <pageMargins left="0.7" right="0.7" top="0.75" bottom="0.75" header="0.3" footer="0.3"/>
  <pageSetup paperSize="9" orientation="portrait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4"/>
  <sheetViews>
    <sheetView tabSelected="1" workbookViewId="0">
      <selection activeCell="C4" sqref="C4"/>
    </sheetView>
  </sheetViews>
  <sheetFormatPr baseColWidth="10" defaultRowHeight="14.4" x14ac:dyDescent="0.3"/>
  <cols>
    <col min="1" max="1" width="16.77734375" bestFit="1" customWidth="1"/>
    <col min="3" max="3" width="13.21875" customWidth="1"/>
  </cols>
  <sheetData>
    <row r="1" spans="1:3" ht="50.4" customHeight="1" x14ac:dyDescent="0.3">
      <c r="A1" s="56" t="s">
        <v>59</v>
      </c>
      <c r="B1" s="56" t="s">
        <v>57</v>
      </c>
      <c r="C1" s="56" t="s">
        <v>58</v>
      </c>
    </row>
    <row r="2" spans="1:3" x14ac:dyDescent="0.3">
      <c r="A2" s="59">
        <v>2018</v>
      </c>
      <c r="B2" s="2" t="str">
        <f t="shared" ref="B2:B12" si="0">TEXT(DATE(YEAR(A2),ROW()-1,1),"mmm")</f>
        <v>janv</v>
      </c>
      <c r="C2" s="57">
        <f>IFERROR((TAUX1*GETPIVOTDATA("Somme de Arrondi sans interv.",Synthèse!$A$3,"Date",ROW()-1,"Années",$A$2)+TAUX2*GETPIVOTDATA("Somme de Arrondi interv. jour",Synthèse!$A$3,"Date",ROW()-1,"Années",$A$2)+TAUX3*GETPIVOTDATA("Somme de Arrondi interv. dim ou férié",Synthèse!$A$3,"Date",ROW()-1,"Années",$A$2)+TAUX4*GETPIVOTDATA("Somme de Arrondi interv. nuit",Synthèse!$A$3,"Date",ROW()-1,"Années",$A$2))*24,0)</f>
        <v>0</v>
      </c>
    </row>
    <row r="3" spans="1:3" x14ac:dyDescent="0.3">
      <c r="A3" s="56"/>
      <c r="B3" s="56" t="str">
        <f t="shared" si="0"/>
        <v>févr</v>
      </c>
      <c r="C3" s="58">
        <f>IFERROR((TAUX1*GETPIVOTDATA("Somme de Arrondi sans interv.",Synthèse!$A$3,"Date",ROW()-1,"Années",$A$2)+TAUX2*GETPIVOTDATA("Somme de Arrondi interv. jour",Synthèse!$A$3,"Date",ROW()-1,"Années",$A$2)+TAUX3*GETPIVOTDATA("Somme de Arrondi interv. dim ou férié",Synthèse!$A$3,"Date",ROW()-1,"Années",$A$2)+TAUX4*GETPIVOTDATA("Somme de Arrondi interv. nuit",Synthèse!$A$3,"Date",ROW()-1,"Années",$A$2))*24,0)</f>
        <v>0</v>
      </c>
    </row>
    <row r="4" spans="1:3" x14ac:dyDescent="0.3">
      <c r="A4" s="2"/>
      <c r="B4" s="2" t="str">
        <f t="shared" si="0"/>
        <v>mars</v>
      </c>
      <c r="C4" s="57">
        <f>IFERROR((TAUX1*GETPIVOTDATA("Somme de Arrondi sans interv.",Synthèse!$A$3,"Date",ROW()-1,"Années",$A$2)+TAUX2*GETPIVOTDATA("Somme de Arrondi interv. jour",Synthèse!$A$3,"Date",ROW()-1,"Années",$A$2)+TAUX3*GETPIVOTDATA("Somme de Arrondi interv. dim ou férié",Synthèse!$A$3,"Date",ROW()-1,"Années",$A$2)+TAUX4*GETPIVOTDATA("Somme de Arrondi interv. nuit",Synthèse!$A$3,"Date",ROW()-1,"Années",$A$2))*24,0)</f>
        <v>0</v>
      </c>
    </row>
    <row r="5" spans="1:3" x14ac:dyDescent="0.3">
      <c r="A5" s="56"/>
      <c r="B5" s="56" t="str">
        <f t="shared" si="0"/>
        <v>avr</v>
      </c>
      <c r="C5" s="58">
        <f>IFERROR((TAUX1*GETPIVOTDATA("Somme de Arrondi sans interv.",Synthèse!$A$3,"Date",ROW()-1,"Années",$A$2)+TAUX2*GETPIVOTDATA("Somme de Arrondi interv. jour",Synthèse!$A$3,"Date",ROW()-1,"Années",$A$2)+TAUX3*GETPIVOTDATA("Somme de Arrondi interv. dim ou férié",Synthèse!$A$3,"Date",ROW()-1,"Années",$A$2)+TAUX4*GETPIVOTDATA("Somme de Arrondi interv. nuit",Synthèse!$A$3,"Date",ROW()-1,"Années",$A$2))*24,0)</f>
        <v>0</v>
      </c>
    </row>
    <row r="6" spans="1:3" x14ac:dyDescent="0.3">
      <c r="A6" s="2"/>
      <c r="B6" s="2" t="str">
        <f t="shared" si="0"/>
        <v>mai</v>
      </c>
      <c r="C6" s="57">
        <f>IFERROR((TAUX1*GETPIVOTDATA("Somme de Arrondi sans interv.",Synthèse!$A$3,"Date",ROW()-1,"Années",$A$2)+TAUX2*GETPIVOTDATA("Somme de Arrondi interv. jour",Synthèse!$A$3,"Date",ROW()-1,"Années",$A$2)+TAUX3*GETPIVOTDATA("Somme de Arrondi interv. dim ou férié",Synthèse!$A$3,"Date",ROW()-1,"Années",$A$2)+TAUX4*GETPIVOTDATA("Somme de Arrondi interv. nuit",Synthèse!$A$3,"Date",ROW()-1,"Années",$A$2))*24,0)</f>
        <v>0</v>
      </c>
    </row>
    <row r="7" spans="1:3" x14ac:dyDescent="0.3">
      <c r="A7" s="56"/>
      <c r="B7" s="56" t="str">
        <f t="shared" si="0"/>
        <v>juin</v>
      </c>
      <c r="C7" s="58">
        <f>IFERROR((TAUX1*GETPIVOTDATA("Somme de Arrondi sans interv.",Synthèse!$A$3,"Date",ROW()-1,"Années",$A$2)+TAUX2*GETPIVOTDATA("Somme de Arrondi interv. jour",Synthèse!$A$3,"Date",ROW()-1,"Années",$A$2)+TAUX3*GETPIVOTDATA("Somme de Arrondi interv. dim ou férié",Synthèse!$A$3,"Date",ROW()-1,"Années",$A$2)+TAUX4*GETPIVOTDATA("Somme de Arrondi interv. nuit",Synthèse!$A$3,"Date",ROW()-1,"Années",$A$2))*24,0)</f>
        <v>0</v>
      </c>
    </row>
    <row r="8" spans="1:3" x14ac:dyDescent="0.3">
      <c r="A8" s="2"/>
      <c r="B8" s="2" t="str">
        <f t="shared" si="0"/>
        <v>juil</v>
      </c>
      <c r="C8" s="57">
        <f>IFERROR((TAUX1*GETPIVOTDATA("Somme de Arrondi sans interv.",Synthèse!$A$3,"Date",ROW()-1,"Années",$A$2)+TAUX2*GETPIVOTDATA("Somme de Arrondi interv. jour",Synthèse!$A$3,"Date",ROW()-1,"Années",$A$2)+TAUX3*GETPIVOTDATA("Somme de Arrondi interv. dim ou férié",Synthèse!$A$3,"Date",ROW()-1,"Années",$A$2)+TAUX4*GETPIVOTDATA("Somme de Arrondi interv. nuit",Synthèse!$A$3,"Date",ROW()-1,"Années",$A$2))*24,0)</f>
        <v>0</v>
      </c>
    </row>
    <row r="9" spans="1:3" x14ac:dyDescent="0.3">
      <c r="A9" s="56"/>
      <c r="B9" s="56" t="str">
        <f t="shared" si="0"/>
        <v>août</v>
      </c>
      <c r="C9" s="58">
        <f>IFERROR((TAUX1*GETPIVOTDATA("Somme de Arrondi sans interv.",Synthèse!$A$3,"Date",ROW()-1,"Années",$A$2)+TAUX2*GETPIVOTDATA("Somme de Arrondi interv. jour",Synthèse!$A$3,"Date",ROW()-1,"Années",$A$2)+TAUX3*GETPIVOTDATA("Somme de Arrondi interv. dim ou férié",Synthèse!$A$3,"Date",ROW()-1,"Années",$A$2)+TAUX4*GETPIVOTDATA("Somme de Arrondi interv. nuit",Synthèse!$A$3,"Date",ROW()-1,"Années",$A$2))*24,0)</f>
        <v>0</v>
      </c>
    </row>
    <row r="10" spans="1:3" x14ac:dyDescent="0.3">
      <c r="A10" s="2"/>
      <c r="B10" s="2" t="str">
        <f t="shared" si="0"/>
        <v>sept</v>
      </c>
      <c r="C10" s="57">
        <f>IFERROR((TAUX1*GETPIVOTDATA("Somme de Arrondi sans interv.",Synthèse!$A$3,"Date",ROW()-1,"Années",$A$2)+TAUX2*GETPIVOTDATA("Somme de Arrondi interv. jour",Synthèse!$A$3,"Date",ROW()-1,"Années",$A$2)+TAUX3*GETPIVOTDATA("Somme de Arrondi interv. dim ou férié",Synthèse!$A$3,"Date",ROW()-1,"Années",$A$2)+TAUX4*GETPIVOTDATA("Somme de Arrondi interv. nuit",Synthèse!$A$3,"Date",ROW()-1,"Années",$A$2))*24,0)</f>
        <v>0</v>
      </c>
    </row>
    <row r="11" spans="1:3" x14ac:dyDescent="0.3">
      <c r="A11" s="56"/>
      <c r="B11" s="56" t="str">
        <f t="shared" si="0"/>
        <v>oct</v>
      </c>
      <c r="C11" s="58">
        <f>IFERROR((TAUX1*GETPIVOTDATA("Somme de Arrondi sans interv.",Synthèse!$A$3,"Date",ROW()-1,"Années",$A$2)+TAUX2*GETPIVOTDATA("Somme de Arrondi interv. jour",Synthèse!$A$3,"Date",ROW()-1,"Années",$A$2)+TAUX3*GETPIVOTDATA("Somme de Arrondi interv. dim ou férié",Synthèse!$A$3,"Date",ROW()-1,"Années",$A$2)+TAUX4*GETPIVOTDATA("Somme de Arrondi interv. nuit",Synthèse!$A$3,"Date",ROW()-1,"Années",$A$2))*24,0)</f>
        <v>0</v>
      </c>
    </row>
    <row r="12" spans="1:3" x14ac:dyDescent="0.3">
      <c r="A12" s="2"/>
      <c r="B12" s="2" t="str">
        <f t="shared" si="0"/>
        <v>nov</v>
      </c>
      <c r="C12" s="57">
        <f>IFERROR((TAUX1*GETPIVOTDATA("Somme de Arrondi sans interv.",Synthèse!$A$3,"Date",ROW()-1,"Années",$A$2)+TAUX2*GETPIVOTDATA("Somme de Arrondi interv. jour",Synthèse!$A$3,"Date",ROW()-1,"Années",$A$2)+TAUX3*GETPIVOTDATA("Somme de Arrondi interv. dim ou férié",Synthèse!$A$3,"Date",ROW()-1,"Années",$A$2)+TAUX4*GETPIVOTDATA("Somme de Arrondi interv. nuit",Synthèse!$A$3,"Date",ROW()-1,"Années",$A$2))*24,0)</f>
        <v>0</v>
      </c>
    </row>
    <row r="13" spans="1:3" x14ac:dyDescent="0.3">
      <c r="A13" s="56"/>
      <c r="B13" s="56" t="str">
        <f>TEXT(DATE(YEAR(A13),ROW()-1,1),"mmm")</f>
        <v>déc</v>
      </c>
      <c r="C13" s="58">
        <f>IFERROR((TAUX1*GETPIVOTDATA("Somme de Arrondi sans interv.",Synthèse!$A$3,"Date",ROW()-1,"Années",$A$2)+TAUX2*GETPIVOTDATA("Somme de Arrondi interv. jour",Synthèse!$A$3,"Date",ROW()-1,"Années",$A$2)+TAUX3*GETPIVOTDATA("Somme de Arrondi interv. dim ou férié",Synthèse!$A$3,"Date",ROW()-1,"Années",$A$2)+TAUX4*GETPIVOTDATA("Somme de Arrondi interv. nuit",Synthèse!$A$3,"Date",ROW()-1,"Années",$A$2))*24,0)</f>
        <v>0</v>
      </c>
    </row>
    <row r="14" spans="1:3" x14ac:dyDescent="0.3">
      <c r="A14" s="2"/>
      <c r="B14" s="2" t="s">
        <v>60</v>
      </c>
      <c r="C14" s="57">
        <f>SUM(C2:C13)</f>
        <v>0</v>
      </c>
    </row>
  </sheetData>
  <autoFilter ref="A1:C14" xr:uid="{A322983F-D10A-4AB2-9342-D3A99BBD0C77}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13"/>
  <sheetViews>
    <sheetView workbookViewId="0">
      <selection activeCell="G32" sqref="G32"/>
    </sheetView>
  </sheetViews>
  <sheetFormatPr baseColWidth="10" defaultRowHeight="14.4" x14ac:dyDescent="0.3"/>
  <cols>
    <col min="1" max="1" width="18.33203125" bestFit="1" customWidth="1"/>
  </cols>
  <sheetData>
    <row r="1" spans="1:17" s="21" customFormat="1" x14ac:dyDescent="0.3">
      <c r="A1" s="19" t="s">
        <v>11</v>
      </c>
      <c r="B1" s="20">
        <v>2018</v>
      </c>
      <c r="C1" s="20">
        <v>2019</v>
      </c>
      <c r="D1" s="20">
        <v>2020</v>
      </c>
      <c r="E1" s="20">
        <v>2021</v>
      </c>
      <c r="F1" s="20">
        <v>2022</v>
      </c>
      <c r="G1" s="20">
        <v>2023</v>
      </c>
      <c r="H1" s="20">
        <v>2024</v>
      </c>
      <c r="I1" s="20">
        <v>2025</v>
      </c>
      <c r="J1" s="20">
        <v>2026</v>
      </c>
      <c r="K1" s="20">
        <v>2027</v>
      </c>
      <c r="L1" s="20">
        <v>2028</v>
      </c>
      <c r="M1" s="20">
        <v>2029</v>
      </c>
      <c r="N1" s="20">
        <v>2030</v>
      </c>
      <c r="O1" s="20">
        <v>2031</v>
      </c>
      <c r="P1" s="20">
        <v>2032</v>
      </c>
      <c r="Q1" s="20">
        <v>2033</v>
      </c>
    </row>
    <row r="2" spans="1:17" x14ac:dyDescent="0.3">
      <c r="A2" s="1" t="s">
        <v>38</v>
      </c>
      <c r="B2" s="1">
        <f>DATE(B1,1,1)</f>
        <v>43101</v>
      </c>
      <c r="C2" s="1">
        <f>DATE(C1,1,1)</f>
        <v>43466</v>
      </c>
      <c r="D2" s="1">
        <f t="shared" ref="D2:Q2" si="0">DATE(D1,1,1)</f>
        <v>43831</v>
      </c>
      <c r="E2" s="1">
        <f t="shared" si="0"/>
        <v>44197</v>
      </c>
      <c r="F2" s="1">
        <f t="shared" si="0"/>
        <v>44562</v>
      </c>
      <c r="G2" s="1">
        <f t="shared" si="0"/>
        <v>44927</v>
      </c>
      <c r="H2" s="1">
        <f t="shared" si="0"/>
        <v>45292</v>
      </c>
      <c r="I2" s="1">
        <f t="shared" si="0"/>
        <v>45658</v>
      </c>
      <c r="J2" s="1">
        <f t="shared" si="0"/>
        <v>46023</v>
      </c>
      <c r="K2" s="1">
        <f t="shared" si="0"/>
        <v>46388</v>
      </c>
      <c r="L2" s="1">
        <f t="shared" si="0"/>
        <v>46753</v>
      </c>
      <c r="M2" s="1">
        <f t="shared" si="0"/>
        <v>47119</v>
      </c>
      <c r="N2" s="1">
        <f t="shared" si="0"/>
        <v>47484</v>
      </c>
      <c r="O2" s="1">
        <f t="shared" si="0"/>
        <v>47849</v>
      </c>
      <c r="P2" s="1">
        <f t="shared" si="0"/>
        <v>48214</v>
      </c>
      <c r="Q2" s="1">
        <f t="shared" si="0"/>
        <v>48580</v>
      </c>
    </row>
    <row r="3" spans="1:17" x14ac:dyDescent="0.3">
      <c r="A3" s="1" t="s">
        <v>39</v>
      </c>
      <c r="B3" s="1">
        <f>ROUND(DATE(B1,4,MOD(234-11*MOD(B1,19),30))/7,0)*7-6</f>
        <v>43191</v>
      </c>
      <c r="C3" s="1">
        <f>ROUND(DATE(C1,4,MOD(234-11*MOD(C1,19),30))/7,0)*7-6</f>
        <v>43576</v>
      </c>
      <c r="D3" s="1">
        <f t="shared" ref="D3:Q3" si="1">ROUND(DATE(D1,4,MOD(234-11*MOD(D1,19),30))/7,0)*7-6</f>
        <v>43933</v>
      </c>
      <c r="E3" s="1">
        <f t="shared" si="1"/>
        <v>44290</v>
      </c>
      <c r="F3" s="1">
        <f t="shared" si="1"/>
        <v>44668</v>
      </c>
      <c r="G3" s="1">
        <f t="shared" si="1"/>
        <v>45025</v>
      </c>
      <c r="H3" s="1">
        <f t="shared" si="1"/>
        <v>45382</v>
      </c>
      <c r="I3" s="1">
        <f t="shared" si="1"/>
        <v>45767</v>
      </c>
      <c r="J3" s="1">
        <f t="shared" si="1"/>
        <v>46117</v>
      </c>
      <c r="K3" s="1">
        <f t="shared" si="1"/>
        <v>46474</v>
      </c>
      <c r="L3" s="1">
        <f t="shared" si="1"/>
        <v>46859</v>
      </c>
      <c r="M3" s="1">
        <f t="shared" si="1"/>
        <v>47209</v>
      </c>
      <c r="N3" s="1">
        <f t="shared" si="1"/>
        <v>47594</v>
      </c>
      <c r="O3" s="1">
        <f t="shared" si="1"/>
        <v>47951</v>
      </c>
      <c r="P3" s="1">
        <f t="shared" si="1"/>
        <v>48301</v>
      </c>
      <c r="Q3" s="1">
        <f t="shared" si="1"/>
        <v>48686</v>
      </c>
    </row>
    <row r="4" spans="1:17" x14ac:dyDescent="0.3">
      <c r="A4" s="1" t="s">
        <v>7</v>
      </c>
      <c r="B4" s="1">
        <f>B3+1</f>
        <v>43192</v>
      </c>
      <c r="C4" s="1">
        <f>C3+1</f>
        <v>43577</v>
      </c>
      <c r="D4" s="1">
        <f t="shared" ref="D4:Q4" si="2">D3+1</f>
        <v>43934</v>
      </c>
      <c r="E4" s="1">
        <f t="shared" si="2"/>
        <v>44291</v>
      </c>
      <c r="F4" s="1">
        <f t="shared" si="2"/>
        <v>44669</v>
      </c>
      <c r="G4" s="1">
        <f t="shared" si="2"/>
        <v>45026</v>
      </c>
      <c r="H4" s="1">
        <f t="shared" si="2"/>
        <v>45383</v>
      </c>
      <c r="I4" s="1">
        <f t="shared" si="2"/>
        <v>45768</v>
      </c>
      <c r="J4" s="1">
        <f t="shared" si="2"/>
        <v>46118</v>
      </c>
      <c r="K4" s="1">
        <f t="shared" si="2"/>
        <v>46475</v>
      </c>
      <c r="L4" s="1">
        <f t="shared" si="2"/>
        <v>46860</v>
      </c>
      <c r="M4" s="1">
        <f t="shared" si="2"/>
        <v>47210</v>
      </c>
      <c r="N4" s="1">
        <f t="shared" si="2"/>
        <v>47595</v>
      </c>
      <c r="O4" s="1">
        <f t="shared" si="2"/>
        <v>47952</v>
      </c>
      <c r="P4" s="1">
        <f t="shared" si="2"/>
        <v>48302</v>
      </c>
      <c r="Q4" s="1">
        <f t="shared" si="2"/>
        <v>48687</v>
      </c>
    </row>
    <row r="5" spans="1:17" x14ac:dyDescent="0.3">
      <c r="A5" s="1" t="s">
        <v>40</v>
      </c>
      <c r="B5" s="1">
        <f>DATE(B1,5,1)</f>
        <v>43221</v>
      </c>
      <c r="C5" s="1">
        <f>DATE(C1,5,1)</f>
        <v>43586</v>
      </c>
      <c r="D5" s="1">
        <f t="shared" ref="D5:Q5" si="3">DATE(D1,5,1)</f>
        <v>43952</v>
      </c>
      <c r="E5" s="1">
        <f t="shared" si="3"/>
        <v>44317</v>
      </c>
      <c r="F5" s="1">
        <f t="shared" si="3"/>
        <v>44682</v>
      </c>
      <c r="G5" s="1">
        <f t="shared" si="3"/>
        <v>45047</v>
      </c>
      <c r="H5" s="1">
        <f t="shared" si="3"/>
        <v>45413</v>
      </c>
      <c r="I5" s="1">
        <f t="shared" si="3"/>
        <v>45778</v>
      </c>
      <c r="J5" s="1">
        <f t="shared" si="3"/>
        <v>46143</v>
      </c>
      <c r="K5" s="1">
        <f t="shared" si="3"/>
        <v>46508</v>
      </c>
      <c r="L5" s="1">
        <f t="shared" si="3"/>
        <v>46874</v>
      </c>
      <c r="M5" s="1">
        <f t="shared" si="3"/>
        <v>47239</v>
      </c>
      <c r="N5" s="1">
        <f t="shared" si="3"/>
        <v>47604</v>
      </c>
      <c r="O5" s="1">
        <f t="shared" si="3"/>
        <v>47969</v>
      </c>
      <c r="P5" s="1">
        <f t="shared" si="3"/>
        <v>48335</v>
      </c>
      <c r="Q5" s="1">
        <f t="shared" si="3"/>
        <v>48700</v>
      </c>
    </row>
    <row r="6" spans="1:17" x14ac:dyDescent="0.3">
      <c r="A6" s="1" t="s">
        <v>41</v>
      </c>
      <c r="B6" s="1">
        <f>DATE(B1,5,8)</f>
        <v>43228</v>
      </c>
      <c r="C6" s="1">
        <f>DATE(C1,5,8)</f>
        <v>43593</v>
      </c>
      <c r="D6" s="1">
        <f t="shared" ref="D6:Q6" si="4">DATE(D1,5,8)</f>
        <v>43959</v>
      </c>
      <c r="E6" s="1">
        <f t="shared" si="4"/>
        <v>44324</v>
      </c>
      <c r="F6" s="1">
        <f t="shared" si="4"/>
        <v>44689</v>
      </c>
      <c r="G6" s="1">
        <f t="shared" si="4"/>
        <v>45054</v>
      </c>
      <c r="H6" s="1">
        <f t="shared" si="4"/>
        <v>45420</v>
      </c>
      <c r="I6" s="1">
        <f t="shared" si="4"/>
        <v>45785</v>
      </c>
      <c r="J6" s="1">
        <f t="shared" si="4"/>
        <v>46150</v>
      </c>
      <c r="K6" s="1">
        <f t="shared" si="4"/>
        <v>46515</v>
      </c>
      <c r="L6" s="1">
        <f t="shared" si="4"/>
        <v>46881</v>
      </c>
      <c r="M6" s="1">
        <f t="shared" si="4"/>
        <v>47246</v>
      </c>
      <c r="N6" s="1">
        <f t="shared" si="4"/>
        <v>47611</v>
      </c>
      <c r="O6" s="1">
        <f t="shared" si="4"/>
        <v>47976</v>
      </c>
      <c r="P6" s="1">
        <f t="shared" si="4"/>
        <v>48342</v>
      </c>
      <c r="Q6" s="1">
        <f t="shared" si="4"/>
        <v>48707</v>
      </c>
    </row>
    <row r="7" spans="1:17" x14ac:dyDescent="0.3">
      <c r="A7" s="1" t="s">
        <v>42</v>
      </c>
      <c r="B7" s="1">
        <f>B3+39</f>
        <v>43230</v>
      </c>
      <c r="C7" s="1">
        <f>C3+39</f>
        <v>43615</v>
      </c>
      <c r="D7" s="1">
        <f t="shared" ref="D7:Q7" si="5">D3+39</f>
        <v>43972</v>
      </c>
      <c r="E7" s="1">
        <f t="shared" si="5"/>
        <v>44329</v>
      </c>
      <c r="F7" s="1">
        <f t="shared" si="5"/>
        <v>44707</v>
      </c>
      <c r="G7" s="1">
        <f t="shared" si="5"/>
        <v>45064</v>
      </c>
      <c r="H7" s="1">
        <f t="shared" si="5"/>
        <v>45421</v>
      </c>
      <c r="I7" s="1">
        <f t="shared" si="5"/>
        <v>45806</v>
      </c>
      <c r="J7" s="1">
        <f t="shared" si="5"/>
        <v>46156</v>
      </c>
      <c r="K7" s="1">
        <f t="shared" si="5"/>
        <v>46513</v>
      </c>
      <c r="L7" s="1">
        <f t="shared" si="5"/>
        <v>46898</v>
      </c>
      <c r="M7" s="1">
        <f t="shared" si="5"/>
        <v>47248</v>
      </c>
      <c r="N7" s="1">
        <f t="shared" si="5"/>
        <v>47633</v>
      </c>
      <c r="O7" s="1">
        <f t="shared" si="5"/>
        <v>47990</v>
      </c>
      <c r="P7" s="1">
        <f t="shared" si="5"/>
        <v>48340</v>
      </c>
      <c r="Q7" s="1">
        <f t="shared" si="5"/>
        <v>48725</v>
      </c>
    </row>
    <row r="8" spans="1:17" x14ac:dyDescent="0.3">
      <c r="A8" s="1" t="s">
        <v>43</v>
      </c>
      <c r="B8" s="1">
        <f>B3+50</f>
        <v>43241</v>
      </c>
      <c r="C8" s="1">
        <f>C3+50</f>
        <v>43626</v>
      </c>
      <c r="D8" s="1">
        <f t="shared" ref="D8:Q8" si="6">D3+50</f>
        <v>43983</v>
      </c>
      <c r="E8" s="1">
        <f t="shared" si="6"/>
        <v>44340</v>
      </c>
      <c r="F8" s="1">
        <f t="shared" si="6"/>
        <v>44718</v>
      </c>
      <c r="G8" s="1">
        <f t="shared" si="6"/>
        <v>45075</v>
      </c>
      <c r="H8" s="1">
        <f t="shared" si="6"/>
        <v>45432</v>
      </c>
      <c r="I8" s="1">
        <f t="shared" si="6"/>
        <v>45817</v>
      </c>
      <c r="J8" s="1">
        <f t="shared" si="6"/>
        <v>46167</v>
      </c>
      <c r="K8" s="1">
        <f t="shared" si="6"/>
        <v>46524</v>
      </c>
      <c r="L8" s="1">
        <f t="shared" si="6"/>
        <v>46909</v>
      </c>
      <c r="M8" s="1">
        <f t="shared" si="6"/>
        <v>47259</v>
      </c>
      <c r="N8" s="1">
        <f t="shared" si="6"/>
        <v>47644</v>
      </c>
      <c r="O8" s="1">
        <f t="shared" si="6"/>
        <v>48001</v>
      </c>
      <c r="P8" s="1">
        <f t="shared" si="6"/>
        <v>48351</v>
      </c>
      <c r="Q8" s="1">
        <f t="shared" si="6"/>
        <v>48736</v>
      </c>
    </row>
    <row r="9" spans="1:17" x14ac:dyDescent="0.3">
      <c r="A9" s="1" t="s">
        <v>44</v>
      </c>
      <c r="B9" s="1">
        <f>DATE(B1,7,14)</f>
        <v>43295</v>
      </c>
      <c r="C9" s="1">
        <f>DATE(C1,7,14)</f>
        <v>43660</v>
      </c>
      <c r="D9" s="1">
        <f t="shared" ref="D9:Q9" si="7">DATE(D1,7,14)</f>
        <v>44026</v>
      </c>
      <c r="E9" s="1">
        <f t="shared" si="7"/>
        <v>44391</v>
      </c>
      <c r="F9" s="1">
        <f t="shared" si="7"/>
        <v>44756</v>
      </c>
      <c r="G9" s="1">
        <f t="shared" si="7"/>
        <v>45121</v>
      </c>
      <c r="H9" s="1">
        <f t="shared" si="7"/>
        <v>45487</v>
      </c>
      <c r="I9" s="1">
        <f t="shared" si="7"/>
        <v>45852</v>
      </c>
      <c r="J9" s="1">
        <f t="shared" si="7"/>
        <v>46217</v>
      </c>
      <c r="K9" s="1">
        <f t="shared" si="7"/>
        <v>46582</v>
      </c>
      <c r="L9" s="1">
        <f t="shared" si="7"/>
        <v>46948</v>
      </c>
      <c r="M9" s="1">
        <f t="shared" si="7"/>
        <v>47313</v>
      </c>
      <c r="N9" s="1">
        <f t="shared" si="7"/>
        <v>47678</v>
      </c>
      <c r="O9" s="1">
        <f t="shared" si="7"/>
        <v>48043</v>
      </c>
      <c r="P9" s="1">
        <f t="shared" si="7"/>
        <v>48409</v>
      </c>
      <c r="Q9" s="1">
        <f t="shared" si="7"/>
        <v>48774</v>
      </c>
    </row>
    <row r="10" spans="1:17" x14ac:dyDescent="0.3">
      <c r="A10" s="1" t="s">
        <v>8</v>
      </c>
      <c r="B10" s="1">
        <f>DATE(B1,8,15)</f>
        <v>43327</v>
      </c>
      <c r="C10" s="1">
        <f>DATE(C1,8,15)</f>
        <v>43692</v>
      </c>
      <c r="D10" s="1">
        <f t="shared" ref="D10:Q10" si="8">DATE(D1,8,15)</f>
        <v>44058</v>
      </c>
      <c r="E10" s="1">
        <f t="shared" si="8"/>
        <v>44423</v>
      </c>
      <c r="F10" s="1">
        <f t="shared" si="8"/>
        <v>44788</v>
      </c>
      <c r="G10" s="1">
        <f t="shared" si="8"/>
        <v>45153</v>
      </c>
      <c r="H10" s="1">
        <f t="shared" si="8"/>
        <v>45519</v>
      </c>
      <c r="I10" s="1">
        <f t="shared" si="8"/>
        <v>45884</v>
      </c>
      <c r="J10" s="1">
        <f t="shared" si="8"/>
        <v>46249</v>
      </c>
      <c r="K10" s="1">
        <f t="shared" si="8"/>
        <v>46614</v>
      </c>
      <c r="L10" s="1">
        <f t="shared" si="8"/>
        <v>46980</v>
      </c>
      <c r="M10" s="1">
        <f t="shared" si="8"/>
        <v>47345</v>
      </c>
      <c r="N10" s="1">
        <f t="shared" si="8"/>
        <v>47710</v>
      </c>
      <c r="O10" s="1">
        <f t="shared" si="8"/>
        <v>48075</v>
      </c>
      <c r="P10" s="1">
        <f t="shared" si="8"/>
        <v>48441</v>
      </c>
      <c r="Q10" s="1">
        <f t="shared" si="8"/>
        <v>48806</v>
      </c>
    </row>
    <row r="11" spans="1:17" x14ac:dyDescent="0.3">
      <c r="A11" s="1" t="s">
        <v>45</v>
      </c>
      <c r="B11" s="1">
        <f>DATE(B1,11,1)</f>
        <v>43405</v>
      </c>
      <c r="C11" s="1">
        <f>DATE(C1,11,1)</f>
        <v>43770</v>
      </c>
      <c r="D11" s="1">
        <f t="shared" ref="D11:Q11" si="9">DATE(D1,11,1)</f>
        <v>44136</v>
      </c>
      <c r="E11" s="1">
        <f t="shared" si="9"/>
        <v>44501</v>
      </c>
      <c r="F11" s="1">
        <f t="shared" si="9"/>
        <v>44866</v>
      </c>
      <c r="G11" s="1">
        <f t="shared" si="9"/>
        <v>45231</v>
      </c>
      <c r="H11" s="1">
        <f t="shared" si="9"/>
        <v>45597</v>
      </c>
      <c r="I11" s="1">
        <f t="shared" si="9"/>
        <v>45962</v>
      </c>
      <c r="J11" s="1">
        <f t="shared" si="9"/>
        <v>46327</v>
      </c>
      <c r="K11" s="1">
        <f t="shared" si="9"/>
        <v>46692</v>
      </c>
      <c r="L11" s="1">
        <f t="shared" si="9"/>
        <v>47058</v>
      </c>
      <c r="M11" s="1">
        <f t="shared" si="9"/>
        <v>47423</v>
      </c>
      <c r="N11" s="1">
        <f t="shared" si="9"/>
        <v>47788</v>
      </c>
      <c r="O11" s="1">
        <f t="shared" si="9"/>
        <v>48153</v>
      </c>
      <c r="P11" s="1">
        <f t="shared" si="9"/>
        <v>48519</v>
      </c>
      <c r="Q11" s="1">
        <f t="shared" si="9"/>
        <v>48884</v>
      </c>
    </row>
    <row r="12" spans="1:17" x14ac:dyDescent="0.3">
      <c r="A12" s="1" t="s">
        <v>9</v>
      </c>
      <c r="B12" s="1">
        <f>DATE(B1,11,11)</f>
        <v>43415</v>
      </c>
      <c r="C12" s="1">
        <f>DATE(C1,11,11)</f>
        <v>43780</v>
      </c>
      <c r="D12" s="1">
        <f t="shared" ref="D12:Q12" si="10">DATE(D1,11,11)</f>
        <v>44146</v>
      </c>
      <c r="E12" s="1">
        <f t="shared" si="10"/>
        <v>44511</v>
      </c>
      <c r="F12" s="1">
        <f t="shared" si="10"/>
        <v>44876</v>
      </c>
      <c r="G12" s="1">
        <f t="shared" si="10"/>
        <v>45241</v>
      </c>
      <c r="H12" s="1">
        <f t="shared" si="10"/>
        <v>45607</v>
      </c>
      <c r="I12" s="1">
        <f t="shared" si="10"/>
        <v>45972</v>
      </c>
      <c r="J12" s="1">
        <f t="shared" si="10"/>
        <v>46337</v>
      </c>
      <c r="K12" s="1">
        <f t="shared" si="10"/>
        <v>46702</v>
      </c>
      <c r="L12" s="1">
        <f t="shared" si="10"/>
        <v>47068</v>
      </c>
      <c r="M12" s="1">
        <f t="shared" si="10"/>
        <v>47433</v>
      </c>
      <c r="N12" s="1">
        <f t="shared" si="10"/>
        <v>47798</v>
      </c>
      <c r="O12" s="1">
        <f t="shared" si="10"/>
        <v>48163</v>
      </c>
      <c r="P12" s="1">
        <f t="shared" si="10"/>
        <v>48529</v>
      </c>
      <c r="Q12" s="1">
        <f t="shared" si="10"/>
        <v>48894</v>
      </c>
    </row>
    <row r="13" spans="1:17" x14ac:dyDescent="0.3">
      <c r="A13" s="1" t="s">
        <v>10</v>
      </c>
      <c r="B13" s="1">
        <f>DATE(B1,12,25)</f>
        <v>43459</v>
      </c>
      <c r="C13" s="1">
        <f>DATE(C1,12,25)</f>
        <v>43824</v>
      </c>
      <c r="D13" s="1">
        <f t="shared" ref="D13:Q13" si="11">DATE(D1,12,25)</f>
        <v>44190</v>
      </c>
      <c r="E13" s="1">
        <f t="shared" si="11"/>
        <v>44555</v>
      </c>
      <c r="F13" s="1">
        <f t="shared" si="11"/>
        <v>44920</v>
      </c>
      <c r="G13" s="1">
        <f t="shared" si="11"/>
        <v>45285</v>
      </c>
      <c r="H13" s="1">
        <f t="shared" si="11"/>
        <v>45651</v>
      </c>
      <c r="I13" s="1">
        <f t="shared" si="11"/>
        <v>46016</v>
      </c>
      <c r="J13" s="1">
        <f t="shared" si="11"/>
        <v>46381</v>
      </c>
      <c r="K13" s="1">
        <f t="shared" si="11"/>
        <v>46746</v>
      </c>
      <c r="L13" s="1">
        <f t="shared" si="11"/>
        <v>47112</v>
      </c>
      <c r="M13" s="1">
        <f t="shared" si="11"/>
        <v>47477</v>
      </c>
      <c r="N13" s="1">
        <f t="shared" si="11"/>
        <v>47842</v>
      </c>
      <c r="O13" s="1">
        <f t="shared" si="11"/>
        <v>48207</v>
      </c>
      <c r="P13" s="1">
        <f t="shared" si="11"/>
        <v>48573</v>
      </c>
      <c r="Q13" s="1">
        <f t="shared" si="11"/>
        <v>48938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14"/>
  <sheetViews>
    <sheetView workbookViewId="0">
      <selection activeCell="B4" sqref="B4"/>
    </sheetView>
  </sheetViews>
  <sheetFormatPr baseColWidth="10" defaultColWidth="10.88671875" defaultRowHeight="14.4" x14ac:dyDescent="0.3"/>
  <cols>
    <col min="1" max="1" width="21.33203125" style="9" bestFit="1" customWidth="1"/>
    <col min="2" max="2" width="10.88671875" style="16"/>
    <col min="3" max="16384" width="10.88671875" style="9"/>
  </cols>
  <sheetData>
    <row r="1" spans="1:2" x14ac:dyDescent="0.3">
      <c r="A1" s="10" t="s">
        <v>29</v>
      </c>
      <c r="B1" s="15">
        <v>0.29166666666666669</v>
      </c>
    </row>
    <row r="2" spans="1:2" x14ac:dyDescent="0.3">
      <c r="A2" s="10" t="s">
        <v>30</v>
      </c>
      <c r="B2" s="15">
        <v>0.91666666666666663</v>
      </c>
    </row>
    <row r="4" spans="1:2" x14ac:dyDescent="0.3">
      <c r="A4" s="10" t="s">
        <v>31</v>
      </c>
      <c r="B4" s="17">
        <v>5.74</v>
      </c>
    </row>
    <row r="5" spans="1:2" x14ac:dyDescent="0.3">
      <c r="A5" s="10" t="s">
        <v>32</v>
      </c>
      <c r="B5" s="17">
        <v>7.66</v>
      </c>
    </row>
    <row r="6" spans="1:2" x14ac:dyDescent="0.3">
      <c r="A6" s="10" t="s">
        <v>33</v>
      </c>
      <c r="B6" s="17">
        <v>15.32</v>
      </c>
    </row>
    <row r="7" spans="1:2" x14ac:dyDescent="0.3">
      <c r="A7" s="10" t="s">
        <v>34</v>
      </c>
      <c r="B7" s="17">
        <v>11.49</v>
      </c>
    </row>
    <row r="9" spans="1:2" x14ac:dyDescent="0.3">
      <c r="A9" s="11" t="s">
        <v>28</v>
      </c>
      <c r="B9" s="14" t="s">
        <v>3</v>
      </c>
    </row>
    <row r="10" spans="1:2" x14ac:dyDescent="0.3">
      <c r="A10" s="12"/>
      <c r="B10" s="14" t="s">
        <v>5</v>
      </c>
    </row>
    <row r="11" spans="1:2" x14ac:dyDescent="0.3">
      <c r="A11" s="12"/>
      <c r="B11" s="14" t="s">
        <v>4</v>
      </c>
    </row>
    <row r="12" spans="1:2" x14ac:dyDescent="0.3">
      <c r="A12" s="12"/>
      <c r="B12" s="14" t="s">
        <v>6</v>
      </c>
    </row>
    <row r="13" spans="1:2" x14ac:dyDescent="0.3">
      <c r="A13" s="12"/>
      <c r="B13" s="14" t="s">
        <v>62</v>
      </c>
    </row>
    <row r="14" spans="1:2" x14ac:dyDescent="0.3">
      <c r="A14" s="13"/>
      <c r="B14" s="14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Données</vt:lpstr>
      <vt:lpstr>Test sur jour nuit</vt:lpstr>
      <vt:lpstr>Synthèse</vt:lpstr>
      <vt:lpstr>Calcul indemnités mensuelles</vt:lpstr>
      <vt:lpstr>Jours Fériés</vt:lpstr>
      <vt:lpstr>Paramètres</vt:lpstr>
      <vt:lpstr>DebNuit</vt:lpstr>
      <vt:lpstr>FinNuit</vt:lpstr>
      <vt:lpstr>JF</vt:lpstr>
      <vt:lpstr>TAUX1</vt:lpstr>
      <vt:lpstr>TAUX2</vt:lpstr>
      <vt:lpstr>TAUX3</vt:lpstr>
      <vt:lpstr>TAUX4</vt:lpstr>
      <vt:lpstr>véhicule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2018-06-02T19:45:50Z</dcterms:modified>
</cp:coreProperties>
</file>